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drawings/drawing21.xml" ContentType="application/vnd.openxmlformats-officedocument.drawingml.chartshapes+xml"/>
  <Override PartName="/xl/tables/table1.xml" ContentType="application/vnd.openxmlformats-officedocument.spreadsheetml.table+xml"/>
  <Override PartName="/xl/drawings/drawing2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7.xml" ContentType="application/vnd.openxmlformats-officedocument.drawingml.chart+xml"/>
  <Override PartName="/xl/drawings/drawing23.xml" ContentType="application/vnd.openxmlformats-officedocument.drawingml.chartshap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omments3.xml" ContentType="application/vnd.openxmlformats-officedocument.spreadsheetml.comments+xml"/>
  <Override PartName="/xl/drawings/drawing2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space_r\gvl_data_utilities\KPI_PRODUCTION\output\Agency Performance by Segmentation\"/>
    </mc:Choice>
  </mc:AlternateContent>
  <bookViews>
    <workbookView xWindow="0" yWindow="0" windowWidth="20490" windowHeight="6855" tabRatio="855"/>
  </bookViews>
  <sheets>
    <sheet name="Cover" sheetId="13" r:id="rId1"/>
    <sheet name="Charts" sheetId="37" state="hidden" r:id="rId2"/>
    <sheet name="Country" sheetId="32" state="hidden" r:id="rId3"/>
    <sheet name="HCM" sheetId="30" state="hidden" r:id="rId4"/>
    <sheet name="HN" sheetId="31" state="hidden" r:id="rId5"/>
    <sheet name="Plan" sheetId="21" state="hidden" r:id="rId6"/>
    <sheet name="1.0 Production (GVL)" sheetId="5" r:id="rId7"/>
    <sheet name="1.1 Production by Region" sheetId="24" r:id="rId8"/>
    <sheet name="2.0 MP (GVL)" sheetId="7" r:id="rId9"/>
    <sheet name="2.1 MP by Region" sheetId="26" r:id="rId10"/>
    <sheet name="3.0 New AGs" sheetId="22" r:id="rId11"/>
    <sheet name="4.0 BD" sheetId="93" r:id="rId12"/>
    <sheet name="4.0 BD old" sheetId="34" state="hidden" r:id="rId13"/>
    <sheet name="4.1 BD Review" sheetId="50" state="hidden" r:id="rId14"/>
    <sheet name="TargetTeam" sheetId="88" state="veryHidden" r:id="rId15"/>
    <sheet name="BDList" sheetId="66" state="hidden" r:id="rId16"/>
    <sheet name="Target" sheetId="89" state="hidden" r:id="rId17"/>
    <sheet name="3.1 BD history" sheetId="47" state="veryHidden" r:id="rId18"/>
    <sheet name="BD comment" sheetId="51" state="hidden" r:id="rId19"/>
    <sheet name="4.1 New AG out-of profile by BD" sheetId="44" state="veryHidden" r:id="rId20"/>
    <sheet name="5 AL Segmentation" sheetId="85" state="veryHidden" r:id="rId21"/>
    <sheet name="HCMHN_BDMasterPlan" sheetId="73" state="veryHidden" r:id="rId22"/>
    <sheet name="5.0 AG retention" sheetId="87" state="hidden" r:id="rId23"/>
    <sheet name="6.0 GA" sheetId="91" r:id="rId24"/>
    <sheet name="7.0 Product Mix" sheetId="92" r:id="rId25"/>
    <sheet name="8.0 Customer" sheetId="94" state="hidden" r:id="rId26"/>
    <sheet name="Sheet1" sheetId="86" state="veryHidden" r:id="rId27"/>
  </sheets>
  <externalReferences>
    <externalReference r:id="rId28"/>
    <externalReference r:id="rId29"/>
    <externalReference r:id="rId30"/>
    <externalReference r:id="rId31"/>
    <externalReference r:id="rId32"/>
  </externalReferences>
  <definedNames>
    <definedName name="__a1" localSheetId="12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7">#REF!</definedName>
    <definedName name="__ENP410" localSheetId="10">#REF!</definedName>
    <definedName name="__ENP410" localSheetId="12">#REF!</definedName>
    <definedName name="__ENP410" localSheetId="2">#REF!</definedName>
    <definedName name="__ENP410" localSheetId="3">#REF!</definedName>
    <definedName name="__ENP410" localSheetId="4">#REF!</definedName>
    <definedName name="__ENP45" localSheetId="7">#REF!</definedName>
    <definedName name="__ENP45" localSheetId="10">#REF!</definedName>
    <definedName name="__ENP45" localSheetId="12">#REF!</definedName>
    <definedName name="__ENP45" localSheetId="2">#REF!</definedName>
    <definedName name="__ENP45" localSheetId="3">#REF!</definedName>
    <definedName name="__ENP45" localSheetId="4">#REF!</definedName>
    <definedName name="__IRR1" localSheetId="7">#REF!</definedName>
    <definedName name="__IRR1" localSheetId="10">#REF!</definedName>
    <definedName name="__IRR1" localSheetId="12">#REF!</definedName>
    <definedName name="__IRR1" localSheetId="2">#REF!</definedName>
    <definedName name="__IRR1" localSheetId="3">#REF!</definedName>
    <definedName name="__IRR1" localSheetId="4">#REF!</definedName>
    <definedName name="__IRR2" localSheetId="7">#REF!</definedName>
    <definedName name="__IRR2" localSheetId="10">#REF!</definedName>
    <definedName name="__IRR2" localSheetId="12">#REF!</definedName>
    <definedName name="__IRR2" localSheetId="2">#REF!</definedName>
    <definedName name="__IRR2" localSheetId="3">#REF!</definedName>
    <definedName name="__IRR2" localSheetId="4">#REF!</definedName>
    <definedName name="__IRR3" localSheetId="7">#REF!</definedName>
    <definedName name="__IRR3" localSheetId="10">#REF!</definedName>
    <definedName name="__IRR3" localSheetId="12">#REF!</definedName>
    <definedName name="__IRR3" localSheetId="2">#REF!</definedName>
    <definedName name="__IRR3" localSheetId="3">#REF!</definedName>
    <definedName name="__IRR3" localSheetId="4">#REF!</definedName>
    <definedName name="__IRR4" localSheetId="7">#REF!</definedName>
    <definedName name="__IRR4" localSheetId="10">#REF!</definedName>
    <definedName name="__IRR4" localSheetId="12">#REF!</definedName>
    <definedName name="__IRR4" localSheetId="2">#REF!</definedName>
    <definedName name="__IRR4" localSheetId="3">#REF!</definedName>
    <definedName name="__IRR4" localSheetId="4">#REF!</definedName>
    <definedName name="__IRR5" localSheetId="7">#REF!</definedName>
    <definedName name="__IRR5" localSheetId="10">#REF!</definedName>
    <definedName name="__IRR5" localSheetId="12">#REF!</definedName>
    <definedName name="__IRR5" localSheetId="2">#REF!</definedName>
    <definedName name="__IRR5" localSheetId="3">#REF!</definedName>
    <definedName name="__IRR5" localSheetId="4">#REF!</definedName>
    <definedName name="__IRR6" localSheetId="7">#REF!</definedName>
    <definedName name="__IRR6" localSheetId="10">#REF!</definedName>
    <definedName name="__IRR6" localSheetId="12">#REF!</definedName>
    <definedName name="__IRR6" localSheetId="2">#REF!</definedName>
    <definedName name="__IRR6" localSheetId="3">#REF!</definedName>
    <definedName name="__IRR6" localSheetId="4">#REF!</definedName>
    <definedName name="__IRR7" localSheetId="7">#REF!</definedName>
    <definedName name="__IRR7" localSheetId="10">#REF!</definedName>
    <definedName name="__IRR7" localSheetId="12">#REF!</definedName>
    <definedName name="__IRR7" localSheetId="2">#REF!</definedName>
    <definedName name="__IRR7" localSheetId="3">#REF!</definedName>
    <definedName name="__IRR7" localSheetId="4">#REF!</definedName>
    <definedName name="__OPW3">[1]OPW1!$A$7:$AR$52</definedName>
    <definedName name="__T01" localSheetId="7" hidden="1">#REF!</definedName>
    <definedName name="__T01" localSheetId="10" hidden="1">#REF!</definedName>
    <definedName name="__T01" localSheetId="12" hidden="1">#REF!</definedName>
    <definedName name="__T01" localSheetId="2" hidden="1">#REF!</definedName>
    <definedName name="__T01" localSheetId="3" hidden="1">#REF!</definedName>
    <definedName name="__T01" localSheetId="4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7">#REF!</definedName>
    <definedName name="__TLR410" localSheetId="10">#REF!</definedName>
    <definedName name="__TLR410" localSheetId="12">#REF!</definedName>
    <definedName name="__TLR410" localSheetId="2">#REF!</definedName>
    <definedName name="__TLR410" localSheetId="3">#REF!</definedName>
    <definedName name="__TLR410" localSheetId="4">#REF!</definedName>
    <definedName name="__TLR45" localSheetId="7">#REF!</definedName>
    <definedName name="__TLR45" localSheetId="10">#REF!</definedName>
    <definedName name="__TLR45" localSheetId="12">#REF!</definedName>
    <definedName name="__TLR45" localSheetId="2">#REF!</definedName>
    <definedName name="__TLR45" localSheetId="3">#REF!</definedName>
    <definedName name="__TLR45" localSheetId="4">#REF!</definedName>
    <definedName name="_a1" localSheetId="12" hidden="1">{"'Sheet1'!$L$16"}</definedName>
    <definedName name="_a2" localSheetId="12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7">#REF!</definedName>
    <definedName name="_ENP410" localSheetId="10">#REF!</definedName>
    <definedName name="_ENP410" localSheetId="12">#REF!</definedName>
    <definedName name="_ENP410" localSheetId="2">#REF!</definedName>
    <definedName name="_ENP410" localSheetId="3">#REF!</definedName>
    <definedName name="_ENP410" localSheetId="4">#REF!</definedName>
    <definedName name="_ENP45" localSheetId="7">#REF!</definedName>
    <definedName name="_ENP45" localSheetId="10">#REF!</definedName>
    <definedName name="_ENP45" localSheetId="12">#REF!</definedName>
    <definedName name="_ENP45" localSheetId="2">#REF!</definedName>
    <definedName name="_ENP45" localSheetId="3">#REF!</definedName>
    <definedName name="_ENP45" localSheetId="4">#REF!</definedName>
    <definedName name="_xlnm._FilterDatabase" localSheetId="17" hidden="1">'3.1 BD history'!$B$7:$X$1208</definedName>
    <definedName name="_xlnm._FilterDatabase" localSheetId="12" hidden="1">'4.0 BD old'!$B$6:$V$64</definedName>
    <definedName name="_xlnm._FilterDatabase" localSheetId="13" hidden="1">'4.1 BD Review'!$B$62:$S$1789</definedName>
    <definedName name="_xlnm._FilterDatabase" localSheetId="19" hidden="1">'4.1 New AG out-of profile by BD'!$B$36:$Z$107</definedName>
    <definedName name="_xlnm._FilterDatabase" localSheetId="22" hidden="1">'5.0 AG retention'!$A$5:$BB$51</definedName>
    <definedName name="_xlnm._FilterDatabase" localSheetId="18" hidden="1">'BD comment'!$C$7:$C$24</definedName>
    <definedName name="_xlnm._FilterDatabase" localSheetId="15" hidden="1">BDList!$A$1:$S$54</definedName>
    <definedName name="_xlnm._FilterDatabase" localSheetId="14" hidden="1">TargetTeam!$A$1456:$T$1552</definedName>
    <definedName name="_IRR1" localSheetId="7">#REF!</definedName>
    <definedName name="_IRR1" localSheetId="10">#REF!</definedName>
    <definedName name="_IRR1" localSheetId="12">#REF!</definedName>
    <definedName name="_IRR1" localSheetId="2">#REF!</definedName>
    <definedName name="_IRR1" localSheetId="3">#REF!</definedName>
    <definedName name="_IRR1" localSheetId="4">#REF!</definedName>
    <definedName name="_IRR2" localSheetId="7">#REF!</definedName>
    <definedName name="_IRR2" localSheetId="10">#REF!</definedName>
    <definedName name="_IRR2" localSheetId="12">#REF!</definedName>
    <definedName name="_IRR2" localSheetId="2">#REF!</definedName>
    <definedName name="_IRR2" localSheetId="3">#REF!</definedName>
    <definedName name="_IRR2" localSheetId="4">#REF!</definedName>
    <definedName name="_IRR3" localSheetId="7">#REF!</definedName>
    <definedName name="_IRR3" localSheetId="10">#REF!</definedName>
    <definedName name="_IRR3" localSheetId="12">#REF!</definedName>
    <definedName name="_IRR3" localSheetId="2">#REF!</definedName>
    <definedName name="_IRR3" localSheetId="3">#REF!</definedName>
    <definedName name="_IRR3" localSheetId="4">#REF!</definedName>
    <definedName name="_IRR4" localSheetId="7">#REF!</definedName>
    <definedName name="_IRR4" localSheetId="10">#REF!</definedName>
    <definedName name="_IRR4" localSheetId="12">#REF!</definedName>
    <definedName name="_IRR4" localSheetId="2">#REF!</definedName>
    <definedName name="_IRR4" localSheetId="3">#REF!</definedName>
    <definedName name="_IRR4" localSheetId="4">#REF!</definedName>
    <definedName name="_IRR5" localSheetId="7">#REF!</definedName>
    <definedName name="_IRR5" localSheetId="10">#REF!</definedName>
    <definedName name="_IRR5" localSheetId="12">#REF!</definedName>
    <definedName name="_IRR5" localSheetId="2">#REF!</definedName>
    <definedName name="_IRR5" localSheetId="3">#REF!</definedName>
    <definedName name="_IRR5" localSheetId="4">#REF!</definedName>
    <definedName name="_IRR6" localSheetId="7">#REF!</definedName>
    <definedName name="_IRR6" localSheetId="10">#REF!</definedName>
    <definedName name="_IRR6" localSheetId="12">#REF!</definedName>
    <definedName name="_IRR6" localSheetId="2">#REF!</definedName>
    <definedName name="_IRR6" localSheetId="3">#REF!</definedName>
    <definedName name="_IRR6" localSheetId="4">#REF!</definedName>
    <definedName name="_IRR7" localSheetId="7">#REF!</definedName>
    <definedName name="_IRR7" localSheetId="10">#REF!</definedName>
    <definedName name="_IRR7" localSheetId="12">#REF!</definedName>
    <definedName name="_IRR7" localSheetId="2">#REF!</definedName>
    <definedName name="_IRR7" localSheetId="3">#REF!</definedName>
    <definedName name="_IRR7" localSheetId="4">#REF!</definedName>
    <definedName name="_OPW3">[1]OPW1!$A$7:$AR$52</definedName>
    <definedName name="_Parse_In" localSheetId="7" hidden="1">#REF!</definedName>
    <definedName name="_Parse_In" localSheetId="10" hidden="1">#REF!</definedName>
    <definedName name="_Parse_In" localSheetId="12" hidden="1">#REF!</definedName>
    <definedName name="_Parse_In" localSheetId="2" hidden="1">#REF!</definedName>
    <definedName name="_Parse_In" localSheetId="3" hidden="1">#REF!</definedName>
    <definedName name="_Parse_In" localSheetId="4" hidden="1">#REF!</definedName>
    <definedName name="_Parse_In" localSheetId="5" hidden="1">#REF!</definedName>
    <definedName name="_Parse_Out" localSheetId="7" hidden="1">#REF!</definedName>
    <definedName name="_Parse_Out" localSheetId="10" hidden="1">#REF!</definedName>
    <definedName name="_Parse_Out" localSheetId="12" hidden="1">#REF!</definedName>
    <definedName name="_Parse_Out" localSheetId="2" hidden="1">#REF!</definedName>
    <definedName name="_Parse_Out" localSheetId="3" hidden="1">#REF!</definedName>
    <definedName name="_Parse_Out" localSheetId="4" hidden="1">#REF!</definedName>
    <definedName name="_Parse_Out" localSheetId="5" hidden="1">#REF!</definedName>
    <definedName name="_T01" localSheetId="7" hidden="1">#REF!</definedName>
    <definedName name="_T01" localSheetId="10" hidden="1">#REF!</definedName>
    <definedName name="_T01" localSheetId="12" hidden="1">#REF!</definedName>
    <definedName name="_T01" localSheetId="2" hidden="1">#REF!</definedName>
    <definedName name="_T01" localSheetId="3" hidden="1">#REF!</definedName>
    <definedName name="_T01" localSheetId="4" hidden="1">#REF!</definedName>
    <definedName name="_T01" localSheetId="5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7">#REF!</definedName>
    <definedName name="_TLR410" localSheetId="10">#REF!</definedName>
    <definedName name="_TLR410" localSheetId="12">#REF!</definedName>
    <definedName name="_TLR410" localSheetId="2">#REF!</definedName>
    <definedName name="_TLR410" localSheetId="3">#REF!</definedName>
    <definedName name="_TLR410" localSheetId="4">#REF!</definedName>
    <definedName name="_TLR45" localSheetId="7">#REF!</definedName>
    <definedName name="_TLR45" localSheetId="10">#REF!</definedName>
    <definedName name="_TLR45" localSheetId="12">#REF!</definedName>
    <definedName name="_TLR45" localSheetId="2">#REF!</definedName>
    <definedName name="_TLR45" localSheetId="3">#REF!</definedName>
    <definedName name="_TLR45" localSheetId="4">#REF!</definedName>
    <definedName name="abc">#REF!</definedName>
    <definedName name="ADBprm" localSheetId="7">#REF!</definedName>
    <definedName name="ADBprm" localSheetId="10">#REF!</definedName>
    <definedName name="ADBprm" localSheetId="12">#REF!</definedName>
    <definedName name="ADBprm" localSheetId="2">#REF!</definedName>
    <definedName name="ADBprm" localSheetId="3">#REF!</definedName>
    <definedName name="ADBprm" localSheetId="4">#REF!</definedName>
    <definedName name="ADBrate" localSheetId="7">#REF!</definedName>
    <definedName name="ADBrate" localSheetId="10">#REF!</definedName>
    <definedName name="ADBrate" localSheetId="12">#REF!</definedName>
    <definedName name="ADBrate" localSheetId="2">#REF!</definedName>
    <definedName name="ADBrate" localSheetId="3">#REF!</definedName>
    <definedName name="ADBrate" localSheetId="4">#REF!</definedName>
    <definedName name="adbSA" localSheetId="7">#REF!</definedName>
    <definedName name="adbSA" localSheetId="10">#REF!</definedName>
    <definedName name="adbSA" localSheetId="12">#REF!</definedName>
    <definedName name="adbSA" localSheetId="2">#REF!</definedName>
    <definedName name="adbSA" localSheetId="3">#REF!</definedName>
    <definedName name="adbSA" localSheetId="4">#REF!</definedName>
    <definedName name="ADDprm" localSheetId="7">#REF!</definedName>
    <definedName name="ADDprm" localSheetId="10">#REF!</definedName>
    <definedName name="ADDprm" localSheetId="12">#REF!</definedName>
    <definedName name="ADDprm" localSheetId="2">#REF!</definedName>
    <definedName name="ADDprm" localSheetId="3">#REF!</definedName>
    <definedName name="ADDprm" localSheetId="4">#REF!</definedName>
    <definedName name="ADDrate" localSheetId="7">#REF!</definedName>
    <definedName name="ADDrate" localSheetId="10">#REF!</definedName>
    <definedName name="ADDrate" localSheetId="12">#REF!</definedName>
    <definedName name="ADDrate" localSheetId="2">#REF!</definedName>
    <definedName name="ADDrate" localSheetId="3">#REF!</definedName>
    <definedName name="ADDrate" localSheetId="4">#REF!</definedName>
    <definedName name="addSA" localSheetId="7">#REF!</definedName>
    <definedName name="addSA" localSheetId="10">#REF!</definedName>
    <definedName name="addSA" localSheetId="12">#REF!</definedName>
    <definedName name="addSA" localSheetId="2">#REF!</definedName>
    <definedName name="addSA" localSheetId="3">#REF!</definedName>
    <definedName name="addSA" localSheetId="4">#REF!</definedName>
    <definedName name="adfa" localSheetId="12">#REF!</definedName>
    <definedName name="adfa" localSheetId="2">#REF!</definedName>
    <definedName name="adfa" localSheetId="3">#REF!</definedName>
    <definedName name="adfa" localSheetId="4">#REF!</definedName>
    <definedName name="age" localSheetId="7">#REF!</definedName>
    <definedName name="age" localSheetId="10">#REF!</definedName>
    <definedName name="age" localSheetId="12">#REF!</definedName>
    <definedName name="age" localSheetId="2">#REF!</definedName>
    <definedName name="age" localSheetId="3">#REF!</definedName>
    <definedName name="age" localSheetId="4">#REF!</definedName>
    <definedName name="asd" localSheetId="7" hidden="1">#REF!</definedName>
    <definedName name="asd" localSheetId="10" hidden="1">#REF!</definedName>
    <definedName name="asd" localSheetId="12" hidden="1">#REF!</definedName>
    <definedName name="asd" localSheetId="2" hidden="1">#REF!</definedName>
    <definedName name="asd" localSheetId="3" hidden="1">#REF!</definedName>
    <definedName name="asd" localSheetId="4" hidden="1">#REF!</definedName>
    <definedName name="bbbb" localSheetId="7" hidden="1">#REF!</definedName>
    <definedName name="bbbb" localSheetId="10" hidden="1">#REF!</definedName>
    <definedName name="bbbb" localSheetId="12" hidden="1">#REF!</definedName>
    <definedName name="bbbb" localSheetId="2" hidden="1">#REF!</definedName>
    <definedName name="bbbb" localSheetId="3" hidden="1">#REF!</definedName>
    <definedName name="bbbb" localSheetId="4" hidden="1">#REF!</definedName>
    <definedName name="BDName">BDList!$A$2:$A$69</definedName>
    <definedName name="BPprm" localSheetId="7">#REF!</definedName>
    <definedName name="BPprm" localSheetId="10">#REF!</definedName>
    <definedName name="BPprm" localSheetId="12">#REF!</definedName>
    <definedName name="BPprm" localSheetId="2">#REF!</definedName>
    <definedName name="BPprm" localSheetId="3">#REF!</definedName>
    <definedName name="BPprm" localSheetId="4">#REF!</definedName>
    <definedName name="BPT" localSheetId="7">#REF!</definedName>
    <definedName name="BPT" localSheetId="10">#REF!</definedName>
    <definedName name="BPT" localSheetId="12">#REF!</definedName>
    <definedName name="BPT" localSheetId="2">#REF!</definedName>
    <definedName name="BPT" localSheetId="3">#REF!</definedName>
    <definedName name="BPT" localSheetId="4">#REF!</definedName>
    <definedName name="CIR1M">[1]CIR1!$A$6:$AA$38</definedName>
    <definedName name="cirage">#REF!</definedName>
    <definedName name="cirE" localSheetId="7">#REF!</definedName>
    <definedName name="cirE" localSheetId="10">#REF!</definedName>
    <definedName name="cirE" localSheetId="12">#REF!</definedName>
    <definedName name="cirE" localSheetId="2">#REF!</definedName>
    <definedName name="cirE" localSheetId="3">#REF!</definedName>
    <definedName name="cirE" localSheetId="4">#REF!</definedName>
    <definedName name="cirM" localSheetId="7">#REF!</definedName>
    <definedName name="cirM" localSheetId="10">#REF!</definedName>
    <definedName name="cirM" localSheetId="12">#REF!</definedName>
    <definedName name="cirM" localSheetId="2">#REF!</definedName>
    <definedName name="cirM" localSheetId="3">#REF!</definedName>
    <definedName name="cirM" localSheetId="4">#REF!</definedName>
    <definedName name="cirP" localSheetId="7">#REF!</definedName>
    <definedName name="cirP" localSheetId="10">#REF!</definedName>
    <definedName name="cirP" localSheetId="12">#REF!</definedName>
    <definedName name="cirP" localSheetId="2">#REF!</definedName>
    <definedName name="cirP" localSheetId="3">#REF!</definedName>
    <definedName name="cirP" localSheetId="4">#REF!</definedName>
    <definedName name="CIRprm" localSheetId="7">#REF!</definedName>
    <definedName name="CIRprm" localSheetId="10">#REF!</definedName>
    <definedName name="CIRprm" localSheetId="12">#REF!</definedName>
    <definedName name="CIRprm" localSheetId="2">#REF!</definedName>
    <definedName name="CIRprm" localSheetId="3">#REF!</definedName>
    <definedName name="CIRprm" localSheetId="4">#REF!</definedName>
    <definedName name="cirSA" localSheetId="7">#REF!</definedName>
    <definedName name="cirSA" localSheetId="10">#REF!</definedName>
    <definedName name="cirSA" localSheetId="12">#REF!</definedName>
    <definedName name="cirSA" localSheetId="2">#REF!</definedName>
    <definedName name="cirSA" localSheetId="3">#REF!</definedName>
    <definedName name="cirSA" localSheetId="4">#REF!</definedName>
    <definedName name="CIRstdprm" localSheetId="7">#REF!</definedName>
    <definedName name="CIRstdprm" localSheetId="10">#REF!</definedName>
    <definedName name="CIRstdprm" localSheetId="12">#REF!</definedName>
    <definedName name="CIRstdprm" localSheetId="2">#REF!</definedName>
    <definedName name="CIRstdprm" localSheetId="3">#REF!</definedName>
    <definedName name="CIRstdprm" localSheetId="4">#REF!</definedName>
    <definedName name="CIRterm" localSheetId="7">#REF!</definedName>
    <definedName name="CIRterm" localSheetId="10">#REF!</definedName>
    <definedName name="CIRterm" localSheetId="12">#REF!</definedName>
    <definedName name="CIRterm" localSheetId="2">#REF!</definedName>
    <definedName name="CIRterm" localSheetId="3">#REF!</definedName>
    <definedName name="CIRterm" localSheetId="4">#REF!</definedName>
    <definedName name="ciwage" localSheetId="7">#REF!</definedName>
    <definedName name="ciwage" localSheetId="10">#REF!</definedName>
    <definedName name="ciwage" localSheetId="12">#REF!</definedName>
    <definedName name="ciwage" localSheetId="2">#REF!</definedName>
    <definedName name="ciwage" localSheetId="3">#REF!</definedName>
    <definedName name="ciwage" localSheetId="4">#REF!</definedName>
    <definedName name="ciwE" localSheetId="7">#REF!</definedName>
    <definedName name="ciwE" localSheetId="10">#REF!</definedName>
    <definedName name="ciwE" localSheetId="12">#REF!</definedName>
    <definedName name="ciwE" localSheetId="2">#REF!</definedName>
    <definedName name="ciwE" localSheetId="3">#REF!</definedName>
    <definedName name="ciwE" localSheetId="4">#REF!</definedName>
    <definedName name="ciwM" localSheetId="7">#REF!</definedName>
    <definedName name="ciwM" localSheetId="10">#REF!</definedName>
    <definedName name="ciwM" localSheetId="12">#REF!</definedName>
    <definedName name="ciwM" localSheetId="2">#REF!</definedName>
    <definedName name="ciwM" localSheetId="3">#REF!</definedName>
    <definedName name="ciwM" localSheetId="4">#REF!</definedName>
    <definedName name="ciwP" localSheetId="7">#REF!</definedName>
    <definedName name="ciwP" localSheetId="10">#REF!</definedName>
    <definedName name="ciwP" localSheetId="12">#REF!</definedName>
    <definedName name="ciwP" localSheetId="2">#REF!</definedName>
    <definedName name="ciwP" localSheetId="3">#REF!</definedName>
    <definedName name="ciwP" localSheetId="4">#REF!</definedName>
    <definedName name="ciwSA" localSheetId="7">#REF!</definedName>
    <definedName name="ciwSA" localSheetId="10">#REF!</definedName>
    <definedName name="ciwSA" localSheetId="12">#REF!</definedName>
    <definedName name="ciwSA" localSheetId="2">#REF!</definedName>
    <definedName name="ciwSA" localSheetId="3">#REF!</definedName>
    <definedName name="ciwSA" localSheetId="4">#REF!</definedName>
    <definedName name="CIWstdprm" localSheetId="7">#REF!</definedName>
    <definedName name="CIWstdprm" localSheetId="10">#REF!</definedName>
    <definedName name="CIWstdprm" localSheetId="12">#REF!</definedName>
    <definedName name="CIWstdprm" localSheetId="2">#REF!</definedName>
    <definedName name="CIWstdprm" localSheetId="3">#REF!</definedName>
    <definedName name="CIWstdprm" localSheetId="4">#REF!</definedName>
    <definedName name="CIWterm" localSheetId="7">#REF!</definedName>
    <definedName name="CIWterm" localSheetId="10">#REF!</definedName>
    <definedName name="CIWterm" localSheetId="12">#REF!</definedName>
    <definedName name="CIWterm" localSheetId="2">#REF!</definedName>
    <definedName name="CIWterm" localSheetId="3">#REF!</definedName>
    <definedName name="CIWterm" localSheetId="4">#REF!</definedName>
    <definedName name="d" localSheetId="7">#REF!</definedName>
    <definedName name="d" localSheetId="10">#REF!</definedName>
    <definedName name="d" localSheetId="12">#REF!</definedName>
    <definedName name="d" localSheetId="2">#REF!</definedName>
    <definedName name="d" localSheetId="3">#REF!</definedName>
    <definedName name="d" localSheetId="4">#REF!</definedName>
    <definedName name="def" localSheetId="7">#REF!</definedName>
    <definedName name="def" localSheetId="10">#REF!</definedName>
    <definedName name="def" localSheetId="12">#REF!</definedName>
    <definedName name="def" localSheetId="2">#REF!</definedName>
    <definedName name="def" localSheetId="3">#REF!</definedName>
    <definedName name="def" localSheetId="4">#REF!</definedName>
    <definedName name="dfad" localSheetId="12">#REF!</definedName>
    <definedName name="dfad" localSheetId="2">#REF!</definedName>
    <definedName name="dfad" localSheetId="3">#REF!</definedName>
    <definedName name="dfad" localSheetId="4">#REF!</definedName>
    <definedName name="DSR">[1]DSR2!$A$6:$AR$48</definedName>
    <definedName name="E">#REF!</definedName>
    <definedName name="Eage" localSheetId="7">#REF!</definedName>
    <definedName name="Eage" localSheetId="10">#REF!</definedName>
    <definedName name="Eage" localSheetId="12">#REF!</definedName>
    <definedName name="Eage" localSheetId="2">#REF!</definedName>
    <definedName name="Eage" localSheetId="3">#REF!</definedName>
    <definedName name="Eage" localSheetId="4">#REF!</definedName>
    <definedName name="EENP2">[1]EENP2!$A$7:$AA$72</definedName>
    <definedName name="Eexrate">#REF!</definedName>
    <definedName name="EMS1X" localSheetId="7">#REF!</definedName>
    <definedName name="EMS1X" localSheetId="10">#REF!</definedName>
    <definedName name="EMS1X" localSheetId="12">#REF!</definedName>
    <definedName name="EMS1X" localSheetId="2">#REF!</definedName>
    <definedName name="EMS1X" localSheetId="3">#REF!</definedName>
    <definedName name="EMS1X" localSheetId="4">#REF!</definedName>
    <definedName name="EPE" localSheetId="7">#REF!</definedName>
    <definedName name="EPE" localSheetId="10">#REF!</definedName>
    <definedName name="EPE" localSheetId="12">#REF!</definedName>
    <definedName name="EPE" localSheetId="2">#REF!</definedName>
    <definedName name="EPE" localSheetId="3">#REF!</definedName>
    <definedName name="EPE" localSheetId="4">#REF!</definedName>
    <definedName name="EPM" localSheetId="7">#REF!</definedName>
    <definedName name="EPM" localSheetId="10">#REF!</definedName>
    <definedName name="EPM" localSheetId="12">#REF!</definedName>
    <definedName name="EPM" localSheetId="2">#REF!</definedName>
    <definedName name="EPM" localSheetId="3">#REF!</definedName>
    <definedName name="EPM" localSheetId="4">#REF!</definedName>
    <definedName name="EPP" localSheetId="7">#REF!</definedName>
    <definedName name="EPP" localSheetId="10">#REF!</definedName>
    <definedName name="EPP" localSheetId="12">#REF!</definedName>
    <definedName name="EPP" localSheetId="2">#REF!</definedName>
    <definedName name="EPP" localSheetId="3">#REF!</definedName>
    <definedName name="EPP" localSheetId="4">#REF!</definedName>
    <definedName name="EPPE" localSheetId="7">#REF!</definedName>
    <definedName name="EPPE" localSheetId="10">#REF!</definedName>
    <definedName name="EPPE" localSheetId="12">#REF!</definedName>
    <definedName name="EPPE" localSheetId="2">#REF!</definedName>
    <definedName name="EPPE" localSheetId="3">#REF!</definedName>
    <definedName name="EPPE" localSheetId="4">#REF!</definedName>
    <definedName name="EPPM" localSheetId="7">#REF!</definedName>
    <definedName name="EPPM" localSheetId="10">#REF!</definedName>
    <definedName name="EPPM" localSheetId="12">#REF!</definedName>
    <definedName name="EPPM" localSheetId="2">#REF!</definedName>
    <definedName name="EPPM" localSheetId="3">#REF!</definedName>
    <definedName name="EPPM" localSheetId="4">#REF!</definedName>
    <definedName name="EPPP" localSheetId="7">#REF!</definedName>
    <definedName name="EPPP" localSheetId="10">#REF!</definedName>
    <definedName name="EPPP" localSheetId="12">#REF!</definedName>
    <definedName name="EPPP" localSheetId="2">#REF!</definedName>
    <definedName name="EPPP" localSheetId="3">#REF!</definedName>
    <definedName name="EPPP" localSheetId="4">#REF!</definedName>
    <definedName name="eSA" localSheetId="7">#REF!</definedName>
    <definedName name="eSA" localSheetId="10">#REF!</definedName>
    <definedName name="eSA" localSheetId="12">#REF!</definedName>
    <definedName name="eSA" localSheetId="2">#REF!</definedName>
    <definedName name="eSA" localSheetId="3">#REF!</definedName>
    <definedName name="eSA" localSheetId="4">#REF!</definedName>
    <definedName name="Esex" localSheetId="7">#REF!</definedName>
    <definedName name="Esex" localSheetId="10">#REF!</definedName>
    <definedName name="Esex" localSheetId="12">#REF!</definedName>
    <definedName name="Esex" localSheetId="2">#REF!</definedName>
    <definedName name="Esex" localSheetId="3">#REF!</definedName>
    <definedName name="Esex" localSheetId="4">#REF!</definedName>
    <definedName name="Eterm" localSheetId="7">#REF!</definedName>
    <definedName name="Eterm" localSheetId="10">#REF!</definedName>
    <definedName name="Eterm" localSheetId="12">#REF!</definedName>
    <definedName name="Eterm" localSheetId="2">#REF!</definedName>
    <definedName name="Eterm" localSheetId="3">#REF!</definedName>
    <definedName name="Eterm" localSheetId="4">#REF!</definedName>
    <definedName name="Etpdrate" localSheetId="7">#REF!</definedName>
    <definedName name="Etpdrate" localSheetId="10">#REF!</definedName>
    <definedName name="Etpdrate" localSheetId="12">#REF!</definedName>
    <definedName name="Etpdrate" localSheetId="2">#REF!</definedName>
    <definedName name="Etpdrate" localSheetId="3">#REF!</definedName>
    <definedName name="Etpdrate" localSheetId="4">#REF!</definedName>
    <definedName name="EW" localSheetId="7">#REF!</definedName>
    <definedName name="EW" localSheetId="10">#REF!</definedName>
    <definedName name="EW" localSheetId="12">#REF!</definedName>
    <definedName name="EW" localSheetId="2">#REF!</definedName>
    <definedName name="EW" localSheetId="3">#REF!</definedName>
    <definedName name="EW" localSheetId="4">#REF!</definedName>
    <definedName name="exrate" localSheetId="7">#REF!</definedName>
    <definedName name="exrate" localSheetId="10">#REF!</definedName>
    <definedName name="exrate" localSheetId="12">#REF!</definedName>
    <definedName name="exrate" localSheetId="2">#REF!</definedName>
    <definedName name="exrate" localSheetId="3">#REF!</definedName>
    <definedName name="exrate" localSheetId="4">#REF!</definedName>
    <definedName name="FC" localSheetId="7">#REF!</definedName>
    <definedName name="FC" localSheetId="10">#REF!</definedName>
    <definedName name="FC" localSheetId="12">#REF!</definedName>
    <definedName name="FC" localSheetId="2">#REF!</definedName>
    <definedName name="FC" localSheetId="3">#REF!</definedName>
    <definedName name="FC" localSheetId="4">#REF!</definedName>
    <definedName name="FCRage" localSheetId="7">#REF!</definedName>
    <definedName name="FCRage" localSheetId="10">#REF!</definedName>
    <definedName name="FCRage" localSheetId="12">#REF!</definedName>
    <definedName name="FCRage" localSheetId="2">#REF!</definedName>
    <definedName name="FCRage" localSheetId="3">#REF!</definedName>
    <definedName name="FCRage" localSheetId="4">#REF!</definedName>
    <definedName name="fcrE" localSheetId="7">#REF!</definedName>
    <definedName name="fcrE" localSheetId="10">#REF!</definedName>
    <definedName name="fcrE" localSheetId="12">#REF!</definedName>
    <definedName name="fcrE" localSheetId="2">#REF!</definedName>
    <definedName name="fcrE" localSheetId="3">#REF!</definedName>
    <definedName name="fcrE" localSheetId="4">#REF!</definedName>
    <definedName name="FCRexrate" localSheetId="7">#REF!</definedName>
    <definedName name="FCRexrate" localSheetId="10">#REF!</definedName>
    <definedName name="FCRexrate" localSheetId="12">#REF!</definedName>
    <definedName name="FCRexrate" localSheetId="2">#REF!</definedName>
    <definedName name="FCRexrate" localSheetId="3">#REF!</definedName>
    <definedName name="FCRexrate" localSheetId="4">#REF!</definedName>
    <definedName name="FCRprm" localSheetId="7">#REF!</definedName>
    <definedName name="FCRprm" localSheetId="10">#REF!</definedName>
    <definedName name="FCRprm" localSheetId="12">#REF!</definedName>
    <definedName name="FCRprm" localSheetId="2">#REF!</definedName>
    <definedName name="FCRprm" localSheetId="3">#REF!</definedName>
    <definedName name="FCRprm" localSheetId="4">#REF!</definedName>
    <definedName name="fcrSA" localSheetId="7">#REF!</definedName>
    <definedName name="fcrSA" localSheetId="10">#REF!</definedName>
    <definedName name="fcrSA" localSheetId="12">#REF!</definedName>
    <definedName name="fcrSA" localSheetId="2">#REF!</definedName>
    <definedName name="fcrSA" localSheetId="3">#REF!</definedName>
    <definedName name="fcrSA" localSheetId="4">#REF!</definedName>
    <definedName name="FCRterm" localSheetId="7">#REF!</definedName>
    <definedName name="FCRterm" localSheetId="10">#REF!</definedName>
    <definedName name="FCRterm" localSheetId="12">#REF!</definedName>
    <definedName name="FCRterm" localSheetId="2">#REF!</definedName>
    <definedName name="FCRterm" localSheetId="3">#REF!</definedName>
    <definedName name="FCRterm" localSheetId="4">#REF!</definedName>
    <definedName name="freq" localSheetId="7">#REF!</definedName>
    <definedName name="freq" localSheetId="10">#REF!</definedName>
    <definedName name="freq" localSheetId="12">#REF!</definedName>
    <definedName name="freq" localSheetId="2">#REF!</definedName>
    <definedName name="freq" localSheetId="3">#REF!</definedName>
    <definedName name="freq" localSheetId="4">#REF!</definedName>
    <definedName name="freqfac" localSheetId="7">#REF!</definedName>
    <definedName name="freqfac" localSheetId="10">#REF!</definedName>
    <definedName name="freqfac" localSheetId="12">#REF!</definedName>
    <definedName name="freqfac" localSheetId="2">#REF!</definedName>
    <definedName name="freqfac" localSheetId="3">#REF!</definedName>
    <definedName name="freqfac" localSheetId="4">#REF!</definedName>
    <definedName name="FS" localSheetId="7">#REF!</definedName>
    <definedName name="FS" localSheetId="10">#REF!</definedName>
    <definedName name="FS" localSheetId="12">#REF!</definedName>
    <definedName name="FS" localSheetId="2">#REF!</definedName>
    <definedName name="FS" localSheetId="3">#REF!</definedName>
    <definedName name="FS" localSheetId="4">#REF!</definedName>
    <definedName name="FSRage" localSheetId="7">#REF!</definedName>
    <definedName name="FSRage" localSheetId="10">#REF!</definedName>
    <definedName name="FSRage" localSheetId="12">#REF!</definedName>
    <definedName name="FSRage" localSheetId="2">#REF!</definedName>
    <definedName name="FSRage" localSheetId="3">#REF!</definedName>
    <definedName name="FSRage" localSheetId="4">#REF!</definedName>
    <definedName name="fsrE" localSheetId="7">#REF!</definedName>
    <definedName name="fsrE" localSheetId="10">#REF!</definedName>
    <definedName name="fsrE" localSheetId="12">#REF!</definedName>
    <definedName name="fsrE" localSheetId="2">#REF!</definedName>
    <definedName name="fsrE" localSheetId="3">#REF!</definedName>
    <definedName name="fsrE" localSheetId="4">#REF!</definedName>
    <definedName name="FSRexrate" localSheetId="7">#REF!</definedName>
    <definedName name="FSRexrate" localSheetId="10">#REF!</definedName>
    <definedName name="FSRexrate" localSheetId="12">#REF!</definedName>
    <definedName name="FSRexrate" localSheetId="2">#REF!</definedName>
    <definedName name="FSRexrate" localSheetId="3">#REF!</definedName>
    <definedName name="FSRexrate" localSheetId="4">#REF!</definedName>
    <definedName name="FSRprm" localSheetId="7">#REF!</definedName>
    <definedName name="FSRprm" localSheetId="10">#REF!</definedName>
    <definedName name="FSRprm" localSheetId="12">#REF!</definedName>
    <definedName name="FSRprm" localSheetId="2">#REF!</definedName>
    <definedName name="FSRprm" localSheetId="3">#REF!</definedName>
    <definedName name="FSRprm" localSheetId="4">#REF!</definedName>
    <definedName name="fsrSA" localSheetId="7">#REF!</definedName>
    <definedName name="fsrSA" localSheetId="10">#REF!</definedName>
    <definedName name="fsrSA" localSheetId="12">#REF!</definedName>
    <definedName name="fsrSA" localSheetId="2">#REF!</definedName>
    <definedName name="fsrSA" localSheetId="3">#REF!</definedName>
    <definedName name="fsrSA" localSheetId="4">#REF!</definedName>
    <definedName name="FSRterm" localSheetId="7">#REF!</definedName>
    <definedName name="FSRterm" localSheetId="10">#REF!</definedName>
    <definedName name="FSRterm" localSheetId="12">#REF!</definedName>
    <definedName name="FSRterm" localSheetId="2">#REF!</definedName>
    <definedName name="FSRterm" localSheetId="3">#REF!</definedName>
    <definedName name="FSRterm" localSheetId="4">#REF!</definedName>
    <definedName name="GA" localSheetId="7" hidden="1">#REF!</definedName>
    <definedName name="GA" localSheetId="10" hidden="1">#REF!</definedName>
    <definedName name="GA" localSheetId="12" hidden="1">#REF!</definedName>
    <definedName name="GA" localSheetId="2" hidden="1">#REF!</definedName>
    <definedName name="GA" localSheetId="3" hidden="1">#REF!</definedName>
    <definedName name="GA" localSheetId="4" hidden="1">#REF!</definedName>
    <definedName name="Head" localSheetId="13">[4]Data!$C$3:$C$5</definedName>
    <definedName name="HSage" localSheetId="7">#REF!</definedName>
    <definedName name="HSage" localSheetId="10">#REF!</definedName>
    <definedName name="HSage" localSheetId="12">#REF!</definedName>
    <definedName name="HSage" localSheetId="2">#REF!</definedName>
    <definedName name="HSage" localSheetId="3">#REF!</definedName>
    <definedName name="HSage" localSheetId="4">#REF!</definedName>
    <definedName name="hsSA" localSheetId="7">#REF!</definedName>
    <definedName name="hsSA" localSheetId="10">#REF!</definedName>
    <definedName name="hsSA" localSheetId="12">#REF!</definedName>
    <definedName name="hsSA" localSheetId="2">#REF!</definedName>
    <definedName name="hsSA" localSheetId="3">#REF!</definedName>
    <definedName name="hsSA" localSheetId="4">#REF!</definedName>
    <definedName name="HSterm" localSheetId="7">#REF!</definedName>
    <definedName name="HSterm" localSheetId="10">#REF!</definedName>
    <definedName name="HSterm" localSheetId="12">#REF!</definedName>
    <definedName name="HSterm" localSheetId="2">#REF!</definedName>
    <definedName name="HSterm" localSheetId="3">#REF!</definedName>
    <definedName name="HSterm" localSheetId="4">#REF!</definedName>
    <definedName name="LTRage">#REF!</definedName>
    <definedName name="ltrE" localSheetId="7">#REF!</definedName>
    <definedName name="ltrE" localSheetId="10">#REF!</definedName>
    <definedName name="ltrE" localSheetId="12">#REF!</definedName>
    <definedName name="ltrE" localSheetId="2">#REF!</definedName>
    <definedName name="ltrE" localSheetId="3">#REF!</definedName>
    <definedName name="ltrE" localSheetId="4">#REF!</definedName>
    <definedName name="LTRexrate" localSheetId="7">#REF!</definedName>
    <definedName name="LTRexrate" localSheetId="10">#REF!</definedName>
    <definedName name="LTRexrate" localSheetId="12">#REF!</definedName>
    <definedName name="LTRexrate" localSheetId="2">#REF!</definedName>
    <definedName name="LTRexrate" localSheetId="3">#REF!</definedName>
    <definedName name="LTRexrate" localSheetId="4">#REF!</definedName>
    <definedName name="ltrM" localSheetId="7">#REF!</definedName>
    <definedName name="ltrM" localSheetId="10">#REF!</definedName>
    <definedName name="ltrM" localSheetId="12">#REF!</definedName>
    <definedName name="ltrM" localSheetId="2">#REF!</definedName>
    <definedName name="ltrM" localSheetId="3">#REF!</definedName>
    <definedName name="ltrM" localSheetId="4">#REF!</definedName>
    <definedName name="ltrP" localSheetId="7">#REF!</definedName>
    <definedName name="ltrP" localSheetId="10">#REF!</definedName>
    <definedName name="ltrP" localSheetId="12">#REF!</definedName>
    <definedName name="ltrP" localSheetId="2">#REF!</definedName>
    <definedName name="ltrP" localSheetId="3">#REF!</definedName>
    <definedName name="ltrP" localSheetId="4">#REF!</definedName>
    <definedName name="ltrPE" localSheetId="7">#REF!</definedName>
    <definedName name="ltrPE" localSheetId="10">#REF!</definedName>
    <definedName name="ltrPE" localSheetId="12">#REF!</definedName>
    <definedName name="ltrPE" localSheetId="2">#REF!</definedName>
    <definedName name="ltrPE" localSheetId="3">#REF!</definedName>
    <definedName name="ltrPE" localSheetId="4">#REF!</definedName>
    <definedName name="ltrPM" localSheetId="7">#REF!</definedName>
    <definedName name="ltrPM" localSheetId="10">#REF!</definedName>
    <definedName name="ltrPM" localSheetId="12">#REF!</definedName>
    <definedName name="ltrPM" localSheetId="2">#REF!</definedName>
    <definedName name="ltrPM" localSheetId="3">#REF!</definedName>
    <definedName name="ltrPM" localSheetId="4">#REF!</definedName>
    <definedName name="ltrPP" localSheetId="7">#REF!</definedName>
    <definedName name="ltrPP" localSheetId="10">#REF!</definedName>
    <definedName name="ltrPP" localSheetId="12">#REF!</definedName>
    <definedName name="ltrPP" localSheetId="2">#REF!</definedName>
    <definedName name="ltrPP" localSheetId="3">#REF!</definedName>
    <definedName name="ltrPP" localSheetId="4">#REF!</definedName>
    <definedName name="LTRprm" localSheetId="7">#REF!</definedName>
    <definedName name="LTRprm" localSheetId="10">#REF!</definedName>
    <definedName name="LTRprm" localSheetId="12">#REF!</definedName>
    <definedName name="LTRprm" localSheetId="2">#REF!</definedName>
    <definedName name="LTRprm" localSheetId="3">#REF!</definedName>
    <definedName name="LTRprm" localSheetId="4">#REF!</definedName>
    <definedName name="ltrSA" localSheetId="7">#REF!</definedName>
    <definedName name="ltrSA" localSheetId="10">#REF!</definedName>
    <definedName name="ltrSA" localSheetId="12">#REF!</definedName>
    <definedName name="ltrSA" localSheetId="2">#REF!</definedName>
    <definedName name="ltrSA" localSheetId="3">#REF!</definedName>
    <definedName name="ltrSA" localSheetId="4">#REF!</definedName>
    <definedName name="LTRterm" localSheetId="7">#REF!</definedName>
    <definedName name="LTRterm" localSheetId="10">#REF!</definedName>
    <definedName name="LTRterm" localSheetId="12">#REF!</definedName>
    <definedName name="LTRterm" localSheetId="2">#REF!</definedName>
    <definedName name="LTRterm" localSheetId="3">#REF!</definedName>
    <definedName name="LTRterm" localSheetId="4">#REF!</definedName>
    <definedName name="LTRtpdrate" localSheetId="7">#REF!</definedName>
    <definedName name="LTRtpdrate" localSheetId="10">#REF!</definedName>
    <definedName name="LTRtpdrate" localSheetId="12">#REF!</definedName>
    <definedName name="LTRtpdrate" localSheetId="2">#REF!</definedName>
    <definedName name="LTRtpdrate" localSheetId="3">#REF!</definedName>
    <definedName name="LTRtpdrate" localSheetId="4">#REF!</definedName>
    <definedName name="M" localSheetId="7">#REF!</definedName>
    <definedName name="M" localSheetId="10">#REF!</definedName>
    <definedName name="M" localSheetId="12">#REF!</definedName>
    <definedName name="M" localSheetId="2">#REF!</definedName>
    <definedName name="M" localSheetId="3">#REF!</definedName>
    <definedName name="M" localSheetId="4">#REF!</definedName>
    <definedName name="MORTF">'[1]Mort Fac'!$B$4:$D$30</definedName>
    <definedName name="Noi_RDMs">#REF!</definedName>
    <definedName name="Number_Orphan_RDMs" localSheetId="7">#REF!</definedName>
    <definedName name="Number_Orphan_RDMs" localSheetId="10">#REF!</definedName>
    <definedName name="Number_Orphan_RDMs" localSheetId="12">#REF!</definedName>
    <definedName name="Number_Orphan_RDMs" localSheetId="2">#REF!</definedName>
    <definedName name="Number_Orphan_RDMs" localSheetId="3">#REF!</definedName>
    <definedName name="Number_Orphan_RDMs" localSheetId="4">#REF!</definedName>
    <definedName name="occlass" localSheetId="7">#REF!</definedName>
    <definedName name="occlass" localSheetId="10">#REF!</definedName>
    <definedName name="occlass" localSheetId="12">#REF!</definedName>
    <definedName name="occlass" localSheetId="2">#REF!</definedName>
    <definedName name="occlass" localSheetId="3">#REF!</definedName>
    <definedName name="occlass" localSheetId="4">#REF!</definedName>
    <definedName name="OPW2M">[1]OPW2!$A$6:$AA$38</definedName>
    <definedName name="OPW3X">#REF!</definedName>
    <definedName name="P" localSheetId="7">#REF!</definedName>
    <definedName name="P" localSheetId="10">#REF!</definedName>
    <definedName name="P" localSheetId="12">#REF!</definedName>
    <definedName name="P" localSheetId="2">#REF!</definedName>
    <definedName name="P" localSheetId="3">#REF!</definedName>
    <definedName name="P" localSheetId="4">#REF!</definedName>
    <definedName name="Page" localSheetId="7">#REF!</definedName>
    <definedName name="Page" localSheetId="10">#REF!</definedName>
    <definedName name="Page" localSheetId="12">#REF!</definedName>
    <definedName name="Page" localSheetId="2">#REF!</definedName>
    <definedName name="Page" localSheetId="3">#REF!</definedName>
    <definedName name="Page" localSheetId="4">#REF!</definedName>
    <definedName name="PC" localSheetId="7">#REF!</definedName>
    <definedName name="PC" localSheetId="10">#REF!</definedName>
    <definedName name="PC" localSheetId="12">#REF!</definedName>
    <definedName name="PC" localSheetId="2">#REF!</definedName>
    <definedName name="PC" localSheetId="3">#REF!</definedName>
    <definedName name="PC" localSheetId="4">#REF!</definedName>
    <definedName name="pcode" localSheetId="7">#REF!</definedName>
    <definedName name="pcode" localSheetId="10">#REF!</definedName>
    <definedName name="pcode" localSheetId="12">#REF!</definedName>
    <definedName name="pcode" localSheetId="2">#REF!</definedName>
    <definedName name="pcode" localSheetId="3">#REF!</definedName>
    <definedName name="pcode" localSheetId="4">#REF!</definedName>
    <definedName name="PE" localSheetId="7">#REF!</definedName>
    <definedName name="PE" localSheetId="10">#REF!</definedName>
    <definedName name="PE" localSheetId="12">#REF!</definedName>
    <definedName name="PE" localSheetId="2">#REF!</definedName>
    <definedName name="PE" localSheetId="3">#REF!</definedName>
    <definedName name="PE" localSheetId="4">#REF!</definedName>
    <definedName name="Pexrate" localSheetId="7">#REF!</definedName>
    <definedName name="Pexrate" localSheetId="10">#REF!</definedName>
    <definedName name="Pexrate" localSheetId="12">#REF!</definedName>
    <definedName name="Pexrate" localSheetId="2">#REF!</definedName>
    <definedName name="Pexrate" localSheetId="3">#REF!</definedName>
    <definedName name="Pexrate" localSheetId="4">#REF!</definedName>
    <definedName name="Pfreq" localSheetId="7">#REF!</definedName>
    <definedName name="Pfreq" localSheetId="10">#REF!</definedName>
    <definedName name="Pfreq" localSheetId="12">#REF!</definedName>
    <definedName name="Pfreq" localSheetId="2">#REF!</definedName>
    <definedName name="Pfreq" localSheetId="3">#REF!</definedName>
    <definedName name="Pfreq" localSheetId="4">#REF!</definedName>
    <definedName name="Pfreqfac" localSheetId="7">#REF!</definedName>
    <definedName name="Pfreqfac" localSheetId="10">#REF!</definedName>
    <definedName name="Pfreqfac" localSheetId="12">#REF!</definedName>
    <definedName name="Pfreqfac" localSheetId="2">#REF!</definedName>
    <definedName name="Pfreqfac" localSheetId="3">#REF!</definedName>
    <definedName name="Pfreqfac" localSheetId="4">#REF!</definedName>
    <definedName name="PL" localSheetId="7">#REF!</definedName>
    <definedName name="PL" localSheetId="10">#REF!</definedName>
    <definedName name="PL" localSheetId="12">#REF!</definedName>
    <definedName name="PL" localSheetId="2">#REF!</definedName>
    <definedName name="PL" localSheetId="3">#REF!</definedName>
    <definedName name="PL" localSheetId="4">#REF!</definedName>
    <definedName name="PM" localSheetId="7">#REF!</definedName>
    <definedName name="PM" localSheetId="10">#REF!</definedName>
    <definedName name="PM" localSheetId="12">#REF!</definedName>
    <definedName name="PM" localSheetId="2">#REF!</definedName>
    <definedName name="PM" localSheetId="3">#REF!</definedName>
    <definedName name="PM" localSheetId="4">#REF!</definedName>
    <definedName name="polterm">#REF!</definedName>
    <definedName name="PP" localSheetId="7">#REF!</definedName>
    <definedName name="PP" localSheetId="10">#REF!</definedName>
    <definedName name="PP" localSheetId="12">#REF!</definedName>
    <definedName name="PP" localSheetId="2">#REF!</definedName>
    <definedName name="PP" localSheetId="3">#REF!</definedName>
    <definedName name="PP" localSheetId="4">#REF!</definedName>
    <definedName name="PPE" localSheetId="7">#REF!</definedName>
    <definedName name="PPE" localSheetId="10">#REF!</definedName>
    <definedName name="PPE" localSheetId="12">#REF!</definedName>
    <definedName name="PPE" localSheetId="2">#REF!</definedName>
    <definedName name="PPE" localSheetId="3">#REF!</definedName>
    <definedName name="PPE" localSheetId="4">#REF!</definedName>
    <definedName name="PPM" localSheetId="7">#REF!</definedName>
    <definedName name="PPM" localSheetId="10">#REF!</definedName>
    <definedName name="PPM" localSheetId="12">#REF!</definedName>
    <definedName name="PPM" localSheetId="2">#REF!</definedName>
    <definedName name="PPM" localSheetId="3">#REF!</definedName>
    <definedName name="PPM" localSheetId="4">#REF!</definedName>
    <definedName name="PPP" localSheetId="7">#REF!</definedName>
    <definedName name="PPP" localSheetId="10">#REF!</definedName>
    <definedName name="PPP" localSheetId="12">#REF!</definedName>
    <definedName name="PPP" localSheetId="2">#REF!</definedName>
    <definedName name="PPP" localSheetId="3">#REF!</definedName>
    <definedName name="PPP" localSheetId="4">#REF!</definedName>
    <definedName name="PPPE" localSheetId="7">#REF!</definedName>
    <definedName name="PPPE" localSheetId="10">#REF!</definedName>
    <definedName name="PPPE" localSheetId="12">#REF!</definedName>
    <definedName name="PPPE" localSheetId="2">#REF!</definedName>
    <definedName name="PPPE" localSheetId="3">#REF!</definedName>
    <definedName name="PPPE" localSheetId="4">#REF!</definedName>
    <definedName name="PPPM" localSheetId="7">#REF!</definedName>
    <definedName name="PPPM" localSheetId="10">#REF!</definedName>
    <definedName name="PPPM" localSheetId="12">#REF!</definedName>
    <definedName name="PPPM" localSheetId="2">#REF!</definedName>
    <definedName name="PPPM" localSheetId="3">#REF!</definedName>
    <definedName name="PPPM" localSheetId="4">#REF!</definedName>
    <definedName name="PPPP" localSheetId="7">#REF!</definedName>
    <definedName name="PPPP" localSheetId="10">#REF!</definedName>
    <definedName name="PPPP" localSheetId="12">#REF!</definedName>
    <definedName name="PPPP" localSheetId="2">#REF!</definedName>
    <definedName name="PPPP" localSheetId="3">#REF!</definedName>
    <definedName name="PPPP" localSheetId="4">#REF!</definedName>
    <definedName name="_xlnm.Print_Area" localSheetId="10">'3.0 New AGs'!$A$1:$P$13</definedName>
    <definedName name="_xlnm.Print_Area" localSheetId="12">'4.0 BD old'!$A$1:$U$21</definedName>
    <definedName name="_xlnm.Print_Area" localSheetId="13">'4.1 BD Review'!$A$54:$V$858</definedName>
    <definedName name="PRM000" localSheetId="7">#REF!</definedName>
    <definedName name="PRM000" localSheetId="10">#REF!</definedName>
    <definedName name="PRM000" localSheetId="12">#REF!</definedName>
    <definedName name="PRM000" localSheetId="2">#REF!</definedName>
    <definedName name="PRM000" localSheetId="3">#REF!</definedName>
    <definedName name="PRM000" localSheetId="4">#REF!</definedName>
    <definedName name="prod" localSheetId="7">#REF!</definedName>
    <definedName name="prod" localSheetId="10">#REF!</definedName>
    <definedName name="prod" localSheetId="12">#REF!</definedName>
    <definedName name="prod" localSheetId="2">#REF!</definedName>
    <definedName name="prod" localSheetId="3">#REF!</definedName>
    <definedName name="prod" localSheetId="4">#REF!</definedName>
    <definedName name="prodt" localSheetId="7">#REF!</definedName>
    <definedName name="prodt" localSheetId="10">#REF!</definedName>
    <definedName name="prodt" localSheetId="12">#REF!</definedName>
    <definedName name="prodt" localSheetId="2">#REF!</definedName>
    <definedName name="prodt" localSheetId="3">#REF!</definedName>
    <definedName name="prodt" localSheetId="4">#REF!</definedName>
    <definedName name="ProvTable" localSheetId="7">#REF!</definedName>
    <definedName name="ProvTable" localSheetId="10">#REF!</definedName>
    <definedName name="ProvTable" localSheetId="12">#REF!</definedName>
    <definedName name="ProvTable" localSheetId="2">#REF!</definedName>
    <definedName name="ProvTable" localSheetId="3">#REF!</definedName>
    <definedName name="ProvTable" localSheetId="4">#REF!</definedName>
    <definedName name="PS" localSheetId="7">#REF!</definedName>
    <definedName name="PS" localSheetId="10">#REF!</definedName>
    <definedName name="PS" localSheetId="12">#REF!</definedName>
    <definedName name="PS" localSheetId="2">#REF!</definedName>
    <definedName name="PS" localSheetId="3">#REF!</definedName>
    <definedName name="PS" localSheetId="4">#REF!</definedName>
    <definedName name="pSA" localSheetId="7">#REF!</definedName>
    <definedName name="pSA" localSheetId="10">#REF!</definedName>
    <definedName name="pSA" localSheetId="12">#REF!</definedName>
    <definedName name="pSA" localSheetId="2">#REF!</definedName>
    <definedName name="pSA" localSheetId="3">#REF!</definedName>
    <definedName name="pSA" localSheetId="4">#REF!</definedName>
    <definedName name="Psex" localSheetId="7">#REF!</definedName>
    <definedName name="Psex" localSheetId="10">#REF!</definedName>
    <definedName name="Psex" localSheetId="12">#REF!</definedName>
    <definedName name="Psex" localSheetId="2">#REF!</definedName>
    <definedName name="Psex" localSheetId="3">#REF!</definedName>
    <definedName name="Psex" localSheetId="4">#REF!</definedName>
    <definedName name="PT" localSheetId="7">#REF!</definedName>
    <definedName name="PT" localSheetId="10">#REF!</definedName>
    <definedName name="PT" localSheetId="12">#REF!</definedName>
    <definedName name="PT" localSheetId="2">#REF!</definedName>
    <definedName name="PT" localSheetId="3">#REF!</definedName>
    <definedName name="PT" localSheetId="4">#REF!</definedName>
    <definedName name="Pterm" localSheetId="7">#REF!</definedName>
    <definedName name="Pterm" localSheetId="10">#REF!</definedName>
    <definedName name="Pterm" localSheetId="12">#REF!</definedName>
    <definedName name="Pterm" localSheetId="2">#REF!</definedName>
    <definedName name="Pterm" localSheetId="3">#REF!</definedName>
    <definedName name="Pterm" localSheetId="4">#REF!</definedName>
    <definedName name="Ptpdrate" localSheetId="7">#REF!</definedName>
    <definedName name="Ptpdrate" localSheetId="10">#REF!</definedName>
    <definedName name="Ptpdrate" localSheetId="12">#REF!</definedName>
    <definedName name="Ptpdrate" localSheetId="2">#REF!</definedName>
    <definedName name="Ptpdrate" localSheetId="3">#REF!</definedName>
    <definedName name="Ptpdrate" localSheetId="4">#REF!</definedName>
    <definedName name="PW" localSheetId="7">#REF!</definedName>
    <definedName name="PW" localSheetId="10">#REF!</definedName>
    <definedName name="PW" localSheetId="12">#REF!</definedName>
    <definedName name="PW" localSheetId="2">#REF!</definedName>
    <definedName name="PW" localSheetId="3">#REF!</definedName>
    <definedName name="PW" localSheetId="4">#REF!</definedName>
    <definedName name="qqq" localSheetId="7">#REF!</definedName>
    <definedName name="qqq" localSheetId="10">#REF!</definedName>
    <definedName name="qqq" localSheetId="12">#REF!</definedName>
    <definedName name="qqq" localSheetId="2">#REF!</definedName>
    <definedName name="qqq" localSheetId="3">#REF!</definedName>
    <definedName name="qqq" localSheetId="4">#REF!</definedName>
    <definedName name="qryWeekUmDprod" localSheetId="7">#REF!</definedName>
    <definedName name="qryWeekUmDprod" localSheetId="10">#REF!</definedName>
    <definedName name="qryWeekUmDprod" localSheetId="12">#REF!</definedName>
    <definedName name="qryWeekUmDprod" localSheetId="2">#REF!</definedName>
    <definedName name="qryWeekUmDprod" localSheetId="3">#REF!</definedName>
    <definedName name="qryWeekUmDprod" localSheetId="4">#REF!</definedName>
    <definedName name="run" localSheetId="7">#REF!</definedName>
    <definedName name="run" localSheetId="10">#REF!</definedName>
    <definedName name="run" localSheetId="12">#REF!</definedName>
    <definedName name="run" localSheetId="2">#REF!</definedName>
    <definedName name="run" localSheetId="3">#REF!</definedName>
    <definedName name="run" localSheetId="4">#REF!</definedName>
    <definedName name="runo" localSheetId="7">#REF!</definedName>
    <definedName name="runo" localSheetId="10">#REF!</definedName>
    <definedName name="runo" localSheetId="12">#REF!</definedName>
    <definedName name="runo" localSheetId="2">#REF!</definedName>
    <definedName name="runo" localSheetId="3">#REF!</definedName>
    <definedName name="runo" localSheetId="4">#REF!</definedName>
    <definedName name="sex">#REF!</definedName>
    <definedName name="sp" localSheetId="7">#REF!</definedName>
    <definedName name="sp" localSheetId="10">#REF!</definedName>
    <definedName name="sp" localSheetId="12">#REF!</definedName>
    <definedName name="sp" localSheetId="2">#REF!</definedName>
    <definedName name="sp" localSheetId="3">#REF!</definedName>
    <definedName name="sp" localSheetId="4">#REF!</definedName>
    <definedName name="SPC" localSheetId="7">#REF!</definedName>
    <definedName name="SPC" localSheetId="10">#REF!</definedName>
    <definedName name="SPC" localSheetId="12">#REF!</definedName>
    <definedName name="SPC" localSheetId="2">#REF!</definedName>
    <definedName name="SPC" localSheetId="3">#REF!</definedName>
    <definedName name="SPC" localSheetId="4">#REF!</definedName>
    <definedName name="spcod" localSheetId="7">#REF!</definedName>
    <definedName name="spcod" localSheetId="10">#REF!</definedName>
    <definedName name="spcod" localSheetId="12">#REF!</definedName>
    <definedName name="spcod" localSheetId="2">#REF!</definedName>
    <definedName name="spcod" localSheetId="3">#REF!</definedName>
    <definedName name="spcod" localSheetId="4">#REF!</definedName>
    <definedName name="spcode" localSheetId="7">#REF!</definedName>
    <definedName name="spcode" localSheetId="10">#REF!</definedName>
    <definedName name="spcode" localSheetId="12">#REF!</definedName>
    <definedName name="spcode" localSheetId="2">#REF!</definedName>
    <definedName name="spcode" localSheetId="3">#REF!</definedName>
    <definedName name="spcode" localSheetId="4">#REF!</definedName>
    <definedName name="t" localSheetId="7" hidden="1">#REF!</definedName>
    <definedName name="t" localSheetId="10" hidden="1">#REF!</definedName>
    <definedName name="t" localSheetId="12" hidden="1">#REF!</definedName>
    <definedName name="t" localSheetId="2" hidden="1">#REF!</definedName>
    <definedName name="t" localSheetId="3" hidden="1">#REF!</definedName>
    <definedName name="t" localSheetId="4" hidden="1">#REF!</definedName>
    <definedName name="tbEco" localSheetId="7">#REF!</definedName>
    <definedName name="tbEco" localSheetId="10">#REF!</definedName>
    <definedName name="tbEco" localSheetId="12">#REF!</definedName>
    <definedName name="tbEco" localSheetId="2">#REF!</definedName>
    <definedName name="tbEco" localSheetId="3">#REF!</definedName>
    <definedName name="tbEco" localSheetId="4">#REF!</definedName>
    <definedName name="term" localSheetId="7">#REF!</definedName>
    <definedName name="term" localSheetId="10">#REF!</definedName>
    <definedName name="term" localSheetId="12">#REF!</definedName>
    <definedName name="term" localSheetId="2">#REF!</definedName>
    <definedName name="term" localSheetId="3">#REF!</definedName>
    <definedName name="term" localSheetId="4">#REF!</definedName>
    <definedName name="TerRate1" localSheetId="5">'[5]brief &amp; assumptions'!$E$101</definedName>
    <definedName name="TerRate2" localSheetId="5">'[5]brief &amp; assumptions'!$G$102</definedName>
    <definedName name="TerRate3">'[5]brief &amp; assumptions'!$E$103</definedName>
    <definedName name="TLR1X">[1]TLR1!$A$61:$AA$106</definedName>
    <definedName name="tpdrate" localSheetId="7">#REF!</definedName>
    <definedName name="tpdrate" localSheetId="10">#REF!</definedName>
    <definedName name="tpdrate" localSheetId="12">#REF!</definedName>
    <definedName name="tpdrate" localSheetId="2">#REF!</definedName>
    <definedName name="tpdrate" localSheetId="3">#REF!</definedName>
    <definedName name="tpdrate" localSheetId="4">#REF!</definedName>
    <definedName name="TR_loss" localSheetId="7">#REF!</definedName>
    <definedName name="TR_loss" localSheetId="10">#REF!</definedName>
    <definedName name="TR_loss" localSheetId="12">#REF!</definedName>
    <definedName name="TR_loss" localSheetId="2">#REF!</definedName>
    <definedName name="TR_loss" localSheetId="3">#REF!</definedName>
    <definedName name="TR_loss" localSheetId="4">#REF!</definedName>
    <definedName name="TR_wrong" localSheetId="7">#REF!</definedName>
    <definedName name="TR_wrong" localSheetId="10">#REF!</definedName>
    <definedName name="TR_wrong" localSheetId="12">#REF!</definedName>
    <definedName name="TR_wrong" localSheetId="2">#REF!</definedName>
    <definedName name="TR_wrong" localSheetId="3">#REF!</definedName>
    <definedName name="TR_wrong" localSheetId="4">#REF!</definedName>
    <definedName name="worksp" localSheetId="7">#REF!</definedName>
    <definedName name="worksp" localSheetId="10">#REF!</definedName>
    <definedName name="worksp" localSheetId="12">#REF!</definedName>
    <definedName name="worksp" localSheetId="2">#REF!</definedName>
    <definedName name="worksp" localSheetId="3">#REF!</definedName>
    <definedName name="worksp" localSheetId="4">#REF!</definedName>
    <definedName name="ws" localSheetId="7">#REF!</definedName>
    <definedName name="ws" localSheetId="10">#REF!</definedName>
    <definedName name="ws" localSheetId="12">#REF!</definedName>
    <definedName name="ws" localSheetId="2">#REF!</definedName>
    <definedName name="ws" localSheetId="3">#REF!</definedName>
    <definedName name="ws" localSheetId="4">#REF!</definedName>
    <definedName name="wsp" localSheetId="7">#REF!</definedName>
    <definedName name="wsp" localSheetId="10">#REF!</definedName>
    <definedName name="wsp" localSheetId="12">#REF!</definedName>
    <definedName name="wsp" localSheetId="2">#REF!</definedName>
    <definedName name="wsp" localSheetId="3">#REF!</definedName>
    <definedName name="wsp" localSheetId="4">#REF!</definedName>
  </definedNames>
  <calcPr calcId="152511" calcOnSave="0"/>
  <pivotCaches>
    <pivotCache cacheId="31" r:id="rId33"/>
  </pivotCaches>
</workbook>
</file>

<file path=xl/calcChain.xml><?xml version="1.0" encoding="utf-8"?>
<calcChain xmlns="http://schemas.openxmlformats.org/spreadsheetml/2006/main">
  <c r="F57" i="22" l="1"/>
  <c r="AD82" i="93"/>
  <c r="AB82" i="93"/>
  <c r="AA82" i="93"/>
  <c r="X82" i="93"/>
  <c r="W82" i="93"/>
  <c r="V82" i="93"/>
  <c r="U82" i="93"/>
  <c r="S82" i="93"/>
  <c r="Q82" i="93"/>
  <c r="O82" i="93"/>
  <c r="N82" i="93"/>
  <c r="M82" i="93"/>
  <c r="L82" i="93"/>
  <c r="K82" i="93"/>
  <c r="J82" i="93"/>
  <c r="I82" i="93"/>
  <c r="H82" i="93"/>
  <c r="G82" i="93"/>
  <c r="F82" i="93"/>
  <c r="E82" i="93"/>
  <c r="J38" i="91"/>
  <c r="K38" i="91"/>
  <c r="L38" i="91"/>
  <c r="M38" i="91"/>
  <c r="N38" i="91"/>
  <c r="P38" i="91"/>
  <c r="Q38" i="91"/>
  <c r="R38" i="91"/>
  <c r="V38" i="91"/>
  <c r="W38" i="91"/>
  <c r="X38" i="91"/>
  <c r="Y38" i="91"/>
  <c r="AC82" i="93" l="1"/>
  <c r="O38" i="91"/>
  <c r="BE46" i="26" l="1"/>
  <c r="BF46" i="26"/>
  <c r="BG46" i="26"/>
  <c r="BH46" i="26"/>
  <c r="BI46" i="26"/>
  <c r="BJ46" i="26"/>
  <c r="BE47" i="26"/>
  <c r="BF47" i="26"/>
  <c r="BG47" i="26"/>
  <c r="BH47" i="26"/>
  <c r="BI47" i="26"/>
  <c r="BJ47" i="26"/>
  <c r="BE48" i="26"/>
  <c r="BF48" i="26"/>
  <c r="BG48" i="26"/>
  <c r="BH48" i="26"/>
  <c r="BI48" i="26"/>
  <c r="BJ48" i="26"/>
  <c r="BE49" i="26"/>
  <c r="BF49" i="26"/>
  <c r="BG49" i="26"/>
  <c r="BH49" i="26"/>
  <c r="BI49" i="26"/>
  <c r="BI51" i="26" s="1"/>
  <c r="BJ49" i="26"/>
  <c r="BE50" i="26"/>
  <c r="BF50" i="26"/>
  <c r="BG50" i="26"/>
  <c r="BH50" i="26"/>
  <c r="BI50" i="26"/>
  <c r="BJ50" i="26"/>
  <c r="BE51" i="26"/>
  <c r="BF51" i="26"/>
  <c r="BE36" i="26"/>
  <c r="BF36" i="26"/>
  <c r="BG36" i="26"/>
  <c r="BH36" i="26"/>
  <c r="BI36" i="26"/>
  <c r="BJ36" i="26"/>
  <c r="BE37" i="26"/>
  <c r="BF37" i="26"/>
  <c r="BG37" i="26"/>
  <c r="BH37" i="26"/>
  <c r="BI37" i="26"/>
  <c r="BJ37" i="26"/>
  <c r="BE38" i="26"/>
  <c r="BF38" i="26"/>
  <c r="BG38" i="26"/>
  <c r="BH38" i="26"/>
  <c r="BI38" i="26"/>
  <c r="BJ38" i="26"/>
  <c r="BE39" i="26"/>
  <c r="BF39" i="26"/>
  <c r="BG39" i="26"/>
  <c r="BH39" i="26"/>
  <c r="BI39" i="26"/>
  <c r="BJ39" i="26"/>
  <c r="BE40" i="26"/>
  <c r="BF40" i="26"/>
  <c r="BG40" i="26"/>
  <c r="BH40" i="26"/>
  <c r="BI40" i="26"/>
  <c r="BJ40" i="26"/>
  <c r="BE41" i="26"/>
  <c r="BF41" i="26"/>
  <c r="BG41" i="26"/>
  <c r="BH41" i="26"/>
  <c r="BI41" i="26"/>
  <c r="BJ41" i="26"/>
  <c r="BE27" i="26"/>
  <c r="BF27" i="26"/>
  <c r="BG27" i="26"/>
  <c r="BH27" i="26"/>
  <c r="BI27" i="26"/>
  <c r="BJ27" i="26"/>
  <c r="BE30" i="26"/>
  <c r="BE31" i="26" s="1"/>
  <c r="BF30" i="26"/>
  <c r="BF31" i="26" s="1"/>
  <c r="BG30" i="26"/>
  <c r="BG31" i="26" s="1"/>
  <c r="BH30" i="26"/>
  <c r="BH31" i="26" s="1"/>
  <c r="BI30" i="26"/>
  <c r="BI31" i="26" s="1"/>
  <c r="BJ30" i="26"/>
  <c r="BJ31" i="26" s="1"/>
  <c r="BE18" i="26"/>
  <c r="BF18" i="26"/>
  <c r="BG18" i="26"/>
  <c r="BH18" i="26"/>
  <c r="BI18" i="26"/>
  <c r="BJ18" i="26"/>
  <c r="BE19" i="26"/>
  <c r="BF19" i="26"/>
  <c r="BG19" i="26"/>
  <c r="BH19" i="26"/>
  <c r="BI19" i="26"/>
  <c r="BJ19" i="26"/>
  <c r="BE20" i="26"/>
  <c r="BF20" i="26"/>
  <c r="BG20" i="26"/>
  <c r="BH20" i="26"/>
  <c r="BI20" i="26"/>
  <c r="BJ20" i="26"/>
  <c r="BE21" i="26"/>
  <c r="BF21" i="26"/>
  <c r="BG21" i="26"/>
  <c r="BH21" i="26"/>
  <c r="BI21" i="26"/>
  <c r="BJ21" i="26"/>
  <c r="BE7" i="26"/>
  <c r="BF7" i="26"/>
  <c r="BG7" i="26"/>
  <c r="BH7" i="26"/>
  <c r="BI7" i="26"/>
  <c r="BJ7" i="26"/>
  <c r="BE8" i="26"/>
  <c r="BF8" i="26"/>
  <c r="BG8" i="26"/>
  <c r="BH8" i="26"/>
  <c r="BI8" i="26"/>
  <c r="BJ8" i="26"/>
  <c r="BE9" i="26"/>
  <c r="BF9" i="26"/>
  <c r="BG9" i="26"/>
  <c r="BH9" i="26"/>
  <c r="BI9" i="26"/>
  <c r="BJ9" i="26"/>
  <c r="BE10" i="26"/>
  <c r="BF10" i="26"/>
  <c r="BG10" i="26"/>
  <c r="BH10" i="26"/>
  <c r="BI10" i="26"/>
  <c r="BJ10" i="26"/>
  <c r="BE11" i="26"/>
  <c r="BF11" i="26"/>
  <c r="BG11" i="26"/>
  <c r="BH11" i="26"/>
  <c r="BI11" i="26"/>
  <c r="BJ11" i="26"/>
  <c r="BE12" i="26"/>
  <c r="BF12" i="26"/>
  <c r="BG12" i="26"/>
  <c r="BH12" i="26"/>
  <c r="BI12" i="26"/>
  <c r="BJ12" i="26"/>
  <c r="BT43" i="7"/>
  <c r="BU43" i="7"/>
  <c r="BV43" i="7"/>
  <c r="BW43" i="7"/>
  <c r="BX43" i="7"/>
  <c r="BX8" i="7"/>
  <c r="BX10" i="7"/>
  <c r="BX11" i="7"/>
  <c r="BX12" i="7"/>
  <c r="BX13" i="7"/>
  <c r="BX14" i="7"/>
  <c r="BX15" i="7"/>
  <c r="BX16" i="7"/>
  <c r="BI22" i="26" l="1"/>
  <c r="BE22" i="26"/>
  <c r="BG22" i="26"/>
  <c r="BJ51" i="26"/>
  <c r="BH22" i="26"/>
  <c r="BH51" i="26"/>
  <c r="BG51" i="26"/>
  <c r="BX18" i="7"/>
  <c r="BJ22" i="26"/>
  <c r="BF22" i="26"/>
  <c r="BQ40" i="24"/>
  <c r="BR40" i="24"/>
  <c r="BS40" i="24"/>
  <c r="BT40" i="24"/>
  <c r="BU40" i="24"/>
  <c r="BP47" i="24"/>
  <c r="BQ47" i="24"/>
  <c r="BR47" i="24"/>
  <c r="BS47" i="24"/>
  <c r="BT47" i="24"/>
  <c r="BU47" i="24"/>
  <c r="BP13" i="24"/>
  <c r="BQ13" i="24"/>
  <c r="BR13" i="24"/>
  <c r="BS13" i="24"/>
  <c r="BT13" i="24"/>
  <c r="BU13" i="24"/>
  <c r="BE29" i="26" l="1"/>
  <c r="BF29" i="26"/>
  <c r="BG29" i="26"/>
  <c r="BH29" i="26"/>
  <c r="BI29" i="26"/>
  <c r="BJ29" i="26"/>
  <c r="BG26" i="26"/>
  <c r="BT10" i="24"/>
  <c r="BR9" i="24"/>
  <c r="BE42" i="26"/>
  <c r="BE43" i="26" s="1"/>
  <c r="BI42" i="26"/>
  <c r="BI43" i="26" s="1"/>
  <c r="BR45" i="24"/>
  <c r="BU45" i="24"/>
  <c r="BP41" i="24"/>
  <c r="BP10" i="24" l="1"/>
  <c r="BU51" i="24"/>
  <c r="BU43" i="24"/>
  <c r="BS44" i="24"/>
  <c r="BU11" i="24"/>
  <c r="BU6" i="24"/>
  <c r="BT43" i="24"/>
  <c r="BQ41" i="24"/>
  <c r="BF42" i="26"/>
  <c r="BF43" i="26" s="1"/>
  <c r="BF13" i="26"/>
  <c r="BF14" i="26" s="1"/>
  <c r="BQ7" i="24"/>
  <c r="BF28" i="26"/>
  <c r="BF26" i="26"/>
  <c r="BS51" i="24"/>
  <c r="BS43" i="24"/>
  <c r="BU44" i="24"/>
  <c r="BQ44" i="24"/>
  <c r="BQ45" i="24"/>
  <c r="BS17" i="24"/>
  <c r="BS6" i="24"/>
  <c r="BU10" i="24"/>
  <c r="BU9" i="24"/>
  <c r="BQ9" i="24"/>
  <c r="BS11" i="24"/>
  <c r="BU8" i="24"/>
  <c r="BI13" i="26"/>
  <c r="BI14" i="26" s="1"/>
  <c r="BT7" i="24"/>
  <c r="BE13" i="26"/>
  <c r="BE14" i="26" s="1"/>
  <c r="BP7" i="24"/>
  <c r="BI28" i="26"/>
  <c r="BI26" i="26"/>
  <c r="BE28" i="26"/>
  <c r="BE26" i="26"/>
  <c r="BT41" i="24"/>
  <c r="BQ51" i="24"/>
  <c r="BQ43" i="24"/>
  <c r="BR41" i="24"/>
  <c r="BG42" i="26"/>
  <c r="BG43" i="26" s="1"/>
  <c r="BQ11" i="24"/>
  <c r="BQ6" i="24"/>
  <c r="BS9" i="24"/>
  <c r="BG13" i="26"/>
  <c r="BG14" i="26" s="1"/>
  <c r="BR7" i="24"/>
  <c r="BP43" i="24"/>
  <c r="BJ42" i="26"/>
  <c r="BJ43" i="26" s="1"/>
  <c r="BT11" i="24"/>
  <c r="BT6" i="24"/>
  <c r="BJ13" i="26"/>
  <c r="BJ14" i="26" s="1"/>
  <c r="BU7" i="24"/>
  <c r="BJ28" i="26"/>
  <c r="BJ26" i="26"/>
  <c r="BP45" i="24"/>
  <c r="BP40" i="24"/>
  <c r="BR51" i="24"/>
  <c r="BR43" i="24"/>
  <c r="BT44" i="24"/>
  <c r="BT51" i="24"/>
  <c r="BS41" i="24"/>
  <c r="BH42" i="26"/>
  <c r="BH43" i="26" s="1"/>
  <c r="BR11" i="24"/>
  <c r="BR6" i="24"/>
  <c r="BT9" i="24"/>
  <c r="BP9" i="24"/>
  <c r="BR17" i="24"/>
  <c r="BH13" i="26"/>
  <c r="BH14" i="26" s="1"/>
  <c r="BS7" i="24"/>
  <c r="BH28" i="26"/>
  <c r="BH26" i="26"/>
  <c r="BG28" i="26"/>
  <c r="BP11" i="24"/>
  <c r="BP6" i="24"/>
  <c r="BP44" i="24"/>
  <c r="BR44" i="24"/>
  <c r="BT45" i="24"/>
  <c r="BQ10" i="24"/>
  <c r="BS10" i="24"/>
  <c r="BU17" i="24"/>
  <c r="BQ17" i="24"/>
  <c r="BS45" i="24"/>
  <c r="BP51" i="24"/>
  <c r="BR10" i="24"/>
  <c r="BT17" i="24"/>
  <c r="BP17" i="24"/>
  <c r="BX96" i="32"/>
  <c r="BY96" i="32"/>
  <c r="BZ96" i="32"/>
  <c r="CA96" i="32"/>
  <c r="CB96" i="32"/>
  <c r="CC96" i="32"/>
  <c r="BX95" i="32"/>
  <c r="BY95" i="32"/>
  <c r="BZ95" i="32"/>
  <c r="CA95" i="32"/>
  <c r="CB95" i="32"/>
  <c r="CC95" i="32"/>
  <c r="BX85" i="32"/>
  <c r="BX12" i="32" s="1"/>
  <c r="BY85" i="32"/>
  <c r="BZ85" i="32"/>
  <c r="CA85" i="32"/>
  <c r="CB85" i="32"/>
  <c r="CC85" i="32"/>
  <c r="BX84" i="32"/>
  <c r="BY84" i="32"/>
  <c r="BZ84" i="32"/>
  <c r="CA84" i="32"/>
  <c r="CB84" i="32"/>
  <c r="CC84" i="32"/>
  <c r="BX73" i="32"/>
  <c r="BY73" i="32"/>
  <c r="BZ73" i="32"/>
  <c r="CA73" i="32"/>
  <c r="CB73" i="32"/>
  <c r="CC73" i="32"/>
  <c r="BX74" i="32"/>
  <c r="BY74" i="32"/>
  <c r="BZ74" i="32"/>
  <c r="CA74" i="32"/>
  <c r="CB74" i="32"/>
  <c r="CC74" i="32"/>
  <c r="CC57" i="32"/>
  <c r="CC59" i="32" s="1"/>
  <c r="BX45" i="7" s="1"/>
  <c r="BX58" i="32"/>
  <c r="BS44" i="7" s="1"/>
  <c r="BY58" i="32"/>
  <c r="BT44" i="7" s="1"/>
  <c r="BZ58" i="32"/>
  <c r="BU44" i="7" s="1"/>
  <c r="CA58" i="32"/>
  <c r="BV44" i="7" s="1"/>
  <c r="CB58" i="32"/>
  <c r="BW44" i="7" s="1"/>
  <c r="CC58" i="32"/>
  <c r="BX44" i="7" s="1"/>
  <c r="BX48" i="32"/>
  <c r="BS40" i="7" s="1"/>
  <c r="BY48" i="32"/>
  <c r="BZ48" i="32"/>
  <c r="BU40" i="7" s="1"/>
  <c r="CA48" i="32"/>
  <c r="BV40" i="7" s="1"/>
  <c r="CB48" i="32"/>
  <c r="CC48" i="32"/>
  <c r="CC61" i="32" s="1"/>
  <c r="BX47" i="7" s="1"/>
  <c r="BX49" i="32"/>
  <c r="BY49" i="32"/>
  <c r="BT34" i="7" s="1"/>
  <c r="BZ49" i="32"/>
  <c r="BU34" i="7" s="1"/>
  <c r="CA49" i="32"/>
  <c r="BV34" i="7" s="1"/>
  <c r="CB49" i="32"/>
  <c r="CC49" i="32"/>
  <c r="BX34" i="7" s="1"/>
  <c r="BX50" i="32"/>
  <c r="BS35" i="7" s="1"/>
  <c r="BY50" i="32"/>
  <c r="BT35" i="7" s="1"/>
  <c r="BZ50" i="32"/>
  <c r="BU35" i="7" s="1"/>
  <c r="CA50" i="32"/>
  <c r="BV35" i="7" s="1"/>
  <c r="CB50" i="32"/>
  <c r="BW35" i="7" s="1"/>
  <c r="CC50" i="32"/>
  <c r="BX35" i="7" s="1"/>
  <c r="BX51" i="32"/>
  <c r="BS36" i="7" s="1"/>
  <c r="BY51" i="32"/>
  <c r="BT36" i="7" s="1"/>
  <c r="BZ51" i="32"/>
  <c r="BU36" i="7" s="1"/>
  <c r="CA51" i="32"/>
  <c r="BV36" i="7" s="1"/>
  <c r="CB51" i="32"/>
  <c r="BW36" i="7" s="1"/>
  <c r="CC51" i="32"/>
  <c r="BX36" i="7" s="1"/>
  <c r="BX52" i="32"/>
  <c r="BS37" i="7" s="1"/>
  <c r="BY52" i="32"/>
  <c r="BT37" i="7" s="1"/>
  <c r="BZ52" i="32"/>
  <c r="BU37" i="7" s="1"/>
  <c r="CA52" i="32"/>
  <c r="BV37" i="7" s="1"/>
  <c r="CB52" i="32"/>
  <c r="BW37" i="7" s="1"/>
  <c r="CC52" i="32"/>
  <c r="BX37" i="7" s="1"/>
  <c r="BX53" i="32"/>
  <c r="BS38" i="7" s="1"/>
  <c r="BY53" i="32"/>
  <c r="BT38" i="7" s="1"/>
  <c r="BZ53" i="32"/>
  <c r="BU38" i="7" s="1"/>
  <c r="CA53" i="32"/>
  <c r="BV38" i="7" s="1"/>
  <c r="CB53" i="32"/>
  <c r="BW38" i="7" s="1"/>
  <c r="CC53" i="32"/>
  <c r="BX38" i="7" s="1"/>
  <c r="BY38" i="32"/>
  <c r="BZ38" i="32"/>
  <c r="CA38" i="32"/>
  <c r="CB38" i="32"/>
  <c r="BY39" i="32"/>
  <c r="BZ39" i="32"/>
  <c r="CA39" i="32"/>
  <c r="CB39" i="32"/>
  <c r="BW11" i="7" s="1"/>
  <c r="BY40" i="32"/>
  <c r="BT12" i="7" s="1"/>
  <c r="BZ40" i="32"/>
  <c r="BU12" i="7" s="1"/>
  <c r="CA40" i="32"/>
  <c r="BV12" i="7" s="1"/>
  <c r="CB40" i="32"/>
  <c r="BW12" i="7" s="1"/>
  <c r="BY41" i="32"/>
  <c r="BT13" i="7" s="1"/>
  <c r="BZ41" i="32"/>
  <c r="BU13" i="7" s="1"/>
  <c r="CA41" i="32"/>
  <c r="BV13" i="7" s="1"/>
  <c r="CB41" i="32"/>
  <c r="BW13" i="7" s="1"/>
  <c r="BY42" i="32"/>
  <c r="BT14" i="7" s="1"/>
  <c r="BZ42" i="32"/>
  <c r="BU14" i="7" s="1"/>
  <c r="CA42" i="32"/>
  <c r="BV14" i="7" s="1"/>
  <c r="CB42" i="32"/>
  <c r="BW14" i="7" s="1"/>
  <c r="BY43" i="32"/>
  <c r="BT15" i="7" s="1"/>
  <c r="BZ43" i="32"/>
  <c r="BU15" i="7" s="1"/>
  <c r="CA43" i="32"/>
  <c r="BV15" i="7" s="1"/>
  <c r="CB43" i="32"/>
  <c r="BW15" i="7" s="1"/>
  <c r="BY44" i="32"/>
  <c r="BT16" i="7" s="1"/>
  <c r="BZ44" i="32"/>
  <c r="CA44" i="32"/>
  <c r="BV16" i="7" s="1"/>
  <c r="CB44" i="32"/>
  <c r="BW38" i="32"/>
  <c r="BX38" i="32"/>
  <c r="BX39" i="32"/>
  <c r="BS11" i="7" s="1"/>
  <c r="BX40" i="32"/>
  <c r="BS12" i="7" s="1"/>
  <c r="BX41" i="32"/>
  <c r="BS13" i="7" s="1"/>
  <c r="BX42" i="32"/>
  <c r="BX43" i="32"/>
  <c r="BS15" i="7" s="1"/>
  <c r="BX44" i="32"/>
  <c r="BS16" i="7" s="1"/>
  <c r="BX16" i="32"/>
  <c r="BX7" i="32"/>
  <c r="BX5" i="32"/>
  <c r="BS10" i="5" s="1"/>
  <c r="BT23" i="5"/>
  <c r="BU23" i="5"/>
  <c r="BV23" i="5"/>
  <c r="BW23" i="5"/>
  <c r="BX23" i="5"/>
  <c r="BT24" i="5"/>
  <c r="BU24" i="5"/>
  <c r="BV24" i="5"/>
  <c r="BW24" i="5"/>
  <c r="BX24" i="5"/>
  <c r="BT25" i="5"/>
  <c r="BU25" i="5"/>
  <c r="BV25" i="5"/>
  <c r="BW25" i="5"/>
  <c r="BX25" i="5"/>
  <c r="BT18" i="5"/>
  <c r="BU18" i="5"/>
  <c r="BV18" i="5"/>
  <c r="BW18" i="5"/>
  <c r="BX18" i="5"/>
  <c r="BT20" i="5"/>
  <c r="BU20" i="5"/>
  <c r="BV20" i="5"/>
  <c r="BW20" i="5"/>
  <c r="BX20" i="5"/>
  <c r="BX15" i="5"/>
  <c r="BX16" i="5"/>
  <c r="BT10" i="5"/>
  <c r="BU10" i="5"/>
  <c r="BV10" i="5"/>
  <c r="BW10" i="5"/>
  <c r="BX10" i="5"/>
  <c r="BV7" i="5"/>
  <c r="BW7" i="5"/>
  <c r="BX7" i="5"/>
  <c r="BS16" i="5" l="1"/>
  <c r="BT16" i="24"/>
  <c r="BT8" i="24"/>
  <c r="BX62" i="32"/>
  <c r="BS8" i="24"/>
  <c r="BU16" i="24"/>
  <c r="BX14" i="32"/>
  <c r="BQ8" i="24"/>
  <c r="BX4" i="32"/>
  <c r="BX20" i="32" s="1"/>
  <c r="BS20" i="5" s="1"/>
  <c r="BZ4" i="32"/>
  <c r="BU7" i="5" s="1"/>
  <c r="BT16" i="5"/>
  <c r="BY4" i="32"/>
  <c r="BT7" i="5" s="1"/>
  <c r="CA45" i="32"/>
  <c r="BV10" i="7"/>
  <c r="BX13" i="32"/>
  <c r="BS24" i="5" s="1"/>
  <c r="BX57" i="32"/>
  <c r="BX59" i="32" s="1"/>
  <c r="BS45" i="7" s="1"/>
  <c r="BS14" i="7"/>
  <c r="BZ57" i="32"/>
  <c r="BZ59" i="32" s="1"/>
  <c r="BU45" i="7" s="1"/>
  <c r="BU11" i="7"/>
  <c r="BU31" i="7"/>
  <c r="CB54" i="32"/>
  <c r="BW34" i="7"/>
  <c r="BX54" i="32"/>
  <c r="BS34" i="7"/>
  <c r="CB57" i="32"/>
  <c r="BU41" i="24"/>
  <c r="CA57" i="32"/>
  <c r="CA59" i="32" s="1"/>
  <c r="BV45" i="7" s="1"/>
  <c r="BV11" i="7"/>
  <c r="BV31" i="7"/>
  <c r="BZ45" i="32"/>
  <c r="BU8" i="7" s="1"/>
  <c r="BU18" i="7" s="1"/>
  <c r="BU10" i="7"/>
  <c r="BX17" i="32"/>
  <c r="BY57" i="32"/>
  <c r="BY59" i="32" s="1"/>
  <c r="BT45" i="7" s="1"/>
  <c r="BT11" i="7"/>
  <c r="BY45" i="32"/>
  <c r="BT8" i="7" s="1"/>
  <c r="BT10" i="7"/>
  <c r="BX31" i="7"/>
  <c r="BT31" i="7"/>
  <c r="CC62" i="32"/>
  <c r="BX40" i="7"/>
  <c r="BY62" i="32"/>
  <c r="BT40" i="7"/>
  <c r="BX60" i="32"/>
  <c r="BS46" i="7" s="1"/>
  <c r="CA62" i="32"/>
  <c r="BS50" i="24"/>
  <c r="BV16" i="5"/>
  <c r="BX45" i="32"/>
  <c r="BS8" i="7" s="1"/>
  <c r="BS18" i="7" s="1"/>
  <c r="BS10" i="7"/>
  <c r="BU16" i="5"/>
  <c r="BU16" i="7"/>
  <c r="BW16" i="5"/>
  <c r="BW16" i="7"/>
  <c r="CB45" i="32"/>
  <c r="BW10" i="7"/>
  <c r="CA54" i="32"/>
  <c r="BW31" i="7"/>
  <c r="BS31" i="7"/>
  <c r="CB62" i="32"/>
  <c r="BW40" i="7"/>
  <c r="CA60" i="32"/>
  <c r="BV46" i="7" s="1"/>
  <c r="BY61" i="32"/>
  <c r="BT47" i="7" s="1"/>
  <c r="BZ61" i="32"/>
  <c r="BU47" i="7" s="1"/>
  <c r="BX10" i="32"/>
  <c r="BS43" i="7" s="1"/>
  <c r="BZ54" i="32"/>
  <c r="BZ60" i="32"/>
  <c r="BU46" i="7" s="1"/>
  <c r="BZ62" i="32"/>
  <c r="CC60" i="32"/>
  <c r="BX46" i="7" s="1"/>
  <c r="BY60" i="32"/>
  <c r="BT46" i="7" s="1"/>
  <c r="CC54" i="32"/>
  <c r="BY54" i="32"/>
  <c r="CB60" i="32"/>
  <c r="BW46" i="7" s="1"/>
  <c r="BQ16" i="24"/>
  <c r="BS16" i="24"/>
  <c r="BS42" i="24"/>
  <c r="BQ50" i="24"/>
  <c r="BR42" i="24"/>
  <c r="BR50" i="24"/>
  <c r="BT42" i="24"/>
  <c r="BT50" i="24"/>
  <c r="F68" i="87"/>
  <c r="E68" i="87"/>
  <c r="D68" i="87"/>
  <c r="CA61" i="32" l="1"/>
  <c r="BV47" i="7" s="1"/>
  <c r="BT15" i="5"/>
  <c r="BQ42" i="24"/>
  <c r="BT18" i="7"/>
  <c r="BX35" i="32"/>
  <c r="BX15" i="32"/>
  <c r="BS25" i="5" s="1"/>
  <c r="BS15" i="5"/>
  <c r="BS7" i="5"/>
  <c r="V25" i="92" s="1"/>
  <c r="BY35" i="32"/>
  <c r="BX61" i="32"/>
  <c r="BS47" i="7" s="1"/>
  <c r="BU50" i="24"/>
  <c r="BU42" i="24"/>
  <c r="BU15" i="5"/>
  <c r="BR16" i="24"/>
  <c r="BR8" i="24"/>
  <c r="BZ35" i="32"/>
  <c r="BW15" i="5"/>
  <c r="BW8" i="7"/>
  <c r="BW18" i="7" s="1"/>
  <c r="CB61" i="32"/>
  <c r="BW47" i="7" s="1"/>
  <c r="CB59" i="32"/>
  <c r="BW45" i="7" s="1"/>
  <c r="BV15" i="5"/>
  <c r="BV8" i="7"/>
  <c r="BV18" i="7" s="1"/>
  <c r="S69" i="37"/>
  <c r="S65" i="37"/>
  <c r="BD46" i="26"/>
  <c r="BD48" i="26"/>
  <c r="BD49" i="26"/>
  <c r="BD50" i="26"/>
  <c r="BD36" i="26"/>
  <c r="BD37" i="26"/>
  <c r="BD38" i="26"/>
  <c r="BD39" i="26"/>
  <c r="BD40" i="26"/>
  <c r="BD41" i="26"/>
  <c r="BO47" i="24"/>
  <c r="BW96" i="32"/>
  <c r="BW74" i="32"/>
  <c r="BD27" i="26"/>
  <c r="BO43" i="24" l="1"/>
  <c r="BW84" i="32"/>
  <c r="BW85" i="32"/>
  <c r="BW12" i="32" s="1"/>
  <c r="BW49" i="32"/>
  <c r="BW58" i="32"/>
  <c r="BR44" i="7" s="1"/>
  <c r="BD47" i="26"/>
  <c r="BD51" i="26" s="1"/>
  <c r="BW95" i="32"/>
  <c r="BW73" i="32"/>
  <c r="BW4" i="32" s="1"/>
  <c r="BO45" i="24"/>
  <c r="BO44" i="24"/>
  <c r="BW20" i="32" l="1"/>
  <c r="BR20" i="5" s="1"/>
  <c r="BW14" i="32"/>
  <c r="BW13" i="32" s="1"/>
  <c r="BR24" i="5" s="1"/>
  <c r="BR34" i="7"/>
  <c r="BR7" i="5"/>
  <c r="BD42" i="26"/>
  <c r="BD43" i="26" s="1"/>
  <c r="BO51" i="24"/>
  <c r="BO40" i="24"/>
  <c r="BO6" i="24" l="1"/>
  <c r="BO17" i="24"/>
  <c r="BO9" i="24"/>
  <c r="BW15" i="32"/>
  <c r="BR25" i="5" s="1"/>
  <c r="BP50" i="24"/>
  <c r="BP42" i="24"/>
  <c r="BO41" i="24"/>
  <c r="U25" i="92"/>
  <c r="BO11" i="24"/>
  <c r="BO10" i="24"/>
  <c r="BW44" i="32" l="1"/>
  <c r="BW50" i="32" l="1"/>
  <c r="BD18" i="26"/>
  <c r="BD19" i="26"/>
  <c r="BW51" i="32"/>
  <c r="BD30" i="26"/>
  <c r="BD31" i="26" s="1"/>
  <c r="BW48" i="32"/>
  <c r="BW16" i="32" s="1"/>
  <c r="BD29" i="26"/>
  <c r="BD21" i="26"/>
  <c r="BW53" i="32"/>
  <c r="BR38" i="7" s="1"/>
  <c r="BD7" i="26"/>
  <c r="BW52" i="32"/>
  <c r="BR37" i="7" s="1"/>
  <c r="BD20" i="26"/>
  <c r="BR16" i="7"/>
  <c r="BR16" i="5"/>
  <c r="BR35" i="7" l="1"/>
  <c r="BW17" i="32"/>
  <c r="BD10" i="26"/>
  <c r="BW41" i="32"/>
  <c r="BR13" i="7" s="1"/>
  <c r="BW54" i="32"/>
  <c r="C68" i="87" s="1"/>
  <c r="BR40" i="7"/>
  <c r="BW60" i="32"/>
  <c r="BR46" i="7" s="1"/>
  <c r="BW62" i="32"/>
  <c r="BW39" i="32"/>
  <c r="BD8" i="26"/>
  <c r="BR10" i="7"/>
  <c r="BD11" i="26"/>
  <c r="BW42" i="32"/>
  <c r="BD22" i="26"/>
  <c r="BW43" i="32"/>
  <c r="BR15" i="7" s="1"/>
  <c r="BD12" i="26"/>
  <c r="BD9" i="26"/>
  <c r="BW40" i="32"/>
  <c r="BR36" i="7"/>
  <c r="BR31" i="7" s="1"/>
  <c r="BR12" i="7" l="1"/>
  <c r="BW10" i="32"/>
  <c r="BR43" i="7" s="1"/>
  <c r="BO7" i="24"/>
  <c r="BD13" i="26"/>
  <c r="BD14" i="26" s="1"/>
  <c r="BD28" i="26"/>
  <c r="BD26" i="26"/>
  <c r="BR14" i="7"/>
  <c r="BW45" i="32"/>
  <c r="BW57" i="32"/>
  <c r="BR11" i="7"/>
  <c r="BP8" i="24" l="1"/>
  <c r="BP16" i="24"/>
  <c r="BW35" i="32"/>
  <c r="BR15" i="5"/>
  <c r="BR8" i="7"/>
  <c r="BR18" i="7" s="1"/>
  <c r="BW61" i="32"/>
  <c r="BR47" i="7" s="1"/>
  <c r="BW59" i="32"/>
  <c r="BR45" i="7" s="1"/>
  <c r="BW7" i="32"/>
  <c r="BX6" i="32" s="1"/>
  <c r="BX8" i="32" s="1"/>
  <c r="BX11" i="32" l="1"/>
  <c r="BS23" i="5" s="1"/>
  <c r="BX19" i="32"/>
  <c r="BS18" i="5" s="1"/>
  <c r="BW5" i="32"/>
  <c r="BR10" i="5" s="1"/>
  <c r="BO13" i="24"/>
  <c r="E101" i="22" l="1"/>
  <c r="E57" i="22"/>
  <c r="F58" i="22" s="1"/>
  <c r="G57" i="22"/>
  <c r="G58" i="22" s="1"/>
  <c r="H57" i="22"/>
  <c r="H104" i="22" s="1"/>
  <c r="F101" i="22"/>
  <c r="F102" i="22" l="1"/>
  <c r="G104" i="22"/>
  <c r="E104" i="22"/>
  <c r="H105" i="22" s="1"/>
  <c r="F104" i="22"/>
  <c r="F105" i="22" s="1"/>
  <c r="H58" i="22"/>
  <c r="D67" i="87"/>
  <c r="E67" i="87"/>
  <c r="F67" i="87"/>
  <c r="BD55" i="26"/>
  <c r="BE55" i="26"/>
  <c r="BF55" i="26"/>
  <c r="BG55" i="26"/>
  <c r="BH55" i="26"/>
  <c r="BI55" i="26"/>
  <c r="BJ55" i="26"/>
  <c r="BC56" i="26"/>
  <c r="BD56" i="26"/>
  <c r="BE56" i="26"/>
  <c r="BF56" i="26"/>
  <c r="BG56" i="26"/>
  <c r="BH56" i="26"/>
  <c r="BI56" i="26"/>
  <c r="BJ56" i="26"/>
  <c r="BD57" i="26"/>
  <c r="BE57" i="26"/>
  <c r="BF57" i="26"/>
  <c r="BG57" i="26"/>
  <c r="BH57" i="26"/>
  <c r="BI57" i="26"/>
  <c r="BJ57" i="26"/>
  <c r="BD58" i="26"/>
  <c r="BE58" i="26"/>
  <c r="BF58" i="26"/>
  <c r="BG58" i="26"/>
  <c r="BH58" i="26"/>
  <c r="BI58" i="26"/>
  <c r="BJ58" i="26"/>
  <c r="BD59" i="26"/>
  <c r="BD60" i="26" s="1"/>
  <c r="BE59" i="26"/>
  <c r="BE60" i="26" s="1"/>
  <c r="BF59" i="26"/>
  <c r="BF60" i="26" s="1"/>
  <c r="BG59" i="26"/>
  <c r="BH59" i="26"/>
  <c r="BH60" i="26" s="1"/>
  <c r="BI59" i="26"/>
  <c r="BI60" i="26" s="1"/>
  <c r="BJ59" i="26"/>
  <c r="BJ60" i="26" s="1"/>
  <c r="BG60" i="26"/>
  <c r="BC27" i="26"/>
  <c r="G105" i="22" l="1"/>
  <c r="BV58" i="32"/>
  <c r="BQ44" i="7" s="1"/>
  <c r="BN9" i="24"/>
  <c r="BN6" i="24"/>
  <c r="BC30" i="26"/>
  <c r="BC31" i="26" s="1"/>
  <c r="BC18" i="26"/>
  <c r="BC20" i="26"/>
  <c r="BC21" i="26"/>
  <c r="BC7" i="26"/>
  <c r="BC9" i="26"/>
  <c r="BC10" i="26"/>
  <c r="BC11" i="26"/>
  <c r="BC12" i="26"/>
  <c r="BN47" i="24"/>
  <c r="BN43" i="24"/>
  <c r="BC46" i="26"/>
  <c r="BC48" i="26"/>
  <c r="BC49" i="26"/>
  <c r="BC50" i="26"/>
  <c r="BC41" i="26"/>
  <c r="BC40" i="26"/>
  <c r="BC38" i="26"/>
  <c r="BC37" i="26"/>
  <c r="BC36" i="26"/>
  <c r="BN40" i="24" l="1"/>
  <c r="BC58" i="26"/>
  <c r="BC59" i="26"/>
  <c r="BC60" i="26" s="1"/>
  <c r="BC39" i="26"/>
  <c r="BC47" i="26"/>
  <c r="BC51" i="26" s="1"/>
  <c r="BV39" i="32"/>
  <c r="BQ11" i="7" s="1"/>
  <c r="BC8" i="26"/>
  <c r="BV51" i="32"/>
  <c r="BQ36" i="7" s="1"/>
  <c r="BC19" i="26"/>
  <c r="BC22" i="26" s="1"/>
  <c r="BV43" i="32"/>
  <c r="BQ15" i="7" s="1"/>
  <c r="BV84" i="32"/>
  <c r="BV5" i="32"/>
  <c r="BQ10" i="5" s="1"/>
  <c r="BN13" i="24"/>
  <c r="BV53" i="32"/>
  <c r="BQ38" i="7" s="1"/>
  <c r="BV49" i="32"/>
  <c r="BV44" i="32"/>
  <c r="BV52" i="32"/>
  <c r="BV48" i="32"/>
  <c r="BV40" i="32"/>
  <c r="BQ12" i="7" s="1"/>
  <c r="BC29" i="26"/>
  <c r="BV42" i="32"/>
  <c r="BQ14" i="7" s="1"/>
  <c r="BV38" i="32"/>
  <c r="BQ10" i="7" s="1"/>
  <c r="BV50" i="32"/>
  <c r="BQ35" i="7" s="1"/>
  <c r="BN45" i="24"/>
  <c r="BN44" i="24"/>
  <c r="BN51" i="24"/>
  <c r="BV74" i="32"/>
  <c r="BV96" i="32"/>
  <c r="BV41" i="32"/>
  <c r="BQ13" i="7" s="1"/>
  <c r="BV73" i="32"/>
  <c r="BV95" i="32"/>
  <c r="BV85" i="32"/>
  <c r="BV12" i="32" s="1"/>
  <c r="BN10" i="24"/>
  <c r="BN17" i="24"/>
  <c r="BN11" i="24"/>
  <c r="BV4" i="32" l="1"/>
  <c r="BQ34" i="7"/>
  <c r="BV17" i="32"/>
  <c r="BQ40" i="7"/>
  <c r="BV16" i="32"/>
  <c r="BV14" i="32"/>
  <c r="BV13" i="32" s="1"/>
  <c r="BC13" i="26"/>
  <c r="BC14" i="26" s="1"/>
  <c r="BN7" i="24"/>
  <c r="BC28" i="26"/>
  <c r="BC26" i="26"/>
  <c r="BV62" i="32"/>
  <c r="BC57" i="26"/>
  <c r="BC55" i="26"/>
  <c r="BV54" i="32"/>
  <c r="C67" i="87" s="1"/>
  <c r="BQ37" i="7"/>
  <c r="BQ31" i="7" s="1"/>
  <c r="BV60" i="32"/>
  <c r="BQ46" i="7" s="1"/>
  <c r="BC42" i="26"/>
  <c r="BC43" i="26" s="1"/>
  <c r="BQ16" i="5"/>
  <c r="BQ16" i="7"/>
  <c r="BV10" i="32"/>
  <c r="BQ43" i="7" s="1"/>
  <c r="BV7" i="32"/>
  <c r="BW6" i="32" s="1"/>
  <c r="BW8" i="32" s="1"/>
  <c r="BV45" i="32"/>
  <c r="BQ8" i="7" s="1"/>
  <c r="BQ18" i="7" s="1"/>
  <c r="BV57" i="32"/>
  <c r="A2" i="21"/>
  <c r="BO8" i="24" l="1"/>
  <c r="BW19" i="32"/>
  <c r="BR18" i="5" s="1"/>
  <c r="BW11" i="32"/>
  <c r="BR23" i="5" s="1"/>
  <c r="BV15" i="32"/>
  <c r="BQ25" i="5" s="1"/>
  <c r="BV20" i="32"/>
  <c r="BQ20" i="5" s="1"/>
  <c r="BN41" i="24"/>
  <c r="BO16" i="24"/>
  <c r="I67" i="87"/>
  <c r="H67" i="87"/>
  <c r="G67" i="87"/>
  <c r="BV35" i="32"/>
  <c r="BQ15" i="5"/>
  <c r="BV59" i="32"/>
  <c r="BQ45" i="7" s="1"/>
  <c r="BV61" i="32"/>
  <c r="BQ47" i="7" s="1"/>
  <c r="BQ7" i="5"/>
  <c r="T25" i="92" s="1"/>
  <c r="BQ24" i="5"/>
  <c r="C49" i="21"/>
  <c r="C28" i="21"/>
  <c r="BO42" i="24" l="1"/>
  <c r="BO50" i="24"/>
  <c r="F66" i="87"/>
  <c r="E66" i="87"/>
  <c r="D66" i="87"/>
  <c r="BA50" i="21" l="1"/>
  <c r="BA27" i="21"/>
  <c r="BB56" i="26" l="1"/>
  <c r="BB27" i="26" l="1"/>
  <c r="BB46" i="26" l="1"/>
  <c r="BU49" i="32" l="1"/>
  <c r="BP34" i="7" s="1"/>
  <c r="BU58" i="32"/>
  <c r="BP44" i="7" s="1"/>
  <c r="C37" i="21" l="1"/>
  <c r="C59" i="21" l="1"/>
  <c r="C53" i="21"/>
  <c r="C60" i="21"/>
  <c r="C51" i="21"/>
  <c r="B2" i="32" l="1"/>
  <c r="E29" i="7"/>
  <c r="E10" i="94" l="1"/>
  <c r="D10" i="94"/>
  <c r="C10" i="94"/>
  <c r="F10" i="94" l="1"/>
  <c r="E65" i="87" l="1"/>
  <c r="D65" i="87"/>
  <c r="E64" i="87"/>
  <c r="D64" i="87"/>
  <c r="E63" i="87"/>
  <c r="E62" i="87"/>
  <c r="E61" i="87"/>
  <c r="D54" i="87"/>
  <c r="D53" i="87"/>
  <c r="D52" i="87"/>
  <c r="E51" i="87"/>
  <c r="D51" i="87"/>
  <c r="F65" i="87"/>
  <c r="F64" i="87"/>
  <c r="F63" i="87"/>
  <c r="F62" i="87"/>
  <c r="F61" i="87"/>
  <c r="F60" i="87"/>
  <c r="F59" i="87"/>
  <c r="F58" i="87"/>
  <c r="F57" i="87"/>
  <c r="F56" i="87"/>
  <c r="F55" i="87"/>
  <c r="D63" i="87"/>
  <c r="E60" i="87"/>
  <c r="F54" i="87"/>
  <c r="BA27" i="26" l="1"/>
  <c r="BA46" i="26"/>
  <c r="BA47" i="26"/>
  <c r="BA49" i="26"/>
  <c r="BA50" i="26"/>
  <c r="BA37" i="26"/>
  <c r="BA38" i="26"/>
  <c r="BA39" i="26"/>
  <c r="BA40" i="26"/>
  <c r="BA41" i="26"/>
  <c r="BL47" i="24"/>
  <c r="BL13" i="24"/>
  <c r="BT95" i="32"/>
  <c r="BA18" i="26"/>
  <c r="BA19" i="26"/>
  <c r="BA7" i="26"/>
  <c r="BA10" i="26"/>
  <c r="BA11" i="26"/>
  <c r="BA12" i="26"/>
  <c r="BT52" i="32" l="1"/>
  <c r="BO37" i="7" s="1"/>
  <c r="BT48" i="32"/>
  <c r="BO40" i="7" s="1"/>
  <c r="BS74" i="32"/>
  <c r="BT44" i="32"/>
  <c r="BO16" i="7" s="1"/>
  <c r="BT40" i="32"/>
  <c r="BO12" i="7" s="1"/>
  <c r="BA8" i="26"/>
  <c r="BT73" i="32"/>
  <c r="BT53" i="32"/>
  <c r="BO38" i="7" s="1"/>
  <c r="BT49" i="32"/>
  <c r="BO34" i="7" s="1"/>
  <c r="BA58" i="26"/>
  <c r="BT41" i="32"/>
  <c r="BO13" i="7" s="1"/>
  <c r="BA21" i="26"/>
  <c r="BA20" i="26"/>
  <c r="BT16" i="32"/>
  <c r="BA30" i="26"/>
  <c r="BA31" i="26" s="1"/>
  <c r="BA29" i="26"/>
  <c r="BT5" i="32"/>
  <c r="BO10" i="5" s="1"/>
  <c r="BA36" i="26"/>
  <c r="BA9" i="26"/>
  <c r="BT43" i="32"/>
  <c r="BO15" i="7" s="1"/>
  <c r="BT39" i="32"/>
  <c r="BT51" i="32"/>
  <c r="BA56" i="26"/>
  <c r="BT42" i="32"/>
  <c r="BO14" i="7" s="1"/>
  <c r="BT38" i="32"/>
  <c r="BT50" i="32"/>
  <c r="BO35" i="7" s="1"/>
  <c r="BT58" i="32"/>
  <c r="BA48" i="26"/>
  <c r="BA51" i="26" s="1"/>
  <c r="BA59" i="26"/>
  <c r="BA60" i="26" s="1"/>
  <c r="BA22" i="26" l="1"/>
  <c r="BO16" i="5"/>
  <c r="BT62" i="32"/>
  <c r="BT45" i="32"/>
  <c r="B45" i="32" s="1"/>
  <c r="BT54" i="32"/>
  <c r="C65" i="87" s="1"/>
  <c r="BA42" i="26"/>
  <c r="BA43" i="26" s="1"/>
  <c r="BT60" i="32"/>
  <c r="BO44" i="7"/>
  <c r="BT74" i="32"/>
  <c r="BT4" i="32" s="1"/>
  <c r="BL7" i="24"/>
  <c r="BA13" i="26"/>
  <c r="BA14" i="26" s="1"/>
  <c r="BL41" i="24"/>
  <c r="BL45" i="24"/>
  <c r="BL40" i="24"/>
  <c r="BT96" i="32"/>
  <c r="BO10" i="7"/>
  <c r="BA28" i="26"/>
  <c r="BA26" i="26"/>
  <c r="BT10" i="32"/>
  <c r="BO11" i="7"/>
  <c r="BT57" i="32"/>
  <c r="B62" i="32" s="1"/>
  <c r="BA57" i="26"/>
  <c r="BA55" i="26"/>
  <c r="BT17" i="32"/>
  <c r="BO36" i="7"/>
  <c r="BO31" i="7" s="1"/>
  <c r="S66" i="37"/>
  <c r="BT14" i="32" l="1"/>
  <c r="BT15" i="32" s="1"/>
  <c r="BO25" i="5" s="1"/>
  <c r="H65" i="87"/>
  <c r="G65" i="87"/>
  <c r="I65" i="87"/>
  <c r="BO46" i="7"/>
  <c r="BT7" i="32"/>
  <c r="BO43" i="7"/>
  <c r="B10" i="32"/>
  <c r="BO7" i="5"/>
  <c r="R25" i="92" s="1"/>
  <c r="BT59" i="32"/>
  <c r="BT61" i="32"/>
  <c r="BO47" i="7" s="1"/>
  <c r="BT35" i="32"/>
  <c r="B35" i="32" s="1"/>
  <c r="BO8" i="7"/>
  <c r="BO18" i="7" s="1"/>
  <c r="BO15" i="5"/>
  <c r="BL6" i="24"/>
  <c r="BL11" i="24"/>
  <c r="BO45" i="7" l="1"/>
  <c r="B7" i="32"/>
  <c r="BU6" i="32"/>
  <c r="I101" i="22"/>
  <c r="L101" i="22"/>
  <c r="K101" i="22"/>
  <c r="K57" i="22"/>
  <c r="J101" i="22"/>
  <c r="J102" i="22" s="1"/>
  <c r="I57" i="22"/>
  <c r="J57" i="22"/>
  <c r="L57" i="22"/>
  <c r="B1" i="93"/>
  <c r="L58" i="22" l="1"/>
  <c r="J58" i="22"/>
  <c r="K58" i="22"/>
  <c r="L104" i="22"/>
  <c r="K102" i="22"/>
  <c r="I104" i="22"/>
  <c r="L102" i="22"/>
  <c r="K104" i="22"/>
  <c r="J104" i="22"/>
  <c r="D62" i="87"/>
  <c r="E59" i="87"/>
  <c r="F53" i="87"/>
  <c r="L105" i="22" l="1"/>
  <c r="J105" i="22"/>
  <c r="K105" i="22"/>
  <c r="U16" i="34" l="1"/>
  <c r="U31" i="34"/>
  <c r="U33" i="34"/>
  <c r="U42" i="34"/>
  <c r="U44" i="34"/>
  <c r="U45" i="34"/>
  <c r="U49" i="34"/>
  <c r="U52" i="34"/>
  <c r="U53" i="34"/>
  <c r="U56" i="34"/>
  <c r="U57" i="34"/>
  <c r="U58" i="34"/>
  <c r="U59" i="34"/>
  <c r="U61" i="34"/>
  <c r="U62" i="34"/>
  <c r="U64" i="34"/>
  <c r="U67" i="34"/>
  <c r="U68" i="34"/>
  <c r="U69" i="34"/>
  <c r="U70" i="34"/>
  <c r="U71" i="34"/>
  <c r="U73" i="34"/>
  <c r="U75" i="34"/>
  <c r="U77" i="34"/>
  <c r="U78" i="34"/>
  <c r="U79" i="34"/>
  <c r="U80" i="34"/>
  <c r="U81" i="34"/>
  <c r="U82" i="34"/>
  <c r="U74" i="34" l="1"/>
  <c r="U66" i="34"/>
  <c r="U60" i="34"/>
  <c r="U54" i="34"/>
  <c r="U34" i="34"/>
  <c r="U30" i="34"/>
  <c r="U26" i="34"/>
  <c r="U18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AZ56" i="26" l="1"/>
  <c r="AZ27" i="26"/>
  <c r="BS58" i="32" l="1"/>
  <c r="B2" i="5"/>
  <c r="BN44" i="7" l="1"/>
  <c r="P57" i="22" l="1"/>
  <c r="P101" i="22"/>
  <c r="M101" i="22"/>
  <c r="O101" i="22"/>
  <c r="O57" i="22"/>
  <c r="M57" i="22"/>
  <c r="N101" i="22"/>
  <c r="N57" i="22"/>
  <c r="O102" i="22" l="1"/>
  <c r="N102" i="22"/>
  <c r="P104" i="22"/>
  <c r="N58" i="22"/>
  <c r="P102" i="22"/>
  <c r="M104" i="22"/>
  <c r="N104" i="22"/>
  <c r="P58" i="22"/>
  <c r="O104" i="22"/>
  <c r="O58" i="22"/>
  <c r="AN129" i="2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0" i="21"/>
  <c r="C26" i="21"/>
  <c r="C36" i="21"/>
  <c r="P105" i="22" l="1"/>
  <c r="N105" i="22"/>
  <c r="O105" i="22"/>
  <c r="BO51" i="2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H32" i="21" s="1"/>
  <c r="BH40" i="21" s="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B5" i="21"/>
  <c r="BC5" i="21"/>
  <c r="BD5" i="21"/>
  <c r="BE5" i="21"/>
  <c r="BQ8" i="5" s="1"/>
  <c r="BF5" i="21"/>
  <c r="BR8" i="5" s="1"/>
  <c r="BG5" i="21"/>
  <c r="BS8" i="5" s="1"/>
  <c r="BH5" i="21"/>
  <c r="BT8" i="5" s="1"/>
  <c r="BI5" i="21"/>
  <c r="BU8" i="5" s="1"/>
  <c r="BJ5" i="21"/>
  <c r="BV8" i="5" s="1"/>
  <c r="BK5" i="21"/>
  <c r="BW8" i="5" s="1"/>
  <c r="BL5" i="21"/>
  <c r="BX8" i="5" s="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D9" i="21"/>
  <c r="BE9" i="21"/>
  <c r="BF9" i="21"/>
  <c r="BG9" i="21"/>
  <c r="BH9" i="21"/>
  <c r="BI9" i="21"/>
  <c r="BJ9" i="21"/>
  <c r="BK9" i="21"/>
  <c r="BL9" i="21"/>
  <c r="BB15" i="21"/>
  <c r="BC15" i="21"/>
  <c r="BD15" i="21"/>
  <c r="BE15" i="21"/>
  <c r="BO15" i="21" s="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O9" i="21" l="1"/>
  <c r="BF8" i="21"/>
  <c r="BO8" i="5"/>
  <c r="BO5" i="21"/>
  <c r="BY7" i="5" s="1"/>
  <c r="C7" i="21"/>
  <c r="F15" i="5" s="1"/>
  <c r="BO7" i="21"/>
  <c r="BI23" i="21"/>
  <c r="BE23" i="21"/>
  <c r="BJ23" i="21"/>
  <c r="BF23" i="21"/>
  <c r="BB23" i="21"/>
  <c r="BG8" i="21"/>
  <c r="BC8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19" i="21" s="1"/>
  <c r="BL34" i="21"/>
  <c r="BH11" i="21"/>
  <c r="BH19" i="21" s="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19" i="21" s="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O8" i="21" l="1"/>
  <c r="BF13" i="2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H14" i="21"/>
  <c r="BC14" i="21"/>
  <c r="BC12" i="21"/>
  <c r="BF22" i="21"/>
  <c r="BF14" i="21"/>
  <c r="BF12" i="21"/>
  <c r="BJ22" i="21"/>
  <c r="BE12" i="21" l="1"/>
  <c r="BI12" i="21"/>
  <c r="BB22" i="21"/>
  <c r="BE14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B161" i="37"/>
  <c r="BC161" i="37"/>
  <c r="BD161" i="37"/>
  <c r="BE161" i="37"/>
  <c r="BF161" i="37"/>
  <c r="BG161" i="37"/>
  <c r="BH161" i="37"/>
  <c r="BI161" i="37"/>
  <c r="AZ157" i="37"/>
  <c r="BB157" i="37"/>
  <c r="BC157" i="37"/>
  <c r="BD157" i="37"/>
  <c r="BE157" i="37"/>
  <c r="BF157" i="37"/>
  <c r="BG157" i="37"/>
  <c r="BH157" i="37"/>
  <c r="BI157" i="37"/>
  <c r="AZ51" i="37" l="1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C5" i="21" s="1"/>
  <c r="BA7" i="21"/>
  <c r="C18" i="21" l="1"/>
  <c r="C9" i="21"/>
  <c r="BB8" i="21"/>
  <c r="C15" i="21"/>
  <c r="C16" i="21"/>
  <c r="BO16" i="21"/>
  <c r="BA23" i="21"/>
  <c r="BO23" i="21" s="1"/>
  <c r="BA18" i="21"/>
  <c r="BO18" i="21" s="1"/>
  <c r="AY56" i="26"/>
  <c r="AY27" i="26"/>
  <c r="AY17" i="26"/>
  <c r="BR58" i="32"/>
  <c r="B58" i="32" s="1"/>
  <c r="F7" i="5" l="1"/>
  <c r="BM44" i="7"/>
  <c r="AY46" i="26"/>
  <c r="AY50" i="26"/>
  <c r="E44" i="7" l="1"/>
  <c r="BR49" i="32"/>
  <c r="D61" i="87"/>
  <c r="E58" i="87"/>
  <c r="F52" i="87"/>
  <c r="BM34" i="7" l="1"/>
  <c r="BQ58" i="32" l="1"/>
  <c r="S83" i="34"/>
  <c r="XFD14" i="34" l="1"/>
  <c r="XFD19" i="34"/>
  <c r="XFD17" i="34"/>
  <c r="XFD16" i="34"/>
  <c r="XFD18" i="34"/>
  <c r="XFD15" i="34"/>
  <c r="XFD20" i="34"/>
  <c r="BQ49" i="32" l="1"/>
  <c r="D60" i="87"/>
  <c r="E57" i="87"/>
  <c r="F51" i="87"/>
  <c r="AX56" i="26" l="1"/>
  <c r="AX46" i="26"/>
  <c r="AX17" i="26"/>
  <c r="AX20" i="26"/>
  <c r="AX21" i="26"/>
  <c r="AX27" i="26"/>
  <c r="BL44" i="7"/>
  <c r="BL34" i="7"/>
  <c r="T83" i="34" l="1"/>
  <c r="BP58" i="32" l="1"/>
  <c r="D59" i="87" l="1"/>
  <c r="E56" i="87"/>
  <c r="R83" i="34" l="1"/>
  <c r="T84" i="34" s="1"/>
  <c r="BK44" i="7" l="1"/>
  <c r="XFD74" i="34" l="1"/>
  <c r="U7" i="34"/>
  <c r="XFD7" i="34" s="1"/>
  <c r="XFD77" i="34"/>
  <c r="XFD75" i="34"/>
  <c r="BP48" i="32"/>
  <c r="BH40" i="24"/>
  <c r="U83" i="34" l="1"/>
  <c r="BK40" i="7"/>
  <c r="BH47" i="24"/>
  <c r="BH41" i="24"/>
  <c r="BH13" i="24" l="1"/>
  <c r="BP49" i="32"/>
  <c r="BP50" i="32"/>
  <c r="BK35" i="7" s="1"/>
  <c r="BP51" i="32"/>
  <c r="BK36" i="7" s="1"/>
  <c r="BP52" i="32"/>
  <c r="BK37" i="7" s="1"/>
  <c r="BP53" i="32"/>
  <c r="BK38" i="7" s="1"/>
  <c r="BP41" i="32"/>
  <c r="BK13" i="7" s="1"/>
  <c r="BP42" i="32"/>
  <c r="BK14" i="7" s="1"/>
  <c r="BP43" i="32"/>
  <c r="BK15" i="7" s="1"/>
  <c r="BP38" i="32"/>
  <c r="BK10" i="7" s="1"/>
  <c r="BP39" i="32" l="1"/>
  <c r="BK11" i="7" s="1"/>
  <c r="BP40" i="32"/>
  <c r="BK12" i="7" s="1"/>
  <c r="BP7" i="32"/>
  <c r="BQ6" i="32" s="1"/>
  <c r="BK31" i="7"/>
  <c r="BP5" i="32"/>
  <c r="BK10" i="5" s="1"/>
  <c r="BK34" i="7"/>
  <c r="BP54" i="32"/>
  <c r="F50" i="87"/>
  <c r="D58" i="87"/>
  <c r="E55" i="87"/>
  <c r="BO58" i="32" l="1"/>
  <c r="BH50" i="24" l="1"/>
  <c r="BL74" i="32" l="1"/>
  <c r="BH74" i="32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J44" i="7" l="1"/>
  <c r="BP74" i="32"/>
  <c r="BG47" i="24"/>
  <c r="BG41" i="24"/>
  <c r="BO48" i="32" l="1"/>
  <c r="BJ40" i="7" s="1"/>
  <c r="BO52" i="32"/>
  <c r="BJ37" i="7" s="1"/>
  <c r="BO96" i="32"/>
  <c r="BO7" i="32"/>
  <c r="BP6" i="32" s="1"/>
  <c r="BO50" i="32"/>
  <c r="BJ35" i="7" s="1"/>
  <c r="BO85" i="32"/>
  <c r="BO38" i="32"/>
  <c r="BJ10" i="7" s="1"/>
  <c r="BO4" i="32"/>
  <c r="BJ7" i="5" s="1"/>
  <c r="M25" i="92" s="1"/>
  <c r="BO51" i="32"/>
  <c r="BJ36" i="7" s="1"/>
  <c r="BO43" i="32"/>
  <c r="BJ15" i="7" s="1"/>
  <c r="BO39" i="32"/>
  <c r="BJ11" i="7" s="1"/>
  <c r="BO42" i="32"/>
  <c r="BJ14" i="7" s="1"/>
  <c r="BO49" i="32"/>
  <c r="BJ34" i="7" s="1"/>
  <c r="BO53" i="32"/>
  <c r="BJ38" i="7" s="1"/>
  <c r="BO41" i="32"/>
  <c r="BJ13" i="7" s="1"/>
  <c r="BO5" i="32"/>
  <c r="BJ10" i="5" s="1"/>
  <c r="BO40" i="32"/>
  <c r="BJ12" i="7" s="1"/>
  <c r="BG13" i="24"/>
  <c r="BJ31" i="7" l="1"/>
  <c r="BF47" i="24" l="1"/>
  <c r="BN58" i="32"/>
  <c r="BI44" i="7" s="1"/>
  <c r="BN96" i="32" l="1"/>
  <c r="BN74" i="32"/>
  <c r="BN85" i="32"/>
  <c r="BM85" i="32"/>
  <c r="BM96" i="32"/>
  <c r="BF41" i="24"/>
  <c r="BE13" i="24"/>
  <c r="BF13" i="24" l="1"/>
  <c r="BN5" i="32"/>
  <c r="BI10" i="5" s="1"/>
  <c r="D57" i="87"/>
  <c r="E54" i="87"/>
  <c r="BM58" i="32" l="1"/>
  <c r="BH44" i="7" s="1"/>
  <c r="BM48" i="32" l="1"/>
  <c r="BH40" i="7" s="1"/>
  <c r="BM49" i="32"/>
  <c r="BH34" i="7" s="1"/>
  <c r="BM50" i="32"/>
  <c r="BH35" i="7" s="1"/>
  <c r="BM51" i="32"/>
  <c r="BH36" i="7" s="1"/>
  <c r="BM52" i="32"/>
  <c r="BH37" i="7" s="1"/>
  <c r="BM53" i="32"/>
  <c r="BH38" i="7" s="1"/>
  <c r="BM38" i="32"/>
  <c r="BH10" i="7" s="1"/>
  <c r="BM39" i="32"/>
  <c r="BH11" i="7" s="1"/>
  <c r="BM41" i="32"/>
  <c r="BH13" i="7" s="1"/>
  <c r="BM42" i="32"/>
  <c r="BH14" i="7" s="1"/>
  <c r="BM43" i="32"/>
  <c r="BH15" i="7" s="1"/>
  <c r="D56" i="87"/>
  <c r="E53" i="87"/>
  <c r="BM40" i="32" l="1"/>
  <c r="BH12" i="7" s="1"/>
  <c r="BH31" i="7"/>
  <c r="BE47" i="24"/>
  <c r="BM5" i="32"/>
  <c r="BH10" i="5" s="1"/>
  <c r="BM7" i="32"/>
  <c r="BN6" i="32" s="1"/>
  <c r="BE41" i="24"/>
  <c r="BA52" i="21" l="1"/>
  <c r="AV16" i="21"/>
  <c r="AZ16" i="21"/>
  <c r="AX15" i="21"/>
  <c r="AW9" i="21"/>
  <c r="AZ5" i="21"/>
  <c r="BA29" i="21"/>
  <c r="BA55" i="21" l="1"/>
  <c r="BO52" i="21"/>
  <c r="BA32" i="21"/>
  <c r="BA34" i="21" s="1"/>
  <c r="C29" i="21"/>
  <c r="BO29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AW8" i="21" l="1"/>
  <c r="BO55" i="21"/>
  <c r="C55" i="21"/>
  <c r="D43" i="24" s="1"/>
  <c r="BA63" i="21"/>
  <c r="BO63" i="21" s="1"/>
  <c r="BA11" i="21"/>
  <c r="BA57" i="21"/>
  <c r="C57" i="21" s="1"/>
  <c r="BA40" i="21"/>
  <c r="BO40" i="21" s="1"/>
  <c r="BO57" i="21"/>
  <c r="C32" i="21"/>
  <c r="C31" i="21" s="1"/>
  <c r="BO32" i="21"/>
  <c r="C8" i="21"/>
  <c r="BA19" i="21"/>
  <c r="BO19" i="21" s="1"/>
  <c r="BO11" i="21"/>
  <c r="C34" i="21"/>
  <c r="BO34" i="21"/>
  <c r="BA43" i="21"/>
  <c r="BO43" i="21" s="1"/>
  <c r="BA13" i="2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BJ8" i="5"/>
  <c r="AY23" i="21"/>
  <c r="AW50" i="21"/>
  <c r="AW65" i="21" s="1"/>
  <c r="BE48" i="24"/>
  <c r="AW27" i="21"/>
  <c r="AX27" i="21" s="1"/>
  <c r="BG14" i="24" s="1"/>
  <c r="BE14" i="24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A66" i="21" l="1"/>
  <c r="BO66" i="21" s="1"/>
  <c r="C10" i="21"/>
  <c r="C11" i="21"/>
  <c r="AZ43" i="21"/>
  <c r="AV13" i="21"/>
  <c r="AV22" i="21" s="1"/>
  <c r="BA12" i="21"/>
  <c r="BO12" i="21" s="1"/>
  <c r="C13" i="21"/>
  <c r="C14" i="21" s="1"/>
  <c r="BO13" i="21"/>
  <c r="C23" i="21"/>
  <c r="AN131" i="2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BH11" i="5"/>
  <c r="AV20" i="21"/>
  <c r="AW42" i="21"/>
  <c r="AX42" i="21"/>
  <c r="AX41" i="21"/>
  <c r="AY27" i="21"/>
  <c r="BH14" i="24" s="1"/>
  <c r="AW41" i="21"/>
  <c r="BF14" i="24"/>
  <c r="AW6" i="21"/>
  <c r="AW21" i="21" s="1"/>
  <c r="BF48" i="24"/>
  <c r="AW64" i="21"/>
  <c r="AX50" i="21"/>
  <c r="BG48" i="24" s="1"/>
  <c r="AY43" i="21"/>
  <c r="AY13" i="21"/>
  <c r="AW19" i="21"/>
  <c r="AW43" i="21"/>
  <c r="AW13" i="21"/>
  <c r="AZ14" i="21"/>
  <c r="AZ22" i="21"/>
  <c r="AZ12" i="21"/>
  <c r="AX13" i="21"/>
  <c r="AX43" i="21"/>
  <c r="AX19" i="21"/>
  <c r="AV12" i="21" l="1"/>
  <c r="AV14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AN130" i="2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XFD53" i="34"/>
  <c r="AX65" i="21"/>
  <c r="AX64" i="21"/>
  <c r="AY50" i="21"/>
  <c r="BH48" i="24" s="1"/>
  <c r="AX6" i="21"/>
  <c r="BJ11" i="5" s="1"/>
  <c r="AW20" i="21"/>
  <c r="BI11" i="5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BB27" i="21" l="1"/>
  <c r="AX156" i="37"/>
  <c r="BA41" i="21"/>
  <c r="BA42" i="2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BK11" i="5" s="1"/>
  <c r="AZ50" i="21"/>
  <c r="AY65" i="21"/>
  <c r="AY64" i="21"/>
  <c r="BB50" i="21" l="1"/>
  <c r="AY160" i="37" s="1"/>
  <c r="BC27" i="21"/>
  <c r="BB41" i="21"/>
  <c r="BB42" i="21"/>
  <c r="BB6" i="21"/>
  <c r="AY156" i="37"/>
  <c r="BA6" i="21"/>
  <c r="AX160" i="37"/>
  <c r="BA64" i="21"/>
  <c r="BA65" i="21"/>
  <c r="AZ64" i="21"/>
  <c r="AZ65" i="21"/>
  <c r="AZ6" i="21"/>
  <c r="AY20" i="21"/>
  <c r="AY21" i="21"/>
  <c r="BD47" i="24"/>
  <c r="BD48" i="24" s="1"/>
  <c r="BD41" i="24"/>
  <c r="BD13" i="24"/>
  <c r="BD14" i="24" s="1"/>
  <c r="AX50" i="37" l="1"/>
  <c r="BL14" i="24"/>
  <c r="BA21" i="21"/>
  <c r="BC50" i="21"/>
  <c r="BD27" i="21"/>
  <c r="BC42" i="21"/>
  <c r="BC41" i="21"/>
  <c r="BA20" i="21"/>
  <c r="BB65" i="21"/>
  <c r="BB64" i="21"/>
  <c r="BB21" i="21"/>
  <c r="BB20" i="21"/>
  <c r="AY50" i="37"/>
  <c r="AZ156" i="37"/>
  <c r="AZ21" i="21"/>
  <c r="AZ20" i="21"/>
  <c r="AU16" i="21"/>
  <c r="AU15" i="21"/>
  <c r="AU13" i="21"/>
  <c r="AU11" i="21"/>
  <c r="AU9" i="21"/>
  <c r="AU7" i="21"/>
  <c r="AU6" i="21"/>
  <c r="AU5" i="21"/>
  <c r="BC6" i="21" l="1"/>
  <c r="AZ50" i="37" s="1"/>
  <c r="BC65" i="21"/>
  <c r="BL48" i="24"/>
  <c r="AZ160" i="37"/>
  <c r="BD50" i="21"/>
  <c r="BC64" i="21"/>
  <c r="BE27" i="21"/>
  <c r="BD41" i="21"/>
  <c r="BD42" i="21"/>
  <c r="BA156" i="37"/>
  <c r="BC21" i="21"/>
  <c r="BC20" i="21"/>
  <c r="AU8" i="21"/>
  <c r="AV8" i="21"/>
  <c r="AU14" i="21"/>
  <c r="AU19" i="21"/>
  <c r="AU21" i="21"/>
  <c r="AU12" i="21"/>
  <c r="AU23" i="21"/>
  <c r="AU22" i="21"/>
  <c r="AU20" i="21"/>
  <c r="AU18" i="21"/>
  <c r="BL58" i="32"/>
  <c r="BG44" i="7" s="1"/>
  <c r="BL53" i="32"/>
  <c r="BG38" i="7" s="1"/>
  <c r="BL52" i="32"/>
  <c r="BG37" i="7" s="1"/>
  <c r="BL51" i="32"/>
  <c r="BG36" i="7" s="1"/>
  <c r="BL50" i="32"/>
  <c r="BG35" i="7" s="1"/>
  <c r="BL49" i="32"/>
  <c r="BG34" i="7" s="1"/>
  <c r="BL48" i="32"/>
  <c r="BG40" i="7" s="1"/>
  <c r="BL96" i="32"/>
  <c r="BL85" i="32"/>
  <c r="BL43" i="32"/>
  <c r="BG15" i="7" s="1"/>
  <c r="BL42" i="32"/>
  <c r="BG14" i="7" s="1"/>
  <c r="BL41" i="32"/>
  <c r="BG13" i="7" s="1"/>
  <c r="BL40" i="32"/>
  <c r="BG12" i="7" s="1"/>
  <c r="BL39" i="32"/>
  <c r="BG11" i="7" s="1"/>
  <c r="BL38" i="32"/>
  <c r="BG10" i="7" s="1"/>
  <c r="BL7" i="32"/>
  <c r="BM6" i="32" s="1"/>
  <c r="BL5" i="32"/>
  <c r="BG10" i="5" s="1"/>
  <c r="BG11" i="5" s="1"/>
  <c r="BL6" i="32"/>
  <c r="BO11" i="5" l="1"/>
  <c r="BN14" i="24"/>
  <c r="BD6" i="21"/>
  <c r="BA160" i="37"/>
  <c r="BE50" i="21"/>
  <c r="BD65" i="21"/>
  <c r="BD64" i="21"/>
  <c r="BF27" i="21"/>
  <c r="BO14" i="24" s="1"/>
  <c r="BE42" i="21"/>
  <c r="BE41" i="21"/>
  <c r="BB156" i="37"/>
  <c r="BG31" i="7"/>
  <c r="BE65" i="21" l="1"/>
  <c r="BN48" i="24"/>
  <c r="BB160" i="37"/>
  <c r="BA50" i="37"/>
  <c r="BD20" i="21"/>
  <c r="BD21" i="21"/>
  <c r="BF50" i="21"/>
  <c r="BE6" i="21"/>
  <c r="BQ11" i="5" s="1"/>
  <c r="BE64" i="21"/>
  <c r="BG27" i="21"/>
  <c r="BF42" i="21"/>
  <c r="BF41" i="21"/>
  <c r="BC156" i="37"/>
  <c r="D55" i="87"/>
  <c r="E52" i="87"/>
  <c r="I59" i="87"/>
  <c r="H59" i="87"/>
  <c r="G59" i="87"/>
  <c r="I58" i="87"/>
  <c r="H58" i="87"/>
  <c r="G58" i="87"/>
  <c r="I57" i="87"/>
  <c r="H57" i="87"/>
  <c r="G57" i="87"/>
  <c r="I56" i="87"/>
  <c r="H56" i="87"/>
  <c r="I55" i="87"/>
  <c r="H55" i="87"/>
  <c r="I54" i="87"/>
  <c r="H54" i="87"/>
  <c r="G54" i="87"/>
  <c r="I53" i="87"/>
  <c r="H53" i="87"/>
  <c r="G53" i="87"/>
  <c r="I52" i="87"/>
  <c r="G52" i="87"/>
  <c r="I51" i="87"/>
  <c r="H51" i="87"/>
  <c r="G51" i="87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E6" i="87"/>
  <c r="D6" i="87"/>
  <c r="C27" i="21" l="1"/>
  <c r="BP14" i="24"/>
  <c r="BO27" i="21"/>
  <c r="BF65" i="21"/>
  <c r="BO48" i="24"/>
  <c r="BC160" i="37"/>
  <c r="BG50" i="21"/>
  <c r="BE20" i="21"/>
  <c r="BE21" i="21"/>
  <c r="BF64" i="21"/>
  <c r="BB50" i="37"/>
  <c r="BF6" i="21"/>
  <c r="BF21" i="21" s="1"/>
  <c r="I6" i="87"/>
  <c r="G6" i="87"/>
  <c r="D4" i="87"/>
  <c r="H6" i="87"/>
  <c r="E4" i="87"/>
  <c r="BH27" i="21"/>
  <c r="BQ14" i="24" s="1"/>
  <c r="BG41" i="21"/>
  <c r="BO41" i="21" s="1"/>
  <c r="BG42" i="21"/>
  <c r="BO42" i="21" s="1"/>
  <c r="BD156" i="37"/>
  <c r="G56" i="87"/>
  <c r="G55" i="87"/>
  <c r="H52" i="87"/>
  <c r="F46" i="87"/>
  <c r="I46" i="87" s="1"/>
  <c r="BF20" i="21" l="1"/>
  <c r="BG65" i="21"/>
  <c r="BP48" i="24"/>
  <c r="BO65" i="21"/>
  <c r="BO50" i="21"/>
  <c r="BG64" i="21"/>
  <c r="BO64" i="21" s="1"/>
  <c r="BD160" i="37"/>
  <c r="BC50" i="37"/>
  <c r="BR11" i="5"/>
  <c r="BH50" i="21"/>
  <c r="BG6" i="21"/>
  <c r="F4" i="87"/>
  <c r="I4" i="87" s="1"/>
  <c r="BI27" i="21"/>
  <c r="BR14" i="24" s="1"/>
  <c r="BH41" i="21"/>
  <c r="BH42" i="21"/>
  <c r="BE156" i="37"/>
  <c r="BH64" i="21" l="1"/>
  <c r="BQ48" i="24"/>
  <c r="BD50" i="37"/>
  <c r="BS11" i="5"/>
  <c r="BO6" i="21"/>
  <c r="C6" i="21"/>
  <c r="BI50" i="21"/>
  <c r="BR48" i="24" s="1"/>
  <c r="BG20" i="21"/>
  <c r="BO20" i="21" s="1"/>
  <c r="BG21" i="21"/>
  <c r="BO21" i="21" s="1"/>
  <c r="BH6" i="21"/>
  <c r="BH21" i="21" s="1"/>
  <c r="BH65" i="21"/>
  <c r="BE160" i="37"/>
  <c r="BJ27" i="21"/>
  <c r="BS14" i="24" s="1"/>
  <c r="BI42" i="21"/>
  <c r="BI41" i="21"/>
  <c r="BF156" i="37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I6" i="21" l="1"/>
  <c r="BU11" i="5" s="1"/>
  <c r="BI64" i="21"/>
  <c r="BJ50" i="21"/>
  <c r="BS48" i="24" s="1"/>
  <c r="BI65" i="21"/>
  <c r="BE50" i="37"/>
  <c r="BT11" i="5"/>
  <c r="BH20" i="21"/>
  <c r="BJ65" i="21"/>
  <c r="BK27" i="21"/>
  <c r="BT14" i="24" s="1"/>
  <c r="BJ41" i="21"/>
  <c r="BJ42" i="21"/>
  <c r="BJ6" i="21"/>
  <c r="BV11" i="5" s="1"/>
  <c r="BG156" i="37"/>
  <c r="BI20" i="21"/>
  <c r="BI21" i="21"/>
  <c r="BF50" i="37"/>
  <c r="BK50" i="21"/>
  <c r="BT48" i="24" s="1"/>
  <c r="BG160" i="37"/>
  <c r="T101" i="22"/>
  <c r="S101" i="22"/>
  <c r="R101" i="22"/>
  <c r="Q101" i="22"/>
  <c r="T57" i="22"/>
  <c r="S57" i="22"/>
  <c r="R57" i="22"/>
  <c r="Q57" i="22"/>
  <c r="BJ64" i="21" l="1"/>
  <c r="R104" i="22"/>
  <c r="BK65" i="21"/>
  <c r="BK64" i="21"/>
  <c r="BL27" i="21"/>
  <c r="BU14" i="24" s="1"/>
  <c r="BK42" i="21"/>
  <c r="BK41" i="21"/>
  <c r="BK6" i="21"/>
  <c r="BW11" i="5" s="1"/>
  <c r="BH156" i="37"/>
  <c r="BJ20" i="21"/>
  <c r="BJ21" i="21"/>
  <c r="BG50" i="37"/>
  <c r="BL50" i="21"/>
  <c r="BH160" i="37"/>
  <c r="S104" i="22"/>
  <c r="T104" i="22"/>
  <c r="T58" i="22"/>
  <c r="Q104" i="22"/>
  <c r="S58" i="22"/>
  <c r="C50" i="21" l="1"/>
  <c r="BU48" i="24"/>
  <c r="BL41" i="21"/>
  <c r="BL42" i="21"/>
  <c r="BI160" i="37"/>
  <c r="BL64" i="21"/>
  <c r="BL65" i="21"/>
  <c r="BL6" i="21"/>
  <c r="BX11" i="5" s="1"/>
  <c r="BI156" i="37"/>
  <c r="BK21" i="21"/>
  <c r="BK20" i="21"/>
  <c r="BH50" i="37"/>
  <c r="AR7" i="26"/>
  <c r="AR8" i="26"/>
  <c r="AR9" i="26"/>
  <c r="AR10" i="26"/>
  <c r="AR11" i="26"/>
  <c r="AR12" i="26"/>
  <c r="BF34" i="7"/>
  <c r="BF35" i="7"/>
  <c r="BF36" i="7"/>
  <c r="BF37" i="7"/>
  <c r="BF38" i="7"/>
  <c r="BF40" i="7"/>
  <c r="BF44" i="7"/>
  <c r="BF10" i="7"/>
  <c r="BF11" i="7"/>
  <c r="BF12" i="7"/>
  <c r="BF13" i="7"/>
  <c r="BF14" i="7"/>
  <c r="BF15" i="7"/>
  <c r="BC41" i="24"/>
  <c r="BC47" i="24"/>
  <c r="BC48" i="24" s="1"/>
  <c r="BC13" i="24"/>
  <c r="BC14" i="24" s="1"/>
  <c r="BL20" i="21" l="1"/>
  <c r="BL21" i="21"/>
  <c r="BI50" i="37"/>
  <c r="BF31" i="7"/>
  <c r="BF10" i="5"/>
  <c r="BF11" i="5" s="1"/>
  <c r="BK16" i="32"/>
  <c r="BJ60" i="32" l="1"/>
  <c r="BJ10" i="32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J54" i="32" l="1"/>
  <c r="AQ56" i="26" l="1"/>
  <c r="AR56" i="26"/>
  <c r="AS56" i="26"/>
  <c r="AT56" i="26"/>
  <c r="AU56" i="26"/>
  <c r="AV56" i="26"/>
  <c r="AW56" i="26"/>
  <c r="AQ59" i="26"/>
  <c r="AQ60" i="26" s="1"/>
  <c r="AR59" i="26"/>
  <c r="AS59" i="26"/>
  <c r="AS60" i="26" s="1"/>
  <c r="AT59" i="26"/>
  <c r="AT60" i="26" s="1"/>
  <c r="AV59" i="26"/>
  <c r="AV60" i="26" s="1"/>
  <c r="AW59" i="26"/>
  <c r="AW60" i="26" s="1"/>
  <c r="AR60" i="26"/>
  <c r="AP59" i="26"/>
  <c r="AQ46" i="26"/>
  <c r="AR46" i="26"/>
  <c r="AS46" i="26"/>
  <c r="AT46" i="26"/>
  <c r="AV46" i="26"/>
  <c r="AW46" i="26"/>
  <c r="AQ47" i="26"/>
  <c r="AR47" i="26"/>
  <c r="AS47" i="26"/>
  <c r="AT47" i="26"/>
  <c r="AV47" i="26"/>
  <c r="AW47" i="26"/>
  <c r="AQ48" i="26"/>
  <c r="AR48" i="26"/>
  <c r="AS48" i="26"/>
  <c r="AT48" i="26"/>
  <c r="AV48" i="26"/>
  <c r="AW48" i="26"/>
  <c r="AQ49" i="26"/>
  <c r="AR49" i="26"/>
  <c r="AS49" i="26"/>
  <c r="AT49" i="26"/>
  <c r="AV49" i="26"/>
  <c r="AW49" i="26"/>
  <c r="AQ50" i="26"/>
  <c r="AR50" i="26"/>
  <c r="AS50" i="26"/>
  <c r="AT50" i="26"/>
  <c r="AV50" i="26"/>
  <c r="AW50" i="26"/>
  <c r="AQ36" i="26"/>
  <c r="AR36" i="26"/>
  <c r="AS36" i="26"/>
  <c r="AT36" i="26"/>
  <c r="AV36" i="26"/>
  <c r="AW36" i="26"/>
  <c r="AQ37" i="26"/>
  <c r="AR37" i="26"/>
  <c r="AS37" i="26"/>
  <c r="AT37" i="26"/>
  <c r="AV37" i="26"/>
  <c r="AW37" i="26"/>
  <c r="AQ38" i="26"/>
  <c r="AR38" i="26"/>
  <c r="AS38" i="26"/>
  <c r="AT38" i="26"/>
  <c r="AV38" i="26"/>
  <c r="AW38" i="26"/>
  <c r="AQ39" i="26"/>
  <c r="AR39" i="26"/>
  <c r="AS39" i="26"/>
  <c r="AT39" i="26"/>
  <c r="AV39" i="26"/>
  <c r="AW39" i="26"/>
  <c r="AQ40" i="26"/>
  <c r="AR40" i="26"/>
  <c r="AS40" i="26"/>
  <c r="AT40" i="26"/>
  <c r="AV40" i="26"/>
  <c r="AW40" i="26"/>
  <c r="AQ41" i="26"/>
  <c r="AR41" i="26"/>
  <c r="AS41" i="26"/>
  <c r="AT41" i="26"/>
  <c r="AV41" i="26"/>
  <c r="AW41" i="26"/>
  <c r="AP36" i="26"/>
  <c r="AQ27" i="26"/>
  <c r="AR27" i="26"/>
  <c r="AS27" i="26"/>
  <c r="AT27" i="26"/>
  <c r="AU27" i="26"/>
  <c r="AV27" i="26"/>
  <c r="AW27" i="26"/>
  <c r="AQ30" i="26"/>
  <c r="AQ31" i="26" s="1"/>
  <c r="AR30" i="26"/>
  <c r="AR31" i="26" s="1"/>
  <c r="AS30" i="26"/>
  <c r="AS31" i="26" s="1"/>
  <c r="AT30" i="26"/>
  <c r="AT31" i="26" s="1"/>
  <c r="AV30" i="26"/>
  <c r="AV31" i="26" s="1"/>
  <c r="AW30" i="26"/>
  <c r="AW31" i="26" s="1"/>
  <c r="AQ17" i="26"/>
  <c r="AR17" i="26"/>
  <c r="AS17" i="26"/>
  <c r="AT17" i="26"/>
  <c r="AU17" i="26"/>
  <c r="AV17" i="26"/>
  <c r="AW17" i="26"/>
  <c r="AQ18" i="26"/>
  <c r="AR18" i="26"/>
  <c r="AS18" i="26"/>
  <c r="AT18" i="26"/>
  <c r="AV18" i="26"/>
  <c r="AW18" i="26"/>
  <c r="AQ19" i="26"/>
  <c r="AR19" i="26"/>
  <c r="AS19" i="26"/>
  <c r="AT19" i="26"/>
  <c r="AV19" i="26"/>
  <c r="AW19" i="26"/>
  <c r="AQ20" i="26"/>
  <c r="AR20" i="26"/>
  <c r="AS20" i="26"/>
  <c r="AT20" i="26"/>
  <c r="AV20" i="26"/>
  <c r="AW20" i="26"/>
  <c r="AQ21" i="26"/>
  <c r="AR21" i="26"/>
  <c r="AS21" i="26"/>
  <c r="AT21" i="26"/>
  <c r="AV21" i="26"/>
  <c r="AW21" i="26"/>
  <c r="AQ7" i="26"/>
  <c r="AS7" i="26"/>
  <c r="AT7" i="26"/>
  <c r="AV7" i="26"/>
  <c r="AW7" i="26"/>
  <c r="AQ8" i="26"/>
  <c r="AS8" i="26"/>
  <c r="AT8" i="26"/>
  <c r="AV8" i="26"/>
  <c r="AW8" i="26"/>
  <c r="AQ9" i="26"/>
  <c r="AS9" i="26"/>
  <c r="AT9" i="26"/>
  <c r="AV9" i="26"/>
  <c r="AW9" i="26"/>
  <c r="AQ10" i="26"/>
  <c r="AS10" i="26"/>
  <c r="AT10" i="26"/>
  <c r="AV10" i="26"/>
  <c r="AW10" i="26"/>
  <c r="AQ11" i="26"/>
  <c r="AS11" i="26"/>
  <c r="AT11" i="26"/>
  <c r="AV11" i="26"/>
  <c r="AW11" i="26"/>
  <c r="AQ12" i="26"/>
  <c r="AS12" i="26"/>
  <c r="AT12" i="26"/>
  <c r="AV12" i="26"/>
  <c r="AW12" i="26"/>
  <c r="AP12" i="26"/>
  <c r="AG16" i="26"/>
  <c r="AW16" i="26"/>
  <c r="AW25" i="26" s="1"/>
  <c r="AW35" i="26" s="1"/>
  <c r="AW45" i="26" s="1"/>
  <c r="AW54" i="26" s="1"/>
  <c r="BE34" i="7"/>
  <c r="BE35" i="7"/>
  <c r="BE36" i="7"/>
  <c r="BE37" i="7"/>
  <c r="BE38" i="7"/>
  <c r="BE40" i="7"/>
  <c r="BE44" i="7"/>
  <c r="BE10" i="7"/>
  <c r="BE11" i="7"/>
  <c r="BE12" i="7"/>
  <c r="BE13" i="7"/>
  <c r="BE14" i="7"/>
  <c r="BE15" i="7"/>
  <c r="AW22" i="26" l="1"/>
  <c r="AS22" i="26"/>
  <c r="AT22" i="26"/>
  <c r="AW51" i="26"/>
  <c r="AV51" i="26"/>
  <c r="AV22" i="26"/>
  <c r="AQ51" i="26"/>
  <c r="AT51" i="26"/>
  <c r="AS51" i="26"/>
  <c r="AR51" i="26"/>
  <c r="AR22" i="26"/>
  <c r="AQ22" i="26"/>
  <c r="BE31" i="7"/>
  <c r="BB41" i="24"/>
  <c r="BB47" i="24"/>
  <c r="BB48" i="24" s="1"/>
  <c r="BB13" i="24"/>
  <c r="BB14" i="24" s="1"/>
  <c r="BA41" i="24"/>
  <c r="BA47" i="24"/>
  <c r="BA48" i="24" s="1"/>
  <c r="BA13" i="24"/>
  <c r="BA14" i="24" s="1"/>
  <c r="BE10" i="5"/>
  <c r="BE11" i="5" s="1"/>
  <c r="S102" i="22" l="1"/>
  <c r="R102" i="22"/>
  <c r="S105" i="22" l="1"/>
  <c r="R105" i="22"/>
  <c r="R58" i="22"/>
  <c r="BD40" i="7"/>
  <c r="AP60" i="26"/>
  <c r="BI10" i="32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AP56" i="26" l="1"/>
  <c r="AP46" i="26"/>
  <c r="AP47" i="26"/>
  <c r="AP48" i="26"/>
  <c r="AP49" i="26"/>
  <c r="AP50" i="26"/>
  <c r="AP37" i="26"/>
  <c r="AP38" i="26"/>
  <c r="AP39" i="26"/>
  <c r="AP40" i="26"/>
  <c r="AP41" i="26"/>
  <c r="AP27" i="26"/>
  <c r="AP30" i="26"/>
  <c r="AP31" i="26" s="1"/>
  <c r="AP17" i="26"/>
  <c r="AP18" i="26"/>
  <c r="AP19" i="26"/>
  <c r="AP20" i="26"/>
  <c r="AP21" i="26"/>
  <c r="AP7" i="26"/>
  <c r="AP8" i="26"/>
  <c r="AP9" i="26"/>
  <c r="AP10" i="26"/>
  <c r="AP11" i="26"/>
  <c r="AQ16" i="26"/>
  <c r="AQ25" i="26" s="1"/>
  <c r="AQ35" i="26" s="1"/>
  <c r="AQ45" i="26" s="1"/>
  <c r="AQ54" i="26" s="1"/>
  <c r="AR16" i="26"/>
  <c r="AR25" i="26" s="1"/>
  <c r="AR35" i="26" s="1"/>
  <c r="AR45" i="26" s="1"/>
  <c r="AR54" i="26" s="1"/>
  <c r="AS16" i="26"/>
  <c r="AS25" i="26" s="1"/>
  <c r="AS35" i="26" s="1"/>
  <c r="AS45" i="26" s="1"/>
  <c r="AS54" i="26" s="1"/>
  <c r="AT16" i="26"/>
  <c r="AT25" i="26" s="1"/>
  <c r="AT35" i="26" s="1"/>
  <c r="AT45" i="26" s="1"/>
  <c r="AT54" i="26" s="1"/>
  <c r="AU16" i="26"/>
  <c r="AU25" i="26" s="1"/>
  <c r="AU35" i="26" s="1"/>
  <c r="AU45" i="26" s="1"/>
  <c r="AU54" i="26" s="1"/>
  <c r="AV16" i="26"/>
  <c r="AV25" i="26" s="1"/>
  <c r="AV35" i="26" s="1"/>
  <c r="AV45" i="26" s="1"/>
  <c r="AV54" i="26" s="1"/>
  <c r="AX16" i="26"/>
  <c r="AX25" i="26" s="1"/>
  <c r="AX35" i="26" s="1"/>
  <c r="AX45" i="26" s="1"/>
  <c r="AX54" i="26" s="1"/>
  <c r="AP16" i="26"/>
  <c r="AP25" i="26" s="1"/>
  <c r="AP35" i="26" s="1"/>
  <c r="AP45" i="26" s="1"/>
  <c r="AP54" i="26" s="1"/>
  <c r="AO16" i="26"/>
  <c r="AP22" i="26" l="1"/>
  <c r="AP51" i="26"/>
  <c r="BD34" i="7"/>
  <c r="BD35" i="7"/>
  <c r="BD36" i="7"/>
  <c r="BD37" i="7"/>
  <c r="BD38" i="7"/>
  <c r="BD44" i="7"/>
  <c r="BD10" i="7"/>
  <c r="BD11" i="7"/>
  <c r="BD12" i="7"/>
  <c r="BD13" i="7"/>
  <c r="BD14" i="7"/>
  <c r="BD15" i="7"/>
  <c r="AP42" i="26"/>
  <c r="AP43" i="26" s="1"/>
  <c r="AQ42" i="26"/>
  <c r="AQ43" i="26" s="1"/>
  <c r="AR42" i="26"/>
  <c r="AR43" i="26" s="1"/>
  <c r="AS42" i="26"/>
  <c r="AS43" i="26" s="1"/>
  <c r="AT42" i="26"/>
  <c r="AT43" i="26" s="1"/>
  <c r="AV42" i="26"/>
  <c r="AV43" i="26" s="1"/>
  <c r="BH7" i="24"/>
  <c r="BI54" i="32"/>
  <c r="BK54" i="32"/>
  <c r="BL54" i="32"/>
  <c r="BM54" i="32"/>
  <c r="BO54" i="32"/>
  <c r="C60" i="87" s="1"/>
  <c r="C61" i="87"/>
  <c r="BH54" i="32"/>
  <c r="BI45" i="32"/>
  <c r="BD8" i="7" s="1"/>
  <c r="BJ45" i="32"/>
  <c r="BK45" i="32"/>
  <c r="BL45" i="32"/>
  <c r="BM45" i="32"/>
  <c r="BO45" i="32"/>
  <c r="BP45" i="32"/>
  <c r="BH45" i="32"/>
  <c r="BH35" i="32" s="1"/>
  <c r="BD10" i="5"/>
  <c r="BD11" i="5" s="1"/>
  <c r="AT13" i="26" l="1"/>
  <c r="AT14" i="26" s="1"/>
  <c r="BE7" i="24"/>
  <c r="AP13" i="26"/>
  <c r="AP14" i="26" s="1"/>
  <c r="BA7" i="24"/>
  <c r="AS13" i="26"/>
  <c r="AS14" i="26" s="1"/>
  <c r="BD7" i="24"/>
  <c r="AW13" i="26"/>
  <c r="AW14" i="26" s="1"/>
  <c r="G61" i="87"/>
  <c r="I61" i="87"/>
  <c r="H61" i="87"/>
  <c r="BK8" i="7"/>
  <c r="BK18" i="7" s="1"/>
  <c r="BK15" i="5"/>
  <c r="AW42" i="26"/>
  <c r="AW43" i="26" s="1"/>
  <c r="G60" i="87"/>
  <c r="I60" i="87"/>
  <c r="H60" i="87"/>
  <c r="BJ15" i="5"/>
  <c r="BJ8" i="7"/>
  <c r="BJ18" i="7" s="1"/>
  <c r="AV13" i="26"/>
  <c r="AV14" i="26" s="1"/>
  <c r="BG7" i="24"/>
  <c r="BG8" i="7"/>
  <c r="BG18" i="7" s="1"/>
  <c r="BG15" i="5"/>
  <c r="BH15" i="5"/>
  <c r="BH8" i="7"/>
  <c r="BH18" i="7" s="1"/>
  <c r="AR13" i="26"/>
  <c r="AR14" i="26" s="1"/>
  <c r="BC7" i="24"/>
  <c r="BF8" i="7"/>
  <c r="BF18" i="7" s="1"/>
  <c r="BF15" i="5"/>
  <c r="AQ13" i="26"/>
  <c r="AQ14" i="26" s="1"/>
  <c r="BB7" i="24"/>
  <c r="BE8" i="7"/>
  <c r="BE18" i="7" s="1"/>
  <c r="BE15" i="5"/>
  <c r="BD31" i="7"/>
  <c r="BD18" i="7"/>
  <c r="BD15" i="5"/>
  <c r="AO13" i="26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AO59" i="26" l="1"/>
  <c r="AO60" i="26" s="1"/>
  <c r="AO56" i="26"/>
  <c r="AO50" i="26"/>
  <c r="AO49" i="26"/>
  <c r="AO48" i="26"/>
  <c r="AO47" i="26"/>
  <c r="AO46" i="26"/>
  <c r="AO42" i="26"/>
  <c r="AO43" i="26" s="1"/>
  <c r="AO41" i="26"/>
  <c r="AO40" i="26"/>
  <c r="AO39" i="26"/>
  <c r="AO38" i="26"/>
  <c r="AO37" i="26"/>
  <c r="AO36" i="26"/>
  <c r="AO30" i="26"/>
  <c r="AO31" i="26" s="1"/>
  <c r="AO27" i="26"/>
  <c r="AO21" i="26"/>
  <c r="AO20" i="26"/>
  <c r="AO19" i="26"/>
  <c r="AO18" i="26"/>
  <c r="AO17" i="26"/>
  <c r="AO14" i="26"/>
  <c r="AO12" i="26"/>
  <c r="AO11" i="26"/>
  <c r="AO10" i="26"/>
  <c r="AO9" i="26"/>
  <c r="AO8" i="26"/>
  <c r="AO7" i="26"/>
  <c r="BC44" i="7"/>
  <c r="BC40" i="7"/>
  <c r="BC38" i="7"/>
  <c r="BC37" i="7"/>
  <c r="BC36" i="7"/>
  <c r="BC35" i="7"/>
  <c r="BC34" i="7"/>
  <c r="BC15" i="7"/>
  <c r="BC14" i="7"/>
  <c r="BC13" i="7"/>
  <c r="BC12" i="7"/>
  <c r="BC11" i="7"/>
  <c r="BC10" i="7"/>
  <c r="BC8" i="7"/>
  <c r="AZ47" i="24"/>
  <c r="AZ48" i="24" s="1"/>
  <c r="AZ41" i="24"/>
  <c r="AZ13" i="24"/>
  <c r="AZ14" i="24" s="1"/>
  <c r="AZ7" i="24"/>
  <c r="BC15" i="5"/>
  <c r="BC10" i="5"/>
  <c r="BC11" i="5" s="1"/>
  <c r="AO22" i="26" l="1"/>
  <c r="BC18" i="7"/>
  <c r="BC31" i="7"/>
  <c r="AO51" i="26"/>
  <c r="BH57" i="32"/>
  <c r="BH59" i="32" s="1"/>
  <c r="BG4" i="32"/>
  <c r="BH4" i="32"/>
  <c r="BC7" i="5" s="1"/>
  <c r="F25" i="92" s="1"/>
  <c r="BB7" i="5" l="1"/>
  <c r="E25" i="92" s="1"/>
  <c r="BH20" i="32"/>
  <c r="BC20" i="5" s="1"/>
  <c r="AZ6" i="24"/>
  <c r="BC8" i="5"/>
  <c r="BC46" i="7"/>
  <c r="BH61" i="32"/>
  <c r="BC47" i="7" s="1"/>
  <c r="BC45" i="7"/>
  <c r="BG10" i="32" l="1"/>
  <c r="C2" i="24"/>
  <c r="AL130" i="21"/>
  <c r="AJ130" i="21"/>
  <c r="AH130" i="21"/>
  <c r="AF130" i="21"/>
  <c r="AD130" i="21"/>
  <c r="F7" i="24" l="1"/>
  <c r="F41" i="24"/>
  <c r="BG54" i="32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AP39" i="24"/>
  <c r="AQ39" i="24"/>
  <c r="AR39" i="24"/>
  <c r="AS39" i="24"/>
  <c r="AT39" i="24"/>
  <c r="AU39" i="24"/>
  <c r="AV39" i="24"/>
  <c r="AW39" i="24"/>
  <c r="AX39" i="24"/>
  <c r="AY39" i="24"/>
  <c r="AO39" i="24"/>
  <c r="BG8" i="32" l="1"/>
  <c r="BG19" i="32" s="1"/>
  <c r="BF54" i="32"/>
  <c r="BG45" i="32"/>
  <c r="BG35" i="32" s="1"/>
  <c r="BF45" i="32"/>
  <c r="BF35" i="32" s="1"/>
  <c r="AP58" i="26" l="1"/>
  <c r="AQ58" i="26"/>
  <c r="AR58" i="26"/>
  <c r="AS58" i="26"/>
  <c r="AT58" i="26"/>
  <c r="AV58" i="26"/>
  <c r="AW58" i="26"/>
  <c r="AP55" i="26"/>
  <c r="AQ55" i="26"/>
  <c r="AR55" i="26"/>
  <c r="AS55" i="26"/>
  <c r="AT55" i="26"/>
  <c r="AV55" i="26"/>
  <c r="AW55" i="26"/>
  <c r="BA43" i="24"/>
  <c r="BC43" i="24"/>
  <c r="BE43" i="24"/>
  <c r="BF43" i="24"/>
  <c r="BG43" i="24"/>
  <c r="BD44" i="24"/>
  <c r="BA40" i="24"/>
  <c r="BB40" i="24"/>
  <c r="BC40" i="24"/>
  <c r="BF40" i="24"/>
  <c r="BG40" i="24"/>
  <c r="AP29" i="26"/>
  <c r="AQ29" i="26"/>
  <c r="AR29" i="26"/>
  <c r="AS29" i="26"/>
  <c r="AT29" i="26"/>
  <c r="AV29" i="26"/>
  <c r="AW29" i="26"/>
  <c r="AP26" i="26"/>
  <c r="AQ26" i="26"/>
  <c r="AR26" i="26"/>
  <c r="AS26" i="26"/>
  <c r="AT26" i="26"/>
  <c r="AV26" i="26"/>
  <c r="AW26" i="26"/>
  <c r="BA9" i="24"/>
  <c r="BC9" i="24"/>
  <c r="BD9" i="24"/>
  <c r="BF9" i="24"/>
  <c r="BG9" i="24"/>
  <c r="BH9" i="24"/>
  <c r="BA6" i="24"/>
  <c r="BB6" i="24"/>
  <c r="BC6" i="24"/>
  <c r="BE6" i="24"/>
  <c r="BF6" i="24"/>
  <c r="BG6" i="24"/>
  <c r="BH6" i="24"/>
  <c r="BG60" i="32"/>
  <c r="BI60" i="32"/>
  <c r="BD46" i="7" s="1"/>
  <c r="BE46" i="7"/>
  <c r="BK60" i="32"/>
  <c r="BF46" i="7" s="1"/>
  <c r="BL60" i="32"/>
  <c r="BG46" i="7" s="1"/>
  <c r="BM60" i="32"/>
  <c r="BH46" i="7" s="1"/>
  <c r="BO60" i="32"/>
  <c r="BJ46" i="7" s="1"/>
  <c r="BP60" i="32"/>
  <c r="BK46" i="7" s="1"/>
  <c r="BG57" i="32"/>
  <c r="BG61" i="32" s="1"/>
  <c r="BI57" i="32"/>
  <c r="BI61" i="32" s="1"/>
  <c r="BD47" i="7" s="1"/>
  <c r="BJ57" i="32"/>
  <c r="BJ61" i="32" s="1"/>
  <c r="BE47" i="7" s="1"/>
  <c r="BK57" i="32"/>
  <c r="BK59" i="32" s="1"/>
  <c r="BF45" i="7" s="1"/>
  <c r="BL57" i="32"/>
  <c r="BL59" i="32" s="1"/>
  <c r="BG45" i="7" s="1"/>
  <c r="BM57" i="32"/>
  <c r="BM59" i="32" s="1"/>
  <c r="BH45" i="7" s="1"/>
  <c r="BO57" i="32"/>
  <c r="BO59" i="32" s="1"/>
  <c r="BJ45" i="7" s="1"/>
  <c r="BP57" i="32"/>
  <c r="BP59" i="32" s="1"/>
  <c r="BK45" i="7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D43" i="7"/>
  <c r="BE43" i="7"/>
  <c r="BK10" i="32"/>
  <c r="BF43" i="7" s="1"/>
  <c r="BL10" i="32"/>
  <c r="BG43" i="7" s="1"/>
  <c r="BM10" i="32"/>
  <c r="BH43" i="7" s="1"/>
  <c r="BO10" i="32"/>
  <c r="BJ43" i="7" s="1"/>
  <c r="BP10" i="32"/>
  <c r="BK43" i="7" s="1"/>
  <c r="BI12" i="32"/>
  <c r="BJ12" i="32"/>
  <c r="BK12" i="32"/>
  <c r="BL12" i="32"/>
  <c r="BM12" i="32"/>
  <c r="BN12" i="32"/>
  <c r="BO12" i="32"/>
  <c r="BO20" i="32" s="1"/>
  <c r="BJ20" i="5" s="1"/>
  <c r="BH14" i="32"/>
  <c r="BI14" i="32"/>
  <c r="BJ14" i="32"/>
  <c r="BJ13" i="32" s="1"/>
  <c r="BE24" i="5" s="1"/>
  <c r="BK14" i="32"/>
  <c r="BL14" i="32"/>
  <c r="BM14" i="32"/>
  <c r="BN14" i="32"/>
  <c r="BO14" i="32"/>
  <c r="BO15" i="32" s="1"/>
  <c r="BJ25" i="5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BD7" i="5" s="1"/>
  <c r="G25" i="92" s="1"/>
  <c r="BJ4" i="32"/>
  <c r="BK4" i="32"/>
  <c r="BF7" i="5" s="1"/>
  <c r="BL4" i="32"/>
  <c r="BG7" i="5" s="1"/>
  <c r="BM4" i="32"/>
  <c r="BH7" i="5" s="1"/>
  <c r="BN4" i="32"/>
  <c r="BI7" i="5" s="1"/>
  <c r="L25" i="92" s="1"/>
  <c r="BP4" i="32"/>
  <c r="BK7" i="5" s="1"/>
  <c r="BG12" i="32"/>
  <c r="BG11" i="32" s="1"/>
  <c r="BG14" i="32"/>
  <c r="BG15" i="32" s="1"/>
  <c r="BG16" i="32"/>
  <c r="BG17" i="32"/>
  <c r="BJ11" i="32" l="1"/>
  <c r="BE23" i="5" s="1"/>
  <c r="BD10" i="24"/>
  <c r="BC10" i="24"/>
  <c r="BH11" i="32"/>
  <c r="BC23" i="5" s="1"/>
  <c r="BH19" i="32"/>
  <c r="BC18" i="5" s="1"/>
  <c r="AZ8" i="24"/>
  <c r="AR28" i="26"/>
  <c r="BK18" i="32"/>
  <c r="BI11" i="32"/>
  <c r="BD23" i="5" s="1"/>
  <c r="BK9" i="32"/>
  <c r="BC8" i="24"/>
  <c r="AT28" i="26"/>
  <c r="BH13" i="32"/>
  <c r="BC24" i="5" s="1"/>
  <c r="BH15" i="32"/>
  <c r="AS28" i="26"/>
  <c r="BH8" i="5"/>
  <c r="K25" i="92"/>
  <c r="BG8" i="5"/>
  <c r="J25" i="92"/>
  <c r="BK8" i="5"/>
  <c r="N25" i="92"/>
  <c r="BF8" i="5"/>
  <c r="I25" i="92"/>
  <c r="BK15" i="32"/>
  <c r="BF25" i="5" s="1"/>
  <c r="BP61" i="32"/>
  <c r="BK47" i="7" s="1"/>
  <c r="BP19" i="32"/>
  <c r="BK18" i="5" s="1"/>
  <c r="BH10" i="24"/>
  <c r="BH8" i="24"/>
  <c r="BH17" i="24"/>
  <c r="BH16" i="24"/>
  <c r="AW28" i="26"/>
  <c r="BH11" i="24"/>
  <c r="BD8" i="5"/>
  <c r="BJ25" i="32"/>
  <c r="BJ26" i="32"/>
  <c r="BK19" i="32"/>
  <c r="BF18" i="5" s="1"/>
  <c r="BE7" i="5"/>
  <c r="BJ19" i="32"/>
  <c r="BE18" i="5" s="1"/>
  <c r="BD11" i="24"/>
  <c r="BD6" i="24"/>
  <c r="BG10" i="24"/>
  <c r="AV28" i="26"/>
  <c r="BF10" i="24"/>
  <c r="BO61" i="32"/>
  <c r="BJ47" i="7" s="1"/>
  <c r="BO13" i="32"/>
  <c r="BJ24" i="5" s="1"/>
  <c r="BG17" i="24"/>
  <c r="AZ45" i="24"/>
  <c r="BG45" i="24"/>
  <c r="BC44" i="24"/>
  <c r="BD51" i="24"/>
  <c r="BD40" i="24"/>
  <c r="BA42" i="24"/>
  <c r="BA50" i="24"/>
  <c r="BA45" i="24"/>
  <c r="BD43" i="24"/>
  <c r="BL61" i="32"/>
  <c r="BG47" i="7" s="1"/>
  <c r="AW57" i="26"/>
  <c r="AV57" i="26"/>
  <c r="BG44" i="24"/>
  <c r="BG51" i="24"/>
  <c r="BN15" i="32"/>
  <c r="BI25" i="5" s="1"/>
  <c r="BI8" i="5"/>
  <c r="BE11" i="24"/>
  <c r="BE8" i="24"/>
  <c r="BE9" i="24"/>
  <c r="BN13" i="32"/>
  <c r="BI24" i="5" s="1"/>
  <c r="BE51" i="24"/>
  <c r="BE40" i="24"/>
  <c r="BE45" i="24"/>
  <c r="BN20" i="32"/>
  <c r="BI20" i="5" s="1"/>
  <c r="BM19" i="32"/>
  <c r="BH18" i="5" s="1"/>
  <c r="BM11" i="32"/>
  <c r="BH23" i="5" s="1"/>
  <c r="BF17" i="24"/>
  <c r="BF11" i="24"/>
  <c r="BE44" i="24"/>
  <c r="BE50" i="24"/>
  <c r="BF45" i="24"/>
  <c r="BM61" i="32"/>
  <c r="BH47" i="7" s="1"/>
  <c r="AT57" i="26"/>
  <c r="BF42" i="24"/>
  <c r="BE42" i="24"/>
  <c r="BD8" i="24"/>
  <c r="AS57" i="26"/>
  <c r="BL11" i="32"/>
  <c r="BG23" i="5" s="1"/>
  <c r="BL19" i="32"/>
  <c r="BG18" i="5" s="1"/>
  <c r="BD50" i="24"/>
  <c r="BD17" i="24"/>
  <c r="BD16" i="24"/>
  <c r="BD42" i="24"/>
  <c r="BC51" i="24"/>
  <c r="BC45" i="24"/>
  <c r="AR57" i="26"/>
  <c r="BC17" i="24"/>
  <c r="BC16" i="24"/>
  <c r="BK13" i="32"/>
  <c r="BF24" i="5" s="1"/>
  <c r="BK20" i="32"/>
  <c r="BF20" i="5" s="1"/>
  <c r="BK11" i="32"/>
  <c r="BF23" i="5" s="1"/>
  <c r="BK61" i="32"/>
  <c r="BF47" i="7" s="1"/>
  <c r="BB42" i="24"/>
  <c r="BB43" i="24"/>
  <c r="BB45" i="24"/>
  <c r="AQ57" i="26"/>
  <c r="BB10" i="24"/>
  <c r="BB8" i="24"/>
  <c r="BB9" i="24"/>
  <c r="BB11" i="24"/>
  <c r="BB17" i="24"/>
  <c r="AQ28" i="26"/>
  <c r="BJ20" i="32"/>
  <c r="BE20" i="5" s="1"/>
  <c r="BJ15" i="32"/>
  <c r="BE25" i="5" s="1"/>
  <c r="BJ59" i="32"/>
  <c r="BE45" i="7" s="1"/>
  <c r="BA51" i="24"/>
  <c r="AP57" i="26"/>
  <c r="BA8" i="24"/>
  <c r="BA11" i="24"/>
  <c r="AP28" i="26"/>
  <c r="BI19" i="32"/>
  <c r="BD18" i="5" s="1"/>
  <c r="BI59" i="32"/>
  <c r="BD45" i="7" s="1"/>
  <c r="AZ11" i="24"/>
  <c r="AZ44" i="24"/>
  <c r="AZ43" i="24"/>
  <c r="AZ40" i="24"/>
  <c r="AZ50" i="24"/>
  <c r="AO58" i="26"/>
  <c r="AO55" i="26"/>
  <c r="AZ42" i="24"/>
  <c r="AZ9" i="24"/>
  <c r="AZ17" i="24"/>
  <c r="AO29" i="26"/>
  <c r="AO28" i="26"/>
  <c r="AO26" i="26"/>
  <c r="AZ16" i="24"/>
  <c r="BC43" i="7"/>
  <c r="BM13" i="32"/>
  <c r="BH24" i="5" s="1"/>
  <c r="BI13" i="32"/>
  <c r="BD24" i="5" s="1"/>
  <c r="BL13" i="32"/>
  <c r="BG24" i="5" s="1"/>
  <c r="BG13" i="32"/>
  <c r="BG59" i="32"/>
  <c r="BG50" i="24"/>
  <c r="BC50" i="24"/>
  <c r="BD45" i="24"/>
  <c r="BF44" i="24"/>
  <c r="BB44" i="24"/>
  <c r="BF50" i="24"/>
  <c r="BB50" i="24"/>
  <c r="BA44" i="24"/>
  <c r="BG42" i="24"/>
  <c r="BC42" i="24"/>
  <c r="BF51" i="24"/>
  <c r="BB51" i="24"/>
  <c r="BG11" i="24"/>
  <c r="BE10" i="24"/>
  <c r="BE16" i="24"/>
  <c r="BA16" i="24"/>
  <c r="BB16" i="24"/>
  <c r="BC11" i="24"/>
  <c r="BA10" i="24"/>
  <c r="BE17" i="24"/>
  <c r="BA17" i="24"/>
  <c r="BM20" i="32"/>
  <c r="BH20" i="5" s="1"/>
  <c r="BI20" i="32"/>
  <c r="BD20" i="5" s="1"/>
  <c r="BM15" i="32"/>
  <c r="BH25" i="5" s="1"/>
  <c r="BI15" i="32"/>
  <c r="BD25" i="5" s="1"/>
  <c r="BL20" i="32"/>
  <c r="BG20" i="5" s="1"/>
  <c r="BL15" i="32"/>
  <c r="BG25" i="5" s="1"/>
  <c r="BG20" i="32"/>
  <c r="C54" i="21"/>
  <c r="D8" i="24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BE8" i="5" l="1"/>
  <c r="H25" i="92"/>
  <c r="AZ51" i="24"/>
  <c r="AO57" i="26"/>
  <c r="AZ10" i="24"/>
  <c r="BC25" i="5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F4" i="32" l="1"/>
  <c r="BA7" i="5" s="1"/>
  <c r="D25" i="92" s="1"/>
  <c r="BF59" i="32"/>
  <c r="BE60" i="32"/>
  <c r="BE59" i="32"/>
  <c r="BK26" i="32" l="1"/>
  <c r="BF19" i="32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E16" i="26" l="1"/>
  <c r="AE25" i="26" s="1"/>
  <c r="AE35" i="26" s="1"/>
  <c r="AE45" i="26" s="1"/>
  <c r="AE54" i="26" s="1"/>
  <c r="AF16" i="26"/>
  <c r="AF25" i="26" s="1"/>
  <c r="AF35" i="26" s="1"/>
  <c r="AF45" i="26" s="1"/>
  <c r="AF54" i="26" s="1"/>
  <c r="AG25" i="26"/>
  <c r="AG35" i="26" s="1"/>
  <c r="AG45" i="26" s="1"/>
  <c r="AG54" i="26" s="1"/>
  <c r="AH16" i="26"/>
  <c r="AH25" i="26" s="1"/>
  <c r="AH35" i="26" s="1"/>
  <c r="AH45" i="26" s="1"/>
  <c r="AH54" i="26" s="1"/>
  <c r="AI16" i="26"/>
  <c r="AI25" i="26" s="1"/>
  <c r="AI35" i="26" s="1"/>
  <c r="AI45" i="26" s="1"/>
  <c r="AI54" i="26" s="1"/>
  <c r="AJ16" i="26"/>
  <c r="AJ25" i="26" s="1"/>
  <c r="AJ35" i="26" s="1"/>
  <c r="AJ45" i="26" s="1"/>
  <c r="AJ54" i="26" s="1"/>
  <c r="AK16" i="26"/>
  <c r="AK25" i="26" s="1"/>
  <c r="AK35" i="26" s="1"/>
  <c r="AK45" i="26" s="1"/>
  <c r="AK54" i="26" s="1"/>
  <c r="AL16" i="26"/>
  <c r="AL25" i="26" s="1"/>
  <c r="AL35" i="26" s="1"/>
  <c r="AL45" i="26" s="1"/>
  <c r="AL54" i="26" s="1"/>
  <c r="AM16" i="26"/>
  <c r="AM25" i="26" s="1"/>
  <c r="AM35" i="26" s="1"/>
  <c r="AM45" i="26" s="1"/>
  <c r="AM54" i="26" s="1"/>
  <c r="AN16" i="26"/>
  <c r="AN25" i="26" s="1"/>
  <c r="AN35" i="26" s="1"/>
  <c r="AN45" i="26" s="1"/>
  <c r="AN54" i="26" s="1"/>
  <c r="AD16" i="26"/>
  <c r="AD25" i="26" s="1"/>
  <c r="AD35" i="26" s="1"/>
  <c r="AD45" i="26" s="1"/>
  <c r="AD54" i="26" s="1"/>
  <c r="F28" i="7"/>
  <c r="AS29" i="7"/>
  <c r="AT29" i="7"/>
  <c r="AU29" i="7"/>
  <c r="AV29" i="7"/>
  <c r="AW29" i="7"/>
  <c r="AX29" i="7"/>
  <c r="AY29" i="7"/>
  <c r="AZ29" i="7"/>
  <c r="BA29" i="7"/>
  <c r="BB29" i="7"/>
  <c r="AR29" i="7"/>
  <c r="AL50" i="37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F23" i="5" l="1"/>
  <c r="BE61" i="32" l="1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AY7" i="5" s="1"/>
  <c r="AZ7" i="5" l="1"/>
  <c r="BE20" i="32"/>
  <c r="BE19" i="32"/>
  <c r="BE15" i="32"/>
  <c r="BD61" i="32"/>
  <c r="BE23" i="32"/>
  <c r="BE13" i="32"/>
  <c r="P467" i="50" l="1"/>
  <c r="N50" i="50"/>
  <c r="J50" i="50"/>
  <c r="F50" i="50"/>
  <c r="B50" i="50"/>
  <c r="BV39" i="24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BD35" i="32" l="1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X7" i="5" s="1"/>
  <c r="BC19" i="32" l="1"/>
  <c r="BC15" i="32"/>
  <c r="BC61" i="32"/>
  <c r="BC11" i="32"/>
  <c r="BC13" i="32"/>
  <c r="BC20" i="32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BB45" i="32" l="1"/>
  <c r="BB35" i="32" s="1"/>
  <c r="BB60" i="32" l="1"/>
  <c r="BB57" i="32"/>
  <c r="BB61" i="32" s="1"/>
  <c r="BB59" i="32" l="1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AW7" i="5"/>
  <c r="BB11" i="32"/>
  <c r="BB19" i="32"/>
  <c r="BB15" i="32"/>
  <c r="BB13" i="32"/>
  <c r="BA35" i="32"/>
  <c r="BA4" i="32"/>
  <c r="AV7" i="5" s="1"/>
  <c r="BA60" i="32" l="1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BA11" i="32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T115" i="37" l="1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U7" i="5" s="1"/>
  <c r="AZ59" i="32" l="1"/>
  <c r="AZ13" i="32"/>
  <c r="AZ15" i="32"/>
  <c r="AZ20" i="32"/>
  <c r="AZ19" i="32"/>
  <c r="AZ11" i="32"/>
  <c r="AE161" i="37" l="1"/>
  <c r="AE157" i="37"/>
  <c r="S111" i="37"/>
  <c r="S115" i="37"/>
  <c r="AE56" i="37"/>
  <c r="AE51" i="37"/>
  <c r="S59" i="37"/>
  <c r="AY35" i="32"/>
  <c r="AY57" i="32"/>
  <c r="AY59" i="32" s="1"/>
  <c r="AY60" i="32"/>
  <c r="AY4" i="32"/>
  <c r="AY7" i="32"/>
  <c r="AY10" i="32"/>
  <c r="AY12" i="32"/>
  <c r="AY14" i="32"/>
  <c r="AY16" i="32"/>
  <c r="AY17" i="32"/>
  <c r="BK16" i="26"/>
  <c r="BK25" i="26" s="1"/>
  <c r="AY61" i="32" l="1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X60" i="32"/>
  <c r="AX57" i="32"/>
  <c r="AX61" i="32" s="1"/>
  <c r="AX35" i="32"/>
  <c r="AX7" i="32" s="1"/>
  <c r="AX4" i="32"/>
  <c r="AX10" i="32"/>
  <c r="AX12" i="32"/>
  <c r="AX14" i="32"/>
  <c r="AX16" i="32"/>
  <c r="AX17" i="32"/>
  <c r="AY6" i="32" l="1"/>
  <c r="AY8" i="32" s="1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Y18" i="32" l="1"/>
  <c r="AX25" i="32"/>
  <c r="AX26" i="32"/>
  <c r="AW15" i="32"/>
  <c r="AW61" i="32"/>
  <c r="AW8" i="32"/>
  <c r="AW19" i="32" s="1"/>
  <c r="AX6" i="32"/>
  <c r="AX8" i="32" s="1"/>
  <c r="AW13" i="32"/>
  <c r="AW20" i="32"/>
  <c r="P115" i="37"/>
  <c r="P111" i="37"/>
  <c r="R69" i="37"/>
  <c r="R65" i="37"/>
  <c r="AB56" i="37"/>
  <c r="AB51" i="37"/>
  <c r="AB161" i="37"/>
  <c r="AB157" i="37"/>
  <c r="AV35" i="32"/>
  <c r="AV7" i="32" s="1"/>
  <c r="AV8" i="32" s="1"/>
  <c r="AV57" i="32"/>
  <c r="AV61" i="32" s="1"/>
  <c r="AV60" i="32"/>
  <c r="AV4" i="32"/>
  <c r="AV10" i="32"/>
  <c r="AV12" i="32"/>
  <c r="AV14" i="32"/>
  <c r="AV16" i="32"/>
  <c r="AV17" i="32"/>
  <c r="AY9" i="32" l="1"/>
  <c r="AV13" i="32"/>
  <c r="AW11" i="32"/>
  <c r="AX19" i="32"/>
  <c r="AX11" i="32"/>
  <c r="AV15" i="32"/>
  <c r="AV19" i="32"/>
  <c r="AV59" i="32"/>
  <c r="AV20" i="32"/>
  <c r="AV11" i="32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AU35" i="32"/>
  <c r="AU7" i="32" s="1"/>
  <c r="AU60" i="32"/>
  <c r="AU57" i="32"/>
  <c r="AU59" i="32" s="1"/>
  <c r="AU10" i="32"/>
  <c r="AU12" i="32"/>
  <c r="AU14" i="32"/>
  <c r="AU16" i="32"/>
  <c r="AU17" i="32"/>
  <c r="AU4" i="32"/>
  <c r="D17" i="26" l="1"/>
  <c r="B41" i="51"/>
  <c r="B33" i="51"/>
  <c r="Q12" i="51" s="1"/>
  <c r="B32" i="51"/>
  <c r="Q13" i="51" s="1"/>
  <c r="Q11" i="51"/>
  <c r="AU61" i="32"/>
  <c r="AU8" i="32"/>
  <c r="AU11" i="32" s="1"/>
  <c r="AU20" i="32"/>
  <c r="AU15" i="32"/>
  <c r="AU13" i="32"/>
  <c r="AU19" i="32" l="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F31" i="7" l="1"/>
  <c r="C44" i="21"/>
  <c r="BK51" i="26"/>
  <c r="BK22" i="26"/>
  <c r="BY25" i="5"/>
  <c r="D9" i="24"/>
  <c r="BV51" i="24"/>
  <c r="BK59" i="26"/>
  <c r="BV43" i="24"/>
  <c r="BK42" i="26"/>
  <c r="BV17" i="24"/>
  <c r="BK30" i="26"/>
  <c r="BV9" i="24"/>
  <c r="BK13" i="26"/>
  <c r="BY43" i="7"/>
  <c r="F40" i="7"/>
  <c r="BV50" i="24"/>
  <c r="BV45" i="24"/>
  <c r="BV42" i="24"/>
  <c r="BV47" i="24"/>
  <c r="BV16" i="24"/>
  <c r="BV11" i="24"/>
  <c r="BV8" i="24"/>
  <c r="BV13" i="24"/>
  <c r="BO25" i="21"/>
  <c r="BY31" i="7"/>
  <c r="BY24" i="5"/>
  <c r="BV40" i="24"/>
  <c r="BV6" i="24"/>
  <c r="BY20" i="5"/>
  <c r="BY40" i="7"/>
  <c r="BV44" i="24"/>
  <c r="BO48" i="21"/>
  <c r="BV10" i="24"/>
  <c r="BY18" i="5"/>
  <c r="BY23" i="5"/>
  <c r="BY10" i="5"/>
  <c r="E44" i="89"/>
  <c r="G3" i="89"/>
  <c r="C81" i="21"/>
  <c r="G7" i="89"/>
  <c r="G39" i="89"/>
  <c r="G35" i="89"/>
  <c r="G31" i="89"/>
  <c r="G27" i="89"/>
  <c r="G23" i="89"/>
  <c r="G19" i="89"/>
  <c r="G15" i="89"/>
  <c r="G11" i="89"/>
  <c r="D27" i="26"/>
  <c r="C72" i="21"/>
  <c r="C70" i="21"/>
  <c r="C76" i="21"/>
  <c r="C80" i="2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AC59" i="26"/>
  <c r="AC60" i="26" s="1"/>
  <c r="AC56" i="26"/>
  <c r="AC50" i="26"/>
  <c r="AC49" i="26"/>
  <c r="AC48" i="26"/>
  <c r="AC47" i="26"/>
  <c r="AC46" i="26"/>
  <c r="AC41" i="26"/>
  <c r="AC40" i="26"/>
  <c r="AC39" i="26"/>
  <c r="AC38" i="26"/>
  <c r="AC37" i="26"/>
  <c r="Y161" i="37"/>
  <c r="Y157" i="37"/>
  <c r="Y51" i="37"/>
  <c r="AZ18" i="32" l="1"/>
  <c r="AY25" i="32"/>
  <c r="AY26" i="32"/>
  <c r="BY45" i="7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D7" i="24"/>
  <c r="F8" i="7"/>
  <c r="F24" i="5"/>
  <c r="C21" i="21"/>
  <c r="F25" i="5"/>
  <c r="F18" i="5"/>
  <c r="C19" i="21"/>
  <c r="F20" i="5" s="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F10" i="5"/>
  <c r="C22" i="21"/>
  <c r="C42" i="21"/>
  <c r="C41" i="21"/>
  <c r="C58" i="21"/>
  <c r="C40" i="21"/>
  <c r="C39" i="21"/>
  <c r="D6" i="24"/>
  <c r="C35" i="21"/>
  <c r="C77" i="21"/>
  <c r="G47" i="89"/>
  <c r="C65" i="21"/>
  <c r="C63" i="21"/>
  <c r="G95" i="89"/>
  <c r="G96" i="89"/>
  <c r="G97" i="89"/>
  <c r="G87" i="89"/>
  <c r="BV7" i="24"/>
  <c r="BV41" i="24"/>
  <c r="BY8" i="7"/>
  <c r="BY15" i="5"/>
  <c r="G86" i="89"/>
  <c r="AC51" i="26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T8" i="32"/>
  <c r="AZ9" i="32" s="1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M11" i="51" l="1"/>
  <c r="M13" i="51" s="1"/>
  <c r="L11" i="51"/>
  <c r="L13" i="51" s="1"/>
  <c r="L16" i="51" s="1"/>
  <c r="BY44" i="7"/>
  <c r="BY47" i="7"/>
  <c r="N11" i="51"/>
  <c r="N13" i="51" s="1"/>
  <c r="AT11" i="32"/>
  <c r="AT19" i="32"/>
  <c r="AC36" i="26"/>
  <c r="AC30" i="26"/>
  <c r="AC31" i="26" s="1"/>
  <c r="AC27" i="26"/>
  <c r="AC23" i="26"/>
  <c r="AB23" i="26"/>
  <c r="AA23" i="26"/>
  <c r="Z23" i="26"/>
  <c r="AC21" i="26"/>
  <c r="AC20" i="26"/>
  <c r="AC19" i="26"/>
  <c r="AC18" i="26"/>
  <c r="AC17" i="26"/>
  <c r="AC12" i="26"/>
  <c r="AC11" i="26"/>
  <c r="AC10" i="26"/>
  <c r="AC9" i="26"/>
  <c r="AC8" i="26"/>
  <c r="AC7" i="26"/>
  <c r="AQ44" i="7"/>
  <c r="AQ40" i="7"/>
  <c r="AQ38" i="7"/>
  <c r="AQ37" i="7"/>
  <c r="AQ36" i="7"/>
  <c r="AQ35" i="7"/>
  <c r="AQ34" i="7"/>
  <c r="AQ15" i="7"/>
  <c r="AQ14" i="7"/>
  <c r="AQ13" i="7"/>
  <c r="AQ12" i="7"/>
  <c r="AQ11" i="7"/>
  <c r="AQ10" i="7"/>
  <c r="AN47" i="24"/>
  <c r="AN48" i="24" s="1"/>
  <c r="AN13" i="24"/>
  <c r="AN14" i="24" s="1"/>
  <c r="AQ10" i="5"/>
  <c r="AQ11" i="5" s="1"/>
  <c r="AP31" i="7"/>
  <c r="M9" i="51" l="1"/>
  <c r="L9" i="51"/>
  <c r="N9" i="51"/>
  <c r="L14" i="51"/>
  <c r="L17" i="51" s="1"/>
  <c r="M16" i="51"/>
  <c r="M14" i="51"/>
  <c r="AQ31" i="7"/>
  <c r="AC22" i="26"/>
  <c r="AB46" i="26"/>
  <c r="AB17" i="26"/>
  <c r="AP34" i="7"/>
  <c r="B5" i="86"/>
  <c r="G10" i="86"/>
  <c r="X161" i="37"/>
  <c r="X157" i="37"/>
  <c r="X51" i="37"/>
  <c r="AB59" i="26"/>
  <c r="AB60" i="26" s="1"/>
  <c r="AB56" i="26"/>
  <c r="AB50" i="26"/>
  <c r="AB49" i="26"/>
  <c r="AB48" i="26"/>
  <c r="AB47" i="26"/>
  <c r="AB41" i="26"/>
  <c r="AB40" i="26"/>
  <c r="AB39" i="26"/>
  <c r="AB38" i="26"/>
  <c r="AB37" i="26"/>
  <c r="AB36" i="26"/>
  <c r="AB30" i="26"/>
  <c r="AB31" i="26" s="1"/>
  <c r="AB27" i="26"/>
  <c r="AB21" i="26"/>
  <c r="AB20" i="26"/>
  <c r="AB19" i="26"/>
  <c r="AB18" i="26"/>
  <c r="AB12" i="26"/>
  <c r="AB11" i="26"/>
  <c r="AB10" i="26"/>
  <c r="AB9" i="26"/>
  <c r="AB8" i="26"/>
  <c r="AB7" i="26"/>
  <c r="AP44" i="7"/>
  <c r="AP40" i="7"/>
  <c r="AP38" i="7"/>
  <c r="AP37" i="7"/>
  <c r="AP36" i="7"/>
  <c r="AP35" i="7"/>
  <c r="AP15" i="7"/>
  <c r="AP14" i="7"/>
  <c r="AP13" i="7"/>
  <c r="AP12" i="7"/>
  <c r="AP11" i="7"/>
  <c r="AP10" i="7"/>
  <c r="AM47" i="24"/>
  <c r="AM48" i="24" s="1"/>
  <c r="AM13" i="24"/>
  <c r="AM14" i="24" s="1"/>
  <c r="AP10" i="5"/>
  <c r="AP11" i="5" s="1"/>
  <c r="AB22" i="26" l="1"/>
  <c r="AB51" i="26"/>
  <c r="AA59" i="26" l="1"/>
  <c r="AA60" i="26" s="1"/>
  <c r="AA56" i="26"/>
  <c r="Z52" i="26"/>
  <c r="AA52" i="26"/>
  <c r="AA50" i="26"/>
  <c r="AA49" i="26"/>
  <c r="AA48" i="26"/>
  <c r="AA47" i="26"/>
  <c r="AA41" i="26"/>
  <c r="AA40" i="26"/>
  <c r="AA39" i="26"/>
  <c r="AA38" i="26"/>
  <c r="AA37" i="26"/>
  <c r="AA36" i="26"/>
  <c r="AA30" i="26"/>
  <c r="AA31" i="26" s="1"/>
  <c r="AA27" i="26"/>
  <c r="AA21" i="26"/>
  <c r="AA20" i="26"/>
  <c r="AA19" i="26"/>
  <c r="AA18" i="26"/>
  <c r="AA12" i="26"/>
  <c r="AA11" i="26"/>
  <c r="AA10" i="26"/>
  <c r="AA9" i="26"/>
  <c r="AA8" i="26"/>
  <c r="AA7" i="26"/>
  <c r="AO44" i="7"/>
  <c r="AO40" i="7"/>
  <c r="AO38" i="7"/>
  <c r="AO37" i="7"/>
  <c r="AO36" i="7"/>
  <c r="AO35" i="7"/>
  <c r="AO31" i="7"/>
  <c r="AO15" i="7"/>
  <c r="AO14" i="7"/>
  <c r="AO13" i="7"/>
  <c r="AO12" i="7"/>
  <c r="AO11" i="7"/>
  <c r="AO10" i="7"/>
  <c r="W161" i="37"/>
  <c r="W157" i="37"/>
  <c r="AL47" i="24"/>
  <c r="AL48" i="24" s="1"/>
  <c r="AL13" i="24"/>
  <c r="AL14" i="24" s="1"/>
  <c r="B3" i="86"/>
  <c r="F10" i="86"/>
  <c r="W51" i="37"/>
  <c r="AO10" i="5"/>
  <c r="AO11" i="5" s="1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W12" i="26"/>
  <c r="X12" i="26"/>
  <c r="Y12" i="26"/>
  <c r="Z12" i="26"/>
  <c r="AA51" i="26" l="1"/>
  <c r="AA22" i="26"/>
  <c r="Z59" i="26"/>
  <c r="Z60" i="26" s="1"/>
  <c r="Z56" i="26"/>
  <c r="Z58" i="26"/>
  <c r="AA58" i="26"/>
  <c r="AB58" i="26"/>
  <c r="AC58" i="26"/>
  <c r="AB55" i="26"/>
  <c r="Z57" i="26"/>
  <c r="Z50" i="26"/>
  <c r="Z49" i="26"/>
  <c r="Z48" i="26"/>
  <c r="Z47" i="26"/>
  <c r="Z41" i="26"/>
  <c r="Z40" i="26"/>
  <c r="Z39" i="26"/>
  <c r="Z38" i="26"/>
  <c r="Z37" i="26"/>
  <c r="Z36" i="26"/>
  <c r="Z29" i="26"/>
  <c r="AA29" i="26"/>
  <c r="AB29" i="26"/>
  <c r="AC29" i="26"/>
  <c r="Z30" i="26"/>
  <c r="Z31" i="26" s="1"/>
  <c r="Z27" i="26"/>
  <c r="Z21" i="26"/>
  <c r="Z20" i="26"/>
  <c r="Z19" i="26"/>
  <c r="Z18" i="26"/>
  <c r="Z11" i="26"/>
  <c r="Z10" i="26"/>
  <c r="Z9" i="26"/>
  <c r="Z8" i="26"/>
  <c r="Z7" i="26"/>
  <c r="AQ60" i="32"/>
  <c r="AO46" i="7" s="1"/>
  <c r="AR60" i="32"/>
  <c r="AP46" i="7" s="1"/>
  <c r="AS60" i="32"/>
  <c r="AQ46" i="7" s="1"/>
  <c r="AP60" i="32"/>
  <c r="AN46" i="7" s="1"/>
  <c r="AN44" i="7"/>
  <c r="AN40" i="7"/>
  <c r="AN38" i="7"/>
  <c r="AN37" i="7"/>
  <c r="AN36" i="7"/>
  <c r="AN35" i="7"/>
  <c r="AN31" i="7"/>
  <c r="AN15" i="7"/>
  <c r="AN14" i="7"/>
  <c r="AN13" i="7"/>
  <c r="AN12" i="7"/>
  <c r="AN11" i="7"/>
  <c r="AN10" i="7"/>
  <c r="D10" i="86"/>
  <c r="E10" i="86"/>
  <c r="C10" i="86"/>
  <c r="B10" i="86"/>
  <c r="AK47" i="24"/>
  <c r="AK48" i="24" s="1"/>
  <c r="AK13" i="24"/>
  <c r="AK14" i="24" s="1"/>
  <c r="V51" i="37"/>
  <c r="AP35" i="32"/>
  <c r="AQ35" i="32"/>
  <c r="AR35" i="32"/>
  <c r="AS35" i="32"/>
  <c r="AC57" i="26" l="1"/>
  <c r="AC55" i="26"/>
  <c r="AA55" i="26"/>
  <c r="B4" i="86"/>
  <c r="B2" i="86"/>
  <c r="AB57" i="26"/>
  <c r="Z51" i="26"/>
  <c r="Z22" i="26"/>
  <c r="AA57" i="26"/>
  <c r="Z55" i="26"/>
  <c r="AN10" i="5"/>
  <c r="AN11" i="5" s="1"/>
  <c r="Y59" i="26" l="1"/>
  <c r="Y60" i="26" s="1"/>
  <c r="Y56" i="26"/>
  <c r="Y58" i="26"/>
  <c r="Y50" i="26"/>
  <c r="Y49" i="26"/>
  <c r="Y48" i="26"/>
  <c r="Y47" i="26"/>
  <c r="Y41" i="26"/>
  <c r="Y40" i="26"/>
  <c r="Y39" i="26"/>
  <c r="Y38" i="26"/>
  <c r="Y37" i="26"/>
  <c r="Y36" i="26"/>
  <c r="Y30" i="26"/>
  <c r="Y31" i="26" s="1"/>
  <c r="Y29" i="26"/>
  <c r="Y27" i="26"/>
  <c r="AJ47" i="24"/>
  <c r="AJ48" i="24" s="1"/>
  <c r="AJ13" i="24"/>
  <c r="AJ14" i="24" s="1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O13" i="32" s="1"/>
  <c r="AP12" i="32"/>
  <c r="AQ12" i="32"/>
  <c r="AR12" i="32"/>
  <c r="AS12" i="32"/>
  <c r="AO10" i="32"/>
  <c r="AP10" i="32"/>
  <c r="AN43" i="7" s="1"/>
  <c r="AQ10" i="32"/>
  <c r="AO43" i="7" s="1"/>
  <c r="AR10" i="32"/>
  <c r="AP43" i="7" s="1"/>
  <c r="AS10" i="32"/>
  <c r="AQ43" i="7" s="1"/>
  <c r="AP7" i="32"/>
  <c r="AQ7" i="32"/>
  <c r="AR7" i="32"/>
  <c r="AS7" i="32"/>
  <c r="AP4" i="32"/>
  <c r="AN7" i="5" s="1"/>
  <c r="AN8" i="5" s="1"/>
  <c r="AQ4" i="32"/>
  <c r="AR4" i="32"/>
  <c r="AP7" i="5" s="1"/>
  <c r="AP8" i="5" s="1"/>
  <c r="AS4" i="32"/>
  <c r="AQ7" i="5" s="1"/>
  <c r="AQ8" i="5" s="1"/>
  <c r="AJ39" i="24"/>
  <c r="AO35" i="32"/>
  <c r="AO7" i="32" s="1"/>
  <c r="AO4" i="32"/>
  <c r="AR13" i="32" l="1"/>
  <c r="Y57" i="26"/>
  <c r="Y55" i="26"/>
  <c r="AQ20" i="32"/>
  <c r="AO20" i="5" s="1"/>
  <c r="AO7" i="5"/>
  <c r="AO8" i="5" s="1"/>
  <c r="AR8" i="32"/>
  <c r="AR19" i="32" s="1"/>
  <c r="AP18" i="5" s="1"/>
  <c r="AO15" i="5"/>
  <c r="AO8" i="7"/>
  <c r="AO18" i="7" s="1"/>
  <c r="AS20" i="32"/>
  <c r="AQ20" i="5" s="1"/>
  <c r="AS15" i="32"/>
  <c r="AQ25" i="5" s="1"/>
  <c r="AO20" i="32"/>
  <c r="AM20" i="5" s="1"/>
  <c r="AN15" i="5"/>
  <c r="AN8" i="7"/>
  <c r="AN18" i="7" s="1"/>
  <c r="AP20" i="32"/>
  <c r="AN20" i="5" s="1"/>
  <c r="AO15" i="32"/>
  <c r="AP61" i="32"/>
  <c r="AN47" i="7" s="1"/>
  <c r="AP59" i="32"/>
  <c r="AN45" i="7" s="1"/>
  <c r="AO59" i="32"/>
  <c r="AM45" i="7" s="1"/>
  <c r="AS13" i="32"/>
  <c r="AQ24" i="5" s="1"/>
  <c r="AQ15" i="5"/>
  <c r="AQ8" i="7"/>
  <c r="AQ18" i="7" s="1"/>
  <c r="AS61" i="32"/>
  <c r="AQ47" i="7" s="1"/>
  <c r="AS59" i="32"/>
  <c r="AQ45" i="7" s="1"/>
  <c r="AP24" i="5"/>
  <c r="AR15" i="32"/>
  <c r="AP25" i="5" s="1"/>
  <c r="AR20" i="32"/>
  <c r="AP20" i="5" s="1"/>
  <c r="AS8" i="32"/>
  <c r="AS19" i="32" s="1"/>
  <c r="AQ18" i="5" s="1"/>
  <c r="AP8" i="7"/>
  <c r="AP18" i="7" s="1"/>
  <c r="AP15" i="5"/>
  <c r="AR59" i="32"/>
  <c r="AP45" i="7" s="1"/>
  <c r="AR61" i="32"/>
  <c r="AP47" i="7" s="1"/>
  <c r="AQ13" i="32"/>
  <c r="AO24" i="5" s="1"/>
  <c r="AQ15" i="32"/>
  <c r="AO25" i="5" s="1"/>
  <c r="AQ61" i="32"/>
  <c r="AO47" i="7" s="1"/>
  <c r="AQ59" i="32"/>
  <c r="AO45" i="7" s="1"/>
  <c r="Y51" i="26"/>
  <c r="Y52" i="26" s="1"/>
  <c r="AP13" i="32"/>
  <c r="AN24" i="5" s="1"/>
  <c r="AP15" i="32"/>
  <c r="AN25" i="5" s="1"/>
  <c r="AP8" i="32"/>
  <c r="AP19" i="32" s="1"/>
  <c r="AN18" i="5" s="1"/>
  <c r="AQ8" i="32"/>
  <c r="AQ19" i="32" s="1"/>
  <c r="AO18" i="5" s="1"/>
  <c r="U51" i="37"/>
  <c r="Y54" i="26"/>
  <c r="Y45" i="26"/>
  <c r="Y25" i="26"/>
  <c r="Y35" i="26"/>
  <c r="Y21" i="26"/>
  <c r="Y20" i="26"/>
  <c r="Y19" i="26"/>
  <c r="Y18" i="26"/>
  <c r="Y11" i="26"/>
  <c r="Y10" i="26"/>
  <c r="Y9" i="26"/>
  <c r="Y8" i="26"/>
  <c r="Y7" i="26"/>
  <c r="AM47" i="7"/>
  <c r="AM46" i="7"/>
  <c r="AM44" i="7"/>
  <c r="AM43" i="7"/>
  <c r="AM40" i="7"/>
  <c r="AM38" i="7"/>
  <c r="AM37" i="7"/>
  <c r="AM36" i="7"/>
  <c r="AM35" i="7"/>
  <c r="AM31" i="7"/>
  <c r="AM15" i="7"/>
  <c r="AM14" i="7"/>
  <c r="AM13" i="7"/>
  <c r="AM12" i="7"/>
  <c r="AM11" i="7"/>
  <c r="AM10" i="7"/>
  <c r="AM8" i="7"/>
  <c r="AM25" i="5"/>
  <c r="AM24" i="5"/>
  <c r="AM15" i="5"/>
  <c r="AM10" i="5"/>
  <c r="AM11" i="5" s="1"/>
  <c r="AM7" i="5"/>
  <c r="AM8" i="5" s="1"/>
  <c r="AR11" i="32" l="1"/>
  <c r="AP23" i="5" s="1"/>
  <c r="AS11" i="32"/>
  <c r="AQ23" i="5" s="1"/>
  <c r="AP11" i="32"/>
  <c r="AN23" i="5" s="1"/>
  <c r="AQ11" i="32"/>
  <c r="AO23" i="5" s="1"/>
  <c r="Y22" i="26"/>
  <c r="Y23" i="26" s="1"/>
  <c r="AM18" i="7"/>
  <c r="T102" i="22" l="1"/>
  <c r="T105" i="22"/>
  <c r="X59" i="26"/>
  <c r="X60" i="26" s="1"/>
  <c r="X56" i="26"/>
  <c r="X58" i="26"/>
  <c r="X50" i="26"/>
  <c r="X49" i="26"/>
  <c r="X48" i="26"/>
  <c r="X47" i="26"/>
  <c r="X41" i="26"/>
  <c r="X40" i="26"/>
  <c r="X39" i="26"/>
  <c r="X38" i="26"/>
  <c r="X37" i="26"/>
  <c r="X36" i="26"/>
  <c r="X29" i="26"/>
  <c r="X30" i="26"/>
  <c r="X31" i="26" s="1"/>
  <c r="X27" i="26"/>
  <c r="X21" i="26"/>
  <c r="X20" i="26"/>
  <c r="X19" i="26"/>
  <c r="X18" i="26"/>
  <c r="X11" i="26"/>
  <c r="X10" i="26"/>
  <c r="X9" i="26"/>
  <c r="X8" i="26"/>
  <c r="X7" i="26"/>
  <c r="AL44" i="7"/>
  <c r="AL40" i="7"/>
  <c r="AL38" i="7"/>
  <c r="AK37" i="7"/>
  <c r="AL37" i="7"/>
  <c r="AK36" i="7"/>
  <c r="AL36" i="7"/>
  <c r="AK35" i="7"/>
  <c r="AL35" i="7"/>
  <c r="AL31" i="7"/>
  <c r="AL15" i="7"/>
  <c r="AK14" i="7"/>
  <c r="AL14" i="7"/>
  <c r="AK13" i="7"/>
  <c r="AL13" i="7"/>
  <c r="AK12" i="7"/>
  <c r="AL12" i="7"/>
  <c r="AK11" i="7"/>
  <c r="AL11" i="7"/>
  <c r="AK10" i="7"/>
  <c r="AL10" i="7"/>
  <c r="AH47" i="24"/>
  <c r="AH48" i="24" s="1"/>
  <c r="AI47" i="24"/>
  <c r="AI48" i="24" s="1"/>
  <c r="AH13" i="24"/>
  <c r="AH14" i="24" s="1"/>
  <c r="AI13" i="24"/>
  <c r="AI14" i="24" s="1"/>
  <c r="T51" i="37"/>
  <c r="AN35" i="32"/>
  <c r="AN7" i="32" s="1"/>
  <c r="AO8" i="32" s="1"/>
  <c r="AK10" i="5"/>
  <c r="AK11" i="5" s="1"/>
  <c r="AL10" i="5"/>
  <c r="AL11" i="5" s="1"/>
  <c r="AN60" i="32"/>
  <c r="AL46" i="7" s="1"/>
  <c r="AN57" i="32"/>
  <c r="AN61" i="32" s="1"/>
  <c r="AL47" i="7" s="1"/>
  <c r="AN17" i="32"/>
  <c r="AN14" i="32"/>
  <c r="AN12" i="32"/>
  <c r="AN10" i="32"/>
  <c r="AL43" i="7" s="1"/>
  <c r="AN4" i="32"/>
  <c r="AL7" i="5" s="1"/>
  <c r="AL8" i="5" s="1"/>
  <c r="AI39" i="24"/>
  <c r="W41" i="26"/>
  <c r="S23" i="26"/>
  <c r="T23" i="26"/>
  <c r="W59" i="26"/>
  <c r="W60" i="26" s="1"/>
  <c r="W58" i="26"/>
  <c r="W55" i="26"/>
  <c r="W56" i="26"/>
  <c r="W50" i="26"/>
  <c r="W49" i="26"/>
  <c r="W48" i="26"/>
  <c r="W47" i="26"/>
  <c r="W54" i="26"/>
  <c r="W45" i="26"/>
  <c r="W25" i="26"/>
  <c r="W16" i="26"/>
  <c r="W40" i="26"/>
  <c r="W39" i="26"/>
  <c r="W38" i="26"/>
  <c r="W37" i="26"/>
  <c r="W36" i="26"/>
  <c r="W35" i="26"/>
  <c r="W30" i="26"/>
  <c r="W31" i="26" s="1"/>
  <c r="W29" i="26"/>
  <c r="W27" i="26"/>
  <c r="W21" i="26"/>
  <c r="W20" i="26"/>
  <c r="W19" i="26"/>
  <c r="W18" i="26"/>
  <c r="W11" i="26"/>
  <c r="W10" i="26"/>
  <c r="W9" i="26"/>
  <c r="W8" i="26"/>
  <c r="W7" i="26"/>
  <c r="X42" i="26"/>
  <c r="X43" i="26" s="1"/>
  <c r="Y42" i="26"/>
  <c r="Y43" i="26" s="1"/>
  <c r="Z42" i="26"/>
  <c r="Z43" i="26" s="1"/>
  <c r="AA42" i="26"/>
  <c r="AA43" i="26" s="1"/>
  <c r="AB42" i="26"/>
  <c r="AB43" i="26" s="1"/>
  <c r="AC42" i="26"/>
  <c r="AC43" i="26" s="1"/>
  <c r="W42" i="26"/>
  <c r="W28" i="26" l="1"/>
  <c r="S67" i="37"/>
  <c r="X55" i="26"/>
  <c r="AN13" i="32"/>
  <c r="AL24" i="5" s="1"/>
  <c r="W26" i="26"/>
  <c r="AO11" i="32"/>
  <c r="AM23" i="5" s="1"/>
  <c r="AO19" i="32"/>
  <c r="AM18" i="5" s="1"/>
  <c r="AL15" i="5"/>
  <c r="AN59" i="32"/>
  <c r="AL45" i="7" s="1"/>
  <c r="AL8" i="7"/>
  <c r="AL18" i="7" s="1"/>
  <c r="X22" i="26"/>
  <c r="X23" i="26" s="1"/>
  <c r="X51" i="26"/>
  <c r="X52" i="26" s="1"/>
  <c r="AN15" i="32"/>
  <c r="AL25" i="5" s="1"/>
  <c r="AN20" i="32"/>
  <c r="AL20" i="5" s="1"/>
  <c r="W43" i="26"/>
  <c r="W51" i="26"/>
  <c r="W52" i="26" s="1"/>
  <c r="W22" i="26"/>
  <c r="W23" i="26" s="1"/>
  <c r="X57" i="26" l="1"/>
  <c r="T113" i="37"/>
  <c r="W57" i="26"/>
  <c r="S113" i="37"/>
  <c r="X13" i="26"/>
  <c r="X14" i="26" s="1"/>
  <c r="Y13" i="26"/>
  <c r="Y14" i="26" s="1"/>
  <c r="W13" i="26"/>
  <c r="W14" i="26" s="1"/>
  <c r="AA13" i="26" l="1"/>
  <c r="AA14" i="26" s="1"/>
  <c r="Z13" i="26"/>
  <c r="Z14" i="26" s="1"/>
  <c r="AC13" i="26"/>
  <c r="AC14" i="26" s="1"/>
  <c r="AB13" i="26"/>
  <c r="AB14" i="26" s="1"/>
  <c r="AM17" i="32"/>
  <c r="AM60" i="32"/>
  <c r="AK46" i="7" s="1"/>
  <c r="AM57" i="32"/>
  <c r="AM59" i="32" s="1"/>
  <c r="AK45" i="7" s="1"/>
  <c r="AK44" i="7"/>
  <c r="AM10" i="32"/>
  <c r="AK43" i="7" s="1"/>
  <c r="AK40" i="7"/>
  <c r="AK38" i="7"/>
  <c r="AK31" i="7"/>
  <c r="AM61" i="32" l="1"/>
  <c r="AK47" i="7" s="1"/>
  <c r="AK15" i="7"/>
  <c r="S51" i="37" l="1"/>
  <c r="AM14" i="32"/>
  <c r="AM12" i="32"/>
  <c r="S58" i="37" s="1"/>
  <c r="AM7" i="32"/>
  <c r="S57" i="37" s="1"/>
  <c r="AM4" i="32"/>
  <c r="AK7" i="5" s="1"/>
  <c r="AK8" i="5" s="1"/>
  <c r="AK15" i="5" l="1"/>
  <c r="AN8" i="32"/>
  <c r="AK8" i="7"/>
  <c r="AK18" i="7" s="1"/>
  <c r="AM13" i="32"/>
  <c r="AK24" i="5" s="1"/>
  <c r="AM15" i="32"/>
  <c r="AK25" i="5" s="1"/>
  <c r="AM20" i="32"/>
  <c r="AK20" i="5" s="1"/>
  <c r="AN11" i="32" l="1"/>
  <c r="AL23" i="5" s="1"/>
  <c r="AN19" i="32"/>
  <c r="AL18" i="5" s="1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V59" i="26"/>
  <c r="V60" i="26" s="1"/>
  <c r="V56" i="26"/>
  <c r="V54" i="26"/>
  <c r="V49" i="26"/>
  <c r="V48" i="26"/>
  <c r="V47" i="26"/>
  <c r="V45" i="26"/>
  <c r="V40" i="26"/>
  <c r="V39" i="26"/>
  <c r="V38" i="26"/>
  <c r="V37" i="26"/>
  <c r="V36" i="26"/>
  <c r="V35" i="26"/>
  <c r="V30" i="26"/>
  <c r="V31" i="26" s="1"/>
  <c r="V27" i="26"/>
  <c r="V25" i="26"/>
  <c r="V20" i="26"/>
  <c r="V19" i="26"/>
  <c r="V18" i="26"/>
  <c r="V16" i="26"/>
  <c r="V11" i="26"/>
  <c r="V10" i="26"/>
  <c r="V9" i="26"/>
  <c r="V8" i="26"/>
  <c r="V7" i="26"/>
  <c r="AJ29" i="7"/>
  <c r="AJ25" i="7"/>
  <c r="AJ24" i="7"/>
  <c r="AJ23" i="7"/>
  <c r="AJ22" i="7"/>
  <c r="AJ21" i="7"/>
  <c r="AJ20" i="7"/>
  <c r="AG53" i="24"/>
  <c r="AG47" i="24"/>
  <c r="AG48" i="24" s="1"/>
  <c r="AG39" i="24"/>
  <c r="AG19" i="24"/>
  <c r="AG13" i="24"/>
  <c r="AG14" i="24" s="1"/>
  <c r="AJ21" i="5"/>
  <c r="AJ19" i="5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J44" i="7" s="1"/>
  <c r="AL48" i="32"/>
  <c r="AL50" i="32"/>
  <c r="AL51" i="32"/>
  <c r="AJ36" i="7" s="1"/>
  <c r="AL52" i="32"/>
  <c r="AJ37" i="7" s="1"/>
  <c r="AL28" i="32"/>
  <c r="AL29" i="32"/>
  <c r="AL30" i="32"/>
  <c r="AL31" i="32"/>
  <c r="AL32" i="32"/>
  <c r="AL33" i="32"/>
  <c r="AL34" i="32"/>
  <c r="AL5" i="32"/>
  <c r="V55" i="26"/>
  <c r="V58" i="26"/>
  <c r="V29" i="26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V22" i="26"/>
  <c r="V23" i="26" s="1"/>
  <c r="AL103" i="32"/>
  <c r="AL99" i="32"/>
  <c r="AL122" i="32"/>
  <c r="AL115" i="32"/>
  <c r="AL111" i="32"/>
  <c r="AL16" i="32"/>
  <c r="AJ40" i="7"/>
  <c r="AJ31" i="7"/>
  <c r="AJ35" i="7"/>
  <c r="AL17" i="32"/>
  <c r="AL112" i="32"/>
  <c r="AL105" i="32"/>
  <c r="AL101" i="32"/>
  <c r="AL124" i="32"/>
  <c r="AL120" i="32"/>
  <c r="AL113" i="32"/>
  <c r="AL96" i="32"/>
  <c r="AL14" i="32" s="1"/>
  <c r="AL102" i="32"/>
  <c r="AL125" i="32"/>
  <c r="AL121" i="32"/>
  <c r="AL114" i="32"/>
  <c r="AL110" i="32"/>
  <c r="AJ10" i="5"/>
  <c r="AJ11" i="5" s="1"/>
  <c r="AL123" i="32"/>
  <c r="AL35" i="32"/>
  <c r="AL85" i="32"/>
  <c r="AL109" i="32"/>
  <c r="AL119" i="32"/>
  <c r="AL60" i="32"/>
  <c r="AJ46" i="7" s="1"/>
  <c r="AL74" i="32"/>
  <c r="V51" i="26"/>
  <c r="V52" i="26" s="1"/>
  <c r="AL54" i="32"/>
  <c r="AJ13" i="5" l="1"/>
  <c r="V57" i="26"/>
  <c r="R113" i="37"/>
  <c r="AL4" i="32"/>
  <c r="AJ7" i="5" s="1"/>
  <c r="AJ8" i="5" s="1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U59" i="26"/>
  <c r="U60" i="26" s="1"/>
  <c r="U56" i="26"/>
  <c r="U54" i="26"/>
  <c r="U49" i="26"/>
  <c r="U48" i="26"/>
  <c r="U47" i="26"/>
  <c r="U45" i="26"/>
  <c r="U40" i="26"/>
  <c r="U39" i="26"/>
  <c r="U38" i="26"/>
  <c r="U37" i="26"/>
  <c r="U36" i="26"/>
  <c r="U35" i="26"/>
  <c r="U30" i="26"/>
  <c r="U31" i="26" s="1"/>
  <c r="U27" i="26"/>
  <c r="U25" i="26"/>
  <c r="U20" i="26"/>
  <c r="U19" i="26"/>
  <c r="U18" i="26"/>
  <c r="U16" i="26"/>
  <c r="U11" i="26"/>
  <c r="U10" i="26"/>
  <c r="U9" i="26"/>
  <c r="U8" i="26"/>
  <c r="U7" i="26"/>
  <c r="AI29" i="7"/>
  <c r="AI25" i="7"/>
  <c r="AI24" i="7"/>
  <c r="AI23" i="7"/>
  <c r="AI22" i="7"/>
  <c r="AI21" i="7"/>
  <c r="AI20" i="7"/>
  <c r="AF53" i="24"/>
  <c r="AF39" i="24"/>
  <c r="AF19" i="24"/>
  <c r="AI21" i="5"/>
  <c r="AI19" i="5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I44" i="7" s="1"/>
  <c r="AK48" i="32"/>
  <c r="AK16" i="32" s="1"/>
  <c r="AK50" i="32"/>
  <c r="AK51" i="32"/>
  <c r="AI36" i="7" s="1"/>
  <c r="AK52" i="32"/>
  <c r="AI37" i="7" s="1"/>
  <c r="AK28" i="32"/>
  <c r="AK29" i="32"/>
  <c r="AK30" i="32"/>
  <c r="AK31" i="32"/>
  <c r="AK32" i="32"/>
  <c r="AK33" i="32"/>
  <c r="AK34" i="32"/>
  <c r="U29" i="26"/>
  <c r="U58" i="26"/>
  <c r="U55" i="26"/>
  <c r="Q161" i="37"/>
  <c r="R58" i="37" l="1"/>
  <c r="AL22" i="32"/>
  <c r="AL23" i="32"/>
  <c r="F467" i="50"/>
  <c r="AF13" i="24"/>
  <c r="AF14" i="24" s="1"/>
  <c r="Q157" i="37"/>
  <c r="AF47" i="24"/>
  <c r="AF48" i="24" s="1"/>
  <c r="U22" i="26"/>
  <c r="U23" i="26" s="1"/>
  <c r="AK102" i="32"/>
  <c r="AK125" i="32"/>
  <c r="AK121" i="32"/>
  <c r="AM8" i="32"/>
  <c r="AM19" i="32" s="1"/>
  <c r="AK18" i="5" s="1"/>
  <c r="AJ8" i="7"/>
  <c r="AK104" i="32"/>
  <c r="AK100" i="32"/>
  <c r="AK119" i="32"/>
  <c r="AK103" i="32"/>
  <c r="AK112" i="32"/>
  <c r="AK105" i="32"/>
  <c r="AK101" i="32"/>
  <c r="AK124" i="32"/>
  <c r="AK113" i="32"/>
  <c r="AK109" i="32"/>
  <c r="AL15" i="32"/>
  <c r="AJ25" i="5" s="1"/>
  <c r="AL20" i="32"/>
  <c r="AJ20" i="5" s="1"/>
  <c r="AJ15" i="5"/>
  <c r="AL13" i="32"/>
  <c r="AJ24" i="5" s="1"/>
  <c r="F30" i="44"/>
  <c r="U51" i="26"/>
  <c r="U52" i="26" s="1"/>
  <c r="AK5" i="32"/>
  <c r="AI10" i="5" s="1"/>
  <c r="AI11" i="5" s="1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I35" i="7"/>
  <c r="AK35" i="32"/>
  <c r="AK60" i="32"/>
  <c r="AI46" i="7" s="1"/>
  <c r="AK74" i="32"/>
  <c r="AK4" i="32" s="1"/>
  <c r="AI7" i="5" s="1"/>
  <c r="AI8" i="5" s="1"/>
  <c r="AI31" i="7"/>
  <c r="AI40" i="7"/>
  <c r="F18" i="44"/>
  <c r="D1273" i="51"/>
  <c r="D1272" i="51"/>
  <c r="D1271" i="51"/>
  <c r="D1274" i="51"/>
  <c r="A1272" i="51"/>
  <c r="A1273" i="51"/>
  <c r="A1271" i="51"/>
  <c r="U57" i="26" l="1"/>
  <c r="Q113" i="37"/>
  <c r="AM11" i="32"/>
  <c r="AK23" i="5" s="1"/>
  <c r="Q51" i="37"/>
  <c r="AK126" i="32"/>
  <c r="AK7" i="32"/>
  <c r="AL8" i="32" s="1"/>
  <c r="AK106" i="32"/>
  <c r="AK14" i="32"/>
  <c r="AK116" i="32"/>
  <c r="AK12" i="32"/>
  <c r="AL21" i="32" l="1"/>
  <c r="AL19" i="32"/>
  <c r="AJ18" i="5" s="1"/>
  <c r="AL11" i="32"/>
  <c r="AJ23" i="5" s="1"/>
  <c r="Q58" i="37"/>
  <c r="AK20" i="32"/>
  <c r="AI20" i="5" s="1"/>
  <c r="AK22" i="32"/>
  <c r="Q57" i="37"/>
  <c r="AI8" i="7"/>
  <c r="AI15" i="5"/>
  <c r="AI13" i="5"/>
  <c r="AK23" i="32"/>
  <c r="AK15" i="32"/>
  <c r="AI25" i="5" s="1"/>
  <c r="AK13" i="32"/>
  <c r="AI24" i="5" s="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T59" i="26"/>
  <c r="T60" i="26" s="1"/>
  <c r="T56" i="26"/>
  <c r="T54" i="26"/>
  <c r="T52" i="26"/>
  <c r="T49" i="26"/>
  <c r="T48" i="26"/>
  <c r="T47" i="26"/>
  <c r="T45" i="26"/>
  <c r="T40" i="26"/>
  <c r="T39" i="26"/>
  <c r="T38" i="26"/>
  <c r="T37" i="26"/>
  <c r="T36" i="26"/>
  <c r="T35" i="26"/>
  <c r="T30" i="26"/>
  <c r="T31" i="26" s="1"/>
  <c r="T27" i="26"/>
  <c r="T25" i="26"/>
  <c r="T20" i="26"/>
  <c r="T19" i="26"/>
  <c r="T18" i="26"/>
  <c r="T16" i="26"/>
  <c r="T11" i="26"/>
  <c r="T10" i="26"/>
  <c r="T9" i="26"/>
  <c r="T8" i="26"/>
  <c r="T7" i="26"/>
  <c r="AH29" i="7"/>
  <c r="AH25" i="7"/>
  <c r="AH24" i="7"/>
  <c r="AH23" i="7"/>
  <c r="AH22" i="7"/>
  <c r="AH21" i="7"/>
  <c r="AH20" i="7"/>
  <c r="AE53" i="24"/>
  <c r="AE47" i="24"/>
  <c r="AE48" i="24" s="1"/>
  <c r="AE39" i="24"/>
  <c r="AE19" i="24"/>
  <c r="AE13" i="24"/>
  <c r="AE14" i="24" s="1"/>
  <c r="AH21" i="5"/>
  <c r="AH19" i="5"/>
  <c r="T22" i="26" l="1"/>
  <c r="T51" i="26"/>
  <c r="J30" i="44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I10" i="7" s="1"/>
  <c r="AL38" i="32"/>
  <c r="AJ10" i="7" s="1"/>
  <c r="AJ39" i="32"/>
  <c r="AH11" i="7" s="1"/>
  <c r="AK39" i="32"/>
  <c r="AL39" i="32"/>
  <c r="AJ40" i="32"/>
  <c r="AH12" i="7" s="1"/>
  <c r="AK40" i="32"/>
  <c r="AL40" i="32"/>
  <c r="AJ41" i="32"/>
  <c r="AK41" i="32"/>
  <c r="AI13" i="7" s="1"/>
  <c r="AL41" i="32"/>
  <c r="AJ13" i="7" s="1"/>
  <c r="AJ42" i="32"/>
  <c r="AH14" i="7" s="1"/>
  <c r="AK42" i="32"/>
  <c r="AI14" i="7" s="1"/>
  <c r="AL42" i="32"/>
  <c r="AJ14" i="7" s="1"/>
  <c r="AJ28" i="32"/>
  <c r="AJ29" i="32"/>
  <c r="AJ30" i="32"/>
  <c r="AJ31" i="32"/>
  <c r="AJ32" i="32"/>
  <c r="AJ33" i="32"/>
  <c r="AJ34" i="32"/>
  <c r="AJ5" i="32"/>
  <c r="T58" i="26"/>
  <c r="T29" i="26"/>
  <c r="AL24" i="32" l="1"/>
  <c r="AJ12" i="7"/>
  <c r="AL10" i="32"/>
  <c r="AJ43" i="7" s="1"/>
  <c r="AL57" i="32"/>
  <c r="AL59" i="32" s="1"/>
  <c r="T55" i="26"/>
  <c r="AJ123" i="32"/>
  <c r="AJ11" i="7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H13" i="5" s="1"/>
  <c r="AJ111" i="32"/>
  <c r="AH44" i="7"/>
  <c r="P51" i="37"/>
  <c r="AH10" i="5"/>
  <c r="AH11" i="5" s="1"/>
  <c r="AI11" i="7"/>
  <c r="AK57" i="32"/>
  <c r="AJ45" i="32"/>
  <c r="AH10" i="7"/>
  <c r="AJ121" i="32"/>
  <c r="AJ74" i="32"/>
  <c r="AJ4" i="32" s="1"/>
  <c r="AH7" i="5" s="1"/>
  <c r="AH8" i="5" s="1"/>
  <c r="AJ85" i="32"/>
  <c r="AJ12" i="32" s="1"/>
  <c r="P58" i="37" s="1"/>
  <c r="AJ110" i="32"/>
  <c r="AL45" i="32"/>
  <c r="AJ119" i="32"/>
  <c r="AI12" i="7"/>
  <c r="AK10" i="32"/>
  <c r="AI43" i="7" s="1"/>
  <c r="AJ10" i="32"/>
  <c r="AH43" i="7" s="1"/>
  <c r="AH13" i="7"/>
  <c r="AK45" i="32"/>
  <c r="AJ35" i="32"/>
  <c r="AJ57" i="32"/>
  <c r="AJ59" i="32" s="1"/>
  <c r="AH45" i="7" s="1"/>
  <c r="AJ100" i="32"/>
  <c r="AJ115" i="32"/>
  <c r="AJ125" i="32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T57" i="26" l="1"/>
  <c r="P113" i="37"/>
  <c r="AJ18" i="7"/>
  <c r="AJ22" i="32"/>
  <c r="AL61" i="32"/>
  <c r="AJ47" i="7" s="1"/>
  <c r="AJ45" i="7"/>
  <c r="AJ23" i="32"/>
  <c r="AI18" i="7"/>
  <c r="AJ20" i="32"/>
  <c r="AH20" i="5" s="1"/>
  <c r="AJ116" i="32"/>
  <c r="AJ13" i="32"/>
  <c r="AH24" i="5" s="1"/>
  <c r="AJ126" i="32"/>
  <c r="AK61" i="32"/>
  <c r="AI47" i="7" s="1"/>
  <c r="AK59" i="32"/>
  <c r="AI45" i="7" s="1"/>
  <c r="AJ15" i="32"/>
  <c r="AH25" i="5" s="1"/>
  <c r="AJ7" i="32"/>
  <c r="AJ106" i="32"/>
  <c r="D34" i="85"/>
  <c r="P57" i="37" l="1"/>
  <c r="AK8" i="32"/>
  <c r="AH8" i="7"/>
  <c r="AH18" i="7" s="1"/>
  <c r="AH15" i="5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I18" i="5" s="1"/>
  <c r="AK24" i="32"/>
  <c r="AK21" i="32"/>
  <c r="AK11" i="32"/>
  <c r="AI23" i="5" s="1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BK35" i="26" l="1"/>
  <c r="BK45" i="26" s="1"/>
  <c r="BK54" i="26" s="1"/>
  <c r="S59" i="26"/>
  <c r="S60" i="26" s="1"/>
  <c r="S56" i="26"/>
  <c r="S54" i="26"/>
  <c r="S52" i="26"/>
  <c r="S49" i="26"/>
  <c r="S48" i="26"/>
  <c r="S47" i="26"/>
  <c r="S45" i="26"/>
  <c r="S40" i="26"/>
  <c r="S39" i="26"/>
  <c r="S38" i="26"/>
  <c r="S37" i="26"/>
  <c r="S36" i="26"/>
  <c r="S35" i="26"/>
  <c r="S30" i="26"/>
  <c r="S31" i="26" s="1"/>
  <c r="S27" i="26"/>
  <c r="S25" i="26"/>
  <c r="S20" i="26"/>
  <c r="S19" i="26"/>
  <c r="S18" i="26"/>
  <c r="S16" i="26"/>
  <c r="S11" i="26"/>
  <c r="S10" i="26"/>
  <c r="S9" i="26"/>
  <c r="S8" i="26"/>
  <c r="S7" i="26"/>
  <c r="BY29" i="7"/>
  <c r="AG29" i="7"/>
  <c r="AG25" i="7"/>
  <c r="AG24" i="7"/>
  <c r="AG23" i="7"/>
  <c r="AG22" i="7"/>
  <c r="AG21" i="7"/>
  <c r="AG20" i="7"/>
  <c r="AD53" i="24"/>
  <c r="AD47" i="24"/>
  <c r="AD48" i="24" s="1"/>
  <c r="AD39" i="24"/>
  <c r="AD19" i="24"/>
  <c r="AD13" i="24"/>
  <c r="AD14" i="24" s="1"/>
  <c r="O65" i="37"/>
  <c r="O69" i="37"/>
  <c r="O59" i="37"/>
  <c r="AG21" i="5"/>
  <c r="AG19" i="5"/>
  <c r="S22" i="26" l="1"/>
  <c r="S51" i="26"/>
  <c r="B2" i="44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G44" i="7" s="1"/>
  <c r="AI48" i="32"/>
  <c r="AG40" i="7" s="1"/>
  <c r="AJ48" i="32"/>
  <c r="AI50" i="32"/>
  <c r="AJ50" i="32"/>
  <c r="AI51" i="32"/>
  <c r="AG36" i="7" s="1"/>
  <c r="AJ51" i="32"/>
  <c r="AH36" i="7" s="1"/>
  <c r="AI52" i="32"/>
  <c r="AG37" i="7" s="1"/>
  <c r="AJ52" i="32"/>
  <c r="AH37" i="7" s="1"/>
  <c r="AI38" i="32"/>
  <c r="AG10" i="7" s="1"/>
  <c r="AI39" i="32"/>
  <c r="AG11" i="7" s="1"/>
  <c r="AI40" i="32"/>
  <c r="AG12" i="7" s="1"/>
  <c r="AI41" i="32"/>
  <c r="AG13" i="7" s="1"/>
  <c r="AI42" i="32"/>
  <c r="AG14" i="7" s="1"/>
  <c r="AI28" i="32"/>
  <c r="AI29" i="32"/>
  <c r="AI30" i="32"/>
  <c r="AI101" i="32" s="1"/>
  <c r="AI31" i="32"/>
  <c r="AI102" i="32" s="1"/>
  <c r="AI32" i="32"/>
  <c r="AI103" i="32" s="1"/>
  <c r="AI33" i="32"/>
  <c r="AI5" i="32"/>
  <c r="S29" i="26"/>
  <c r="S58" i="26"/>
  <c r="S55" i="26"/>
  <c r="O112" i="37"/>
  <c r="P112" i="37"/>
  <c r="Q112" i="37"/>
  <c r="R112" i="37"/>
  <c r="S112" i="37"/>
  <c r="T112" i="37"/>
  <c r="AJ43" i="24"/>
  <c r="AK43" i="24"/>
  <c r="AN43" i="24"/>
  <c r="AD54" i="24"/>
  <c r="AE54" i="24"/>
  <c r="AF54" i="24"/>
  <c r="AG54" i="24"/>
  <c r="AD55" i="24"/>
  <c r="AE55" i="24"/>
  <c r="AF55" i="24"/>
  <c r="AG55" i="24"/>
  <c r="O66" i="37"/>
  <c r="P66" i="37"/>
  <c r="Q66" i="37"/>
  <c r="R66" i="37"/>
  <c r="AD20" i="24"/>
  <c r="AE20" i="24"/>
  <c r="AF20" i="24"/>
  <c r="AG20" i="24"/>
  <c r="AD21" i="24"/>
  <c r="AE21" i="24"/>
  <c r="AF21" i="24"/>
  <c r="AG21" i="24"/>
  <c r="AD6" i="24"/>
  <c r="AE6" i="24"/>
  <c r="AF6" i="24"/>
  <c r="AH6" i="24"/>
  <c r="AI6" i="24"/>
  <c r="AJ6" i="24"/>
  <c r="AK6" i="24"/>
  <c r="AL6" i="24"/>
  <c r="AM6" i="24"/>
  <c r="AN6" i="24"/>
  <c r="AE43" i="24"/>
  <c r="AI43" i="24"/>
  <c r="AL43" i="24"/>
  <c r="AM43" i="24"/>
  <c r="AD9" i="24"/>
  <c r="AH9" i="24"/>
  <c r="AI9" i="24"/>
  <c r="AJ9" i="24"/>
  <c r="AK9" i="24"/>
  <c r="AL9" i="24"/>
  <c r="AM9" i="24"/>
  <c r="AN9" i="24"/>
  <c r="G53" i="50" l="1"/>
  <c r="H53" i="50"/>
  <c r="C53" i="50"/>
  <c r="E53" i="50"/>
  <c r="I53" i="50"/>
  <c r="AB35" i="51"/>
  <c r="AB38" i="51"/>
  <c r="AB36" i="51"/>
  <c r="AB42" i="51"/>
  <c r="D53" i="50"/>
  <c r="AH43" i="24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Q42" i="51"/>
  <c r="E38" i="51"/>
  <c r="Q38" i="51"/>
  <c r="J38" i="51"/>
  <c r="N38" i="51"/>
  <c r="L36" i="51"/>
  <c r="P38" i="51"/>
  <c r="O38" i="51"/>
  <c r="K36" i="51"/>
  <c r="AF43" i="24"/>
  <c r="AG43" i="24"/>
  <c r="AI114" i="32"/>
  <c r="AI110" i="32"/>
  <c r="AG6" i="24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K17" i="24"/>
  <c r="AF9" i="24"/>
  <c r="AE9" i="24"/>
  <c r="AN17" i="24"/>
  <c r="AI112" i="32"/>
  <c r="AI10" i="32"/>
  <c r="AG43" i="7" s="1"/>
  <c r="AJ17" i="24"/>
  <c r="AI124" i="32"/>
  <c r="AI120" i="32"/>
  <c r="AH40" i="7"/>
  <c r="AJ61" i="32"/>
  <c r="AH47" i="7" s="1"/>
  <c r="AJ16" i="32"/>
  <c r="AJ60" i="32"/>
  <c r="AH46" i="7" s="1"/>
  <c r="AI113" i="32"/>
  <c r="AI109" i="32"/>
  <c r="AH31" i="7"/>
  <c r="AH35" i="7"/>
  <c r="AJ17" i="32"/>
  <c r="AI74" i="32"/>
  <c r="AI4" i="32" s="1"/>
  <c r="AI16" i="32"/>
  <c r="AI35" i="32"/>
  <c r="AI7" i="32" s="1"/>
  <c r="AJ8" i="32" s="1"/>
  <c r="AI121" i="32"/>
  <c r="R42" i="51"/>
  <c r="AF40" i="24"/>
  <c r="AI54" i="32"/>
  <c r="AG35" i="7"/>
  <c r="AG31" i="7"/>
  <c r="AJ54" i="32"/>
  <c r="AI17" i="32"/>
  <c r="AI57" i="32"/>
  <c r="AI96" i="32"/>
  <c r="AI45" i="32"/>
  <c r="O51" i="37"/>
  <c r="AG10" i="5"/>
  <c r="AG11" i="5" s="1"/>
  <c r="AI104" i="32"/>
  <c r="AI100" i="32"/>
  <c r="AI99" i="32"/>
  <c r="AI85" i="32"/>
  <c r="AI119" i="32"/>
  <c r="AI60" i="32"/>
  <c r="AG46" i="7" s="1"/>
  <c r="AF51" i="24"/>
  <c r="AL17" i="24"/>
  <c r="AH17" i="24"/>
  <c r="AD17" i="24"/>
  <c r="AM17" i="24"/>
  <c r="AI17" i="24"/>
  <c r="M99" i="34"/>
  <c r="M97" i="34"/>
  <c r="S57" i="26" l="1"/>
  <c r="O113" i="37"/>
  <c r="AG17" i="24"/>
  <c r="AD43" i="24"/>
  <c r="AE17" i="24"/>
  <c r="AF17" i="24"/>
  <c r="AG9" i="24"/>
  <c r="AJ21" i="32"/>
  <c r="AJ24" i="32"/>
  <c r="AJ11" i="32"/>
  <c r="AH23" i="5" s="1"/>
  <c r="AJ19" i="32"/>
  <c r="AH18" i="5" s="1"/>
  <c r="AI12" i="32"/>
  <c r="AI126" i="32"/>
  <c r="O57" i="37"/>
  <c r="AG8" i="7"/>
  <c r="AG18" i="7" s="1"/>
  <c r="AG15" i="5"/>
  <c r="AI106" i="32"/>
  <c r="AG7" i="5"/>
  <c r="AG8" i="5" s="1"/>
  <c r="AI14" i="32"/>
  <c r="AI116" i="32"/>
  <c r="AI61" i="32"/>
  <c r="AG47" i="7" s="1"/>
  <c r="AI59" i="32"/>
  <c r="AG45" i="7" s="1"/>
  <c r="N52" i="26"/>
  <c r="O52" i="26"/>
  <c r="O58" i="37" l="1"/>
  <c r="AI22" i="32"/>
  <c r="AG13" i="5"/>
  <c r="AI13" i="32"/>
  <c r="AG24" i="5" s="1"/>
  <c r="AI23" i="32"/>
  <c r="AI15" i="32"/>
  <c r="AG25" i="5" s="1"/>
  <c r="AI20" i="32"/>
  <c r="AG20" i="5" s="1"/>
  <c r="Q18" i="21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AF29" i="7"/>
  <c r="AF25" i="7"/>
  <c r="AF24" i="7"/>
  <c r="AF23" i="7"/>
  <c r="AF22" i="7"/>
  <c r="AF21" i="7"/>
  <c r="AF20" i="7"/>
  <c r="D54" i="26"/>
  <c r="D45" i="26"/>
  <c r="D35" i="26"/>
  <c r="D25" i="26"/>
  <c r="D16" i="26"/>
  <c r="R59" i="26"/>
  <c r="R60" i="26" s="1"/>
  <c r="R56" i="26"/>
  <c r="R54" i="26"/>
  <c r="R49" i="26"/>
  <c r="R48" i="26"/>
  <c r="R47" i="26"/>
  <c r="R45" i="26"/>
  <c r="R40" i="26"/>
  <c r="R39" i="26"/>
  <c r="R38" i="26"/>
  <c r="R37" i="26"/>
  <c r="R36" i="26"/>
  <c r="R35" i="26"/>
  <c r="R30" i="26"/>
  <c r="R31" i="26" s="1"/>
  <c r="R27" i="26"/>
  <c r="R25" i="26"/>
  <c r="R20" i="26"/>
  <c r="R19" i="26"/>
  <c r="R18" i="26"/>
  <c r="R16" i="26"/>
  <c r="R11" i="26"/>
  <c r="R10" i="26"/>
  <c r="R9" i="26"/>
  <c r="R8" i="26"/>
  <c r="R7" i="26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R22" i="26"/>
  <c r="R23" i="26" s="1"/>
  <c r="G57" i="50"/>
  <c r="R51" i="26"/>
  <c r="R52" i="26" s="1"/>
  <c r="T30" i="44"/>
  <c r="T18" i="44"/>
  <c r="AC39" i="24" l="1"/>
  <c r="AC53" i="24"/>
  <c r="AC47" i="24"/>
  <c r="AC19" i="24"/>
  <c r="AC13" i="24"/>
  <c r="AC14" i="24" s="1"/>
  <c r="AF21" i="5"/>
  <c r="AF19" i="5"/>
  <c r="AC48" i="24" l="1"/>
  <c r="F1114" i="47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C52" i="21" s="1"/>
  <c r="C67" i="21" s="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N66" i="37"/>
  <c r="C73" i="21" l="1"/>
  <c r="C75" i="21" s="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6" i="21"/>
  <c r="C64" i="21"/>
  <c r="C62" i="2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R29" i="26"/>
  <c r="R58" i="26"/>
  <c r="AE40" i="24"/>
  <c r="AG40" i="24"/>
  <c r="AH40" i="24"/>
  <c r="AI40" i="24"/>
  <c r="AJ40" i="24"/>
  <c r="AK40" i="24"/>
  <c r="AL40" i="24"/>
  <c r="AM40" i="24"/>
  <c r="AN40" i="24"/>
  <c r="AJ41" i="24"/>
  <c r="AL41" i="24"/>
  <c r="AM41" i="24"/>
  <c r="AN41" i="24"/>
  <c r="AI7" i="24"/>
  <c r="AK7" i="24"/>
  <c r="AL7" i="24"/>
  <c r="AM7" i="24"/>
  <c r="AN7" i="24"/>
  <c r="R42" i="26"/>
  <c r="R43" i="26" s="1"/>
  <c r="S42" i="26"/>
  <c r="S43" i="26" s="1"/>
  <c r="T42" i="26"/>
  <c r="T43" i="26" s="1"/>
  <c r="U42" i="26"/>
  <c r="U43" i="26" s="1"/>
  <c r="V42" i="26"/>
  <c r="R13" i="26"/>
  <c r="R14" i="26" s="1"/>
  <c r="S13" i="26"/>
  <c r="S14" i="26" s="1"/>
  <c r="T13" i="26"/>
  <c r="T14" i="26" s="1"/>
  <c r="U13" i="26"/>
  <c r="V13" i="26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H7" i="24" l="1"/>
  <c r="S70" i="37"/>
  <c r="AI41" i="24"/>
  <c r="T116" i="37"/>
  <c r="AH41" i="24"/>
  <c r="S116" i="37"/>
  <c r="Q115" i="21"/>
  <c r="N112" i="37"/>
  <c r="R57" i="26"/>
  <c r="N113" i="37"/>
  <c r="Q119" i="21"/>
  <c r="AA28" i="26"/>
  <c r="AA26" i="26"/>
  <c r="Y28" i="26"/>
  <c r="Y26" i="26"/>
  <c r="AJ7" i="24"/>
  <c r="AC51" i="24"/>
  <c r="Z26" i="26"/>
  <c r="Z28" i="26"/>
  <c r="X28" i="26"/>
  <c r="X26" i="26"/>
  <c r="AC26" i="26"/>
  <c r="AC28" i="26"/>
  <c r="AB26" i="26"/>
  <c r="AB28" i="26"/>
  <c r="AL42" i="24"/>
  <c r="AK41" i="24"/>
  <c r="AN16" i="24"/>
  <c r="AJ8" i="24"/>
  <c r="AH123" i="32"/>
  <c r="AM44" i="24"/>
  <c r="V43" i="26"/>
  <c r="R116" i="37"/>
  <c r="AK51" i="24"/>
  <c r="AK45" i="24"/>
  <c r="AJ44" i="24"/>
  <c r="AC55" i="24"/>
  <c r="Q122" i="21"/>
  <c r="AK44" i="24"/>
  <c r="AM50" i="24"/>
  <c r="AN50" i="24"/>
  <c r="AI50" i="24"/>
  <c r="AM45" i="24"/>
  <c r="AM51" i="24"/>
  <c r="AI45" i="24"/>
  <c r="AI51" i="24"/>
  <c r="AD40" i="24"/>
  <c r="AD51" i="24"/>
  <c r="N116" i="37"/>
  <c r="AI44" i="24"/>
  <c r="AC54" i="24"/>
  <c r="Q121" i="21"/>
  <c r="AN44" i="24"/>
  <c r="AL45" i="24"/>
  <c r="AL51" i="24"/>
  <c r="AH45" i="24"/>
  <c r="AH51" i="24"/>
  <c r="AC40" i="24"/>
  <c r="Q110" i="21"/>
  <c r="R55" i="26"/>
  <c r="AL44" i="24"/>
  <c r="AH44" i="24"/>
  <c r="AN45" i="24"/>
  <c r="AN51" i="24"/>
  <c r="AJ45" i="24"/>
  <c r="AJ51" i="24"/>
  <c r="V26" i="26"/>
  <c r="V14" i="26"/>
  <c r="AC9" i="24"/>
  <c r="Q100" i="21"/>
  <c r="AJ10" i="24"/>
  <c r="AJ11" i="24"/>
  <c r="AC21" i="24"/>
  <c r="Q105" i="21"/>
  <c r="R26" i="26"/>
  <c r="AK10" i="24"/>
  <c r="AK11" i="24"/>
  <c r="T26" i="26"/>
  <c r="AC6" i="24"/>
  <c r="Q93" i="21"/>
  <c r="AL10" i="24"/>
  <c r="AL11" i="24"/>
  <c r="AH10" i="24"/>
  <c r="AH11" i="24"/>
  <c r="N70" i="37"/>
  <c r="AC7" i="24"/>
  <c r="Q95" i="21"/>
  <c r="U26" i="26"/>
  <c r="AH122" i="32"/>
  <c r="AN10" i="24"/>
  <c r="AN11" i="24"/>
  <c r="S26" i="26"/>
  <c r="AM10" i="24"/>
  <c r="AM11" i="24"/>
  <c r="AI10" i="24"/>
  <c r="AI11" i="24"/>
  <c r="AC20" i="24"/>
  <c r="Q104" i="21"/>
  <c r="U14" i="26"/>
  <c r="AH110" i="32"/>
  <c r="AH114" i="32"/>
  <c r="AG11" i="24"/>
  <c r="AG10" i="24"/>
  <c r="AG51" i="24"/>
  <c r="AE45" i="24"/>
  <c r="AE51" i="24"/>
  <c r="AH74" i="32"/>
  <c r="AH4" i="32" s="1"/>
  <c r="AF44" i="7"/>
  <c r="AH16" i="32"/>
  <c r="AF40" i="7"/>
  <c r="AF11" i="7"/>
  <c r="N51" i="37"/>
  <c r="AF10" i="5"/>
  <c r="AF11" i="5" s="1"/>
  <c r="AH115" i="32"/>
  <c r="AH111" i="32"/>
  <c r="AH124" i="32"/>
  <c r="AH120" i="32"/>
  <c r="AF31" i="7"/>
  <c r="AF35" i="7"/>
  <c r="AF12" i="7"/>
  <c r="AH103" i="32"/>
  <c r="AH99" i="32"/>
  <c r="AH119" i="32"/>
  <c r="AH125" i="32"/>
  <c r="AH121" i="32"/>
  <c r="AF36" i="7"/>
  <c r="AF13" i="7"/>
  <c r="AH113" i="32"/>
  <c r="AF37" i="7"/>
  <c r="AF14" i="7"/>
  <c r="AF10" i="7"/>
  <c r="AH57" i="32"/>
  <c r="AH59" i="32" s="1"/>
  <c r="AF45" i="7" s="1"/>
  <c r="AH102" i="32"/>
  <c r="AH109" i="32"/>
  <c r="AH101" i="32"/>
  <c r="AH45" i="32"/>
  <c r="AH104" i="32"/>
  <c r="AH96" i="32"/>
  <c r="AH112" i="32"/>
  <c r="AH100" i="32"/>
  <c r="AH85" i="32"/>
  <c r="AH60" i="32"/>
  <c r="AF46" i="7" s="1"/>
  <c r="AH17" i="32"/>
  <c r="AH10" i="32"/>
  <c r="AH35" i="32"/>
  <c r="AH54" i="32"/>
  <c r="AC17" i="24"/>
  <c r="AK16" i="24" l="1"/>
  <c r="AE11" i="24"/>
  <c r="AG44" i="24"/>
  <c r="AE44" i="24"/>
  <c r="AL50" i="24"/>
  <c r="AG45" i="24"/>
  <c r="V28" i="26"/>
  <c r="R67" i="37"/>
  <c r="AF41" i="24"/>
  <c r="Q116" i="37"/>
  <c r="AE41" i="24"/>
  <c r="P116" i="37"/>
  <c r="AF44" i="24"/>
  <c r="AK8" i="24"/>
  <c r="AC43" i="24"/>
  <c r="Q120" i="21"/>
  <c r="AG7" i="24"/>
  <c r="R70" i="37"/>
  <c r="AD41" i="24"/>
  <c r="O116" i="37"/>
  <c r="Q117" i="21"/>
  <c r="AN8" i="24"/>
  <c r="AJ16" i="24"/>
  <c r="AK42" i="24"/>
  <c r="AG41" i="24"/>
  <c r="AD44" i="24"/>
  <c r="AC41" i="24"/>
  <c r="Q112" i="21"/>
  <c r="AN42" i="24"/>
  <c r="AC44" i="24"/>
  <c r="Q118" i="21"/>
  <c r="AF50" i="24"/>
  <c r="AF45" i="24"/>
  <c r="AD45" i="24"/>
  <c r="AK50" i="24"/>
  <c r="AJ42" i="24"/>
  <c r="AC45" i="24"/>
  <c r="AM42" i="24"/>
  <c r="AI42" i="24"/>
  <c r="AJ50" i="24"/>
  <c r="AC11" i="24"/>
  <c r="Q103" i="21"/>
  <c r="AI8" i="24"/>
  <c r="AI16" i="24"/>
  <c r="O70" i="37"/>
  <c r="AD7" i="24"/>
  <c r="AD10" i="24"/>
  <c r="AD11" i="24"/>
  <c r="P70" i="37"/>
  <c r="AE7" i="24"/>
  <c r="AL8" i="24"/>
  <c r="AL16" i="24"/>
  <c r="U28" i="26"/>
  <c r="Q67" i="37"/>
  <c r="AF7" i="24"/>
  <c r="Q70" i="37"/>
  <c r="AE10" i="24"/>
  <c r="AM16" i="24"/>
  <c r="AM8" i="24"/>
  <c r="Q102" i="21"/>
  <c r="S28" i="26"/>
  <c r="O67" i="37"/>
  <c r="P67" i="37"/>
  <c r="T28" i="26"/>
  <c r="R28" i="26"/>
  <c r="N67" i="37"/>
  <c r="AF8" i="24"/>
  <c r="AH14" i="32"/>
  <c r="AF11" i="24"/>
  <c r="AF10" i="24"/>
  <c r="AH61" i="32"/>
  <c r="AF47" i="7" s="1"/>
  <c r="AF43" i="7"/>
  <c r="AF7" i="5"/>
  <c r="AF8" i="5" s="1"/>
  <c r="AH116" i="32"/>
  <c r="AH126" i="32"/>
  <c r="AH12" i="32"/>
  <c r="AH7" i="32"/>
  <c r="AI8" i="32" s="1"/>
  <c r="AH106" i="32"/>
  <c r="AE42" i="24" l="1"/>
  <c r="AE50" i="24"/>
  <c r="AG8" i="24"/>
  <c r="AG16" i="24"/>
  <c r="AE16" i="24"/>
  <c r="AE8" i="24"/>
  <c r="AG50" i="24"/>
  <c r="AG42" i="24"/>
  <c r="AF42" i="24"/>
  <c r="AD42" i="24"/>
  <c r="AD50" i="24"/>
  <c r="AH50" i="24"/>
  <c r="AH42" i="24"/>
  <c r="AH16" i="24"/>
  <c r="AH8" i="24"/>
  <c r="AD8" i="24"/>
  <c r="AD16" i="24"/>
  <c r="AF16" i="24"/>
  <c r="AC10" i="24"/>
  <c r="Q101" i="21"/>
  <c r="AH15" i="32"/>
  <c r="AF25" i="5" s="1"/>
  <c r="AF13" i="5"/>
  <c r="AI21" i="32"/>
  <c r="AI24" i="32"/>
  <c r="AI19" i="32"/>
  <c r="AG18" i="5" s="1"/>
  <c r="AI11" i="32"/>
  <c r="AG23" i="5" s="1"/>
  <c r="N57" i="37"/>
  <c r="AF8" i="7"/>
  <c r="AF18" i="7" s="1"/>
  <c r="AF15" i="5"/>
  <c r="N58" i="37"/>
  <c r="AH20" i="32"/>
  <c r="AF20" i="5" s="1"/>
  <c r="AH22" i="32"/>
  <c r="AH13" i="32"/>
  <c r="AF24" i="5" s="1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P23" i="26" l="1"/>
  <c r="Q23" i="26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M112" i="37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M113" i="37"/>
  <c r="M66" i="37"/>
  <c r="AG17" i="32" l="1"/>
  <c r="M116" i="37"/>
  <c r="AG60" i="32"/>
  <c r="AG57" i="32"/>
  <c r="AG59" i="32" s="1"/>
  <c r="AG10" i="32"/>
  <c r="AG124" i="32"/>
  <c r="AG120" i="32"/>
  <c r="AG122" i="32"/>
  <c r="AG121" i="32"/>
  <c r="AG111" i="32"/>
  <c r="AG112" i="32"/>
  <c r="AG123" i="32"/>
  <c r="AG35" i="32"/>
  <c r="AG7" i="32" s="1"/>
  <c r="AG114" i="32"/>
  <c r="AG110" i="32"/>
  <c r="AG101" i="32"/>
  <c r="M67" i="37"/>
  <c r="AG54" i="32"/>
  <c r="AG85" i="32"/>
  <c r="AG74" i="32"/>
  <c r="AG4" i="32" s="1"/>
  <c r="AG45" i="32"/>
  <c r="AG96" i="32"/>
  <c r="AG99" i="32"/>
  <c r="AG113" i="32"/>
  <c r="AG109" i="32"/>
  <c r="AG119" i="32"/>
  <c r="BM49" i="21"/>
  <c r="Q113" i="21" l="1"/>
  <c r="AC50" i="24"/>
  <c r="AH8" i="32"/>
  <c r="AE15" i="5"/>
  <c r="M70" i="37"/>
  <c r="AG61" i="32"/>
  <c r="AG106" i="32"/>
  <c r="AG12" i="32"/>
  <c r="AG126" i="32"/>
  <c r="AG116" i="32"/>
  <c r="AG14" i="32"/>
  <c r="AC42" i="24" l="1"/>
  <c r="Q116" i="21"/>
  <c r="AH24" i="32"/>
  <c r="AH11" i="32"/>
  <c r="AF23" i="5" s="1"/>
  <c r="AH21" i="32"/>
  <c r="AH19" i="32"/>
  <c r="AF18" i="5" s="1"/>
  <c r="Q96" i="21"/>
  <c r="AC16" i="24"/>
  <c r="AG13" i="32"/>
  <c r="AE24" i="5" s="1"/>
  <c r="AG23" i="32"/>
  <c r="AG20" i="32"/>
  <c r="AE20" i="5" s="1"/>
  <c r="AG22" i="32"/>
  <c r="AG15" i="32"/>
  <c r="AE25" i="5" s="1"/>
  <c r="Q7" i="26"/>
  <c r="Q59" i="26"/>
  <c r="Q60" i="26" s="1"/>
  <c r="Q58" i="26"/>
  <c r="Q57" i="26"/>
  <c r="Q56" i="26"/>
  <c r="Q55" i="26"/>
  <c r="Q54" i="26"/>
  <c r="Q49" i="26"/>
  <c r="Q48" i="26"/>
  <c r="Q47" i="26"/>
  <c r="Q45" i="26"/>
  <c r="Q40" i="26"/>
  <c r="Q39" i="26"/>
  <c r="Q38" i="26"/>
  <c r="Q37" i="26"/>
  <c r="Q36" i="26"/>
  <c r="Q35" i="26"/>
  <c r="Q30" i="26"/>
  <c r="Q31" i="26" s="1"/>
  <c r="Q29" i="26"/>
  <c r="Q28" i="26"/>
  <c r="Q27" i="26"/>
  <c r="Q26" i="26"/>
  <c r="Q25" i="26"/>
  <c r="Q20" i="26"/>
  <c r="Q19" i="26"/>
  <c r="Q18" i="26"/>
  <c r="Q16" i="26"/>
  <c r="Q11" i="26"/>
  <c r="Q10" i="26"/>
  <c r="Q9" i="26"/>
  <c r="Q8" i="26"/>
  <c r="AE47" i="7"/>
  <c r="AE46" i="7"/>
  <c r="AE45" i="7"/>
  <c r="AE44" i="7"/>
  <c r="AE43" i="7"/>
  <c r="AE40" i="7"/>
  <c r="AE37" i="7"/>
  <c r="AE36" i="7"/>
  <c r="AE35" i="7"/>
  <c r="AE31" i="7"/>
  <c r="AE25" i="7"/>
  <c r="AE24" i="7"/>
  <c r="AE23" i="7"/>
  <c r="AE22" i="7"/>
  <c r="AE21" i="7"/>
  <c r="AE20" i="7"/>
  <c r="AE14" i="7"/>
  <c r="AE13" i="7"/>
  <c r="AE12" i="7"/>
  <c r="AE11" i="7"/>
  <c r="AE10" i="7"/>
  <c r="AE8" i="7"/>
  <c r="BM51" i="21"/>
  <c r="BM60" i="21"/>
  <c r="BM59" i="21"/>
  <c r="BM57" i="21"/>
  <c r="BM55" i="21"/>
  <c r="BM53" i="21"/>
  <c r="BN67" i="21" s="1"/>
  <c r="BM52" i="21"/>
  <c r="BM29" i="21"/>
  <c r="AB55" i="24"/>
  <c r="AB54" i="24"/>
  <c r="AB53" i="24"/>
  <c r="AB51" i="24"/>
  <c r="AB47" i="24"/>
  <c r="AB45" i="24"/>
  <c r="AB44" i="24"/>
  <c r="AB43" i="24"/>
  <c r="AB41" i="24"/>
  <c r="AB40" i="24"/>
  <c r="AB21" i="24"/>
  <c r="AB20" i="24"/>
  <c r="AB19" i="24"/>
  <c r="AB17" i="24"/>
  <c r="AB13" i="24"/>
  <c r="AB14" i="24" s="1"/>
  <c r="AB11" i="24"/>
  <c r="AB10" i="24"/>
  <c r="AB9" i="24"/>
  <c r="AB7" i="24"/>
  <c r="AB6" i="24"/>
  <c r="M59" i="37"/>
  <c r="M56" i="37"/>
  <c r="M57" i="37"/>
  <c r="M58" i="37"/>
  <c r="M50" i="37"/>
  <c r="M51" i="37"/>
  <c r="AE21" i="5"/>
  <c r="AE19" i="5"/>
  <c r="AE13" i="5"/>
  <c r="AE10" i="5"/>
  <c r="AE11" i="5" s="1"/>
  <c r="AE7" i="5"/>
  <c r="AE8" i="5" s="1"/>
  <c r="BM66" i="21" l="1"/>
  <c r="Q22" i="26"/>
  <c r="BM65" i="21"/>
  <c r="BM63" i="21"/>
  <c r="BM67" i="21"/>
  <c r="BM64" i="21"/>
  <c r="BM62" i="21"/>
  <c r="AC8" i="24"/>
  <c r="Q99" i="21"/>
  <c r="BM54" i="21"/>
  <c r="AE18" i="7"/>
  <c r="AB48" i="24"/>
  <c r="Q51" i="26"/>
  <c r="Q52" i="26" s="1"/>
  <c r="BM26" i="21" l="1"/>
  <c r="BM39" i="21" l="1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P54" i="26"/>
  <c r="P45" i="26"/>
  <c r="P35" i="26"/>
  <c r="P25" i="26"/>
  <c r="P16" i="26"/>
  <c r="AD25" i="7"/>
  <c r="AD24" i="7"/>
  <c r="AD23" i="7"/>
  <c r="AD22" i="7"/>
  <c r="AD21" i="7"/>
  <c r="AD20" i="7"/>
  <c r="L56" i="37"/>
  <c r="L59" i="37"/>
  <c r="L50" i="37"/>
  <c r="P59" i="26"/>
  <c r="P60" i="26" s="1"/>
  <c r="P56" i="26"/>
  <c r="P49" i="26"/>
  <c r="P48" i="26"/>
  <c r="P47" i="26"/>
  <c r="P40" i="26"/>
  <c r="P39" i="26"/>
  <c r="P38" i="26"/>
  <c r="P37" i="26"/>
  <c r="P36" i="26"/>
  <c r="P30" i="26"/>
  <c r="P31" i="26" s="1"/>
  <c r="P27" i="26"/>
  <c r="P20" i="26"/>
  <c r="P19" i="26"/>
  <c r="P18" i="26"/>
  <c r="P11" i="26"/>
  <c r="P10" i="26"/>
  <c r="P9" i="26"/>
  <c r="P8" i="26"/>
  <c r="P7" i="26"/>
  <c r="O57" i="50" l="1"/>
  <c r="P22" i="26"/>
  <c r="P51" i="26"/>
  <c r="P52" i="26" s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AA53" i="24"/>
  <c r="AA47" i="24"/>
  <c r="AA19" i="24"/>
  <c r="AA13" i="24"/>
  <c r="AA14" i="24" s="1"/>
  <c r="AD21" i="5"/>
  <c r="AD19" i="5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AA48" i="24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D36" i="7" s="1"/>
  <c r="AF52" i="32"/>
  <c r="AD37" i="7" s="1"/>
  <c r="AF38" i="32"/>
  <c r="AD10" i="7" s="1"/>
  <c r="AF39" i="32"/>
  <c r="AD11" i="7" s="1"/>
  <c r="AF40" i="32"/>
  <c r="AD12" i="7" s="1"/>
  <c r="AF41" i="32"/>
  <c r="AD13" i="7" s="1"/>
  <c r="AF42" i="32"/>
  <c r="AD14" i="7" s="1"/>
  <c r="AF28" i="32"/>
  <c r="AF99" i="32" s="1"/>
  <c r="AF29" i="32"/>
  <c r="AF30" i="32"/>
  <c r="AF101" i="32" s="1"/>
  <c r="AF31" i="32"/>
  <c r="AF32" i="32"/>
  <c r="AF33" i="32"/>
  <c r="AF5" i="32"/>
  <c r="L112" i="37"/>
  <c r="AA54" i="24"/>
  <c r="AA55" i="24"/>
  <c r="L66" i="37"/>
  <c r="AA20" i="24"/>
  <c r="AA21" i="24"/>
  <c r="P29" i="26"/>
  <c r="P58" i="26"/>
  <c r="AA40" i="24"/>
  <c r="AA9" i="24"/>
  <c r="AA43" i="24"/>
  <c r="L116" i="37" l="1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F121" i="32"/>
  <c r="AF114" i="32"/>
  <c r="AF110" i="32"/>
  <c r="AF10" i="32"/>
  <c r="AD43" i="7" s="1"/>
  <c r="AF102" i="32"/>
  <c r="AF45" i="32"/>
  <c r="AF123" i="32"/>
  <c r="AA6" i="24"/>
  <c r="AA17" i="24"/>
  <c r="AA41" i="24"/>
  <c r="AF17" i="32"/>
  <c r="AD35" i="7"/>
  <c r="AD31" i="7"/>
  <c r="P55" i="26"/>
  <c r="AA11" i="24"/>
  <c r="AA10" i="24"/>
  <c r="P26" i="26"/>
  <c r="AF60" i="32"/>
  <c r="AD46" i="7" s="1"/>
  <c r="AD44" i="7"/>
  <c r="AF96" i="32"/>
  <c r="AF113" i="32"/>
  <c r="AF109" i="32"/>
  <c r="AF119" i="32"/>
  <c r="AF57" i="32"/>
  <c r="AF61" i="32" s="1"/>
  <c r="AD47" i="7" s="1"/>
  <c r="AF104" i="32"/>
  <c r="AF100" i="32"/>
  <c r="AA45" i="24"/>
  <c r="AF35" i="32"/>
  <c r="AF74" i="32"/>
  <c r="AF4" i="32" s="1"/>
  <c r="AD7" i="5" s="1"/>
  <c r="AD8" i="5" s="1"/>
  <c r="L51" i="37"/>
  <c r="AD10" i="5"/>
  <c r="AD11" i="5" s="1"/>
  <c r="AF16" i="32"/>
  <c r="AD40" i="7"/>
  <c r="AF85" i="32"/>
  <c r="AF54" i="32"/>
  <c r="AA44" i="24"/>
  <c r="AA51" i="24"/>
  <c r="M15" i="51" l="1"/>
  <c r="M18" i="51" s="1"/>
  <c r="M21" i="51" s="1"/>
  <c r="M19" i="51"/>
  <c r="M22" i="51" s="1"/>
  <c r="P57" i="26"/>
  <c r="L113" i="37"/>
  <c r="AB50" i="24"/>
  <c r="AB42" i="24"/>
  <c r="P28" i="26"/>
  <c r="L67" i="37"/>
  <c r="L70" i="37"/>
  <c r="N16" i="51"/>
  <c r="N19" i="51" s="1"/>
  <c r="N22" i="51" s="1"/>
  <c r="N17" i="51"/>
  <c r="M17" i="51"/>
  <c r="O20" i="73"/>
  <c r="N18" i="51"/>
  <c r="N21" i="51" s="1"/>
  <c r="AA7" i="24"/>
  <c r="AF12" i="32"/>
  <c r="AF126" i="32"/>
  <c r="AF7" i="32"/>
  <c r="AG8" i="32" s="1"/>
  <c r="AF106" i="32"/>
  <c r="AF59" i="32"/>
  <c r="AD45" i="7" s="1"/>
  <c r="AF14" i="32"/>
  <c r="AF116" i="32"/>
  <c r="N62" i="21"/>
  <c r="M23" i="51" l="1"/>
  <c r="N23" i="51"/>
  <c r="AG24" i="32"/>
  <c r="AG21" i="32"/>
  <c r="AG19" i="32"/>
  <c r="AE18" i="5" s="1"/>
  <c r="AG11" i="32"/>
  <c r="AE23" i="5" s="1"/>
  <c r="AB16" i="24"/>
  <c r="AB8" i="24"/>
  <c r="L58" i="37"/>
  <c r="AF20" i="32"/>
  <c r="AD20" i="5" s="1"/>
  <c r="AF22" i="32"/>
  <c r="AD13" i="5"/>
  <c r="AF13" i="32"/>
  <c r="AD24" i="5" s="1"/>
  <c r="AF15" i="32"/>
  <c r="AD25" i="5" s="1"/>
  <c r="AF23" i="32"/>
  <c r="AD8" i="7"/>
  <c r="AD18" i="7" s="1"/>
  <c r="L57" i="37"/>
  <c r="AD15" i="5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Z54" i="24"/>
  <c r="N122" i="21"/>
  <c r="K66" i="37"/>
  <c r="N104" i="21"/>
  <c r="N105" i="2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N119" i="2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Z53" i="24"/>
  <c r="Z47" i="24"/>
  <c r="Z19" i="24"/>
  <c r="Z13" i="24"/>
  <c r="Z14" i="24" s="1"/>
  <c r="AC21" i="5"/>
  <c r="AC19" i="5"/>
  <c r="K50" i="37"/>
  <c r="K56" i="37"/>
  <c r="K59" i="37"/>
  <c r="O59" i="26"/>
  <c r="O60" i="26" s="1"/>
  <c r="O56" i="26"/>
  <c r="O49" i="26"/>
  <c r="O48" i="26"/>
  <c r="O47" i="26"/>
  <c r="O40" i="26"/>
  <c r="O39" i="26"/>
  <c r="O38" i="26"/>
  <c r="O37" i="26"/>
  <c r="O36" i="26"/>
  <c r="O30" i="26"/>
  <c r="O31" i="26" s="1"/>
  <c r="O27" i="26"/>
  <c r="O20" i="26"/>
  <c r="O19" i="26"/>
  <c r="O18" i="26"/>
  <c r="O11" i="26"/>
  <c r="O10" i="26"/>
  <c r="O9" i="26"/>
  <c r="O8" i="26"/>
  <c r="O7" i="26"/>
  <c r="AC25" i="7"/>
  <c r="AC24" i="7"/>
  <c r="AC23" i="7"/>
  <c r="AC22" i="7"/>
  <c r="AC21" i="7"/>
  <c r="AC20" i="7"/>
  <c r="AE58" i="32"/>
  <c r="AC44" i="7" s="1"/>
  <c r="AE48" i="32"/>
  <c r="AE16" i="32" s="1"/>
  <c r="AE50" i="32"/>
  <c r="AE51" i="32"/>
  <c r="AC36" i="7" s="1"/>
  <c r="AE52" i="32"/>
  <c r="AC37" i="7" s="1"/>
  <c r="AE38" i="32"/>
  <c r="AC10" i="7" s="1"/>
  <c r="AE39" i="32"/>
  <c r="AC11" i="7" s="1"/>
  <c r="AE40" i="32"/>
  <c r="AC12" i="7" s="1"/>
  <c r="AE41" i="32"/>
  <c r="AC13" i="7" s="1"/>
  <c r="AE42" i="32"/>
  <c r="AC14" i="7" s="1"/>
  <c r="AE28" i="32"/>
  <c r="AE29" i="32"/>
  <c r="AE30" i="32"/>
  <c r="AE31" i="32"/>
  <c r="AE32" i="32"/>
  <c r="AE33" i="32"/>
  <c r="O58" i="26"/>
  <c r="O29" i="26"/>
  <c r="N63" i="21"/>
  <c r="D40" i="24"/>
  <c r="N121" i="21" l="1"/>
  <c r="AF18" i="44"/>
  <c r="N115" i="21"/>
  <c r="K112" i="37"/>
  <c r="Z55" i="24"/>
  <c r="AE124" i="32"/>
  <c r="AE120" i="32"/>
  <c r="AE113" i="32"/>
  <c r="AE109" i="32"/>
  <c r="AE114" i="32"/>
  <c r="AE103" i="32"/>
  <c r="AE99" i="32"/>
  <c r="K116" i="37"/>
  <c r="AE122" i="32"/>
  <c r="AE100" i="32"/>
  <c r="AE101" i="32"/>
  <c r="AE35" i="32"/>
  <c r="AE7" i="32" s="1"/>
  <c r="AC15" i="5" s="1"/>
  <c r="K70" i="37"/>
  <c r="AC31" i="7"/>
  <c r="AC35" i="7"/>
  <c r="AE123" i="32"/>
  <c r="AE119" i="32"/>
  <c r="AE112" i="32"/>
  <c r="AE121" i="32"/>
  <c r="Z40" i="24"/>
  <c r="N110" i="21"/>
  <c r="Z51" i="24"/>
  <c r="Z9" i="24"/>
  <c r="N117" i="21"/>
  <c r="Z43" i="24"/>
  <c r="Z17" i="24"/>
  <c r="N93" i="21"/>
  <c r="Z6" i="24"/>
  <c r="AC10" i="5"/>
  <c r="AC11" i="5" s="1"/>
  <c r="O55" i="26"/>
  <c r="Z48" i="24"/>
  <c r="AE111" i="32"/>
  <c r="AE17" i="32"/>
  <c r="AE54" i="32"/>
  <c r="AE10" i="32"/>
  <c r="AC43" i="7" s="1"/>
  <c r="AE74" i="32"/>
  <c r="AE4" i="32" s="1"/>
  <c r="AE102" i="32"/>
  <c r="Z11" i="24"/>
  <c r="N120" i="21"/>
  <c r="AE45" i="32"/>
  <c r="AE57" i="32"/>
  <c r="AE61" i="32" s="1"/>
  <c r="AC47" i="7" s="1"/>
  <c r="AC40" i="7"/>
  <c r="O26" i="26"/>
  <c r="AE85" i="32"/>
  <c r="AE60" i="32"/>
  <c r="AC46" i="7" s="1"/>
  <c r="AE96" i="32"/>
  <c r="AE104" i="32"/>
  <c r="AE110" i="32"/>
  <c r="AD18" i="44"/>
  <c r="AD30" i="44"/>
  <c r="AF30" i="44"/>
  <c r="K51" i="37"/>
  <c r="Z21" i="24"/>
  <c r="Z20" i="24"/>
  <c r="N100" i="21"/>
  <c r="O51" i="26"/>
  <c r="O22" i="26"/>
  <c r="O23" i="26" s="1"/>
  <c r="N95" i="21" l="1"/>
  <c r="O57" i="26"/>
  <c r="K113" i="37"/>
  <c r="O28" i="26"/>
  <c r="K67" i="37"/>
  <c r="AC8" i="7"/>
  <c r="AC18" i="7" s="1"/>
  <c r="N102" i="21"/>
  <c r="Z7" i="24"/>
  <c r="Z41" i="24"/>
  <c r="N112" i="21"/>
  <c r="K57" i="37"/>
  <c r="AF8" i="32"/>
  <c r="Z45" i="24"/>
  <c r="AE14" i="32"/>
  <c r="AE116" i="32"/>
  <c r="AC7" i="5"/>
  <c r="AC8" i="5" s="1"/>
  <c r="AE59" i="32"/>
  <c r="AC45" i="7" s="1"/>
  <c r="N103" i="21"/>
  <c r="AE12" i="32"/>
  <c r="AE126" i="32"/>
  <c r="Z44" i="24"/>
  <c r="N118" i="21"/>
  <c r="AE106" i="32"/>
  <c r="AA16" i="24" l="1"/>
  <c r="O96" i="21"/>
  <c r="AF21" i="32"/>
  <c r="AF19" i="32"/>
  <c r="AD18" i="5" s="1"/>
  <c r="AF24" i="32"/>
  <c r="AF11" i="32"/>
  <c r="AD23" i="5" s="1"/>
  <c r="AA50" i="24"/>
  <c r="O113" i="21"/>
  <c r="AE15" i="32"/>
  <c r="AC25" i="5" s="1"/>
  <c r="AC13" i="5"/>
  <c r="AE13" i="32"/>
  <c r="AC24" i="5" s="1"/>
  <c r="N101" i="21"/>
  <c r="Z10" i="24"/>
  <c r="AE23" i="32"/>
  <c r="AE20" i="32"/>
  <c r="AC20" i="5" s="1"/>
  <c r="AE22" i="32"/>
  <c r="K58" i="37"/>
  <c r="AA42" i="24" l="1"/>
  <c r="O116" i="21"/>
  <c r="AA8" i="24"/>
  <c r="O99" i="21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N59" i="26" l="1"/>
  <c r="N60" i="26" s="1"/>
  <c r="N56" i="26"/>
  <c r="N49" i="26"/>
  <c r="N48" i="26"/>
  <c r="N47" i="26"/>
  <c r="N40" i="26"/>
  <c r="N39" i="26"/>
  <c r="N38" i="26"/>
  <c r="N37" i="26"/>
  <c r="N36" i="26"/>
  <c r="N30" i="26"/>
  <c r="N31" i="26" s="1"/>
  <c r="N27" i="26"/>
  <c r="N20" i="26"/>
  <c r="N19" i="26"/>
  <c r="N18" i="26"/>
  <c r="N11" i="26"/>
  <c r="N10" i="26"/>
  <c r="N9" i="26"/>
  <c r="N8" i="26"/>
  <c r="N7" i="26"/>
  <c r="AB25" i="7"/>
  <c r="AB24" i="7"/>
  <c r="AB23" i="7"/>
  <c r="AB22" i="7"/>
  <c r="AB21" i="7"/>
  <c r="AB20" i="7"/>
  <c r="J50" i="37"/>
  <c r="Y53" i="24"/>
  <c r="Y47" i="24"/>
  <c r="Y48" i="24" s="1"/>
  <c r="Y19" i="24"/>
  <c r="Y13" i="24"/>
  <c r="Y14" i="24" s="1"/>
  <c r="N51" i="26" l="1"/>
  <c r="N22" i="26"/>
  <c r="N23" i="26" s="1"/>
  <c r="AB21" i="5" l="1"/>
  <c r="AB19" i="5"/>
  <c r="M111" i="2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B40" i="7" s="1"/>
  <c r="AD50" i="32"/>
  <c r="AD51" i="32"/>
  <c r="AB36" i="7" s="1"/>
  <c r="AD52" i="32"/>
  <c r="AB37" i="7" s="1"/>
  <c r="AD38" i="32"/>
  <c r="AB10" i="7" s="1"/>
  <c r="AD39" i="32"/>
  <c r="AB11" i="7" s="1"/>
  <c r="AD40" i="32"/>
  <c r="AB12" i="7" s="1"/>
  <c r="AD41" i="32"/>
  <c r="AB13" i="7" s="1"/>
  <c r="AD42" i="32"/>
  <c r="AB14" i="7" s="1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N29" i="26"/>
  <c r="N26" i="26"/>
  <c r="N55" i="26"/>
  <c r="N58" i="26"/>
  <c r="Y54" i="24"/>
  <c r="Y55" i="24"/>
  <c r="Y20" i="24"/>
  <c r="Y21" i="24"/>
  <c r="Y6" i="24"/>
  <c r="M115" i="21" l="1"/>
  <c r="J112" i="37"/>
  <c r="J116" i="37"/>
  <c r="M98" i="21"/>
  <c r="J66" i="37"/>
  <c r="Y40" i="24"/>
  <c r="M110" i="21"/>
  <c r="Y43" i="24"/>
  <c r="AD111" i="32"/>
  <c r="AD121" i="32"/>
  <c r="AD124" i="32"/>
  <c r="AD120" i="32"/>
  <c r="AD113" i="32"/>
  <c r="AD109" i="32"/>
  <c r="AD114" i="32"/>
  <c r="AD74" i="32"/>
  <c r="AD4" i="32" s="1"/>
  <c r="AB7" i="5" s="1"/>
  <c r="AB8" i="5" s="1"/>
  <c r="AD103" i="32"/>
  <c r="AD85" i="32"/>
  <c r="AD12" i="32" s="1"/>
  <c r="J58" i="37" s="1"/>
  <c r="AD112" i="32"/>
  <c r="Y41" i="24"/>
  <c r="M112" i="21"/>
  <c r="AD54" i="32"/>
  <c r="AB35" i="7"/>
  <c r="AB31" i="7"/>
  <c r="AD35" i="32"/>
  <c r="M122" i="21"/>
  <c r="M119" i="21"/>
  <c r="AD122" i="32"/>
  <c r="M105" i="21"/>
  <c r="AD10" i="32"/>
  <c r="AD102" i="32"/>
  <c r="AD45" i="32"/>
  <c r="AD57" i="32"/>
  <c r="AD61" i="32" s="1"/>
  <c r="AB47" i="7" s="1"/>
  <c r="AD96" i="32"/>
  <c r="AD123" i="32"/>
  <c r="AD119" i="32"/>
  <c r="AB10" i="5"/>
  <c r="AB11" i="5" s="1"/>
  <c r="AD60" i="32"/>
  <c r="AB46" i="7" s="1"/>
  <c r="AB44" i="7"/>
  <c r="M104" i="21"/>
  <c r="M93" i="21"/>
  <c r="AD16" i="32"/>
  <c r="AD100" i="32"/>
  <c r="AD110" i="32"/>
  <c r="M121" i="21"/>
  <c r="AD17" i="32"/>
  <c r="N113" i="21" l="1"/>
  <c r="Z50" i="24"/>
  <c r="Y17" i="24"/>
  <c r="N57" i="26"/>
  <c r="J113" i="37"/>
  <c r="J70" i="37"/>
  <c r="N28" i="26"/>
  <c r="J67" i="37"/>
  <c r="AB43" i="7"/>
  <c r="I10" i="32"/>
  <c r="AD22" i="32"/>
  <c r="Y51" i="24"/>
  <c r="M117" i="21"/>
  <c r="AD59" i="32"/>
  <c r="AB45" i="7" s="1"/>
  <c r="Z42" i="24"/>
  <c r="N116" i="21"/>
  <c r="M118" i="21"/>
  <c r="Y45" i="24"/>
  <c r="Y9" i="24"/>
  <c r="M100" i="21"/>
  <c r="AD20" i="32"/>
  <c r="AB20" i="5" s="1"/>
  <c r="AD7" i="32"/>
  <c r="AD106" i="32"/>
  <c r="Y44" i="24"/>
  <c r="AD14" i="32"/>
  <c r="AD116" i="32"/>
  <c r="Y7" i="24"/>
  <c r="M95" i="21"/>
  <c r="M102" i="21"/>
  <c r="AD126" i="32"/>
  <c r="Z16" i="24" l="1"/>
  <c r="N96" i="21"/>
  <c r="AE8" i="32"/>
  <c r="AE11" i="32" s="1"/>
  <c r="AC23" i="5" s="1"/>
  <c r="I7" i="32"/>
  <c r="Z8" i="24"/>
  <c r="N99" i="21"/>
  <c r="M120" i="21"/>
  <c r="Y11" i="24"/>
  <c r="M103" i="21"/>
  <c r="AB13" i="5"/>
  <c r="AD15" i="32"/>
  <c r="AB25" i="5" s="1"/>
  <c r="AD23" i="32"/>
  <c r="AD13" i="32"/>
  <c r="AB24" i="5" s="1"/>
  <c r="J57" i="37"/>
  <c r="AB8" i="7"/>
  <c r="AB15" i="5"/>
  <c r="Y10" i="24"/>
  <c r="M101" i="21"/>
  <c r="AE24" i="32" l="1"/>
  <c r="AE21" i="32"/>
  <c r="AE19" i="32"/>
  <c r="AC18" i="5" s="1"/>
  <c r="AB18" i="7"/>
  <c r="C7" i="50" l="1"/>
  <c r="C5" i="50" l="1"/>
  <c r="C6" i="50"/>
  <c r="G67" i="37" l="1"/>
  <c r="F67" i="37"/>
  <c r="C67" i="37"/>
  <c r="Q13" i="26"/>
  <c r="P13" i="26"/>
  <c r="O13" i="26"/>
  <c r="N13" i="26"/>
  <c r="E67" i="37" l="1"/>
  <c r="Q14" i="26"/>
  <c r="P14" i="26"/>
  <c r="O14" i="26"/>
  <c r="H67" i="37"/>
  <c r="N14" i="26"/>
  <c r="B67" i="37"/>
  <c r="D67" i="37"/>
  <c r="I67" i="37" l="1"/>
  <c r="M28" i="26"/>
  <c r="I66" i="37"/>
  <c r="H66" i="37"/>
  <c r="G66" i="37"/>
  <c r="F66" i="37"/>
  <c r="E66" i="37"/>
  <c r="D66" i="37"/>
  <c r="C66" i="37"/>
  <c r="B66" i="37"/>
  <c r="G70" i="37"/>
  <c r="F70" i="37"/>
  <c r="E70" i="37"/>
  <c r="C70" i="37"/>
  <c r="B70" i="37"/>
  <c r="D70" i="37" l="1"/>
  <c r="D56" i="26" l="1"/>
  <c r="I113" i="37"/>
  <c r="E113" i="37" l="1"/>
  <c r="D113" i="37"/>
  <c r="Q42" i="26"/>
  <c r="Q43" i="26" s="1"/>
  <c r="P42" i="26"/>
  <c r="P43" i="26" s="1"/>
  <c r="O42" i="26"/>
  <c r="O43" i="26" s="1"/>
  <c r="N42" i="26"/>
  <c r="N43" i="26" s="1"/>
  <c r="H113" i="37" l="1"/>
  <c r="H112" i="37"/>
  <c r="G112" i="37"/>
  <c r="F112" i="37"/>
  <c r="E112" i="37"/>
  <c r="I116" i="37"/>
  <c r="G116" i="37"/>
  <c r="F116" i="37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F113" i="37" l="1"/>
  <c r="G113" i="37"/>
  <c r="D112" i="37"/>
  <c r="H116" i="37"/>
  <c r="I112" i="37"/>
  <c r="D116" i="37"/>
  <c r="E116" i="37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M113" i="21" l="1"/>
  <c r="Y50" i="24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Y42" i="24" l="1"/>
  <c r="M116" i="21"/>
  <c r="W115" i="32"/>
  <c r="V115" i="32"/>
  <c r="U115" i="32"/>
  <c r="T115" i="32"/>
  <c r="S115" i="32"/>
  <c r="R115" i="32"/>
  <c r="Q115" i="32"/>
  <c r="P115" i="32"/>
  <c r="O115" i="32"/>
  <c r="N115" i="32"/>
  <c r="M115" i="32"/>
  <c r="W114" i="32" l="1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AC105" i="32" l="1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W104" i="32" l="1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W102" i="32" l="1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109" i="32" s="1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101" i="32" s="1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11" i="32" l="1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B18" i="5" s="1"/>
  <c r="AD11" i="32"/>
  <c r="AB23" i="5" s="1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D44" i="24"/>
  <c r="T4" i="32"/>
  <c r="U20" i="32"/>
  <c r="U19" i="32"/>
  <c r="U15" i="32"/>
  <c r="AC17" i="32"/>
  <c r="G20" i="32"/>
  <c r="G19" i="32"/>
  <c r="G15" i="32"/>
  <c r="D47" i="24"/>
  <c r="D45" i="24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D41" i="24"/>
  <c r="D42" i="24"/>
  <c r="D51" i="24"/>
  <c r="D50" i="24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M59" i="26" l="1"/>
  <c r="M60" i="26" s="1"/>
  <c r="L59" i="26"/>
  <c r="K59" i="26"/>
  <c r="J59" i="26"/>
  <c r="I59" i="26"/>
  <c r="H59" i="26"/>
  <c r="M58" i="26"/>
  <c r="L58" i="26" s="1"/>
  <c r="K58" i="26" s="1"/>
  <c r="J58" i="26"/>
  <c r="I58" i="26" s="1"/>
  <c r="H58" i="26"/>
  <c r="M57" i="26"/>
  <c r="L57" i="26" s="1"/>
  <c r="K57" i="26" s="1"/>
  <c r="J57" i="26"/>
  <c r="I57" i="26" s="1"/>
  <c r="H57" i="26" s="1"/>
  <c r="M56" i="26"/>
  <c r="L56" i="26"/>
  <c r="K56" i="26"/>
  <c r="J56" i="26"/>
  <c r="I56" i="26"/>
  <c r="H56" i="26"/>
  <c r="M55" i="26"/>
  <c r="L55" i="26"/>
  <c r="K55" i="26"/>
  <c r="J55" i="26"/>
  <c r="I55" i="26"/>
  <c r="H55" i="26"/>
  <c r="M49" i="26" l="1"/>
  <c r="L49" i="26"/>
  <c r="K49" i="26"/>
  <c r="J49" i="26"/>
  <c r="I49" i="26"/>
  <c r="H49" i="26"/>
  <c r="M48" i="26"/>
  <c r="L48" i="26"/>
  <c r="K48" i="26"/>
  <c r="J48" i="26"/>
  <c r="I48" i="26"/>
  <c r="H48" i="26"/>
  <c r="M47" i="26"/>
  <c r="L47" i="26"/>
  <c r="K47" i="26"/>
  <c r="J47" i="26"/>
  <c r="I47" i="26"/>
  <c r="H47" i="26"/>
  <c r="M42" i="26"/>
  <c r="M43" i="26" s="1"/>
  <c r="L42" i="26"/>
  <c r="K42" i="26"/>
  <c r="J42" i="26"/>
  <c r="I42" i="26"/>
  <c r="H42" i="26"/>
  <c r="M40" i="26"/>
  <c r="L40" i="26"/>
  <c r="K40" i="26"/>
  <c r="J40" i="26"/>
  <c r="I40" i="26"/>
  <c r="H40" i="26"/>
  <c r="M39" i="26"/>
  <c r="L39" i="26"/>
  <c r="K39" i="26"/>
  <c r="J39" i="26"/>
  <c r="I39" i="26"/>
  <c r="H39" i="26"/>
  <c r="M38" i="26"/>
  <c r="L38" i="26"/>
  <c r="K38" i="26"/>
  <c r="J38" i="26"/>
  <c r="I38" i="26"/>
  <c r="H38" i="26"/>
  <c r="M37" i="26"/>
  <c r="L37" i="26"/>
  <c r="K37" i="26"/>
  <c r="J37" i="26"/>
  <c r="I37" i="26"/>
  <c r="H37" i="26"/>
  <c r="M36" i="26"/>
  <c r="L36" i="26"/>
  <c r="K36" i="26"/>
  <c r="J36" i="26"/>
  <c r="I36" i="26"/>
  <c r="H36" i="26"/>
  <c r="M30" i="26"/>
  <c r="L30" i="26"/>
  <c r="L31" i="26" s="1"/>
  <c r="K30" i="26"/>
  <c r="J30" i="26"/>
  <c r="I30" i="26"/>
  <c r="H30" i="26"/>
  <c r="G30" i="26"/>
  <c r="F30" i="26"/>
  <c r="J29" i="26"/>
  <c r="I29" i="26" s="1"/>
  <c r="H29" i="26"/>
  <c r="G29" i="26"/>
  <c r="F29" i="26"/>
  <c r="L28" i="26" s="1"/>
  <c r="K28" i="26" s="1"/>
  <c r="J28" i="26"/>
  <c r="I28" i="26" s="1"/>
  <c r="H28" i="26" s="1"/>
  <c r="G28" i="26" s="1"/>
  <c r="F28" i="26" s="1"/>
  <c r="M27" i="26"/>
  <c r="L27" i="26"/>
  <c r="K27" i="26"/>
  <c r="J27" i="26"/>
  <c r="I27" i="26"/>
  <c r="H27" i="26"/>
  <c r="G27" i="26"/>
  <c r="F27" i="26"/>
  <c r="M26" i="26"/>
  <c r="L26" i="26" s="1"/>
  <c r="K26" i="26"/>
  <c r="J26" i="26"/>
  <c r="I26" i="26" s="1"/>
  <c r="H26" i="26"/>
  <c r="G26" i="26"/>
  <c r="F26" i="26"/>
  <c r="G23" i="26"/>
  <c r="M20" i="26"/>
  <c r="L20" i="26"/>
  <c r="K20" i="26"/>
  <c r="J20" i="26"/>
  <c r="I20" i="26"/>
  <c r="H20" i="26"/>
  <c r="G20" i="26"/>
  <c r="F20" i="26"/>
  <c r="M19" i="26"/>
  <c r="L19" i="26"/>
  <c r="K19" i="26"/>
  <c r="J19" i="26"/>
  <c r="I19" i="26"/>
  <c r="H19" i="26"/>
  <c r="G19" i="26"/>
  <c r="F19" i="26"/>
  <c r="M18" i="26"/>
  <c r="M22" i="26" s="1"/>
  <c r="M23" i="26" s="1"/>
  <c r="L18" i="26"/>
  <c r="K18" i="26"/>
  <c r="J18" i="26"/>
  <c r="I18" i="26"/>
  <c r="H18" i="26"/>
  <c r="G18" i="26"/>
  <c r="F18" i="26"/>
  <c r="M29" i="26" l="1"/>
  <c r="L29" i="26" s="1"/>
  <c r="K29" i="26" s="1"/>
  <c r="J51" i="26"/>
  <c r="K31" i="26"/>
  <c r="J31" i="26" s="1"/>
  <c r="I31" i="26" s="1"/>
  <c r="H31" i="26" s="1"/>
  <c r="G31" i="26" s="1"/>
  <c r="F31" i="26" s="1"/>
  <c r="L22" i="26"/>
  <c r="K22" i="26" s="1"/>
  <c r="J22" i="26" s="1"/>
  <c r="I22" i="26" s="1"/>
  <c r="H22" i="26" s="1"/>
  <c r="G22" i="26" s="1"/>
  <c r="H51" i="26"/>
  <c r="F22" i="26"/>
  <c r="I51" i="26"/>
  <c r="M51" i="26"/>
  <c r="M31" i="26"/>
  <c r="M13" i="26"/>
  <c r="L13" i="26"/>
  <c r="K13" i="26"/>
  <c r="J13" i="26"/>
  <c r="M11" i="26"/>
  <c r="L11" i="26"/>
  <c r="K11" i="26"/>
  <c r="J11" i="26"/>
  <c r="I11" i="26"/>
  <c r="H11" i="26"/>
  <c r="G11" i="26"/>
  <c r="F11" i="26"/>
  <c r="M10" i="26"/>
  <c r="L10" i="26"/>
  <c r="K10" i="26"/>
  <c r="J10" i="26"/>
  <c r="I10" i="26"/>
  <c r="H10" i="26"/>
  <c r="G10" i="26"/>
  <c r="F10" i="26"/>
  <c r="M9" i="26"/>
  <c r="L9" i="26"/>
  <c r="K9" i="26"/>
  <c r="J9" i="26"/>
  <c r="I9" i="26"/>
  <c r="H9" i="26"/>
  <c r="G9" i="26"/>
  <c r="F9" i="26"/>
  <c r="M8" i="26"/>
  <c r="L8" i="26"/>
  <c r="K8" i="26"/>
  <c r="J8" i="26"/>
  <c r="I8" i="26"/>
  <c r="H8" i="26"/>
  <c r="G8" i="26"/>
  <c r="F8" i="26"/>
  <c r="M7" i="26"/>
  <c r="L7" i="26"/>
  <c r="K7" i="26"/>
  <c r="J7" i="26"/>
  <c r="I7" i="26"/>
  <c r="H7" i="26"/>
  <c r="G7" i="26"/>
  <c r="F7" i="26"/>
  <c r="AA47" i="7"/>
  <c r="Z47" i="7" s="1"/>
  <c r="Y47" i="7" s="1"/>
  <c r="X47" i="7"/>
  <c r="W47" i="7" s="1"/>
  <c r="V47" i="7" s="1"/>
  <c r="U47" i="7" s="1"/>
  <c r="T47" i="7" s="1"/>
  <c r="L51" i="26" l="1"/>
  <c r="K51" i="26" s="1"/>
  <c r="M52" i="26"/>
  <c r="I13" i="26"/>
  <c r="H13" i="26" s="1"/>
  <c r="G13" i="26" s="1"/>
  <c r="F13" i="26" s="1"/>
  <c r="M14" i="26"/>
  <c r="L14" i="26"/>
  <c r="K14" i="26" s="1"/>
  <c r="F23" i="26"/>
  <c r="L23" i="26"/>
  <c r="K23" i="26" s="1"/>
  <c r="J23" i="26" s="1"/>
  <c r="I23" i="26" s="1"/>
  <c r="H23" i="26" s="1"/>
  <c r="J14" i="26"/>
  <c r="I14" i="26" l="1"/>
  <c r="H14" i="26" s="1"/>
  <c r="G14" i="26" s="1"/>
  <c r="F14" i="26" s="1"/>
  <c r="X46" i="7"/>
  <c r="W46" i="7" s="1"/>
  <c r="V46" i="7" s="1"/>
  <c r="U46" i="7"/>
  <c r="T46" i="7"/>
  <c r="S46" i="7"/>
  <c r="R46" i="7"/>
  <c r="Q46" i="7" s="1"/>
  <c r="P46" i="7" s="1"/>
  <c r="O46" i="7"/>
  <c r="N46" i="7"/>
  <c r="M46" i="7"/>
  <c r="L46" i="7" s="1"/>
  <c r="K46" i="7"/>
  <c r="AA45" i="7"/>
  <c r="Z45" i="7" s="1"/>
  <c r="Y45" i="7" s="1"/>
  <c r="X45" i="7" s="1"/>
  <c r="W45" i="7" s="1"/>
  <c r="V45" i="7" s="1"/>
  <c r="U45" i="7" s="1"/>
  <c r="T45" i="7" s="1"/>
  <c r="S45" i="7"/>
  <c r="R45" i="7"/>
  <c r="Q45" i="7" s="1"/>
  <c r="P45" i="7"/>
  <c r="O45" i="7"/>
  <c r="N45" i="7" s="1"/>
  <c r="M45" i="7"/>
  <c r="L45" i="7"/>
  <c r="K45" i="7" s="1"/>
  <c r="AA44" i="7"/>
  <c r="Z44" i="7" s="1"/>
  <c r="Y44" i="7"/>
  <c r="X44" i="7"/>
  <c r="W44" i="7"/>
  <c r="V44" i="7"/>
  <c r="U44" i="7"/>
  <c r="T44" i="7"/>
  <c r="S44" i="7"/>
  <c r="R44" i="7"/>
  <c r="Q44" i="7"/>
  <c r="P44" i="7"/>
  <c r="O44" i="7"/>
  <c r="M44" i="7"/>
  <c r="L44" i="7"/>
  <c r="K44" i="7"/>
  <c r="AA43" i="7"/>
  <c r="Z43" i="7" s="1"/>
  <c r="Y43" i="7" s="1"/>
  <c r="X43" i="7" s="1"/>
  <c r="W43" i="7"/>
  <c r="V43" i="7"/>
  <c r="U43" i="7" s="1"/>
  <c r="T43" i="7" s="1"/>
  <c r="S43" i="7"/>
  <c r="R43" i="7"/>
  <c r="Q43" i="7"/>
  <c r="P43" i="7"/>
  <c r="O43" i="7"/>
  <c r="N43" i="7"/>
  <c r="M43" i="7"/>
  <c r="L43" i="7"/>
  <c r="K43" i="7"/>
  <c r="AA40" i="7"/>
  <c r="Z40" i="7" s="1"/>
  <c r="Y40" i="7" s="1"/>
  <c r="X40" i="7" s="1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AA37" i="7"/>
  <c r="Z37" i="7" s="1"/>
  <c r="Y37" i="7" s="1"/>
  <c r="X37" i="7"/>
  <c r="W37" i="7" s="1"/>
  <c r="V37" i="7"/>
  <c r="U37" i="7"/>
  <c r="T37" i="7"/>
  <c r="AA36" i="7"/>
  <c r="Z36" i="7"/>
  <c r="Y36" i="7"/>
  <c r="X36" i="7"/>
  <c r="W36" i="7" s="1"/>
  <c r="V36" i="7"/>
  <c r="U36" i="7"/>
  <c r="T36" i="7"/>
  <c r="AA35" i="7"/>
  <c r="Z35" i="7" s="1"/>
  <c r="Y35" i="7"/>
  <c r="X35" i="7"/>
  <c r="W35" i="7"/>
  <c r="V35" i="7" s="1"/>
  <c r="U35" i="7"/>
  <c r="T35" i="7"/>
  <c r="S35" i="7"/>
  <c r="R35" i="7"/>
  <c r="Q35" i="7"/>
  <c r="P35" i="7"/>
  <c r="O35" i="7"/>
  <c r="N35" i="7"/>
  <c r="M35" i="7"/>
  <c r="L35" i="7"/>
  <c r="K35" i="7"/>
  <c r="Q47" i="7" l="1"/>
  <c r="O47" i="7"/>
  <c r="N47" i="7" s="1"/>
  <c r="S47" i="7"/>
  <c r="P47" i="7"/>
  <c r="K47" i="7"/>
  <c r="AA46" i="7" s="1"/>
  <c r="Z46" i="7" s="1"/>
  <c r="Y46" i="7" s="1"/>
  <c r="M47" i="7"/>
  <c r="L47" i="7" s="1"/>
  <c r="R47" i="7"/>
  <c r="AA31" i="7" l="1"/>
  <c r="Z31" i="7"/>
  <c r="Y31" i="7"/>
  <c r="X31" i="7"/>
  <c r="W31" i="7"/>
  <c r="V31" i="7"/>
  <c r="U31" i="7"/>
  <c r="T31" i="7"/>
  <c r="S31" i="7" s="1"/>
  <c r="R31" i="7" s="1"/>
  <c r="Q31" i="7" s="1"/>
  <c r="P31" i="7" s="1"/>
  <c r="O31" i="7" s="1"/>
  <c r="N31" i="7" s="1"/>
  <c r="M31" i="7" s="1"/>
  <c r="L31" i="7" s="1"/>
  <c r="K31" i="7" s="1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E25" i="7"/>
  <c r="AA24" i="7"/>
  <c r="Z24" i="7"/>
  <c r="Y24" i="7"/>
  <c r="X24" i="7"/>
  <c r="W24" i="7"/>
  <c r="V24" i="7"/>
  <c r="U24" i="7"/>
  <c r="T24" i="7"/>
  <c r="S24" i="7"/>
  <c r="R24" i="7"/>
  <c r="Q24" i="7"/>
  <c r="F24" i="7" l="1"/>
  <c r="E24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F23" i="7" s="1"/>
  <c r="E23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F22" i="7"/>
  <c r="E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F21" i="7"/>
  <c r="E21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F20" i="7"/>
  <c r="E20" i="7" l="1"/>
  <c r="X14" i="7" l="1"/>
  <c r="W14" i="7"/>
  <c r="V14" i="7"/>
  <c r="T14" i="7"/>
  <c r="AA13" i="7"/>
  <c r="Z13" i="7" s="1"/>
  <c r="Y13" i="7" s="1"/>
  <c r="X13" i="7"/>
  <c r="W13" i="7" s="1"/>
  <c r="V13" i="7"/>
  <c r="U13" i="7"/>
  <c r="T13" i="7"/>
  <c r="AA12" i="7"/>
  <c r="Z12" i="7"/>
  <c r="Y12" i="7"/>
  <c r="X12" i="7" l="1"/>
  <c r="W12" i="7" s="1"/>
  <c r="V12" i="7" s="1"/>
  <c r="U12" i="7"/>
  <c r="T12" i="7"/>
  <c r="S12" i="7"/>
  <c r="R12" i="7"/>
  <c r="Q12" i="7"/>
  <c r="P12" i="7"/>
  <c r="O12" i="7"/>
  <c r="N12" i="7"/>
  <c r="M12" i="7"/>
  <c r="L12" i="7"/>
  <c r="K12" i="7"/>
  <c r="AA11" i="7"/>
  <c r="Z11" i="7"/>
  <c r="Y11" i="7"/>
  <c r="X11" i="7"/>
  <c r="W11" i="7" s="1"/>
  <c r="V11" i="7"/>
  <c r="T11" i="7"/>
  <c r="AA10" i="7"/>
  <c r="Z10" i="7" s="1"/>
  <c r="Y10" i="7" s="1"/>
  <c r="X10" i="7"/>
  <c r="W10" i="7" s="1"/>
  <c r="V10" i="7" s="1"/>
  <c r="U10" i="7"/>
  <c r="T10" i="7"/>
  <c r="S10" i="7"/>
  <c r="R10" i="7"/>
  <c r="Q10" i="7"/>
  <c r="P10" i="7"/>
  <c r="O10" i="7"/>
  <c r="N10" i="7"/>
  <c r="M10" i="7"/>
  <c r="L10" i="7"/>
  <c r="K10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B2" i="7"/>
  <c r="X55" i="24"/>
  <c r="W55" i="24"/>
  <c r="V55" i="24"/>
  <c r="U55" i="24"/>
  <c r="T55" i="24"/>
  <c r="S55" i="24"/>
  <c r="X54" i="24"/>
  <c r="W54" i="24"/>
  <c r="V54" i="24"/>
  <c r="U54" i="24"/>
  <c r="T54" i="24"/>
  <c r="S54" i="24"/>
  <c r="X53" i="24"/>
  <c r="W53" i="24"/>
  <c r="V53" i="24"/>
  <c r="U53" i="24"/>
  <c r="T53" i="24"/>
  <c r="S53" i="24"/>
  <c r="U51" i="24"/>
  <c r="T51" i="24" s="1"/>
  <c r="S51" i="24" s="1"/>
  <c r="B2" i="94" l="1"/>
  <c r="E13" i="7"/>
  <c r="E15" i="7"/>
  <c r="E10" i="7"/>
  <c r="E14" i="7"/>
  <c r="E8" i="7"/>
  <c r="E9" i="7" s="1"/>
  <c r="E16" i="7"/>
  <c r="E12" i="7"/>
  <c r="E11" i="7"/>
  <c r="B2" i="91"/>
  <c r="BY5" i="7"/>
  <c r="BY28" i="7" s="1"/>
  <c r="A2" i="26"/>
  <c r="C2" i="26"/>
  <c r="T18" i="7"/>
  <c r="V18" i="7"/>
  <c r="U18" i="7" s="1"/>
  <c r="S18" i="7"/>
  <c r="R18" i="7" s="1"/>
  <c r="Q18" i="7" s="1"/>
  <c r="P18" i="7" s="1"/>
  <c r="O18" i="7" s="1"/>
  <c r="N18" i="7" s="1"/>
  <c r="M18" i="7" s="1"/>
  <c r="L18" i="7" s="1"/>
  <c r="K18" i="7" s="1"/>
  <c r="AA14" i="7" s="1"/>
  <c r="Z14" i="7" s="1"/>
  <c r="Y14" i="7" s="1"/>
  <c r="X47" i="24"/>
  <c r="X48" i="24" s="1"/>
  <c r="W47" i="24"/>
  <c r="W48" i="24" s="1"/>
  <c r="V47" i="24"/>
  <c r="V48" i="24" s="1"/>
  <c r="U47" i="24"/>
  <c r="U48" i="24" s="1"/>
  <c r="T47" i="24"/>
  <c r="T48" i="24" s="1"/>
  <c r="S47" i="24"/>
  <c r="X45" i="24"/>
  <c r="F12" i="7" l="1"/>
  <c r="D40" i="26"/>
  <c r="D36" i="26"/>
  <c r="D10" i="26"/>
  <c r="D37" i="26"/>
  <c r="D7" i="26"/>
  <c r="D39" i="26"/>
  <c r="D13" i="26"/>
  <c r="D14" i="26" s="1"/>
  <c r="D9" i="26"/>
  <c r="D41" i="26"/>
  <c r="D11" i="26"/>
  <c r="D42" i="26"/>
  <c r="D38" i="26"/>
  <c r="D12" i="26"/>
  <c r="D8" i="26"/>
  <c r="AO25" i="26"/>
  <c r="AO35" i="26" s="1"/>
  <c r="AO45" i="26" s="1"/>
  <c r="AO54" i="26" s="1"/>
  <c r="BK5" i="26"/>
  <c r="B2" i="22"/>
  <c r="Z18" i="7"/>
  <c r="Y18" i="7" s="1"/>
  <c r="X18" i="7" s="1"/>
  <c r="W18" i="7" s="1"/>
  <c r="AA18" i="7"/>
  <c r="W45" i="24"/>
  <c r="V45" i="24"/>
  <c r="U45" i="24"/>
  <c r="T45" i="24"/>
  <c r="S45" i="24" s="1"/>
  <c r="X44" i="24"/>
  <c r="W44" i="24"/>
  <c r="V44" i="24"/>
  <c r="U44" i="24"/>
  <c r="T44" i="24"/>
  <c r="S44" i="24"/>
  <c r="X43" i="24"/>
  <c r="W43" i="24"/>
  <c r="V43" i="24"/>
  <c r="U43" i="24"/>
  <c r="T43" i="24"/>
  <c r="S43" i="24"/>
  <c r="X42" i="24"/>
  <c r="BK24" i="26" l="1"/>
  <c r="BK15" i="26"/>
  <c r="BK34" i="26"/>
  <c r="BK53" i="26"/>
  <c r="BK44" i="26"/>
  <c r="W42" i="24"/>
  <c r="V42" i="24"/>
  <c r="U42" i="24"/>
  <c r="T42" i="24"/>
  <c r="S42" i="24"/>
  <c r="X41" i="24"/>
  <c r="W41" i="24"/>
  <c r="V41" i="24"/>
  <c r="U41" i="24"/>
  <c r="T41" i="24"/>
  <c r="S41" i="24"/>
  <c r="X40" i="24"/>
  <c r="W40" i="24"/>
  <c r="V40" i="24"/>
  <c r="U40" i="24"/>
  <c r="T40" i="24"/>
  <c r="S40" i="24"/>
  <c r="X21" i="24"/>
  <c r="W21" i="24"/>
  <c r="V21" i="24"/>
  <c r="U21" i="24"/>
  <c r="T21" i="24"/>
  <c r="S21" i="24"/>
  <c r="R21" i="24"/>
  <c r="Q21" i="24"/>
  <c r="P21" i="24" s="1"/>
  <c r="O21" i="24" s="1"/>
  <c r="N21" i="24" s="1"/>
  <c r="M21" i="24" s="1"/>
  <c r="L21" i="24" s="1"/>
  <c r="K21" i="24" s="1"/>
  <c r="J21" i="24" s="1"/>
  <c r="I21" i="24" s="1"/>
  <c r="H21" i="24" s="1"/>
  <c r="D21" i="24"/>
  <c r="X20" i="24"/>
  <c r="W20" i="24"/>
  <c r="V20" i="24"/>
  <c r="U20" i="24"/>
  <c r="T20" i="24"/>
  <c r="S20" i="24"/>
  <c r="R20" i="24"/>
  <c r="Q20" i="24"/>
  <c r="P20" i="24" s="1"/>
  <c r="O20" i="24" s="1"/>
  <c r="N20" i="24" s="1"/>
  <c r="M20" i="24" s="1"/>
  <c r="L20" i="24" s="1"/>
  <c r="K20" i="24" s="1"/>
  <c r="J20" i="24" s="1"/>
  <c r="I20" i="24" s="1"/>
  <c r="H20" i="24" s="1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X13" i="24" l="1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D13" i="24"/>
  <c r="X11" i="24"/>
  <c r="W11" i="24"/>
  <c r="V11" i="24"/>
  <c r="U11" i="24"/>
  <c r="T11" i="24"/>
  <c r="S11" i="24"/>
  <c r="R11" i="24"/>
  <c r="Q11" i="24"/>
  <c r="P11" i="24" s="1"/>
  <c r="O11" i="24" s="1"/>
  <c r="N11" i="24" s="1"/>
  <c r="M11" i="24" s="1"/>
  <c r="L11" i="24" s="1"/>
  <c r="K11" i="24" s="1"/>
  <c r="J11" i="24" s="1"/>
  <c r="I11" i="24" s="1"/>
  <c r="H11" i="24" s="1"/>
  <c r="D11" i="24" s="1"/>
  <c r="X10" i="24"/>
  <c r="W10" i="24" l="1"/>
  <c r="V10" i="24"/>
  <c r="U10" i="24"/>
  <c r="T10" i="24" l="1"/>
  <c r="S10" i="24"/>
  <c r="R10" i="24"/>
  <c r="Q10" i="24"/>
  <c r="P10" i="24" s="1"/>
  <c r="O10" i="24" s="1"/>
  <c r="N10" i="24" s="1"/>
  <c r="M10" i="24" s="1"/>
  <c r="L10" i="24" s="1"/>
  <c r="K10" i="24" s="1"/>
  <c r="J10" i="24" s="1"/>
  <c r="I10" i="24" s="1"/>
  <c r="H10" i="24" s="1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V8" i="24"/>
  <c r="U8" i="24"/>
  <c r="T8" i="24"/>
  <c r="S8" i="24"/>
  <c r="R8" i="24" l="1"/>
  <c r="Q8" i="24"/>
  <c r="P8" i="24" s="1"/>
  <c r="O8" i="24" s="1"/>
  <c r="N8" i="24" s="1"/>
  <c r="M8" i="24" s="1"/>
  <c r="L8" i="24" s="1"/>
  <c r="K8" i="24" s="1"/>
  <c r="J8" i="24" s="1"/>
  <c r="I8" i="24" s="1"/>
  <c r="H8" i="24" s="1"/>
  <c r="V7" i="24"/>
  <c r="U7" i="24"/>
  <c r="T7" i="24"/>
  <c r="S7" i="24"/>
  <c r="R7" i="24"/>
  <c r="Q7" i="24"/>
  <c r="P7" i="24"/>
  <c r="O7" i="24"/>
  <c r="N7" i="24" s="1"/>
  <c r="M7" i="24"/>
  <c r="L7" i="24"/>
  <c r="K7" i="24"/>
  <c r="J7" i="24" s="1"/>
  <c r="I7" i="24"/>
  <c r="H7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BV4" i="24"/>
  <c r="BV38" i="24" s="1"/>
  <c r="AA25" i="5"/>
  <c r="Z25" i="5" s="1"/>
  <c r="Y25" i="5" s="1"/>
  <c r="X25" i="5" s="1"/>
  <c r="W25" i="5" s="1"/>
  <c r="V25" i="5" s="1"/>
  <c r="U25" i="5" s="1"/>
  <c r="T25" i="5" s="1"/>
  <c r="S25" i="5" s="1"/>
  <c r="R25" i="5" s="1"/>
  <c r="Q25" i="5" s="1"/>
  <c r="P25" i="5" s="1"/>
  <c r="O25" i="5" s="1"/>
  <c r="N25" i="5" s="1"/>
  <c r="M25" i="5" s="1"/>
  <c r="L25" i="5" s="1"/>
  <c r="K25" i="5" s="1"/>
  <c r="AA24" i="5"/>
  <c r="Z24" i="5" s="1"/>
  <c r="Y24" i="5" s="1"/>
  <c r="X24" i="5" s="1"/>
  <c r="W24" i="5" s="1"/>
  <c r="V24" i="5" s="1"/>
  <c r="U24" i="5" s="1"/>
  <c r="T24" i="5" s="1"/>
  <c r="S24" i="5" s="1"/>
  <c r="R24" i="5" s="1"/>
  <c r="Q24" i="5" s="1"/>
  <c r="P24" i="5" s="1"/>
  <c r="O24" i="5" s="1"/>
  <c r="N24" i="5" s="1"/>
  <c r="M24" i="5" s="1"/>
  <c r="L24" i="5" s="1"/>
  <c r="K24" i="5" s="1"/>
  <c r="AA23" i="5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AA21" i="5"/>
  <c r="Z21" i="5"/>
  <c r="Y21" i="5"/>
  <c r="X21" i="5"/>
  <c r="W21" i="5"/>
  <c r="V21" i="5"/>
  <c r="U21" i="5"/>
  <c r="T21" i="5" s="1"/>
  <c r="S21" i="5" s="1"/>
  <c r="R21" i="5" s="1"/>
  <c r="Q21" i="5" s="1"/>
  <c r="P21" i="5" s="1"/>
  <c r="O21" i="5" s="1"/>
  <c r="N21" i="5" s="1"/>
  <c r="M21" i="5" s="1"/>
  <c r="L21" i="5" s="1"/>
  <c r="K21" i="5" s="1"/>
  <c r="F21" i="5"/>
  <c r="E21" i="5"/>
  <c r="AA20" i="5" s="1"/>
  <c r="Z20" i="5" s="1"/>
  <c r="Y20" i="5" s="1"/>
  <c r="X20" i="5" s="1"/>
  <c r="W20" i="5" s="1"/>
  <c r="V20" i="5" s="1"/>
  <c r="U20" i="5" s="1"/>
  <c r="T20" i="5" s="1"/>
  <c r="S20" i="5" s="1"/>
  <c r="R20" i="5" s="1"/>
  <c r="Q20" i="5" s="1"/>
  <c r="P20" i="5" s="1"/>
  <c r="O20" i="5" s="1"/>
  <c r="N20" i="5" s="1"/>
  <c r="M20" i="5" s="1"/>
  <c r="L20" i="5" s="1"/>
  <c r="K20" i="5" s="1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 l="1"/>
  <c r="L19" i="5"/>
  <c r="K19" i="5"/>
  <c r="F19" i="5" s="1"/>
  <c r="AA18" i="5" s="1"/>
  <c r="Z18" i="5" s="1"/>
  <c r="Y18" i="5" s="1"/>
  <c r="X18" i="5" s="1"/>
  <c r="W18" i="5" s="1"/>
  <c r="V18" i="5" s="1"/>
  <c r="U18" i="5" s="1"/>
  <c r="T18" i="5" s="1"/>
  <c r="S18" i="5" s="1"/>
  <c r="R18" i="5" s="1"/>
  <c r="Q18" i="5" s="1"/>
  <c r="P18" i="5" s="1"/>
  <c r="O18" i="5" s="1"/>
  <c r="N18" i="5" s="1"/>
  <c r="M18" i="5" s="1"/>
  <c r="L18" i="5" s="1"/>
  <c r="K18" i="5" s="1"/>
  <c r="AA15" i="5"/>
  <c r="Z15" i="5"/>
  <c r="Y15" i="5"/>
  <c r="X15" i="5"/>
  <c r="W15" i="5"/>
  <c r="V15" i="5"/>
  <c r="U15" i="5"/>
  <c r="T15" i="5"/>
  <c r="S15" i="5"/>
  <c r="R15" i="5" s="1"/>
  <c r="Q15" i="5" s="1"/>
  <c r="P15" i="5" l="1"/>
  <c r="O15" i="5"/>
  <c r="N15" i="5" s="1"/>
  <c r="M15" i="5" s="1"/>
  <c r="L15" i="5" s="1"/>
  <c r="K15" i="5" s="1"/>
  <c r="AA13" i="5"/>
  <c r="Z13" i="5"/>
  <c r="Y13" i="5"/>
  <c r="X13" i="5"/>
  <c r="W13" i="5"/>
  <c r="V13" i="5" s="1"/>
  <c r="U13" i="5"/>
  <c r="T13" i="5" s="1"/>
  <c r="S13" i="5"/>
  <c r="R13" i="5" s="1"/>
  <c r="Q13" i="5"/>
  <c r="P13" i="5"/>
  <c r="O13" i="5"/>
  <c r="N13" i="5" s="1"/>
  <c r="M13" i="5"/>
  <c r="L13" i="5"/>
  <c r="K13" i="5"/>
  <c r="F13" i="5"/>
  <c r="AA10" i="5" l="1"/>
  <c r="AA11" i="5" s="1"/>
  <c r="Z10" i="5"/>
  <c r="Z11" i="5" s="1"/>
  <c r="Y10" i="5"/>
  <c r="X10" i="5"/>
  <c r="W10" i="5"/>
  <c r="V10" i="5"/>
  <c r="U10" i="5"/>
  <c r="U11" i="5" s="1"/>
  <c r="T10" i="5"/>
  <c r="S10" i="5"/>
  <c r="R10" i="5"/>
  <c r="Q10" i="5"/>
  <c r="P10" i="5"/>
  <c r="O10" i="5"/>
  <c r="N10" i="5"/>
  <c r="M10" i="5"/>
  <c r="L10" i="5"/>
  <c r="K10" i="5"/>
  <c r="AA7" i="5"/>
  <c r="AA8" i="5" s="1"/>
  <c r="Z7" i="5"/>
  <c r="Y7" i="5"/>
  <c r="X7" i="5"/>
  <c r="W7" i="5"/>
  <c r="V7" i="5" s="1"/>
  <c r="U7" i="5" s="1"/>
  <c r="T7" i="5"/>
  <c r="S7" i="5" s="1"/>
  <c r="R7" i="5" s="1"/>
  <c r="Q7" i="5"/>
  <c r="P7" i="5"/>
  <c r="O7" i="5"/>
  <c r="N7" i="5" s="1"/>
  <c r="M7" i="5"/>
  <c r="L7" i="5"/>
  <c r="K7" i="5"/>
  <c r="H59" i="37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BY4" i="5" l="1"/>
  <c r="I59" i="37"/>
  <c r="Y11" i="5"/>
  <c r="X11" i="5"/>
  <c r="W11" i="5" s="1"/>
  <c r="V11" i="5" s="1"/>
  <c r="Z8" i="5"/>
  <c r="Y8" i="5" s="1"/>
  <c r="X8" i="5" s="1"/>
  <c r="W8" i="5" s="1"/>
  <c r="V8" i="5" s="1"/>
  <c r="U8" i="5" s="1"/>
  <c r="T8" i="5" s="1"/>
  <c r="T11" i="5"/>
  <c r="I70" i="37" l="1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D16" i="24"/>
  <c r="X14" i="24"/>
  <c r="W14" i="24"/>
  <c r="V14" i="24"/>
  <c r="U14" i="24"/>
  <c r="T14" i="24"/>
  <c r="S14" i="24"/>
  <c r="R14" i="24"/>
  <c r="Q14" i="24"/>
  <c r="J96" i="21"/>
  <c r="H70" i="37" l="1"/>
  <c r="L95" i="21"/>
  <c r="W7" i="24"/>
  <c r="K95" i="21"/>
  <c r="X7" i="24"/>
  <c r="K96" i="21" l="1"/>
  <c r="W8" i="24"/>
  <c r="W16" i="24"/>
  <c r="M96" i="21"/>
  <c r="Y16" i="24"/>
  <c r="X16" i="24"/>
  <c r="L96" i="21"/>
  <c r="K99" i="21"/>
  <c r="Y8" i="24" l="1"/>
  <c r="M99" i="21"/>
  <c r="X8" i="24"/>
  <c r="L99" i="21"/>
  <c r="G100" i="89" l="1"/>
  <c r="AU59" i="26" l="1"/>
  <c r="AU60" i="26" s="1"/>
  <c r="AU58" i="26"/>
  <c r="AU49" i="26"/>
  <c r="BN49" i="32"/>
  <c r="AU46" i="26"/>
  <c r="AU50" i="26"/>
  <c r="AU19" i="26"/>
  <c r="BN51" i="32"/>
  <c r="BN53" i="32"/>
  <c r="AU21" i="26"/>
  <c r="BN50" i="32"/>
  <c r="AU18" i="26"/>
  <c r="AU47" i="26"/>
  <c r="AU29" i="26"/>
  <c r="BN48" i="32"/>
  <c r="AU30" i="26"/>
  <c r="AU31" i="26" s="1"/>
  <c r="BN52" i="32"/>
  <c r="AU20" i="26"/>
  <c r="AU22" i="26" l="1"/>
  <c r="BN42" i="32"/>
  <c r="AU11" i="26"/>
  <c r="BI37" i="7"/>
  <c r="BI38" i="7"/>
  <c r="BN39" i="32"/>
  <c r="AU8" i="26"/>
  <c r="BI35" i="7"/>
  <c r="AU40" i="26"/>
  <c r="BN40" i="32"/>
  <c r="AU9" i="26"/>
  <c r="AU48" i="26"/>
  <c r="AU51" i="26" s="1"/>
  <c r="AU38" i="26"/>
  <c r="BN38" i="32"/>
  <c r="AU7" i="26"/>
  <c r="BI36" i="7"/>
  <c r="AU39" i="26"/>
  <c r="BN43" i="32"/>
  <c r="AU12" i="26"/>
  <c r="BN60" i="32"/>
  <c r="BI46" i="7" s="1"/>
  <c r="BI40" i="7"/>
  <c r="BN54" i="32"/>
  <c r="BN16" i="32"/>
  <c r="AU36" i="26"/>
  <c r="AU37" i="26"/>
  <c r="AU41" i="26"/>
  <c r="BN41" i="32"/>
  <c r="AU10" i="26"/>
  <c r="BI34" i="7"/>
  <c r="BN17" i="32"/>
  <c r="BI31" i="7" l="1"/>
  <c r="AU28" i="26"/>
  <c r="AU26" i="26"/>
  <c r="BF7" i="24"/>
  <c r="AU13" i="26"/>
  <c r="BI12" i="7"/>
  <c r="BN10" i="32"/>
  <c r="BI14" i="7"/>
  <c r="AU55" i="26"/>
  <c r="AU57" i="26"/>
  <c r="BI15" i="7"/>
  <c r="BI13" i="7"/>
  <c r="AU42" i="26"/>
  <c r="BI10" i="7"/>
  <c r="BN45" i="32"/>
  <c r="BN57" i="32"/>
  <c r="BI11" i="7"/>
  <c r="AU14" i="26" l="1"/>
  <c r="BN59" i="32"/>
  <c r="BI45" i="7" s="1"/>
  <c r="BN61" i="32"/>
  <c r="BI47" i="7" s="1"/>
  <c r="BI15" i="5"/>
  <c r="BI8" i="7"/>
  <c r="BN35" i="32"/>
  <c r="AU43" i="26"/>
  <c r="BI43" i="7"/>
  <c r="BI18" i="7" l="1"/>
  <c r="BN7" i="32" l="1"/>
  <c r="BN8" i="32" l="1"/>
  <c r="BO6" i="32"/>
  <c r="BG8" i="24"/>
  <c r="BG16" i="24"/>
  <c r="BF16" i="24"/>
  <c r="BF8" i="24"/>
  <c r="BO8" i="32" l="1"/>
  <c r="BN19" i="32"/>
  <c r="BI18" i="5" s="1"/>
  <c r="BN11" i="32"/>
  <c r="BI23" i="5" s="1"/>
  <c r="BO19" i="32" l="1"/>
  <c r="BJ18" i="5" s="1"/>
  <c r="BO11" i="32"/>
  <c r="BJ23" i="5" s="1"/>
  <c r="BH45" i="24" l="1"/>
  <c r="BP96" i="32"/>
  <c r="BP14" i="32" s="1"/>
  <c r="BP15" i="32" l="1"/>
  <c r="BK25" i="5" s="1"/>
  <c r="BP85" i="32" l="1"/>
  <c r="BP12" i="32" s="1"/>
  <c r="BP13" i="32" s="1"/>
  <c r="BK24" i="5" s="1"/>
  <c r="BH43" i="24"/>
  <c r="BH42" i="24" l="1"/>
  <c r="BH51" i="24"/>
  <c r="BH44" i="24"/>
  <c r="BP11" i="32"/>
  <c r="BK23" i="5" s="1"/>
  <c r="BP20" i="32"/>
  <c r="BK20" i="5" s="1"/>
  <c r="AX48" i="26" l="1"/>
  <c r="AX37" i="26"/>
  <c r="BQ39" i="32"/>
  <c r="AX8" i="26"/>
  <c r="AX59" i="26"/>
  <c r="AX60" i="26" s="1"/>
  <c r="AX58" i="26"/>
  <c r="AX36" i="26"/>
  <c r="AX39" i="26"/>
  <c r="BQ38" i="32"/>
  <c r="AX7" i="26"/>
  <c r="BQ40" i="32"/>
  <c r="AX9" i="26"/>
  <c r="BQ53" i="32"/>
  <c r="AX50" i="26"/>
  <c r="AX29" i="26"/>
  <c r="BQ48" i="32"/>
  <c r="AX30" i="26"/>
  <c r="AX31" i="26" s="1"/>
  <c r="AX40" i="26"/>
  <c r="BQ42" i="32"/>
  <c r="AX11" i="26"/>
  <c r="BQ50" i="32"/>
  <c r="AX18" i="26"/>
  <c r="AX38" i="26"/>
  <c r="BQ41" i="32"/>
  <c r="AX10" i="26"/>
  <c r="AX47" i="26"/>
  <c r="AX41" i="26"/>
  <c r="BQ43" i="32"/>
  <c r="AX12" i="26"/>
  <c r="BQ52" i="32"/>
  <c r="AX49" i="26"/>
  <c r="BQ51" i="32"/>
  <c r="AX19" i="26"/>
  <c r="BL37" i="7" l="1"/>
  <c r="BL35" i="7"/>
  <c r="BQ17" i="32"/>
  <c r="BI7" i="24"/>
  <c r="AX13" i="26"/>
  <c r="BL11" i="7"/>
  <c r="BQ57" i="32"/>
  <c r="BL13" i="7"/>
  <c r="BL40" i="7"/>
  <c r="BQ54" i="32"/>
  <c r="BQ60" i="32"/>
  <c r="BL46" i="7" s="1"/>
  <c r="BQ16" i="32"/>
  <c r="BL12" i="7"/>
  <c r="BQ10" i="32"/>
  <c r="AX28" i="26"/>
  <c r="AX26" i="26"/>
  <c r="BL15" i="7"/>
  <c r="BL14" i="7"/>
  <c r="AX55" i="26"/>
  <c r="AX57" i="26"/>
  <c r="AX51" i="26"/>
  <c r="BL36" i="7"/>
  <c r="AX22" i="26"/>
  <c r="BL38" i="7"/>
  <c r="BL10" i="7"/>
  <c r="BQ45" i="32"/>
  <c r="BL8" i="7" s="1"/>
  <c r="AX42" i="26"/>
  <c r="BL43" i="7" l="1"/>
  <c r="BQ7" i="32"/>
  <c r="BR6" i="32" s="1"/>
  <c r="BI41" i="24"/>
  <c r="AX14" i="26"/>
  <c r="AX43" i="26"/>
  <c r="BQ61" i="32"/>
  <c r="BL47" i="7" s="1"/>
  <c r="BQ59" i="32"/>
  <c r="BL45" i="7" s="1"/>
  <c r="BL15" i="5"/>
  <c r="BQ35" i="32"/>
  <c r="BL31" i="7"/>
  <c r="C62" i="87"/>
  <c r="H4" i="87" s="1"/>
  <c r="G62" i="87" l="1"/>
  <c r="I62" i="87"/>
  <c r="H62" i="87"/>
  <c r="BL18" i="7"/>
  <c r="BQ8" i="32"/>
  <c r="BI47" i="24" l="1"/>
  <c r="BI48" i="24" s="1"/>
  <c r="AW161" i="37"/>
  <c r="BQ5" i="32"/>
  <c r="BI13" i="24"/>
  <c r="BI14" i="24" s="1"/>
  <c r="AW157" i="37"/>
  <c r="BL10" i="5" l="1"/>
  <c r="BL11" i="5" s="1"/>
  <c r="AW51" i="37"/>
  <c r="BI43" i="24" l="1"/>
  <c r="BI42" i="24"/>
  <c r="BI44" i="24"/>
  <c r="BI40" i="24"/>
  <c r="BI51" i="24"/>
  <c r="BI45" i="24"/>
  <c r="BI50" i="24"/>
  <c r="BQ96" i="32" l="1"/>
  <c r="BQ14" i="32" s="1"/>
  <c r="BQ85" i="32" l="1"/>
  <c r="BQ12" i="32" s="1"/>
  <c r="BI10" i="24" l="1"/>
  <c r="BQ74" i="32"/>
  <c r="BQ4" i="32" s="1"/>
  <c r="BI8" i="24"/>
  <c r="BI9" i="24"/>
  <c r="BQ11" i="32"/>
  <c r="BL23" i="5" s="1"/>
  <c r="BQ13" i="32"/>
  <c r="BL24" i="5" s="1"/>
  <c r="BI16" i="24" l="1"/>
  <c r="BI11" i="24"/>
  <c r="BI17" i="24"/>
  <c r="BI6" i="24"/>
  <c r="BL7" i="5"/>
  <c r="BQ15" i="32"/>
  <c r="BL25" i="5" s="1"/>
  <c r="BQ20" i="32"/>
  <c r="BL20" i="5" s="1"/>
  <c r="BQ19" i="32"/>
  <c r="BL18" i="5" s="1"/>
  <c r="BL8" i="5" l="1"/>
  <c r="O25" i="92"/>
  <c r="AY37" i="26" l="1"/>
  <c r="BR42" i="32"/>
  <c r="AY11" i="26"/>
  <c r="AY10" i="26"/>
  <c r="BR41" i="32"/>
  <c r="AY21" i="26"/>
  <c r="BR53" i="32"/>
  <c r="AY20" i="26"/>
  <c r="BR52" i="32"/>
  <c r="AY36" i="26"/>
  <c r="AY38" i="26"/>
  <c r="AY39" i="26"/>
  <c r="AY49" i="26"/>
  <c r="AY48" i="26"/>
  <c r="BR48" i="32"/>
  <c r="BR62" i="32" s="1"/>
  <c r="AY30" i="26"/>
  <c r="AY31" i="26" s="1"/>
  <c r="AY18" i="26"/>
  <c r="BR50" i="32"/>
  <c r="BJ41" i="24"/>
  <c r="BJ42" i="24"/>
  <c r="BR43" i="32"/>
  <c r="AY12" i="26"/>
  <c r="AY47" i="26"/>
  <c r="BR39" i="32"/>
  <c r="AY8" i="26"/>
  <c r="BJ43" i="24"/>
  <c r="AY40" i="26"/>
  <c r="BR85" i="32"/>
  <c r="AY58" i="26"/>
  <c r="AY59" i="26"/>
  <c r="AY60" i="26" s="1"/>
  <c r="AY41" i="26"/>
  <c r="AY9" i="26"/>
  <c r="BR40" i="32"/>
  <c r="AY19" i="26"/>
  <c r="BR51" i="32"/>
  <c r="AY7" i="26"/>
  <c r="BR38" i="32"/>
  <c r="AY42" i="26" l="1"/>
  <c r="AY43" i="26" s="1"/>
  <c r="BM36" i="7"/>
  <c r="BM15" i="7"/>
  <c r="BM38" i="7"/>
  <c r="BM14" i="7"/>
  <c r="BM37" i="7"/>
  <c r="BM13" i="7"/>
  <c r="BR12" i="32"/>
  <c r="AY51" i="26"/>
  <c r="BM35" i="7"/>
  <c r="BR17" i="32"/>
  <c r="BJ9" i="24"/>
  <c r="BM11" i="7"/>
  <c r="BR57" i="32"/>
  <c r="AY29" i="26"/>
  <c r="AY13" i="26"/>
  <c r="AY14" i="26" s="1"/>
  <c r="BJ7" i="24"/>
  <c r="BM12" i="7"/>
  <c r="BR10" i="32"/>
  <c r="BM43" i="7" s="1"/>
  <c r="AY22" i="26"/>
  <c r="BM10" i="7"/>
  <c r="BR45" i="32"/>
  <c r="AY26" i="26"/>
  <c r="BR16" i="32"/>
  <c r="BR60" i="32"/>
  <c r="BM40" i="7"/>
  <c r="BR54" i="32"/>
  <c r="AY57" i="26"/>
  <c r="AY55" i="26"/>
  <c r="BM46" i="7" l="1"/>
  <c r="BM31" i="7"/>
  <c r="BR59" i="32"/>
  <c r="C63" i="87"/>
  <c r="BR61" i="32"/>
  <c r="BM47" i="7" s="1"/>
  <c r="AY28" i="26"/>
  <c r="BJ6" i="24"/>
  <c r="BJ17" i="24"/>
  <c r="AX157" i="37"/>
  <c r="BR5" i="32"/>
  <c r="BJ13" i="24"/>
  <c r="BJ14" i="24" s="1"/>
  <c r="BJ47" i="24"/>
  <c r="BJ48" i="24" s="1"/>
  <c r="AX161" i="37"/>
  <c r="BR96" i="32"/>
  <c r="BR7" i="32"/>
  <c r="BM15" i="5"/>
  <c r="BR35" i="32"/>
  <c r="BM8" i="7"/>
  <c r="BM18" i="7" s="1"/>
  <c r="BJ44" i="24"/>
  <c r="H63" i="87" l="1"/>
  <c r="I63" i="87"/>
  <c r="G63" i="87"/>
  <c r="BM45" i="7"/>
  <c r="BJ11" i="24"/>
  <c r="BR14" i="32"/>
  <c r="BR13" i="32" s="1"/>
  <c r="BM24" i="5" s="1"/>
  <c r="BR74" i="32"/>
  <c r="BS6" i="32"/>
  <c r="BR8" i="32"/>
  <c r="BJ8" i="24"/>
  <c r="AX51" i="37"/>
  <c r="BM10" i="5"/>
  <c r="BM11" i="5" s="1"/>
  <c r="BJ16" i="24"/>
  <c r="BJ10" i="24"/>
  <c r="BR4" i="32" l="1"/>
  <c r="BR20" i="32" s="1"/>
  <c r="BM20" i="5" s="1"/>
  <c r="BR11" i="32"/>
  <c r="BM23" i="5" s="1"/>
  <c r="BJ40" i="24"/>
  <c r="BJ51" i="24"/>
  <c r="BJ45" i="24"/>
  <c r="BJ50" i="24"/>
  <c r="BR19" i="32" l="1"/>
  <c r="BM18" i="5" s="1"/>
  <c r="BM7" i="5"/>
  <c r="P25" i="92" s="1"/>
  <c r="BR15" i="32"/>
  <c r="BM25" i="5" s="1"/>
  <c r="BM8" i="5" l="1"/>
  <c r="AZ10" i="26"/>
  <c r="AZ7" i="26"/>
  <c r="AZ12" i="26"/>
  <c r="AZ8" i="26"/>
  <c r="AZ11" i="26"/>
  <c r="BS44" i="32"/>
  <c r="BN16" i="7" l="1"/>
  <c r="BN16" i="5"/>
  <c r="BS95" i="32"/>
  <c r="F19" i="24"/>
  <c r="D19" i="24" s="1"/>
  <c r="X17" i="24" s="1"/>
  <c r="W17" i="24" s="1"/>
  <c r="V17" i="24" s="1"/>
  <c r="U17" i="24" s="1"/>
  <c r="T17" i="24" s="1"/>
  <c r="S17" i="24" s="1"/>
  <c r="R17" i="24" s="1"/>
  <c r="Q17" i="24" s="1"/>
  <c r="P17" i="24" s="1"/>
  <c r="O17" i="24" s="1"/>
  <c r="N17" i="24" s="1"/>
  <c r="M17" i="24" s="1"/>
  <c r="L17" i="24" s="1"/>
  <c r="K17" i="24" s="1"/>
  <c r="J17" i="24" s="1"/>
  <c r="I17" i="24" s="1"/>
  <c r="H17" i="24" s="1"/>
  <c r="AZ9" i="26"/>
  <c r="BS73" i="32"/>
  <c r="BS96" i="32" l="1"/>
  <c r="AZ26" i="26"/>
  <c r="D26" i="26"/>
  <c r="BK47" i="24"/>
  <c r="BK48" i="24" s="1"/>
  <c r="AY161" i="37"/>
  <c r="AZ13" i="26"/>
  <c r="BK7" i="24"/>
  <c r="BK13" i="24"/>
  <c r="BK14" i="24" s="1"/>
  <c r="BS5" i="32"/>
  <c r="AY157" i="37"/>
  <c r="BS14" i="32" l="1"/>
  <c r="AZ50" i="26"/>
  <c r="AZ46" i="26"/>
  <c r="BS49" i="32"/>
  <c r="B49" i="32" s="1"/>
  <c r="E34" i="7" s="1"/>
  <c r="D46" i="26"/>
  <c r="AZ19" i="26"/>
  <c r="BS51" i="32"/>
  <c r="AZ41" i="26"/>
  <c r="BS43" i="32"/>
  <c r="AZ49" i="26"/>
  <c r="AZ30" i="26"/>
  <c r="AZ31" i="26" s="1"/>
  <c r="BS48" i="32"/>
  <c r="AZ18" i="26"/>
  <c r="BS50" i="32"/>
  <c r="BN10" i="5"/>
  <c r="BN11" i="5" s="1"/>
  <c r="AY51" i="37"/>
  <c r="AZ14" i="26"/>
  <c r="AZ48" i="26"/>
  <c r="AZ21" i="26"/>
  <c r="BS53" i="32"/>
  <c r="AZ28" i="26"/>
  <c r="AZ58" i="26"/>
  <c r="AZ59" i="26"/>
  <c r="AZ60" i="26" s="1"/>
  <c r="AZ47" i="26"/>
  <c r="AZ20" i="26"/>
  <c r="BS52" i="32"/>
  <c r="AZ36" i="26"/>
  <c r="BS38" i="32"/>
  <c r="F53" i="24"/>
  <c r="D53" i="24" s="1"/>
  <c r="X51" i="24" s="1"/>
  <c r="W51" i="24" s="1"/>
  <c r="V51" i="24" s="1"/>
  <c r="AZ38" i="26"/>
  <c r="BS40" i="32"/>
  <c r="BS62" i="32" l="1"/>
  <c r="BN15" i="7"/>
  <c r="BN38" i="7"/>
  <c r="BN37" i="7"/>
  <c r="BN35" i="7"/>
  <c r="BN36" i="7"/>
  <c r="BL16" i="24"/>
  <c r="AZ51" i="26"/>
  <c r="BS17" i="32"/>
  <c r="BN34" i="7"/>
  <c r="BN12" i="7"/>
  <c r="BN10" i="7"/>
  <c r="AZ39" i="26"/>
  <c r="BS41" i="32"/>
  <c r="AZ40" i="26"/>
  <c r="BS42" i="32"/>
  <c r="BS54" i="32"/>
  <c r="BS16" i="32"/>
  <c r="BS60" i="32"/>
  <c r="BN40" i="7"/>
  <c r="AZ22" i="26"/>
  <c r="AZ42" i="26"/>
  <c r="AZ37" i="26"/>
  <c r="BS39" i="32"/>
  <c r="AZ29" i="26"/>
  <c r="BN31" i="7" l="1"/>
  <c r="BN46" i="7"/>
  <c r="C64" i="87"/>
  <c r="BN13" i="7"/>
  <c r="BN14" i="7"/>
  <c r="F14" i="7"/>
  <c r="BS45" i="32"/>
  <c r="BS35" i="32" s="1"/>
  <c r="AZ57" i="26"/>
  <c r="AZ55" i="26"/>
  <c r="D55" i="26"/>
  <c r="F15" i="7"/>
  <c r="BN11" i="7"/>
  <c r="BS57" i="32"/>
  <c r="AZ43" i="26"/>
  <c r="D43" i="26"/>
  <c r="BK41" i="24"/>
  <c r="BS7" i="32"/>
  <c r="BT6" i="32" s="1"/>
  <c r="F13" i="7"/>
  <c r="BS10" i="32"/>
  <c r="G64" i="87" l="1"/>
  <c r="I64" i="87"/>
  <c r="H64" i="87"/>
  <c r="G4" i="87"/>
  <c r="BT8" i="32"/>
  <c r="BL50" i="24"/>
  <c r="BN15" i="5"/>
  <c r="E15" i="5" s="1"/>
  <c r="BN8" i="7"/>
  <c r="BN18" i="7" s="1"/>
  <c r="BS59" i="32"/>
  <c r="BS61" i="32"/>
  <c r="BN47" i="7" s="1"/>
  <c r="BN43" i="7"/>
  <c r="E43" i="7"/>
  <c r="BS8" i="32"/>
  <c r="BN45" i="7" l="1"/>
  <c r="BT19" i="32"/>
  <c r="BO18" i="5" s="1"/>
  <c r="F9" i="7"/>
  <c r="BS4" i="32" l="1"/>
  <c r="BK40" i="24"/>
  <c r="BK45" i="24"/>
  <c r="BK50" i="24"/>
  <c r="BS15" i="32" l="1"/>
  <c r="BN25" i="5" s="1"/>
  <c r="BS19" i="32"/>
  <c r="BN18" i="5" s="1"/>
  <c r="BN7" i="5"/>
  <c r="Q25" i="92" s="1"/>
  <c r="BK11" i="24"/>
  <c r="BK6" i="24"/>
  <c r="BK16" i="24"/>
  <c r="BN8" i="5" l="1"/>
  <c r="BB38" i="26" l="1"/>
  <c r="BU43" i="32"/>
  <c r="BB12" i="26"/>
  <c r="BB8" i="26"/>
  <c r="BU39" i="32"/>
  <c r="BB49" i="26"/>
  <c r="D49" i="26"/>
  <c r="D21" i="26"/>
  <c r="BU53" i="32"/>
  <c r="BB21" i="26"/>
  <c r="BB41" i="26"/>
  <c r="BB37" i="26"/>
  <c r="BB11" i="26"/>
  <c r="BU42" i="32"/>
  <c r="BB7" i="26"/>
  <c r="BU38" i="32"/>
  <c r="BB47" i="26"/>
  <c r="F55" i="24"/>
  <c r="D55" i="24" s="1"/>
  <c r="D47" i="26"/>
  <c r="BU52" i="32"/>
  <c r="D20" i="26"/>
  <c r="BB20" i="26"/>
  <c r="BB40" i="26"/>
  <c r="BB36" i="26"/>
  <c r="BU41" i="32"/>
  <c r="BB10" i="26"/>
  <c r="BB59" i="26"/>
  <c r="BB60" i="26" s="1"/>
  <c r="F54" i="24"/>
  <c r="D54" i="24" s="1"/>
  <c r="BB58" i="26"/>
  <c r="D48" i="26"/>
  <c r="BB48" i="26"/>
  <c r="D18" i="26"/>
  <c r="BB18" i="26"/>
  <c r="BU50" i="32"/>
  <c r="F21" i="24"/>
  <c r="BU95" i="32"/>
  <c r="BB39" i="26"/>
  <c r="BU44" i="32"/>
  <c r="BB9" i="26"/>
  <c r="BU40" i="32"/>
  <c r="BB50" i="26"/>
  <c r="D50" i="26"/>
  <c r="BU48" i="32"/>
  <c r="F20" i="24"/>
  <c r="D20" i="24" s="1"/>
  <c r="BB30" i="26"/>
  <c r="BB31" i="26" s="1"/>
  <c r="D30" i="26"/>
  <c r="D31" i="26" s="1"/>
  <c r="BB19" i="26"/>
  <c r="BU51" i="32"/>
  <c r="D19" i="26"/>
  <c r="BM13" i="24"/>
  <c r="BU84" i="32" l="1"/>
  <c r="BU73" i="32"/>
  <c r="BU16" i="32"/>
  <c r="B16" i="32" s="1"/>
  <c r="BU62" i="32"/>
  <c r="B48" i="32"/>
  <c r="BP40" i="7"/>
  <c r="BU60" i="32"/>
  <c r="BP46" i="7" s="1"/>
  <c r="BU54" i="32"/>
  <c r="C66" i="87" s="1"/>
  <c r="B50" i="32"/>
  <c r="E35" i="7" s="1"/>
  <c r="BP35" i="7"/>
  <c r="BB42" i="26"/>
  <c r="BB43" i="26" s="1"/>
  <c r="BB51" i="26"/>
  <c r="BB55" i="26"/>
  <c r="BB57" i="26"/>
  <c r="D57" i="26"/>
  <c r="B43" i="32"/>
  <c r="BP15" i="7"/>
  <c r="BU5" i="32"/>
  <c r="BA157" i="37"/>
  <c r="BM14" i="24"/>
  <c r="B51" i="32"/>
  <c r="E36" i="7" s="1"/>
  <c r="BP36" i="7"/>
  <c r="BB29" i="26"/>
  <c r="D29" i="26"/>
  <c r="BP12" i="7"/>
  <c r="BU10" i="32"/>
  <c r="BP43" i="7" s="1"/>
  <c r="B40" i="32"/>
  <c r="BP13" i="7"/>
  <c r="B41" i="32"/>
  <c r="B52" i="32"/>
  <c r="E37" i="7" s="1"/>
  <c r="BP37" i="7"/>
  <c r="BB22" i="26"/>
  <c r="BB26" i="26"/>
  <c r="BM47" i="24"/>
  <c r="BM48" i="24" s="1"/>
  <c r="BA161" i="37"/>
  <c r="D59" i="26"/>
  <c r="D60" i="26" s="1"/>
  <c r="D58" i="26"/>
  <c r="D51" i="26"/>
  <c r="D52" i="26" s="1"/>
  <c r="BP10" i="7"/>
  <c r="BU45" i="32"/>
  <c r="B38" i="32"/>
  <c r="BP14" i="7"/>
  <c r="B42" i="32"/>
  <c r="BU17" i="32"/>
  <c r="B17" i="32" s="1"/>
  <c r="BP38" i="7"/>
  <c r="B53" i="32"/>
  <c r="E38" i="7" s="1"/>
  <c r="BP11" i="7"/>
  <c r="BU57" i="32"/>
  <c r="B39" i="32"/>
  <c r="BU96" i="32"/>
  <c r="BU14" i="32" s="1"/>
  <c r="BP16" i="5"/>
  <c r="BP16" i="7"/>
  <c r="BM7" i="24"/>
  <c r="BB13" i="26"/>
  <c r="BB14" i="26" s="1"/>
  <c r="D22" i="26"/>
  <c r="D23" i="26" s="1"/>
  <c r="BM10" i="24" l="1"/>
  <c r="BU85" i="32"/>
  <c r="BU12" i="32" s="1"/>
  <c r="B57" i="32"/>
  <c r="B59" i="32" s="1"/>
  <c r="E45" i="7" s="1"/>
  <c r="BU59" i="32"/>
  <c r="BP45" i="7" s="1"/>
  <c r="BP8" i="7"/>
  <c r="BP18" i="7" s="1"/>
  <c r="BU35" i="32"/>
  <c r="BP15" i="5"/>
  <c r="F13" i="24"/>
  <c r="F14" i="24" s="1"/>
  <c r="BP31" i="7"/>
  <c r="BB28" i="26"/>
  <c r="D28" i="26"/>
  <c r="E31" i="7"/>
  <c r="E32" i="7" s="1"/>
  <c r="E40" i="7"/>
  <c r="B60" i="32"/>
  <c r="E46" i="7" s="1"/>
  <c r="BM43" i="24"/>
  <c r="B96" i="32"/>
  <c r="F47" i="24"/>
  <c r="F48" i="24" s="1"/>
  <c r="B54" i="32"/>
  <c r="BU7" i="32"/>
  <c r="BV6" i="32" s="1"/>
  <c r="BP10" i="5"/>
  <c r="BP11" i="5" s="1"/>
  <c r="BA51" i="37"/>
  <c r="B5" i="32"/>
  <c r="BM41" i="24"/>
  <c r="BU61" i="32"/>
  <c r="BP47" i="7" s="1"/>
  <c r="BM44" i="24"/>
  <c r="B61" i="32" l="1"/>
  <c r="E47" i="7" s="1"/>
  <c r="BU74" i="32"/>
  <c r="H66" i="87"/>
  <c r="C4" i="87"/>
  <c r="G66" i="87"/>
  <c r="I66" i="87"/>
  <c r="F38" i="7"/>
  <c r="BM42" i="24"/>
  <c r="F35" i="7"/>
  <c r="F37" i="7"/>
  <c r="B14" i="32"/>
  <c r="BU13" i="32"/>
  <c r="BP24" i="5" s="1"/>
  <c r="BU8" i="32"/>
  <c r="F36" i="7"/>
  <c r="E10" i="5"/>
  <c r="F41" i="7"/>
  <c r="E41" i="7"/>
  <c r="BM9" i="24"/>
  <c r="BM8" i="24"/>
  <c r="BN42" i="24" l="1"/>
  <c r="BN50" i="24"/>
  <c r="BM51" i="24"/>
  <c r="BM50" i="24"/>
  <c r="BM45" i="24"/>
  <c r="BM40" i="24"/>
  <c r="BN16" i="24"/>
  <c r="BN8" i="24"/>
  <c r="BU11" i="32"/>
  <c r="BP23" i="5" s="1"/>
  <c r="BV8" i="32"/>
  <c r="B6" i="32"/>
  <c r="E13" i="5"/>
  <c r="BU4" i="32"/>
  <c r="B74" i="32"/>
  <c r="B116" i="32" s="1"/>
  <c r="AC115" i="32" s="1"/>
  <c r="AB115" i="32" s="1"/>
  <c r="AA115" i="32" s="1"/>
  <c r="Z115" i="32" s="1"/>
  <c r="Y115" i="32" s="1"/>
  <c r="X115" i="32" s="1"/>
  <c r="F11" i="5"/>
  <c r="E11" i="5"/>
  <c r="BM17" i="24"/>
  <c r="BM16" i="24"/>
  <c r="BM6" i="24"/>
  <c r="BM11" i="24"/>
  <c r="B8" i="32" l="1"/>
  <c r="B24" i="32" s="1"/>
  <c r="BV19" i="32"/>
  <c r="BQ18" i="5" s="1"/>
  <c r="BP7" i="5"/>
  <c r="B4" i="32"/>
  <c r="BU20" i="32"/>
  <c r="BP20" i="5" s="1"/>
  <c r="BU15" i="32"/>
  <c r="BP25" i="5" s="1"/>
  <c r="BU19" i="32"/>
  <c r="BP18" i="5" s="1"/>
  <c r="BT84" i="32"/>
  <c r="F6" i="24"/>
  <c r="F16" i="24"/>
  <c r="F11" i="24"/>
  <c r="BV11" i="32"/>
  <c r="BQ23" i="5" s="1"/>
  <c r="F45" i="24"/>
  <c r="F40" i="24"/>
  <c r="F50" i="24"/>
  <c r="B21" i="32" l="1"/>
  <c r="BT85" i="32"/>
  <c r="BT12" i="32" s="1"/>
  <c r="E7" i="5"/>
  <c r="F8" i="5" s="1"/>
  <c r="B15" i="32"/>
  <c r="E25" i="5" s="1"/>
  <c r="B19" i="32"/>
  <c r="E18" i="5" s="1"/>
  <c r="BL43" i="24"/>
  <c r="BL51" i="24"/>
  <c r="BL44" i="24"/>
  <c r="BL42" i="24"/>
  <c r="S25" i="92"/>
  <c r="BP8" i="5"/>
  <c r="E8" i="5" l="1"/>
  <c r="BL9" i="24"/>
  <c r="BL8" i="24"/>
  <c r="BL10" i="24"/>
  <c r="BL17" i="24"/>
  <c r="BT11" i="32"/>
  <c r="BO23" i="5" s="1"/>
  <c r="BT20" i="32"/>
  <c r="BO20" i="5" s="1"/>
  <c r="BT13" i="32"/>
  <c r="BO24" i="5" s="1"/>
  <c r="BS84" i="32" l="1"/>
  <c r="BS85" i="32" l="1"/>
  <c r="BK42" i="24" l="1"/>
  <c r="BK51" i="24"/>
  <c r="BK44" i="24"/>
  <c r="BK43" i="24"/>
  <c r="BK17" i="24"/>
  <c r="BK9" i="24"/>
  <c r="BK10" i="24"/>
  <c r="BK8" i="24"/>
  <c r="BS12" i="32"/>
  <c r="B85" i="32"/>
  <c r="B126" i="32" l="1"/>
  <c r="AC125" i="32" s="1"/>
  <c r="B106" i="32"/>
  <c r="F8" i="24"/>
  <c r="F9" i="24"/>
  <c r="F10" i="24"/>
  <c r="D10" i="24" s="1"/>
  <c r="F17" i="24"/>
  <c r="D17" i="24" s="1"/>
  <c r="BS11" i="32"/>
  <c r="BN23" i="5" s="1"/>
  <c r="BS20" i="32"/>
  <c r="BN20" i="5" s="1"/>
  <c r="B12" i="32"/>
  <c r="BS13" i="32"/>
  <c r="BN24" i="5" s="1"/>
  <c r="F43" i="24"/>
  <c r="F42" i="24"/>
  <c r="F44" i="24"/>
  <c r="F51" i="24"/>
  <c r="X50" i="24" s="1"/>
  <c r="W50" i="24" s="1"/>
  <c r="V50" i="24" s="1"/>
  <c r="U50" i="24" s="1"/>
  <c r="T50" i="24" s="1"/>
  <c r="S50" i="24" s="1"/>
  <c r="B11" i="32" l="1"/>
  <c r="E23" i="5" s="1"/>
  <c r="B22" i="32"/>
  <c r="B23" i="32"/>
  <c r="B13" i="32"/>
  <c r="E24" i="5" s="1"/>
  <c r="B20" i="32"/>
  <c r="E20" i="5" s="1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vamd0103</author>
  </authors>
  <commentList>
    <comment ref="K18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average MP in mth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<sst xmlns="http://schemas.openxmlformats.org/spreadsheetml/2006/main" count="26002" uniqueCount="4543">
  <si>
    <t>Back to cover page</t>
  </si>
  <si>
    <t>APE</t>
  </si>
  <si>
    <t>FYP</t>
  </si>
  <si>
    <t>Total cases</t>
  </si>
  <si>
    <t>Team name</t>
  </si>
  <si>
    <t>Activity ratio</t>
  </si>
  <si>
    <t>Avg cases per active</t>
  </si>
  <si>
    <t>Ending manpower</t>
  </si>
  <si>
    <t>No. of agents</t>
  </si>
  <si>
    <t>No. of Unit Managers</t>
  </si>
  <si>
    <t>app in mth</t>
  </si>
  <si>
    <t>app + 1mth</t>
  </si>
  <si>
    <t>7-12 mths</t>
  </si>
  <si>
    <t>4-6 mths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</si>
  <si>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</si>
  <si>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</si>
  <si>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</si>
  <si>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</si>
  <si>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</si>
  <si>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</si>
  <si>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</si>
  <si>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</si>
  <si>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</si>
  <si>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</si>
  <si>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</si>
  <si>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</si>
  <si>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AGENCY MANPOWER DRIVERS</t>
  </si>
  <si>
    <t>Generali Life Vietnam</t>
  </si>
  <si>
    <t>Content:</t>
  </si>
  <si>
    <t>MONTHLY AGENCY PERFORMANCE REPORT</t>
  </si>
  <si>
    <t>Avg no. recruits p active</t>
  </si>
  <si>
    <t>Avg no. recruits p leader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</si>
  <si>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</si>
  <si>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</si>
  <si>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</si>
  <si>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</si>
  <si>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</si>
  <si>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</si>
  <si>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</si>
  <si>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</si>
  <si>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</si>
  <si>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</si>
  <si>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</si>
  <si>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</si>
  <si>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</si>
  <si>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 monthly APE per agent</t>
  </si>
  <si>
    <t>No. active agents</t>
  </si>
  <si>
    <t>PHOENIX</t>
  </si>
  <si>
    <t>SOLAR STAR</t>
  </si>
  <si>
    <t>Total</t>
  </si>
  <si>
    <t>&gt;=</t>
  </si>
  <si>
    <t>Avg manpower by tenure</t>
  </si>
  <si>
    <t>Target</t>
  </si>
  <si>
    <t xml:space="preserve">  per active agent 13+</t>
  </si>
  <si>
    <t xml:space="preserve">  per agent 13+ (**)</t>
  </si>
  <si>
    <t>AR</t>
  </si>
  <si>
    <t>Apr'12</t>
  </si>
  <si>
    <t>13 mths+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</si>
  <si>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</si>
  <si>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</si>
  <si>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</si>
  <si>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</si>
  <si>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</si>
  <si>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</si>
  <si>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</si>
  <si>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</si>
  <si>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</si>
  <si>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</si>
  <si>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</si>
  <si>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</si>
  <si>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</si>
  <si>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</si>
  <si>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</si>
  <si>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</si>
  <si>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</si>
  <si>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</si>
  <si>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</si>
  <si>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</si>
  <si>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</si>
  <si>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May'12</t>
  </si>
  <si>
    <t>Jun'12</t>
  </si>
  <si>
    <t>Jul'12</t>
  </si>
  <si>
    <t>Aug'12</t>
  </si>
  <si>
    <t>Sep'12</t>
  </si>
  <si>
    <t>Oct'12</t>
  </si>
  <si>
    <t>Nov'12</t>
  </si>
  <si>
    <t>Dec'12</t>
  </si>
  <si>
    <t>3 mths</t>
  </si>
  <si>
    <t>Ending Manpower</t>
  </si>
  <si>
    <t>Total new cases issued</t>
  </si>
  <si>
    <t>Avg monthly APE per active agent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</si>
  <si>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</si>
  <si>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</si>
  <si>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</si>
  <si>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</si>
  <si>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</si>
  <si>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</si>
  <si>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</si>
  <si>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</si>
  <si>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</si>
  <si>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</si>
  <si>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</si>
  <si>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Sep'13</t>
  </si>
  <si>
    <t>Oct'13</t>
  </si>
  <si>
    <t>Nov'13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</si>
  <si>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</si>
  <si>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</si>
  <si>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</si>
  <si>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</si>
  <si>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</si>
  <si>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</si>
  <si>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</si>
  <si>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</si>
  <si>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</si>
  <si>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</si>
  <si>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</si>
  <si>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</si>
  <si>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 of Branch Managers</t>
  </si>
  <si>
    <t>Total AL recruited:</t>
  </si>
  <si>
    <t>Total agents recruited:</t>
  </si>
  <si>
    <t>No. UM recruited</t>
  </si>
  <si>
    <t>No. BM recruited</t>
  </si>
  <si>
    <t>No. SUM recruited</t>
  </si>
  <si>
    <t>No.</t>
  </si>
  <si>
    <t>(*): not yet completed month.</t>
  </si>
  <si>
    <t>No. of Active</t>
  </si>
  <si>
    <t>AGENCY ROOKIES PERFORMANCE IN FIRST 3 MONTHS</t>
  </si>
  <si>
    <t>Average MP per unit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</si>
  <si>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</si>
  <si>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</si>
  <si>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</si>
  <si>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</si>
  <si>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</si>
  <si>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</si>
  <si>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</si>
  <si>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</si>
  <si>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Overall Performance</t>
  </si>
  <si>
    <t>CaseSize</t>
  </si>
  <si>
    <t>Total Manpower</t>
  </si>
  <si>
    <t>APE per active agent</t>
  </si>
  <si>
    <t>%active leader</t>
  </si>
  <si>
    <t>#active leader</t>
  </si>
  <si>
    <t>avg recruit/ a. leader</t>
  </si>
  <si>
    <t>Unit Managers</t>
  </si>
  <si>
    <t>Branch Managers</t>
  </si>
  <si>
    <t>Senior UM</t>
  </si>
  <si>
    <t>Total AL recruited</t>
  </si>
  <si>
    <t>Total Agent recruited</t>
  </si>
  <si>
    <t>Agent Recruitment</t>
  </si>
  <si>
    <t>No. of Cases per Active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</si>
  <si>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</si>
  <si>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</si>
  <si>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</si>
  <si>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</si>
  <si>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</si>
  <si>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</si>
  <si>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</si>
  <si>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</si>
  <si>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</si>
  <si>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</si>
  <si>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</si>
  <si>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</si>
  <si>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</si>
  <si>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</si>
  <si>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</si>
  <si>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</si>
  <si>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</si>
  <si>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</si>
  <si>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</si>
  <si>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</si>
  <si>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</si>
  <si>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</si>
  <si>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</si>
  <si>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</si>
  <si>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</si>
  <si>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</si>
  <si>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</si>
  <si>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</si>
  <si>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</si>
  <si>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</si>
  <si>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%Activity Ratio (Avg)</t>
  </si>
  <si>
    <t>Manpower (ending)</t>
  </si>
  <si>
    <t>1) Ending manpower:</t>
  </si>
  <si>
    <t>2) Recruitment drivers: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</si>
  <si>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</si>
  <si>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</si>
  <si>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</si>
  <si>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</si>
  <si>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</si>
  <si>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</si>
  <si>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</si>
  <si>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</si>
  <si>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</si>
  <si>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</si>
  <si>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</si>
  <si>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No. of Senior Unit Managers</t>
  </si>
  <si>
    <t>1.0</t>
  </si>
  <si>
    <t>2.0</t>
  </si>
  <si>
    <t>No. of Recruits (Agent)</t>
  </si>
  <si>
    <t>No. of Recruits (Leader)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</si>
  <si>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</si>
  <si>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</si>
  <si>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</si>
  <si>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</si>
  <si>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</si>
  <si>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</si>
  <si>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</si>
  <si>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</si>
  <si>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</si>
  <si>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</si>
  <si>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</si>
  <si>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</si>
  <si>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</si>
  <si>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</si>
  <si>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</si>
  <si>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</si>
  <si>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</si>
  <si>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</si>
  <si>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</si>
  <si>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</si>
  <si>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</si>
  <si>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</si>
  <si>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No. of ending Als</t>
  </si>
  <si>
    <t>Agents</t>
  </si>
  <si>
    <t>3) For Charts:</t>
  </si>
  <si>
    <t>APE Per Case</t>
  </si>
  <si>
    <t>AGENCY MANPOWER BY REGION</t>
  </si>
  <si>
    <t/>
  </si>
  <si>
    <t>% target achievement</t>
  </si>
  <si>
    <t>%active in recruitment</t>
  </si>
  <si>
    <t>% active in recruitment</t>
  </si>
  <si>
    <t>avg recruits per leader</t>
  </si>
  <si>
    <t>AL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</si>
  <si>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</si>
  <si>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</si>
  <si>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</si>
  <si>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</si>
  <si>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</si>
  <si>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</si>
  <si>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</si>
  <si>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</si>
  <si>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</si>
  <si>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</si>
  <si>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</si>
  <si>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</si>
  <si>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</si>
  <si>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</si>
  <si>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%AR:</t>
  </si>
  <si>
    <t>Total Country:</t>
  </si>
  <si>
    <t>OP target</t>
  </si>
  <si>
    <t>NGUYỄN THỊ NGA</t>
  </si>
  <si>
    <t>#ending leader (inclu US)</t>
  </si>
  <si>
    <t>No. of ending Als (incl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</si>
  <si>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</si>
  <si>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</si>
  <si>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</si>
  <si>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</si>
  <si>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</si>
  <si>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</si>
  <si>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</si>
  <si>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</si>
  <si>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</si>
  <si>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</si>
  <si>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</si>
  <si>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</si>
  <si>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</si>
  <si>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</si>
  <si>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</si>
  <si>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</si>
  <si>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</si>
  <si>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</si>
  <si>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</si>
  <si>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</si>
  <si>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</si>
  <si>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</si>
  <si>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</si>
  <si>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% FYP achievement</t>
  </si>
  <si>
    <t>Total APE mln (*)</t>
  </si>
  <si>
    <t>Total FYP mln (*)</t>
  </si>
  <si>
    <t>Average case size (mln p case)</t>
  </si>
  <si>
    <t>OVERALL AGENCY PERFORMANCE</t>
  </si>
  <si>
    <t>AGENCY PERFORMANCE BY REGION</t>
  </si>
  <si>
    <t>vs. MP target</t>
  </si>
  <si>
    <t>Total ending manpower:</t>
  </si>
  <si>
    <t>vs. AL recruit target</t>
  </si>
  <si>
    <t>vs. agent recruit target</t>
  </si>
  <si>
    <t>Active leaders per month</t>
  </si>
  <si>
    <t>% MP achievement</t>
  </si>
  <si>
    <t>% AL recruits achievement</t>
  </si>
  <si>
    <t>% AG recruits achievement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</si>
  <si>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</si>
  <si>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</si>
  <si>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</si>
  <si>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</si>
  <si>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</si>
  <si>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</si>
  <si>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</si>
  <si>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</si>
  <si>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</si>
  <si>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</si>
  <si>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</si>
  <si>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</si>
  <si>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</si>
  <si>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</si>
  <si>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</si>
  <si>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</si>
  <si>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</si>
  <si>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</si>
  <si>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</si>
  <si>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</si>
  <si>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</si>
  <si>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</si>
  <si>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</si>
  <si>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</si>
  <si>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</si>
  <si>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</si>
  <si>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</si>
  <si>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</si>
  <si>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</si>
  <si>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</si>
  <si>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</si>
  <si>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</si>
  <si>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</si>
  <si>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</si>
  <si>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</si>
  <si>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</si>
  <si>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</si>
  <si>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</si>
  <si>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</si>
  <si>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</si>
  <si>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</si>
  <si>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</si>
  <si>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</si>
  <si>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</si>
  <si>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</si>
  <si>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</si>
  <si>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</si>
  <si>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</si>
  <si>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</si>
  <si>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</si>
  <si>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</si>
  <si>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</si>
  <si>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</si>
  <si>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</si>
  <si>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</si>
  <si>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</si>
  <si>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</si>
  <si>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</si>
  <si>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</si>
  <si>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</si>
  <si>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</si>
  <si>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</si>
  <si>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</si>
  <si>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</si>
  <si>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</si>
  <si>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active from 31th-60th (*)</t>
  </si>
  <si>
    <t>no. active from 61th- 90th (*)</t>
  </si>
  <si>
    <t xml:space="preserve">no. active 
in first 30days 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</si>
  <si>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</si>
  <si>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</si>
  <si>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</si>
  <si>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</si>
  <si>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</si>
  <si>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</si>
  <si>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</si>
  <si>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</si>
  <si>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</si>
  <si>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</si>
  <si>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</si>
  <si>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</si>
  <si>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</si>
  <si>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</si>
  <si>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</si>
  <si>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</si>
  <si>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</si>
  <si>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</si>
  <si>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</si>
  <si>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</si>
  <si>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</si>
  <si>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% ALs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</si>
  <si>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</si>
  <si>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</si>
  <si>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</si>
  <si>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</si>
  <si>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</si>
  <si>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</si>
  <si>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</si>
  <si>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</si>
  <si>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</si>
  <si>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</si>
  <si>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</si>
  <si>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</si>
  <si>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</si>
  <si>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</si>
  <si>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</si>
  <si>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</si>
  <si>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</si>
  <si>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</si>
  <si>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</si>
  <si>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</si>
  <si>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</si>
  <si>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</si>
  <si>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</si>
  <si>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</si>
  <si>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</si>
  <si>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</si>
  <si>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</si>
  <si>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</si>
  <si>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</si>
  <si>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</si>
  <si>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</si>
  <si>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</si>
  <si>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</si>
  <si>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</si>
  <si>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</si>
  <si>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</si>
  <si>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</si>
  <si>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</si>
  <si>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</si>
  <si>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</si>
  <si>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</si>
  <si>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</si>
  <si>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</si>
  <si>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</si>
  <si>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</si>
  <si>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</si>
  <si>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</si>
  <si>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</si>
  <si>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</si>
  <si>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</si>
  <si>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</si>
  <si>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</si>
  <si>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</si>
  <si>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</si>
  <si>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</si>
  <si>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</si>
  <si>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</si>
  <si>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</si>
  <si>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</si>
  <si>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</si>
  <si>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</si>
  <si>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</si>
  <si>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</si>
  <si>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</si>
  <si>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</si>
  <si>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</si>
  <si>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</si>
  <si>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</si>
  <si>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</si>
  <si>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</si>
  <si>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</si>
  <si>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</si>
  <si>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</si>
  <si>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</si>
  <si>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</si>
  <si>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</si>
  <si>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</si>
  <si>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</si>
  <si>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</si>
  <si>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</si>
  <si>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</si>
  <si>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</si>
  <si>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</si>
  <si>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</si>
  <si>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</si>
  <si>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</si>
  <si>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</si>
  <si>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</si>
  <si>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</si>
  <si>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</si>
  <si>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</si>
  <si>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</si>
  <si>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(*) included 10% single premium</t>
  </si>
  <si>
    <t>No. of Unit Supervisors</t>
  </si>
  <si>
    <t>1.1</t>
  </si>
  <si>
    <t>2.1</t>
  </si>
  <si>
    <t>active in M1</t>
  </si>
  <si>
    <t>active in M2</t>
  </si>
  <si>
    <t>active in M3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</si>
  <si>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</si>
  <si>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</si>
  <si>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</si>
  <si>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</si>
  <si>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</si>
  <si>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</si>
  <si>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</si>
  <si>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</si>
  <si>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</si>
  <si>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</si>
  <si>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</si>
  <si>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</si>
  <si>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</si>
  <si>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</si>
  <si>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</si>
  <si>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</si>
  <si>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</si>
  <si>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</si>
  <si>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</si>
  <si>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</si>
  <si>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</si>
  <si>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</si>
  <si>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</si>
  <si>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</si>
  <si>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</si>
  <si>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</si>
  <si>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</si>
  <si>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</si>
  <si>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</si>
  <si>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</si>
  <si>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</si>
  <si>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</si>
  <si>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</si>
  <si>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</si>
  <si>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</si>
  <si>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</si>
  <si>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</si>
  <si>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</si>
  <si>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</si>
  <si>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</si>
  <si>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</si>
  <si>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</si>
  <si>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</si>
  <si>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</si>
  <si>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</si>
  <si>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</si>
  <si>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</si>
  <si>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</si>
  <si>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</si>
  <si>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</si>
  <si>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</si>
  <si>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</si>
  <si>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</si>
  <si>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</si>
  <si>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</si>
  <si>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</si>
  <si>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</si>
  <si>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</si>
  <si>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</si>
  <si>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</si>
  <si>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</si>
  <si>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</si>
  <si>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</si>
  <si>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</si>
  <si>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</si>
  <si>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</si>
  <si>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</si>
  <si>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</si>
  <si>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</si>
  <si>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</si>
  <si>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</si>
  <si>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</si>
  <si>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</si>
  <si>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</si>
  <si>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</si>
  <si>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</si>
  <si>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</si>
  <si>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</si>
  <si>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</si>
  <si>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</si>
  <si>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</si>
  <si>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</si>
  <si>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</si>
  <si>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</si>
  <si>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</si>
  <si>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</si>
  <si>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</si>
  <si>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</si>
  <si>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</si>
  <si>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>Total agency leaders (excl US)</t>
  </si>
  <si>
    <t>% active in recruiting (incl US)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</si>
  <si>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</si>
  <si>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</si>
  <si>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</si>
  <si>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</si>
  <si>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</si>
  <si>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</si>
  <si>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</si>
  <si>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</si>
  <si>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</si>
  <si>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</si>
  <si>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</si>
  <si>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</si>
  <si>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</si>
  <si>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</si>
  <si>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</si>
  <si>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</si>
  <si>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</si>
  <si>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</si>
  <si>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</si>
  <si>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</si>
  <si>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</si>
  <si>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</si>
  <si>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</si>
  <si>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</si>
  <si>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</si>
  <si>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</si>
  <si>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</si>
  <si>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</si>
  <si>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</si>
  <si>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</si>
  <si>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</si>
  <si>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</si>
  <si>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</si>
  <si>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</si>
  <si>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</si>
  <si>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</si>
  <si>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</si>
  <si>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</si>
  <si>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</si>
  <si>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</si>
  <si>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</si>
  <si>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</si>
  <si>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</si>
  <si>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</si>
  <si>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</si>
  <si>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</si>
  <si>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</si>
  <si>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</si>
  <si>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</si>
  <si>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</si>
  <si>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</si>
  <si>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</si>
  <si>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</si>
  <si>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</si>
  <si>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</si>
  <si>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</si>
  <si>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</si>
  <si>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</si>
  <si>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</si>
  <si>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</si>
  <si>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</si>
  <si>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</si>
  <si>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</si>
  <si>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</si>
  <si>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</si>
  <si>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</si>
  <si>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</si>
  <si>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</si>
  <si>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</si>
  <si>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</si>
  <si>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</si>
  <si>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</si>
  <si>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</si>
  <si>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</si>
  <si>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</si>
  <si>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</si>
  <si>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</si>
  <si>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</si>
  <si>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</si>
  <si>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</si>
  <si>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</si>
  <si>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</si>
  <si>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</si>
  <si>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</si>
  <si>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</si>
  <si>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</si>
  <si>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</si>
  <si>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</si>
  <si>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</si>
  <si>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</si>
  <si>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</si>
  <si>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</si>
  <si>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</si>
  <si>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</si>
  <si>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</si>
  <si>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</si>
  <si>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</si>
  <si>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</si>
  <si>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</si>
  <si>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</si>
  <si>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</si>
  <si>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</si>
  <si>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</si>
  <si>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</si>
  <si>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</si>
  <si>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</si>
  <si>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</si>
  <si>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</si>
  <si>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</si>
  <si>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</si>
  <si>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</si>
  <si>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</si>
  <si>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</si>
  <si>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</si>
  <si>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</si>
  <si>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</si>
  <si>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</si>
  <si>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</si>
  <si>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</si>
  <si>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</si>
  <si>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</si>
  <si>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</si>
  <si>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</si>
  <si>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</si>
  <si>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</si>
  <si>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May'14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</si>
  <si>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</si>
  <si>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</si>
  <si>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</si>
  <si>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</si>
  <si>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</si>
  <si>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</si>
  <si>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</si>
  <si>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</si>
  <si>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</si>
  <si>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</si>
  <si>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</si>
  <si>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</si>
  <si>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</si>
  <si>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</si>
  <si>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</si>
  <si>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</si>
  <si>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</si>
  <si>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</si>
  <si>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</si>
  <si>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</si>
  <si>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</si>
  <si>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</si>
  <si>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</si>
  <si>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</si>
  <si>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</si>
  <si>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</si>
  <si>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</si>
  <si>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</si>
  <si>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</si>
  <si>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</si>
  <si>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</si>
  <si>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</si>
  <si>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</si>
  <si>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</si>
  <si>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</si>
  <si>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</si>
  <si>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</si>
  <si>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</si>
  <si>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</si>
  <si>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</si>
  <si>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</si>
  <si>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</si>
  <si>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June'14</t>
  </si>
  <si>
    <t>SBM</t>
  </si>
  <si>
    <t>No. of Senior Branch Managers</t>
  </si>
  <si>
    <t>No.SBM recruited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</si>
  <si>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</si>
  <si>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</si>
  <si>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</si>
  <si>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</si>
  <si>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</si>
  <si>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</si>
  <si>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</si>
  <si>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</si>
  <si>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</si>
  <si>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</si>
  <si>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</si>
  <si>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</si>
  <si>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</si>
  <si>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</si>
  <si>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</si>
  <si>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Jun'14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</si>
  <si>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</si>
  <si>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</si>
  <si>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</si>
  <si>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</si>
  <si>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</si>
  <si>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</si>
  <si>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</si>
  <si>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</si>
  <si>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</si>
  <si>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</si>
  <si>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</si>
  <si>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</si>
  <si>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</si>
  <si>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</si>
  <si>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</si>
  <si>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</si>
  <si>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</si>
  <si>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</si>
  <si>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</si>
  <si>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</si>
  <si>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</si>
  <si>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</si>
  <si>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</si>
  <si>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</si>
  <si>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</si>
  <si>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</si>
  <si>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</si>
  <si>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</si>
  <si>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</si>
  <si>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</si>
  <si>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</si>
  <si>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</si>
  <si>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</si>
  <si>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</si>
  <si>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</si>
  <si>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</si>
  <si>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</si>
  <si>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Jul'14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</si>
  <si>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</si>
  <si>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</si>
  <si>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</si>
  <si>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</si>
  <si>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</si>
  <si>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</si>
  <si>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</si>
  <si>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</si>
  <si>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</si>
  <si>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</si>
  <si>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</si>
  <si>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</si>
  <si>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</si>
  <si>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</si>
  <si>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</si>
  <si>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</si>
  <si>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</si>
  <si>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</si>
  <si>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</si>
  <si>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</si>
  <si>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</si>
  <si>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</si>
  <si>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</si>
  <si>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</si>
  <si>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</si>
  <si>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</si>
  <si>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</si>
  <si>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Aug'14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</si>
  <si>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</si>
  <si>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</si>
  <si>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</si>
  <si>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</si>
  <si>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</si>
  <si>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</si>
  <si>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</si>
  <si>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</si>
  <si>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</si>
  <si>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</si>
  <si>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</si>
  <si>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</si>
  <si>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</si>
  <si>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</si>
  <si>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</si>
  <si>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</si>
  <si>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</si>
  <si>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</si>
  <si>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</si>
  <si>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</si>
  <si>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</si>
  <si>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</si>
  <si>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</si>
  <si>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</si>
  <si>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</si>
  <si>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</si>
  <si>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</si>
  <si>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</si>
  <si>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</si>
  <si>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</si>
  <si>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</si>
  <si>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</si>
  <si>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</si>
  <si>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</si>
  <si>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</si>
  <si>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</si>
  <si>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Sep'14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</si>
  <si>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</si>
  <si>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</si>
  <si>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</si>
  <si>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</si>
  <si>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</si>
  <si>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</si>
  <si>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</si>
  <si>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</si>
  <si>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</si>
  <si>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</si>
  <si>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</si>
  <si>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</si>
  <si>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</si>
  <si>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</si>
  <si>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</si>
  <si>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</si>
  <si>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</si>
  <si>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</si>
  <si>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</si>
  <si>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</si>
  <si>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</si>
  <si>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</si>
  <si>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</si>
  <si>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</si>
  <si>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</si>
  <si>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</si>
  <si>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</si>
  <si>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</si>
  <si>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</si>
  <si>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</si>
  <si>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</si>
  <si>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</si>
  <si>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</si>
  <si>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</si>
  <si>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</si>
  <si>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</si>
  <si>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</si>
  <si>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</si>
  <si>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Oct'14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</si>
  <si>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</si>
  <si>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</si>
  <si>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</si>
  <si>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</si>
  <si>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</si>
  <si>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</si>
  <si>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</si>
  <si>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</si>
  <si>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</si>
  <si>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</si>
  <si>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</si>
  <si>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</si>
  <si>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</si>
  <si>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</si>
  <si>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</si>
  <si>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</si>
  <si>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</si>
  <si>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</si>
  <si>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</si>
  <si>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</si>
  <si>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</si>
  <si>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</si>
  <si>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</si>
  <si>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</si>
  <si>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</si>
  <si>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</si>
  <si>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</si>
  <si>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</si>
  <si>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</si>
  <si>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</si>
  <si>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</si>
  <si>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</si>
  <si>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</si>
  <si>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</si>
  <si>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</si>
  <si>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</si>
  <si>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</si>
  <si>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</si>
  <si>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</si>
  <si>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</si>
  <si>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</si>
  <si>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</si>
  <si>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</si>
  <si>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</si>
  <si>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</si>
  <si>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</si>
  <si>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</si>
  <si>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</si>
  <si>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Nov'14</t>
  </si>
  <si>
    <t>MDRT VT</t>
  </si>
  <si>
    <t>HỒNG KHÁNH HƯNG - MDRT VT</t>
  </si>
  <si>
    <t>HONG KHANH HUNG - MDRT VT</t>
  </si>
  <si>
    <t>No. US recruited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</si>
  <si>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</si>
  <si>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</si>
  <si>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</si>
  <si>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</si>
  <si>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</si>
  <si>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</si>
  <si>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</si>
  <si>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</si>
  <si>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</si>
  <si>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</si>
  <si>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</si>
  <si>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</si>
  <si>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</si>
  <si>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</si>
  <si>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</si>
  <si>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</si>
  <si>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</si>
  <si>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</si>
  <si>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</si>
  <si>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</si>
  <si>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</si>
  <si>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</si>
  <si>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</si>
  <si>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</si>
  <si>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</si>
  <si>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</si>
  <si>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</si>
  <si>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</si>
  <si>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</si>
  <si>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</si>
  <si>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</si>
  <si>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</si>
  <si>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</si>
  <si>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</si>
  <si>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</si>
  <si>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</si>
  <si>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</si>
  <si>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</si>
  <si>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</si>
  <si>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</si>
  <si>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</si>
  <si>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</si>
  <si>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</si>
  <si>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</si>
  <si>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</si>
  <si>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</si>
  <si>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</si>
  <si>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</si>
  <si>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</si>
  <si>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</si>
  <si>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</si>
  <si>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</si>
  <si>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</si>
  <si>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</si>
  <si>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</si>
  <si>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</si>
  <si>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</si>
  <si>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</si>
  <si>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</si>
  <si>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</si>
  <si>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Dec'14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</si>
  <si>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</si>
  <si>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</si>
  <si>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</si>
  <si>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</si>
  <si>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</si>
  <si>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</si>
  <si>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</si>
  <si>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</si>
  <si>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</si>
  <si>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</si>
  <si>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</si>
  <si>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</si>
  <si>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</si>
  <si>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</si>
  <si>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</si>
  <si>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</si>
  <si>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</si>
  <si>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</si>
  <si>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</si>
  <si>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</si>
  <si>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</si>
  <si>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</si>
  <si>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</si>
  <si>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</si>
  <si>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</si>
  <si>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</si>
  <si>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</si>
  <si>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</si>
  <si>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</si>
  <si>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</si>
  <si>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</si>
  <si>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</si>
  <si>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</si>
  <si>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</si>
  <si>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</si>
  <si>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</si>
  <si>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</si>
  <si>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</si>
  <si>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</si>
  <si>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</si>
  <si>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</si>
  <si>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</si>
  <si>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</si>
  <si>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</si>
  <si>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</si>
  <si>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</si>
  <si>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</si>
  <si>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</si>
  <si>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</si>
  <si>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</si>
  <si>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</si>
  <si>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</si>
  <si>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</si>
  <si>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</si>
  <si>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</si>
  <si>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</si>
  <si>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</si>
  <si>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</si>
  <si>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</si>
  <si>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</si>
  <si>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</si>
  <si>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</si>
  <si>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</si>
  <si>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</si>
  <si>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</si>
  <si>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</si>
  <si>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</si>
  <si>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</si>
  <si>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</si>
  <si>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</si>
  <si>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</si>
  <si>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</si>
  <si>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</si>
  <si>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</si>
  <si>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</si>
  <si>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</si>
  <si>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</si>
  <si>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</si>
  <si>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</si>
  <si>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</si>
  <si>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</si>
  <si>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</si>
  <si>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</si>
  <si>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</si>
  <si>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</si>
  <si>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</si>
  <si>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</si>
  <si>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</si>
  <si>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</si>
  <si>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</si>
  <si>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</si>
  <si>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</si>
  <si>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</si>
  <si>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</si>
  <si>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</si>
  <si>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</si>
  <si>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</si>
  <si>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</si>
  <si>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</si>
  <si>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</si>
  <si>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</si>
  <si>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</si>
  <si>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</si>
  <si>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</si>
  <si>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</si>
  <si>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</si>
  <si>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</si>
  <si>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</si>
  <si>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</si>
  <si>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</si>
  <si>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</si>
  <si>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</si>
  <si>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</si>
  <si>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</si>
  <si>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</si>
  <si>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</si>
  <si>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</si>
  <si>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</si>
  <si>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</si>
  <si>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</si>
  <si>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</si>
  <si>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</si>
  <si>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</si>
  <si>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</si>
  <si>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</si>
  <si>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</si>
  <si>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</si>
  <si>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</si>
  <si>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</si>
  <si>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</si>
  <si>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</si>
  <si>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</si>
  <si>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</si>
  <si>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</si>
  <si>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</si>
  <si>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</si>
  <si>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</si>
  <si>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</si>
  <si>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</si>
  <si>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</si>
  <si>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</si>
  <si>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</si>
  <si>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</si>
  <si>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</si>
  <si>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</si>
  <si>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</si>
  <si>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</si>
  <si>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</si>
  <si>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</si>
  <si>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</si>
  <si>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</si>
  <si>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</si>
  <si>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SOUTH Teams:</t>
  </si>
  <si>
    <t>NORTH Teams:</t>
  </si>
  <si>
    <t>Sub Total SOUTH:</t>
  </si>
  <si>
    <t>Sub Total NORTH: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</si>
  <si>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</si>
  <si>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</si>
  <si>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</si>
  <si>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</si>
  <si>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</si>
  <si>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</si>
  <si>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</si>
  <si>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</si>
  <si>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</si>
  <si>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</si>
  <si>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</si>
  <si>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</si>
  <si>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</si>
  <si>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</si>
  <si>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</si>
  <si>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</si>
  <si>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</si>
  <si>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</si>
  <si>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</si>
  <si>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</si>
  <si>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</si>
  <si>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</si>
  <si>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</si>
  <si>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</si>
  <si>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</si>
  <si>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</si>
  <si>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</si>
  <si>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</si>
  <si>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</si>
  <si>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</si>
  <si>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</si>
  <si>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</si>
  <si>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</si>
  <si>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</si>
  <si>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</si>
  <si>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</si>
  <si>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</si>
  <si>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</si>
  <si>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</si>
  <si>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</si>
  <si>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</si>
  <si>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</si>
  <si>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</si>
  <si>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</si>
  <si>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</si>
  <si>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</si>
  <si>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</si>
  <si>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</si>
  <si>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</si>
  <si>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</si>
  <si>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</si>
  <si>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</si>
  <si>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</si>
  <si>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</si>
  <si>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</si>
  <si>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</si>
  <si>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</si>
  <si>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</si>
  <si>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</si>
  <si>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</si>
  <si>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</si>
  <si>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</si>
  <si>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</si>
  <si>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</si>
  <si>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</si>
  <si>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</si>
  <si>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</si>
  <si>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</si>
  <si>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</si>
  <si>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</si>
  <si>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</si>
  <si>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</si>
  <si>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</si>
  <si>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</si>
  <si>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</si>
  <si>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</si>
  <si>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</si>
  <si>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</si>
  <si>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</si>
  <si>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</si>
  <si>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</si>
  <si>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</si>
  <si>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</si>
  <si>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</si>
  <si>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</si>
  <si>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</si>
  <si>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</si>
  <si>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</si>
  <si>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</si>
  <si>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</si>
  <si>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</si>
  <si>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</si>
  <si>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</si>
  <si>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</si>
  <si>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</si>
  <si>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</si>
  <si>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</si>
  <si>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</si>
  <si>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</si>
  <si>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</si>
  <si>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</si>
  <si>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</si>
  <si>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</si>
  <si>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</si>
  <si>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</si>
  <si>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</si>
  <si>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</si>
  <si>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</si>
  <si>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</si>
  <si>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</si>
  <si>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</si>
  <si>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</si>
  <si>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</si>
  <si>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</si>
  <si>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</si>
  <si>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</si>
  <si>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</si>
  <si>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</si>
  <si>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</si>
  <si>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</si>
  <si>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</si>
  <si>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</si>
  <si>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</si>
  <si>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</si>
  <si>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</si>
  <si>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</si>
  <si>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</si>
  <si>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</si>
  <si>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</si>
  <si>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</si>
  <si>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</si>
  <si>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</si>
  <si>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</si>
  <si>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</si>
  <si>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</si>
  <si>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</si>
  <si>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</si>
  <si>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</si>
  <si>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</si>
  <si>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</si>
  <si>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</si>
  <si>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</si>
  <si>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</si>
  <si>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</si>
  <si>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</si>
  <si>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</si>
  <si>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</si>
  <si>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</si>
  <si>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</si>
  <si>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</si>
  <si>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</si>
  <si>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</si>
  <si>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</si>
  <si>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</si>
  <si>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</si>
  <si>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</si>
  <si>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</si>
  <si>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</si>
  <si>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</si>
  <si>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</si>
  <si>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</si>
  <si>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</si>
  <si>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</si>
  <si>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</si>
  <si>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</si>
  <si>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</si>
  <si>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</si>
  <si>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</si>
  <si>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</si>
  <si>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</si>
  <si>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</si>
  <si>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</si>
  <si>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</si>
  <si>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</si>
  <si>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</si>
  <si>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</si>
  <si>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</si>
  <si>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</si>
  <si>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</si>
  <si>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</si>
  <si>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</si>
  <si>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</si>
  <si>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</si>
  <si>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</si>
  <si>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</si>
  <si>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</si>
  <si>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</si>
  <si>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</si>
  <si>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</si>
  <si>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</si>
  <si>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</si>
  <si>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</si>
  <si>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</si>
  <si>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</si>
  <si>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</si>
  <si>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</si>
  <si>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</si>
  <si>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</si>
  <si>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</si>
  <si>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</si>
  <si>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</si>
  <si>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</si>
  <si>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</si>
  <si>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</si>
  <si>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</si>
  <si>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</si>
  <si>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</si>
  <si>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</si>
  <si>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</si>
  <si>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</si>
  <si>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</si>
  <si>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</si>
  <si>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</si>
  <si>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</si>
  <si>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</si>
  <si>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</si>
  <si>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</si>
  <si>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</si>
  <si>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</si>
  <si>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</si>
  <si>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</si>
  <si>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</si>
  <si>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</si>
  <si>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</si>
  <si>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</si>
  <si>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</si>
  <si>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</si>
  <si>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</si>
  <si>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</si>
  <si>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</si>
  <si>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</si>
  <si>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</si>
  <si>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</si>
  <si>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</si>
  <si>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</si>
  <si>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</si>
  <si>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</si>
  <si>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</si>
  <si>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</si>
  <si>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</si>
  <si>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</si>
  <si>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</si>
  <si>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</si>
  <si>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</si>
  <si>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</si>
  <si>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</si>
  <si>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</si>
  <si>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</si>
  <si>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</si>
  <si>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</si>
  <si>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</si>
  <si>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</si>
  <si>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</si>
  <si>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</si>
  <si>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</si>
  <si>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</si>
  <si>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</si>
  <si>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</si>
  <si>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</si>
  <si>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</si>
  <si>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</si>
  <si>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</si>
  <si>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</si>
  <si>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</si>
  <si>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</si>
  <si>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</si>
  <si>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</si>
  <si>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</si>
  <si>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</si>
  <si>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</si>
  <si>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</si>
  <si>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</si>
  <si>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</si>
  <si>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</si>
  <si>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</si>
  <si>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</si>
  <si>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</si>
  <si>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</si>
  <si>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</si>
  <si>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</si>
  <si>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</si>
  <si>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</si>
  <si>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</si>
  <si>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</si>
  <si>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</si>
  <si>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</si>
  <si>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</si>
  <si>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</si>
  <si>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</si>
  <si>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</si>
  <si>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</si>
  <si>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</si>
  <si>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</si>
  <si>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</si>
  <si>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</si>
  <si>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</si>
  <si>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</si>
  <si>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</si>
  <si>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</si>
  <si>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</si>
  <si>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</si>
  <si>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</si>
  <si>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</si>
  <si>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</si>
  <si>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</si>
  <si>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</si>
  <si>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</si>
  <si>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</si>
  <si>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</si>
  <si>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</si>
  <si>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</si>
  <si>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</si>
  <si>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</si>
  <si>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</si>
  <si>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</si>
  <si>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</si>
  <si>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</si>
  <si>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</si>
  <si>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</si>
  <si>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</si>
  <si>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</si>
  <si>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</si>
  <si>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</si>
  <si>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</si>
  <si>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</si>
  <si>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</si>
  <si>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</si>
  <si>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</si>
  <si>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</si>
  <si>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</si>
  <si>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</si>
  <si>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</si>
  <si>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</si>
  <si>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</si>
  <si>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</si>
  <si>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</si>
  <si>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</si>
  <si>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</si>
  <si>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</si>
  <si>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</si>
  <si>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</si>
  <si>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</si>
  <si>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</si>
  <si>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</si>
  <si>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</si>
  <si>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</si>
  <si>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</si>
  <si>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</si>
  <si>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</si>
  <si>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</si>
  <si>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</si>
  <si>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</si>
  <si>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</si>
  <si>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</si>
  <si>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</si>
  <si>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</si>
  <si>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</si>
  <si>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</si>
  <si>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</si>
  <si>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</si>
  <si>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</si>
  <si>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</si>
  <si>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</si>
  <si>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</si>
  <si>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</si>
  <si>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</si>
  <si>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</si>
  <si>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</si>
  <si>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</si>
  <si>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</si>
  <si>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</si>
  <si>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</si>
  <si>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</si>
  <si>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</si>
  <si>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</si>
  <si>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</si>
  <si>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</si>
  <si>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</si>
  <si>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</si>
  <si>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</si>
  <si>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</si>
  <si>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</si>
  <si>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</si>
  <si>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</si>
  <si>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</si>
  <si>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</si>
  <si>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</si>
  <si>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</si>
  <si>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</si>
  <si>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</si>
  <si>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</si>
  <si>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</si>
  <si>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</si>
  <si>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</si>
  <si>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</si>
  <si>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</si>
  <si>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</si>
  <si>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</si>
  <si>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</si>
  <si>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</si>
  <si>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</si>
  <si>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</si>
  <si>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</si>
  <si>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</si>
  <si>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</si>
  <si>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</si>
  <si>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</si>
  <si>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</si>
  <si>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</si>
  <si>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</si>
  <si>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</si>
  <si>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</si>
  <si>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</si>
  <si>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</si>
  <si>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</si>
  <si>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</si>
  <si>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</si>
  <si>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</si>
  <si>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</si>
  <si>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</si>
  <si>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</si>
  <si>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</si>
  <si>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</si>
  <si>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</si>
  <si>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</si>
  <si>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</si>
  <si>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</si>
  <si>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</si>
  <si>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</si>
  <si>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</si>
  <si>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</si>
  <si>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</si>
  <si>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</si>
  <si>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</si>
  <si>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</si>
  <si>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</si>
  <si>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</si>
  <si>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</si>
  <si>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</si>
  <si>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</si>
  <si>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</si>
  <si>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</si>
  <si>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</si>
  <si>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</si>
  <si>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</si>
  <si>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</si>
  <si>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</si>
  <si>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</si>
  <si>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</si>
  <si>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</si>
  <si>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</si>
  <si>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</si>
  <si>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</si>
  <si>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</si>
  <si>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</si>
  <si>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</si>
  <si>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</si>
  <si>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</si>
  <si>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</si>
  <si>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</si>
  <si>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</si>
  <si>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</si>
  <si>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</si>
  <si>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</si>
  <si>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</si>
  <si>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</si>
  <si>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</si>
  <si>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</si>
  <si>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</si>
  <si>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</si>
  <si>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</si>
  <si>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</si>
  <si>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</si>
  <si>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</si>
  <si>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</si>
  <si>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</si>
  <si>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</si>
  <si>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</si>
  <si>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</si>
  <si>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</si>
  <si>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</si>
  <si>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</si>
  <si>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</si>
  <si>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</si>
  <si>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</si>
  <si>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</si>
  <si>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</si>
  <si>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</si>
  <si>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</si>
  <si>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</si>
  <si>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</si>
  <si>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</si>
  <si>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</si>
  <si>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</si>
  <si>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</si>
  <si>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</si>
  <si>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</si>
  <si>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</si>
  <si>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</si>
  <si>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</si>
  <si>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</si>
  <si>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</si>
  <si>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</si>
  <si>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</si>
  <si>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</si>
  <si>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</si>
  <si>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</si>
  <si>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</si>
  <si>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</si>
  <si>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</si>
  <si>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</si>
  <si>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</si>
  <si>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</si>
  <si>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</si>
  <si>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</si>
  <si>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</si>
  <si>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</si>
  <si>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</si>
  <si>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</si>
  <si>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</si>
  <si>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</si>
  <si>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</si>
  <si>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</si>
  <si>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</si>
  <si>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</si>
  <si>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</si>
  <si>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</si>
  <si>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</si>
  <si>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</si>
  <si>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</si>
  <si>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</si>
  <si>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</si>
  <si>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</si>
  <si>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</si>
  <si>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</si>
  <si>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</si>
  <si>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</si>
  <si>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</si>
  <si>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</si>
  <si>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</si>
  <si>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</si>
  <si>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</si>
  <si>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</si>
  <si>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</si>
  <si>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</si>
  <si>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</si>
  <si>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</si>
  <si>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</si>
  <si>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</si>
  <si>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</si>
  <si>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</si>
  <si>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</si>
  <si>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</si>
  <si>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</si>
  <si>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</si>
  <si>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</si>
  <si>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</si>
  <si>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</si>
  <si>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</si>
  <si>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</si>
  <si>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</si>
  <si>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</si>
  <si>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</si>
  <si>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</si>
  <si>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</si>
  <si>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</si>
  <si>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</si>
  <si>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</si>
  <si>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</si>
  <si>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</si>
  <si>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</si>
  <si>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</si>
  <si>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</si>
  <si>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</si>
  <si>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</si>
  <si>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</si>
  <si>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</si>
  <si>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</si>
  <si>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</si>
  <si>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</si>
  <si>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</si>
  <si>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</si>
  <si>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</si>
  <si>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</si>
  <si>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</si>
  <si>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</si>
  <si>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</si>
  <si>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</si>
  <si>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</si>
  <si>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</si>
  <si>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</si>
  <si>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</si>
  <si>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</si>
  <si>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</si>
  <si>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</si>
  <si>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</si>
  <si>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</si>
  <si>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</si>
  <si>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</si>
  <si>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</si>
  <si>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</si>
  <si>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</si>
  <si>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</si>
  <si>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</si>
  <si>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</si>
  <si>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</si>
  <si>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</si>
  <si>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</si>
  <si>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</si>
  <si>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</si>
  <si>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</si>
  <si>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</si>
  <si>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</si>
  <si>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</si>
  <si>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</si>
  <si>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</si>
  <si>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</si>
  <si>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</si>
  <si>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</si>
  <si>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</si>
  <si>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</si>
  <si>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</si>
  <si>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</si>
  <si>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</si>
  <si>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</si>
  <si>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</si>
  <si>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</si>
  <si>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</si>
  <si>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</si>
  <si>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</si>
  <si>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</si>
  <si>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</si>
  <si>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</si>
  <si>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</si>
  <si>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</si>
  <si>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</si>
  <si>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</si>
  <si>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</si>
  <si>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</si>
  <si>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</si>
  <si>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</si>
  <si>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</si>
  <si>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</si>
  <si>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</si>
  <si>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</si>
  <si>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</si>
  <si>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</si>
  <si>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</si>
  <si>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</si>
  <si>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</si>
  <si>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</si>
  <si>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</si>
  <si>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</si>
  <si>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</si>
  <si>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</si>
  <si>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</si>
  <si>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</si>
  <si>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</si>
  <si>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</si>
  <si>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</si>
  <si>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</si>
  <si>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</si>
  <si>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</si>
  <si>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</si>
  <si>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</si>
  <si>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</si>
  <si>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</si>
  <si>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</si>
  <si>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</si>
  <si>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</si>
  <si>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</si>
  <si>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</si>
  <si>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</si>
  <si>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</si>
  <si>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</si>
  <si>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</si>
  <si>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</si>
  <si>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</si>
  <si>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</si>
  <si>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</si>
  <si>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</si>
  <si>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</si>
  <si>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</si>
  <si>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</si>
  <si>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</si>
  <si>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</si>
  <si>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</si>
  <si>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</si>
  <si>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</si>
  <si>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</si>
  <si>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</si>
  <si>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</si>
  <si>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</si>
  <si>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</si>
  <si>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</si>
  <si>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</si>
  <si>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</si>
  <si>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</si>
  <si>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</si>
  <si>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</si>
  <si>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</si>
  <si>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</si>
  <si>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</si>
  <si>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</si>
  <si>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</si>
  <si>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</si>
  <si>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</si>
  <si>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</si>
  <si>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</si>
  <si>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</si>
  <si>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</si>
  <si>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</si>
  <si>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</si>
  <si>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</si>
  <si>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</si>
  <si>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</si>
  <si>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</si>
  <si>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</si>
  <si>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</si>
  <si>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</si>
  <si>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</si>
  <si>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</si>
  <si>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</si>
  <si>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</si>
  <si>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</si>
  <si>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</si>
  <si>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</si>
  <si>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</si>
  <si>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</si>
  <si>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</si>
  <si>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</si>
  <si>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</si>
  <si>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</si>
  <si>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</si>
  <si>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</si>
  <si>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</si>
  <si>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</si>
  <si>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</si>
  <si>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</si>
  <si>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</si>
  <si>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</si>
  <si>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</si>
  <si>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</si>
  <si>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</si>
  <si>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</si>
  <si>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</si>
  <si>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</si>
  <si>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</si>
  <si>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</si>
  <si>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</si>
  <si>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</si>
  <si>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</si>
  <si>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</si>
  <si>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</si>
  <si>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</si>
  <si>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</si>
  <si>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</si>
  <si>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</si>
  <si>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</si>
  <si>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</si>
  <si>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</si>
  <si>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</si>
  <si>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</si>
  <si>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</si>
  <si>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</si>
  <si>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</si>
  <si>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</si>
  <si>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</si>
  <si>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</si>
  <si>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</si>
  <si>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</si>
  <si>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</si>
  <si>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</si>
  <si>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</si>
  <si>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</si>
  <si>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</si>
  <si>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</si>
  <si>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</si>
  <si>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</si>
  <si>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</si>
  <si>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</si>
  <si>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</si>
  <si>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</si>
  <si>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</si>
  <si>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</si>
  <si>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</si>
  <si>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</si>
  <si>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</si>
  <si>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</si>
  <si>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</si>
  <si>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</si>
  <si>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</si>
  <si>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</si>
  <si>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</si>
  <si>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</si>
  <si>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</si>
  <si>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</si>
  <si>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</si>
  <si>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</si>
  <si>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</si>
  <si>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</si>
  <si>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</si>
  <si>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</si>
  <si>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</si>
  <si>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</si>
  <si>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</si>
  <si>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</si>
  <si>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</si>
  <si>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</si>
  <si>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</si>
  <si>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</si>
  <si>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</si>
  <si>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</si>
  <si>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</si>
  <si>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</si>
  <si>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</si>
  <si>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</si>
  <si>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</si>
  <si>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</si>
  <si>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</si>
  <si>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</si>
  <si>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</si>
  <si>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</si>
  <si>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</si>
  <si>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</si>
  <si>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</si>
  <si>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</si>
  <si>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</si>
  <si>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</si>
  <si>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</si>
  <si>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</si>
  <si>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</si>
  <si>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</si>
  <si>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</si>
  <si>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</si>
  <si>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</si>
  <si>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</si>
  <si>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</si>
  <si>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</si>
  <si>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</si>
  <si>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</si>
  <si>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</si>
  <si>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</si>
  <si>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</si>
  <si>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</si>
  <si>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</si>
  <si>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</si>
  <si>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</si>
  <si>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</si>
  <si>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</si>
  <si>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</si>
  <si>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</si>
  <si>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</si>
  <si>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</si>
  <si>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</si>
  <si>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</si>
  <si>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</si>
  <si>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</si>
  <si>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</si>
  <si>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</si>
  <si>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</si>
  <si>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</si>
  <si>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</si>
  <si>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</si>
  <si>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</si>
  <si>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</si>
  <si>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</si>
  <si>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</si>
  <si>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</si>
  <si>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</si>
  <si>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</si>
  <si>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</si>
  <si>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</si>
  <si>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</si>
  <si>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</si>
  <si>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</si>
  <si>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</si>
  <si>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</si>
  <si>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</si>
  <si>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</si>
  <si>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</si>
  <si>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</si>
  <si>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</si>
  <si>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</si>
  <si>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</si>
  <si>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</si>
  <si>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</si>
  <si>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</si>
  <si>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</si>
  <si>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</si>
  <si>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</si>
  <si>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</si>
  <si>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</si>
  <si>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</si>
  <si>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</si>
  <si>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</si>
  <si>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</si>
  <si>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</si>
  <si>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</si>
  <si>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</si>
  <si>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</si>
  <si>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</si>
  <si>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</si>
  <si>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</si>
  <si>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</si>
  <si>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</si>
  <si>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</si>
  <si>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</si>
  <si>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</si>
  <si>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</si>
  <si>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</si>
  <si>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</si>
  <si>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</si>
  <si>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</si>
  <si>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</si>
  <si>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</si>
  <si>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</si>
  <si>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</si>
  <si>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</si>
  <si>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</si>
  <si>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</si>
  <si>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</si>
  <si>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</si>
  <si>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</si>
  <si>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</si>
  <si>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</si>
  <si>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</si>
  <si>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</si>
  <si>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</si>
  <si>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</si>
  <si>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</si>
  <si>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</si>
  <si>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</si>
  <si>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</si>
  <si>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</si>
  <si>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</si>
  <si>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</si>
  <si>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</si>
  <si>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</si>
  <si>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</si>
  <si>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</si>
  <si>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</si>
  <si>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</si>
  <si>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</si>
  <si>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</si>
  <si>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</si>
  <si>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</si>
  <si>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</si>
  <si>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</si>
  <si>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</si>
  <si>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</si>
  <si>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</si>
  <si>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</si>
  <si>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</si>
  <si>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</si>
  <si>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</si>
  <si>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</si>
  <si>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</si>
  <si>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</si>
  <si>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</si>
  <si>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</si>
  <si>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</si>
  <si>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</si>
  <si>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</si>
  <si>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</si>
  <si>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</si>
  <si>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</si>
  <si>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</si>
  <si>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</si>
  <si>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</si>
  <si>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</si>
  <si>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</si>
  <si>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</si>
  <si>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</si>
  <si>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</si>
  <si>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</si>
  <si>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</si>
  <si>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</si>
  <si>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</si>
  <si>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</si>
  <si>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</si>
  <si>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</si>
  <si>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</si>
  <si>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</si>
  <si>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</si>
  <si>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</si>
  <si>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</si>
  <si>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</si>
  <si>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</si>
  <si>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</si>
  <si>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</si>
  <si>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</si>
  <si>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</si>
  <si>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</si>
  <si>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</si>
  <si>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</si>
  <si>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</si>
  <si>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</si>
  <si>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</si>
  <si>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</si>
  <si>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</si>
  <si>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</si>
  <si>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</si>
  <si>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</si>
  <si>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</si>
  <si>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</si>
  <si>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</si>
  <si>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</si>
  <si>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</si>
  <si>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</si>
  <si>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</si>
  <si>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</si>
  <si>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</si>
  <si>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</si>
  <si>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</si>
  <si>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</si>
  <si>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</si>
  <si>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</si>
  <si>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</si>
  <si>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</si>
  <si>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</si>
  <si>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</si>
  <si>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</si>
  <si>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</si>
  <si>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</si>
  <si>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</si>
  <si>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</si>
  <si>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</si>
  <si>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</si>
  <si>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</si>
  <si>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</si>
  <si>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</si>
  <si>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</si>
  <si>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</si>
  <si>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</si>
  <si>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</si>
  <si>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</si>
  <si>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</si>
  <si>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</si>
  <si>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</si>
  <si>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</si>
  <si>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</si>
  <si>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</si>
  <si>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</si>
  <si>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</si>
  <si>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</si>
  <si>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</si>
  <si>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</si>
  <si>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</si>
  <si>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</si>
  <si>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</si>
  <si>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</si>
  <si>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</si>
  <si>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</si>
  <si>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</si>
  <si>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</si>
  <si>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</si>
  <si>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</si>
  <si>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</si>
  <si>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</si>
  <si>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</si>
  <si>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</si>
  <si>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</si>
  <si>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</si>
  <si>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</si>
  <si>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</si>
  <si>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</si>
  <si>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</si>
  <si>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</si>
  <si>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</si>
  <si>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</si>
  <si>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</si>
  <si>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</si>
  <si>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</si>
  <si>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</si>
  <si>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</si>
  <si>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</si>
  <si>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</si>
  <si>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</si>
  <si>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</si>
  <si>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</si>
  <si>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</si>
  <si>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</si>
  <si>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</si>
  <si>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</si>
  <si>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</si>
  <si>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</si>
  <si>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</si>
  <si>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</si>
  <si>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</si>
  <si>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</si>
  <si>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</si>
  <si>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</si>
  <si>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</si>
  <si>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</si>
  <si>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</si>
  <si>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</si>
  <si>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</si>
  <si>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</si>
  <si>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</si>
  <si>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</si>
  <si>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</si>
  <si>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</si>
  <si>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</si>
  <si>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</si>
  <si>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</si>
  <si>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</si>
  <si>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</si>
  <si>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</si>
  <si>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</si>
  <si>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</si>
  <si>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</si>
  <si>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</si>
  <si>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</si>
  <si>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</si>
  <si>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</si>
  <si>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</si>
  <si>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</si>
  <si>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</si>
  <si>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</si>
  <si>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</si>
  <si>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</si>
  <si>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</si>
  <si>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</si>
  <si>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</si>
  <si>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</si>
  <si>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</si>
  <si>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</si>
  <si>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</si>
  <si>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</si>
  <si>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</si>
  <si>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</si>
  <si>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</si>
  <si>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</si>
  <si>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</si>
  <si>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</si>
  <si>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</si>
  <si>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</si>
  <si>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</si>
  <si>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</si>
  <si>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</si>
  <si>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</si>
  <si>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</si>
  <si>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</si>
  <si>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</si>
  <si>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</si>
  <si>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</si>
  <si>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</si>
  <si>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</si>
  <si>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</si>
  <si>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</si>
  <si>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</si>
  <si>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</si>
  <si>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</si>
  <si>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</si>
  <si>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</si>
  <si>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</si>
  <si>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</si>
  <si>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</si>
  <si>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</si>
  <si>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</si>
  <si>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</si>
  <si>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</si>
  <si>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</si>
  <si>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</si>
  <si>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</si>
  <si>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</si>
  <si>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</si>
  <si>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</si>
  <si>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</si>
  <si>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</si>
  <si>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</si>
  <si>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</si>
  <si>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</si>
  <si>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</si>
  <si>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</si>
  <si>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</si>
  <si>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</si>
  <si>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</si>
  <si>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</si>
  <si>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</si>
  <si>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</si>
  <si>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</si>
  <si>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</si>
  <si>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</si>
  <si>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</si>
  <si>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</si>
  <si>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</si>
  <si>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</si>
  <si>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</si>
  <si>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</si>
  <si>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</si>
  <si>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</si>
  <si>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</si>
  <si>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</si>
  <si>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</si>
  <si>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</si>
  <si>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</si>
  <si>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</si>
  <si>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</si>
  <si>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</si>
  <si>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</si>
  <si>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</si>
  <si>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</si>
  <si>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</si>
  <si>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</si>
  <si>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</si>
  <si>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</si>
  <si>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</si>
  <si>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</si>
  <si>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</si>
  <si>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</si>
  <si>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</si>
  <si>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</si>
  <si>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</si>
  <si>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</si>
  <si>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</si>
  <si>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</si>
  <si>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</si>
  <si>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</si>
  <si>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</si>
  <si>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</si>
  <si>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</si>
  <si>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</si>
  <si>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</si>
  <si>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</si>
  <si>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</si>
  <si>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</si>
  <si>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</si>
  <si>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</si>
  <si>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</si>
  <si>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</si>
  <si>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</si>
  <si>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</si>
  <si>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</si>
  <si>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</si>
  <si>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</si>
  <si>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</si>
  <si>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</si>
  <si>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</si>
  <si>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</si>
  <si>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</si>
  <si>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</si>
  <si>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</si>
  <si>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</si>
  <si>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</si>
  <si>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</si>
  <si>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</si>
  <si>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</si>
  <si>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</si>
  <si>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</si>
  <si>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</si>
  <si>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</si>
  <si>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</si>
  <si>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</si>
  <si>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</si>
  <si>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</si>
  <si>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</si>
  <si>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</si>
  <si>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</si>
  <si>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</si>
  <si>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</si>
  <si>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</si>
  <si>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</si>
  <si>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</si>
  <si>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</si>
  <si>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target</t>
  </si>
  <si>
    <t xml:space="preserve">
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</si>
  <si>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</si>
  <si>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</si>
  <si>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</si>
  <si>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</si>
  <si>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</si>
  <si>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</si>
  <si>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</si>
  <si>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</si>
  <si>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</si>
  <si>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</si>
  <si>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</si>
  <si>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</si>
  <si>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</si>
  <si>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</si>
  <si>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</si>
  <si>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</si>
  <si>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</si>
  <si>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</si>
  <si>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</si>
  <si>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</si>
  <si>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</si>
  <si>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</si>
  <si>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</si>
  <si>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</si>
  <si>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</si>
  <si>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</si>
  <si>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</si>
  <si>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</si>
  <si>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</si>
  <si>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</si>
  <si>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</si>
  <si>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</si>
  <si>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</si>
  <si>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</si>
  <si>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</si>
  <si>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</si>
  <si>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</si>
  <si>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</si>
  <si>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</si>
  <si>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</si>
  <si>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</si>
  <si>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</si>
  <si>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</si>
  <si>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</si>
  <si>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</si>
  <si>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</si>
  <si>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</si>
  <si>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</si>
  <si>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</si>
  <si>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</si>
  <si>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</si>
  <si>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</si>
  <si>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</si>
  <si>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</si>
  <si>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</si>
  <si>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</si>
  <si>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</si>
  <si>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</si>
  <si>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</si>
  <si>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</si>
  <si>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</si>
  <si>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</si>
  <si>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</si>
  <si>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</si>
  <si>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</si>
  <si>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</si>
  <si>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</si>
  <si>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</si>
  <si>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</si>
  <si>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</si>
  <si>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</si>
  <si>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</si>
  <si>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</si>
  <si>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</si>
  <si>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</si>
  <si>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</si>
  <si>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</si>
  <si>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</si>
  <si>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</si>
  <si>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</si>
  <si>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</si>
  <si>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</si>
  <si>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</si>
  <si>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</si>
  <si>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</si>
  <si>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</si>
  <si>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</si>
  <si>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</si>
  <si>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</si>
  <si>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</si>
  <si>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</si>
  <si>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</si>
  <si>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</si>
  <si>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</si>
  <si>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</si>
  <si>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</si>
  <si>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</si>
  <si>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</si>
  <si>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</si>
  <si>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</si>
  <si>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</si>
  <si>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</si>
  <si>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</si>
  <si>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</si>
  <si>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</si>
  <si>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</si>
  <si>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</si>
  <si>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</si>
  <si>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</si>
  <si>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</si>
  <si>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</si>
  <si>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</si>
  <si>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</si>
  <si>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</si>
  <si>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</si>
  <si>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</si>
  <si>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</si>
  <si>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</si>
  <si>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</si>
  <si>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</si>
  <si>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</si>
  <si>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</si>
  <si>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</si>
  <si>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</si>
  <si>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</si>
  <si>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</si>
  <si>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</si>
  <si>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</si>
  <si>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</si>
  <si>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</si>
  <si>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</si>
  <si>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</si>
  <si>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</si>
  <si>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</si>
  <si>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</si>
  <si>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</si>
  <si>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</si>
  <si>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</si>
  <si>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</si>
  <si>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</si>
  <si>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</si>
  <si>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</si>
  <si>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</si>
  <si>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</si>
  <si>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</si>
  <si>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</si>
  <si>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</si>
  <si>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</si>
  <si>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</si>
  <si>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</si>
  <si>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</si>
  <si>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</si>
  <si>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</si>
  <si>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</si>
  <si>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</si>
  <si>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</si>
  <si>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</si>
  <si>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</si>
  <si>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</si>
  <si>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</si>
  <si>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</si>
  <si>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</si>
  <si>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</si>
  <si>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</si>
  <si>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</si>
  <si>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</si>
  <si>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</si>
  <si>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</si>
  <si>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</si>
  <si>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</si>
  <si>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</si>
  <si>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</si>
  <si>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</si>
  <si>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</si>
  <si>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</si>
  <si>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</si>
  <si>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</si>
  <si>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</si>
  <si>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</si>
  <si>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</si>
  <si>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</si>
  <si>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</si>
  <si>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</si>
  <si>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</si>
  <si>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</si>
  <si>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</si>
  <si>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</si>
  <si>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</si>
  <si>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</si>
  <si>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</si>
  <si>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</si>
  <si>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</si>
  <si>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</si>
  <si>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</si>
  <si>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</si>
  <si>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</si>
  <si>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</si>
  <si>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</si>
  <si>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</si>
  <si>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</si>
  <si>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</si>
  <si>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</si>
  <si>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</si>
  <si>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</si>
  <si>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</si>
  <si>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</si>
  <si>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</si>
  <si>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</si>
  <si>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</si>
  <si>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</si>
  <si>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Apr-15</t>
  </si>
  <si>
    <t>May-15</t>
  </si>
  <si>
    <t>Jun-15</t>
  </si>
  <si>
    <t>July-15</t>
  </si>
  <si>
    <t>Aug-15</t>
  </si>
  <si>
    <t>Sep-15</t>
  </si>
  <si>
    <t>Oct-15</t>
  </si>
  <si>
    <t>Nov-15</t>
  </si>
  <si>
    <t>Dec-15</t>
  </si>
  <si>
    <t>Jan-16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</si>
  <si>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</si>
  <si>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</si>
  <si>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</si>
  <si>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</si>
  <si>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</si>
  <si>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</si>
  <si>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</si>
  <si>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</si>
  <si>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</si>
  <si>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</si>
  <si>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</si>
  <si>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</si>
  <si>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</si>
  <si>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</si>
  <si>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</si>
  <si>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</si>
  <si>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</si>
  <si>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</si>
  <si>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</si>
  <si>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</si>
  <si>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</si>
  <si>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</si>
  <si>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</si>
  <si>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</si>
  <si>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</si>
  <si>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</si>
  <si>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</si>
  <si>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</si>
  <si>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</si>
  <si>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</si>
  <si>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</si>
  <si>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</si>
  <si>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</si>
  <si>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</si>
  <si>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</si>
  <si>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</si>
  <si>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</si>
  <si>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</si>
  <si>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</si>
  <si>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</si>
  <si>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</si>
  <si>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</si>
  <si>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</si>
  <si>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</si>
  <si>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</si>
  <si>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</si>
  <si>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</si>
  <si>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</si>
  <si>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</si>
  <si>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</si>
  <si>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</si>
  <si>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</si>
  <si>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</si>
  <si>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</si>
  <si>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</si>
  <si>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</si>
  <si>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</si>
  <si>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</si>
  <si>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</si>
  <si>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</si>
  <si>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</si>
  <si>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</si>
  <si>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</si>
  <si>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</si>
  <si>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</si>
  <si>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</si>
  <si>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</si>
  <si>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</si>
  <si>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</si>
  <si>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</si>
  <si>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</si>
  <si>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</si>
  <si>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</si>
  <si>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</si>
  <si>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</si>
  <si>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</si>
  <si>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</si>
  <si>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</si>
  <si>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</si>
  <si>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</si>
  <si>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</si>
  <si>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</si>
  <si>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</si>
  <si>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</si>
  <si>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</si>
  <si>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</si>
  <si>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</si>
  <si>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</si>
  <si>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</si>
  <si>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</si>
  <si>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</si>
  <si>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</si>
  <si>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</si>
  <si>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</si>
  <si>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</si>
  <si>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</si>
  <si>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</si>
  <si>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</si>
  <si>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</si>
  <si>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</si>
  <si>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</si>
  <si>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</si>
  <si>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</si>
  <si>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</si>
  <si>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</si>
  <si>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</si>
  <si>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</si>
  <si>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</si>
  <si>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</si>
  <si>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</si>
  <si>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</si>
  <si>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</si>
  <si>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</si>
  <si>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</si>
  <si>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</si>
  <si>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</si>
  <si>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</si>
  <si>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</si>
  <si>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</si>
  <si>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</si>
  <si>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</si>
  <si>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</si>
  <si>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</si>
  <si>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</si>
  <si>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</si>
  <si>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</si>
  <si>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</si>
  <si>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</si>
  <si>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</si>
  <si>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</si>
  <si>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</si>
  <si>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</si>
  <si>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</si>
  <si>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</si>
  <si>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</si>
  <si>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</si>
  <si>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</si>
  <si>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</si>
  <si>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</si>
  <si>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</si>
  <si>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</si>
  <si>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</si>
  <si>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</si>
  <si>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</si>
  <si>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</si>
  <si>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</si>
  <si>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</si>
  <si>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</si>
  <si>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</si>
  <si>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</si>
  <si>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</si>
  <si>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</si>
  <si>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</si>
  <si>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</si>
  <si>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</si>
  <si>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</si>
  <si>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</si>
  <si>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</si>
  <si>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</si>
  <si>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</si>
  <si>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</si>
  <si>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</si>
  <si>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</si>
  <si>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</si>
  <si>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</si>
  <si>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</si>
  <si>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</si>
  <si>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</si>
  <si>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</si>
  <si>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</si>
  <si>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</si>
  <si>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</si>
  <si>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</si>
  <si>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</si>
  <si>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</si>
  <si>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</si>
  <si>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</si>
  <si>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</si>
  <si>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</si>
  <si>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</si>
  <si>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</si>
  <si>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</si>
  <si>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</si>
  <si>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</si>
  <si>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</si>
  <si>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</si>
  <si>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</si>
  <si>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</si>
  <si>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</si>
  <si>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</si>
  <si>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</si>
  <si>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</si>
  <si>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</si>
  <si>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</si>
  <si>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</si>
  <si>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</si>
  <si>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</si>
  <si>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</si>
  <si>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</si>
  <si>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</si>
  <si>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</si>
  <si>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</si>
  <si>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</si>
  <si>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</si>
  <si>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</si>
  <si>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</si>
  <si>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</si>
  <si>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</si>
  <si>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</si>
  <si>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</si>
  <si>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</si>
  <si>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</si>
  <si>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</si>
  <si>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</si>
  <si>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</si>
  <si>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</si>
  <si>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</si>
  <si>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</si>
  <si>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</si>
  <si>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</si>
  <si>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</si>
  <si>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</si>
  <si>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</si>
  <si>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</si>
  <si>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</si>
  <si>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</si>
  <si>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</si>
  <si>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</si>
  <si>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</si>
  <si>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</si>
  <si>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</si>
  <si>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</si>
  <si>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</si>
  <si>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</si>
  <si>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</si>
  <si>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</si>
  <si>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</si>
  <si>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</si>
  <si>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</si>
  <si>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</si>
  <si>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</si>
  <si>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</si>
  <si>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</si>
  <si>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</si>
  <si>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</si>
  <si>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</si>
  <si>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</si>
  <si>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</si>
  <si>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</si>
  <si>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</si>
  <si>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</si>
  <si>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</si>
  <si>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</si>
  <si>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</si>
  <si>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</si>
  <si>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</si>
  <si>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</si>
  <si>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</si>
  <si>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</si>
  <si>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</si>
  <si>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</si>
  <si>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</si>
  <si>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</si>
  <si>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</si>
  <si>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</si>
  <si>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</si>
  <si>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</si>
  <si>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</si>
  <si>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</si>
  <si>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</si>
  <si>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</si>
  <si>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</si>
  <si>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</si>
  <si>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</si>
  <si>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</si>
  <si>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</si>
  <si>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</si>
  <si>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</si>
  <si>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</si>
  <si>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</si>
  <si>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</si>
  <si>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</si>
  <si>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</si>
  <si>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</si>
  <si>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</si>
  <si>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</si>
  <si>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</si>
  <si>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</si>
  <si>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</si>
  <si>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</si>
  <si>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</si>
  <si>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</si>
  <si>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</si>
  <si>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</si>
  <si>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</si>
  <si>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</si>
  <si>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</si>
  <si>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</si>
  <si>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</si>
  <si>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</si>
  <si>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</si>
  <si>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</si>
  <si>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</si>
  <si>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</si>
  <si>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</si>
  <si>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</si>
  <si>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</si>
  <si>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</si>
  <si>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</si>
  <si>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</si>
  <si>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</si>
  <si>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</si>
  <si>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</si>
  <si>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</si>
  <si>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</si>
  <si>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</si>
  <si>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</si>
  <si>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</si>
  <si>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</si>
  <si>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</si>
  <si>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</si>
  <si>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</si>
  <si>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</si>
  <si>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</si>
  <si>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</si>
  <si>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</si>
  <si>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</si>
  <si>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</si>
  <si>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</si>
  <si>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</si>
  <si>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</si>
  <si>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</si>
  <si>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</si>
  <si>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</si>
  <si>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</si>
  <si>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</si>
  <si>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</si>
  <si>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</si>
  <si>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</si>
  <si>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</si>
  <si>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</si>
  <si>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</si>
  <si>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</si>
  <si>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</si>
  <si>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</si>
  <si>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</si>
  <si>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</si>
  <si>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</si>
  <si>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</si>
  <si>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</si>
  <si>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</si>
  <si>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</si>
  <si>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</si>
  <si>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</si>
  <si>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</si>
  <si>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</si>
  <si>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</si>
  <si>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</si>
  <si>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</si>
  <si>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</si>
  <si>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</si>
  <si>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</si>
  <si>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</si>
  <si>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</si>
  <si>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</si>
  <si>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</si>
  <si>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</si>
  <si>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</si>
  <si>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</si>
  <si>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</si>
  <si>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</si>
  <si>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</si>
  <si>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</si>
  <si>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</si>
  <si>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</si>
  <si>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</si>
  <si>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</si>
  <si>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</si>
  <si>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</si>
  <si>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</si>
  <si>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</si>
  <si>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</si>
  <si>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</si>
  <si>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</si>
  <si>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</si>
  <si>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</si>
  <si>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</si>
  <si>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</si>
  <si>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</si>
  <si>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</si>
  <si>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</si>
  <si>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</si>
  <si>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</si>
  <si>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</si>
  <si>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</si>
  <si>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</si>
  <si>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</si>
  <si>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</si>
  <si>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</si>
  <si>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</si>
  <si>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</si>
  <si>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</si>
  <si>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</si>
  <si>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</si>
  <si>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</si>
  <si>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</si>
  <si>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</si>
  <si>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</si>
  <si>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</si>
  <si>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</si>
  <si>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</si>
  <si>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</si>
  <si>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</si>
  <si>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</si>
  <si>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</si>
  <si>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</si>
  <si>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</si>
  <si>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</si>
  <si>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</si>
  <si>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</si>
  <si>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</si>
  <si>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</si>
  <si>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</si>
  <si>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</si>
  <si>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</si>
  <si>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</si>
  <si>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</si>
  <si>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</si>
  <si>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</si>
  <si>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</si>
  <si>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</si>
  <si>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</si>
  <si>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</si>
  <si>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</si>
  <si>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</si>
  <si>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</si>
  <si>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</si>
  <si>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</si>
  <si>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</si>
  <si>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</si>
  <si>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</si>
  <si>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</si>
  <si>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</si>
  <si>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</si>
  <si>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</si>
  <si>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</si>
  <si>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</si>
  <si>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</si>
  <si>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</si>
  <si>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</si>
  <si>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</si>
  <si>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</si>
  <si>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</si>
  <si>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</si>
  <si>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</si>
  <si>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</si>
  <si>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</si>
  <si>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</si>
  <si>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</si>
  <si>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</si>
  <si>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</si>
  <si>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</si>
  <si>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</si>
  <si>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</si>
  <si>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</si>
  <si>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</si>
  <si>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</si>
  <si>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</si>
  <si>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</si>
  <si>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</si>
  <si>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</si>
  <si>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</si>
  <si>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</si>
  <si>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</si>
  <si>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</si>
  <si>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</si>
  <si>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</si>
  <si>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</si>
  <si>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</si>
  <si>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</si>
  <si>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</si>
  <si>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</si>
  <si>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</si>
  <si>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</si>
  <si>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</si>
  <si>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</si>
  <si>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</si>
  <si>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</si>
  <si>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</si>
  <si>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</si>
  <si>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</si>
  <si>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</si>
  <si>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</si>
  <si>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</si>
  <si>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</si>
  <si>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</si>
  <si>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</si>
  <si>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</si>
  <si>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</si>
  <si>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</si>
  <si>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</si>
  <si>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</si>
  <si>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</si>
  <si>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</si>
  <si>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</si>
  <si>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</si>
  <si>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</si>
  <si>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</si>
  <si>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</si>
  <si>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</si>
  <si>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</si>
  <si>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</si>
  <si>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</si>
  <si>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</si>
  <si>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</si>
  <si>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</si>
  <si>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</si>
  <si>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</si>
  <si>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</si>
  <si>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</si>
  <si>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</si>
  <si>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</si>
  <si>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</si>
  <si>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</si>
  <si>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</si>
  <si>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</si>
  <si>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</si>
  <si>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</si>
  <si>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</si>
  <si>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</si>
  <si>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</si>
  <si>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</si>
  <si>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</si>
  <si>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</si>
  <si>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</si>
  <si>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</si>
  <si>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</si>
  <si>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</si>
  <si>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</si>
  <si>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</si>
  <si>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</si>
  <si>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</si>
  <si>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</si>
  <si>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</si>
  <si>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</si>
  <si>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</si>
  <si>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</si>
  <si>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</si>
  <si>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</si>
  <si>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</si>
  <si>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</si>
  <si>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</si>
  <si>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</si>
  <si>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</si>
  <si>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</si>
  <si>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</si>
  <si>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</si>
  <si>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</si>
  <si>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</si>
  <si>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</si>
  <si>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</si>
  <si>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</si>
  <si>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</si>
  <si>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</si>
  <si>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</si>
  <si>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</si>
  <si>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</si>
  <si>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</si>
  <si>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</si>
  <si>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</si>
  <si>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</si>
  <si>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</si>
  <si>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</si>
  <si>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</si>
  <si>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</si>
  <si>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</si>
  <si>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</si>
  <si>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</si>
  <si>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</si>
  <si>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</si>
  <si>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</si>
  <si>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</si>
  <si>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</si>
  <si>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</si>
  <si>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</si>
  <si>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</si>
  <si>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</si>
  <si>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</si>
  <si>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</si>
  <si>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</si>
  <si>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</si>
  <si>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</si>
  <si>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</si>
  <si>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</si>
  <si>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</si>
  <si>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</si>
  <si>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</si>
  <si>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</si>
  <si>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</si>
  <si>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</si>
  <si>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</si>
  <si>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</si>
  <si>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</si>
  <si>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</si>
  <si>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</si>
  <si>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</si>
  <si>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</si>
  <si>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</si>
  <si>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</si>
  <si>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</si>
  <si>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</si>
  <si>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</si>
  <si>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</si>
  <si>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</si>
  <si>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</si>
  <si>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</si>
  <si>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</si>
  <si>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</si>
  <si>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</si>
  <si>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</si>
  <si>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</si>
  <si>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</si>
  <si>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</si>
  <si>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</si>
  <si>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</si>
  <si>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</si>
  <si>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</si>
  <si>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</si>
  <si>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</si>
  <si>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</si>
  <si>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</si>
  <si>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</si>
  <si>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</si>
  <si>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</si>
  <si>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</si>
  <si>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</si>
  <si>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</si>
  <si>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</si>
  <si>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</si>
  <si>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</si>
  <si>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</si>
  <si>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</si>
  <si>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</si>
  <si>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</si>
  <si>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</si>
  <si>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</si>
  <si>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</si>
  <si>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</si>
  <si>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</si>
  <si>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</si>
  <si>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</si>
  <si>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</si>
  <si>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</si>
  <si>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</si>
  <si>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</si>
  <si>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</si>
  <si>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</si>
  <si>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</si>
  <si>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</si>
  <si>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</si>
  <si>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</si>
  <si>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</si>
  <si>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</si>
  <si>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</si>
  <si>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</si>
  <si>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</si>
  <si>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</si>
  <si>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</si>
  <si>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</si>
  <si>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</si>
  <si>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</si>
  <si>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</si>
  <si>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</si>
  <si>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</si>
  <si>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</si>
  <si>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</si>
  <si>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</si>
  <si>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</si>
  <si>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</si>
  <si>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</si>
  <si>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</si>
  <si>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</si>
  <si>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</si>
  <si>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</si>
  <si>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</si>
  <si>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</si>
  <si>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</si>
  <si>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</si>
  <si>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</si>
  <si>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</si>
  <si>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</si>
  <si>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</si>
  <si>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</si>
  <si>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</si>
  <si>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</si>
  <si>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</si>
  <si>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</si>
  <si>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</si>
  <si>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</si>
  <si>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</si>
  <si>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</si>
  <si>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</si>
  <si>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</si>
  <si>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</si>
  <si>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</si>
  <si>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</si>
  <si>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</si>
  <si>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</si>
  <si>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</si>
  <si>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</si>
  <si>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</si>
  <si>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</si>
  <si>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</si>
  <si>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</si>
  <si>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</si>
  <si>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</si>
  <si>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</si>
  <si>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</si>
  <si>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</si>
  <si>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</si>
  <si>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</si>
  <si>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</si>
  <si>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</si>
  <si>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</si>
  <si>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</si>
  <si>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</si>
  <si>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</si>
  <si>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</si>
  <si>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</si>
  <si>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</si>
  <si>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</si>
  <si>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</si>
  <si>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</si>
  <si>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</si>
  <si>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</si>
  <si>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</si>
  <si>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</si>
  <si>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</si>
  <si>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</si>
  <si>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</si>
  <si>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</si>
  <si>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</si>
  <si>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</si>
  <si>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</si>
  <si>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</si>
  <si>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</si>
  <si>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</si>
  <si>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</si>
  <si>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</si>
  <si>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</si>
  <si>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</si>
  <si>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</si>
  <si>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</si>
  <si>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</si>
  <si>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</si>
  <si>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</si>
  <si>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</si>
  <si>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</si>
  <si>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</si>
  <si>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</si>
  <si>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</si>
  <si>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</si>
  <si>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</si>
  <si>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</si>
  <si>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</si>
  <si>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</si>
  <si>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</si>
  <si>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</si>
  <si>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</si>
  <si>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</si>
  <si>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</si>
  <si>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</si>
  <si>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</si>
  <si>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</si>
  <si>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</si>
  <si>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</si>
  <si>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</si>
  <si>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</si>
  <si>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</si>
  <si>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</si>
  <si>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</si>
  <si>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</si>
  <si>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</si>
  <si>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</si>
  <si>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</si>
  <si>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</si>
  <si>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</si>
  <si>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</si>
  <si>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</si>
  <si>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</si>
  <si>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</si>
  <si>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</si>
  <si>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</si>
  <si>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</si>
  <si>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</si>
  <si>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</si>
  <si>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</si>
  <si>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</si>
  <si>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</si>
  <si>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</si>
  <si>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</si>
  <si>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</si>
  <si>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</si>
  <si>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</si>
  <si>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</si>
  <si>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</si>
  <si>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</si>
  <si>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</si>
  <si>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</si>
  <si>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</si>
  <si>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</si>
  <si>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</si>
  <si>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</si>
  <si>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</si>
  <si>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</si>
  <si>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</si>
  <si>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</si>
  <si>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</si>
  <si>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</si>
  <si>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</si>
  <si>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</si>
  <si>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</si>
  <si>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</si>
  <si>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</si>
  <si>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</si>
  <si>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</si>
  <si>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</si>
  <si>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</si>
  <si>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</si>
  <si>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</si>
  <si>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</si>
  <si>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</si>
  <si>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</si>
  <si>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</si>
  <si>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</si>
  <si>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</si>
  <si>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</si>
  <si>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</si>
  <si>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</si>
  <si>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</si>
  <si>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</si>
  <si>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</si>
  <si>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</si>
  <si>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</si>
  <si>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</si>
  <si>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</si>
  <si>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</si>
  <si>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</si>
  <si>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</si>
  <si>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</si>
  <si>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</si>
  <si>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</si>
  <si>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</si>
  <si>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</si>
  <si>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</si>
  <si>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</si>
  <si>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</si>
  <si>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</si>
  <si>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</si>
  <si>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</si>
  <si>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</si>
  <si>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</si>
  <si>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</si>
  <si>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</si>
  <si>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</si>
  <si>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</si>
  <si>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</si>
  <si>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</si>
  <si>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</si>
  <si>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</si>
  <si>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</si>
  <si>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</si>
  <si>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</si>
  <si>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</si>
  <si>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</si>
  <si>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</si>
  <si>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</si>
  <si>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</si>
  <si>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</si>
  <si>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</si>
  <si>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</si>
  <si>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</si>
  <si>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</si>
  <si>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</si>
  <si>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</si>
  <si>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</si>
  <si>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</si>
  <si>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</si>
  <si>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</si>
  <si>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</si>
  <si>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</si>
  <si>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</si>
  <si>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</si>
  <si>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</si>
  <si>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</si>
  <si>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</si>
  <si>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</si>
  <si>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</si>
  <si>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</si>
  <si>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</si>
  <si>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</si>
  <si>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</si>
  <si>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</si>
  <si>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</si>
  <si>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</si>
  <si>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</si>
  <si>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</si>
  <si>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</si>
  <si>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</si>
  <si>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</si>
  <si>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</si>
  <si>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</si>
  <si>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</si>
  <si>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</si>
  <si>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</si>
  <si>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</si>
  <si>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</si>
  <si>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</si>
  <si>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</si>
  <si>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</si>
  <si>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</si>
  <si>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</si>
  <si>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</si>
  <si>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</si>
  <si>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</si>
  <si>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</si>
  <si>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</si>
  <si>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</si>
  <si>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</si>
  <si>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</si>
  <si>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</si>
  <si>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</si>
  <si>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</si>
  <si>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</si>
  <si>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</si>
  <si>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</si>
  <si>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</si>
  <si>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</si>
  <si>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</si>
  <si>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</si>
  <si>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</si>
  <si>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</si>
  <si>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</si>
  <si>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</si>
  <si>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</si>
  <si>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</si>
  <si>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</si>
  <si>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</si>
  <si>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</si>
  <si>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</si>
  <si>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</si>
  <si>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</si>
  <si>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</si>
  <si>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</si>
  <si>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</si>
  <si>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</si>
  <si>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</si>
  <si>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</si>
  <si>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</si>
  <si>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</si>
  <si>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</si>
  <si>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</si>
  <si>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</si>
  <si>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</si>
  <si>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</si>
  <si>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</si>
  <si>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</si>
  <si>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</si>
  <si>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</si>
  <si>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</si>
  <si>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</si>
  <si>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</si>
  <si>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</si>
  <si>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</si>
  <si>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</si>
  <si>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</si>
  <si>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</si>
  <si>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</si>
  <si>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</si>
  <si>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</si>
  <si>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</si>
  <si>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</si>
  <si>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</si>
  <si>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</si>
  <si>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</si>
  <si>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</si>
  <si>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</si>
  <si>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</si>
  <si>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</si>
  <si>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</si>
  <si>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</si>
  <si>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</si>
  <si>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</si>
  <si>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</si>
  <si>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</si>
  <si>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</si>
  <si>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</si>
  <si>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</si>
  <si>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</si>
  <si>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</si>
  <si>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</si>
  <si>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</si>
  <si>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</si>
  <si>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</si>
  <si>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</si>
  <si>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</si>
  <si>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</si>
  <si>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</si>
  <si>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</si>
  <si>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</si>
  <si>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</si>
  <si>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</si>
  <si>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</si>
  <si>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</si>
  <si>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</si>
  <si>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</si>
  <si>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</si>
  <si>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</si>
  <si>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</si>
  <si>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</si>
  <si>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</si>
  <si>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</si>
  <si>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</si>
  <si>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</si>
  <si>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</si>
  <si>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</si>
  <si>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</si>
  <si>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</si>
  <si>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</si>
  <si>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</si>
  <si>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</si>
  <si>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</si>
  <si>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</si>
  <si>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</si>
  <si>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</si>
  <si>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</si>
  <si>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</si>
  <si>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</si>
  <si>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</si>
  <si>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</si>
  <si>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</si>
  <si>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</si>
  <si>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</si>
  <si>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</si>
  <si>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</si>
  <si>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</si>
  <si>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</si>
  <si>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</si>
  <si>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</si>
  <si>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</si>
  <si>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</si>
  <si>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</si>
  <si>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</si>
  <si>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</si>
  <si>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</si>
  <si>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</si>
  <si>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</si>
  <si>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</si>
  <si>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</si>
  <si>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</si>
  <si>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</si>
  <si>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</si>
  <si>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</si>
  <si>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</si>
  <si>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</si>
  <si>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</si>
  <si>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</si>
  <si>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</si>
  <si>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</si>
  <si>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</si>
  <si>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</si>
  <si>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</si>
  <si>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</si>
  <si>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</si>
  <si>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</si>
  <si>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</si>
  <si>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</si>
  <si>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</si>
  <si>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</si>
  <si>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</si>
  <si>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</si>
  <si>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</si>
  <si>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</si>
  <si>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</si>
  <si>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</si>
  <si>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</si>
  <si>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</si>
  <si>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</si>
  <si>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</si>
  <si>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</si>
  <si>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</si>
  <si>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</si>
  <si>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</si>
  <si>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</si>
  <si>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</si>
  <si>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</si>
  <si>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</si>
  <si>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</si>
  <si>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</si>
  <si>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</si>
  <si>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</si>
  <si>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</si>
  <si>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</si>
  <si>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</si>
  <si>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</si>
  <si>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</si>
  <si>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</si>
  <si>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</si>
  <si>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</si>
  <si>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</si>
  <si>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</si>
  <si>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</si>
  <si>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</si>
  <si>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</si>
  <si>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</si>
  <si>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</si>
  <si>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</si>
  <si>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</si>
  <si>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</si>
  <si>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</si>
  <si>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</si>
  <si>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</si>
  <si>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</si>
  <si>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</si>
  <si>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</si>
  <si>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</si>
  <si>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</si>
  <si>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</si>
  <si>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</si>
  <si>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</si>
  <si>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</si>
  <si>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</si>
  <si>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</si>
  <si>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</si>
  <si>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</si>
  <si>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</si>
  <si>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</si>
  <si>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</si>
  <si>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</si>
  <si>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</si>
  <si>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</si>
  <si>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</si>
  <si>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</si>
  <si>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</si>
  <si>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</si>
  <si>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</si>
  <si>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</si>
  <si>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</si>
  <si>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</si>
  <si>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</si>
  <si>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</si>
  <si>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</si>
  <si>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</si>
  <si>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</si>
  <si>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</si>
  <si>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</si>
  <si>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</si>
  <si>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</si>
  <si>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</si>
  <si>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</si>
  <si>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</si>
  <si>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</si>
  <si>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</si>
  <si>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</si>
  <si>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</si>
  <si>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</si>
  <si>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</si>
  <si>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</si>
  <si>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</si>
  <si>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</si>
  <si>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</si>
  <si>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</si>
  <si>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</si>
  <si>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</si>
  <si>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</si>
  <si>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</si>
  <si>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</si>
  <si>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</si>
  <si>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</si>
  <si>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</si>
  <si>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</si>
  <si>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</si>
  <si>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</si>
  <si>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</si>
  <si>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</si>
  <si>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</si>
  <si>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</si>
  <si>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</si>
  <si>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</si>
  <si>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</si>
  <si>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</si>
  <si>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</si>
  <si>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</si>
  <si>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</si>
  <si>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</si>
  <si>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</si>
  <si>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</si>
  <si>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</si>
  <si>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</si>
  <si>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</si>
  <si>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</si>
  <si>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</si>
  <si>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</si>
  <si>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</si>
  <si>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</si>
  <si>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</si>
  <si>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</si>
  <si>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</si>
  <si>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</si>
  <si>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</si>
  <si>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</si>
  <si>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</si>
  <si>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</si>
  <si>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</si>
  <si>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</si>
  <si>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</si>
  <si>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</si>
  <si>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</si>
  <si>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</si>
  <si>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</si>
  <si>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</si>
  <si>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</si>
  <si>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</si>
  <si>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</si>
  <si>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</si>
  <si>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</si>
  <si>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</si>
  <si>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</si>
  <si>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</si>
  <si>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</si>
  <si>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</si>
  <si>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</si>
  <si>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</si>
  <si>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</si>
  <si>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</si>
  <si>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</si>
  <si>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</si>
  <si>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</si>
  <si>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</si>
  <si>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</si>
  <si>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</si>
  <si>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</si>
  <si>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</si>
  <si>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</si>
  <si>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</si>
  <si>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</si>
  <si>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</si>
  <si>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</si>
  <si>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</si>
  <si>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</si>
  <si>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</si>
  <si>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</si>
  <si>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</si>
  <si>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</si>
  <si>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</si>
  <si>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</si>
  <si>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</si>
  <si>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</si>
  <si>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</si>
  <si>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</si>
  <si>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</si>
  <si>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</si>
  <si>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</si>
  <si>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</si>
  <si>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</si>
  <si>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</si>
  <si>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</si>
  <si>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</si>
  <si>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</si>
  <si>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</si>
  <si>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</si>
  <si>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</si>
  <si>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</si>
  <si>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</si>
  <si>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</si>
  <si>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</si>
  <si>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</si>
  <si>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</si>
  <si>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</si>
  <si>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</si>
  <si>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</si>
  <si>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</si>
  <si>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</si>
  <si>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</si>
  <si>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</si>
  <si>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</si>
  <si>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</si>
  <si>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</si>
  <si>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</si>
  <si>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</si>
  <si>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</si>
  <si>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</si>
  <si>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</si>
  <si>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</si>
  <si>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</si>
  <si>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</si>
  <si>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</si>
  <si>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</si>
  <si>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</si>
  <si>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</si>
  <si>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</si>
  <si>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</si>
  <si>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</si>
  <si>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</si>
  <si>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</si>
  <si>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</si>
  <si>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</si>
  <si>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</si>
  <si>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</si>
  <si>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</si>
  <si>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</si>
  <si>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</si>
  <si>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</si>
  <si>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</si>
  <si>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</si>
  <si>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</si>
  <si>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</si>
  <si>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</si>
  <si>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</si>
  <si>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</si>
  <si>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</si>
  <si>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</si>
  <si>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</si>
  <si>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</si>
  <si>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</si>
  <si>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</si>
  <si>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</si>
  <si>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</si>
  <si>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</si>
  <si>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</si>
  <si>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</si>
  <si>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</si>
  <si>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</si>
  <si>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</si>
  <si>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</si>
  <si>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</si>
  <si>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</si>
  <si>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</si>
  <si>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</si>
  <si>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</si>
  <si>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</si>
  <si>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</si>
  <si>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</si>
  <si>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</si>
  <si>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</si>
  <si>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</si>
  <si>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</si>
  <si>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</si>
  <si>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</si>
  <si>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</si>
  <si>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</si>
  <si>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</si>
  <si>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</si>
  <si>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</si>
  <si>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</si>
  <si>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</si>
  <si>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</si>
  <si>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</si>
  <si>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</si>
  <si>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</si>
  <si>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</si>
  <si>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</si>
  <si>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</si>
  <si>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</si>
  <si>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</si>
  <si>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 xml:space="preserve">Monthly trends of the Agency KPIs </t>
  </si>
  <si>
    <t>Monthly trends of the Agency KPIs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</si>
  <si>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</si>
  <si>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</si>
  <si>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</si>
  <si>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</si>
  <si>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</si>
  <si>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</si>
  <si>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</si>
  <si>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</si>
  <si>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</si>
  <si>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</si>
  <si>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</si>
  <si>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</si>
  <si>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</si>
  <si>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</si>
  <si>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</si>
  <si>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</si>
  <si>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</si>
  <si>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</si>
  <si>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</si>
  <si>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</si>
  <si>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</si>
  <si>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</si>
  <si>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</si>
  <si>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</si>
  <si>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</si>
  <si>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</si>
  <si>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</si>
  <si>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</si>
  <si>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</si>
  <si>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</si>
  <si>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</si>
  <si>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</si>
  <si>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</si>
  <si>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</si>
  <si>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</si>
  <si>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</si>
  <si>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</si>
  <si>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</si>
  <si>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</si>
  <si>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</si>
  <si>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</si>
  <si>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</si>
  <si>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</si>
  <si>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</si>
  <si>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</si>
  <si>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</si>
  <si>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</si>
  <si>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</si>
  <si>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</si>
  <si>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</si>
  <si>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</si>
  <si>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</si>
  <si>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</si>
  <si>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</si>
  <si>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</si>
  <si>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</si>
  <si>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</si>
  <si>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</si>
  <si>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</si>
  <si>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</si>
  <si>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</si>
  <si>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</si>
  <si>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</si>
  <si>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</si>
  <si>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</si>
  <si>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</si>
  <si>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</si>
  <si>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</si>
  <si>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</si>
  <si>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</si>
  <si>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</si>
  <si>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</si>
  <si>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</si>
  <si>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</si>
  <si>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</si>
  <si>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</si>
  <si>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</si>
  <si>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</si>
  <si>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</si>
  <si>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</si>
  <si>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</si>
  <si>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</si>
  <si>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</si>
  <si>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</si>
  <si>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</si>
  <si>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</si>
  <si>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</si>
  <si>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</si>
  <si>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</si>
  <si>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</si>
  <si>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</si>
  <si>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</si>
  <si>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</si>
  <si>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</si>
  <si>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</si>
  <si>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</si>
  <si>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</si>
  <si>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CÔNG TY TNHH KIM LONG NGƯ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</si>
  <si>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</si>
  <si>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</si>
  <si>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</si>
  <si>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</si>
  <si>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</si>
  <si>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</si>
  <si>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</si>
  <si>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</si>
  <si>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</si>
  <si>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</si>
  <si>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</si>
  <si>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</si>
  <si>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</si>
  <si>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</si>
  <si>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</si>
  <si>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</si>
  <si>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</si>
  <si>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</si>
  <si>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</si>
  <si>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</si>
  <si>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(Target: 1 3  GVL Agency Sales Plan_2017 2022_working file (22 July).xlsx)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</si>
  <si>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</si>
  <si>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</si>
  <si>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</si>
  <si>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</si>
  <si>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</si>
  <si>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</si>
  <si>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</si>
  <si>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</si>
  <si>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</si>
  <si>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</si>
  <si>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</si>
  <si>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</si>
  <si>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</si>
  <si>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</si>
  <si>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</si>
  <si>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</si>
  <si>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</si>
  <si>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</si>
  <si>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</si>
  <si>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</si>
  <si>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</si>
  <si>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</si>
  <si>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</si>
  <si>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</si>
  <si>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</si>
  <si>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</si>
  <si>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</si>
  <si>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</si>
  <si>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</si>
  <si>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</si>
  <si>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</si>
  <si>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</si>
  <si>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</si>
  <si>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</si>
  <si>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</si>
  <si>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</si>
  <si>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CÔNG TY TNHH MTV ĐẠI LÝ BẢO HIỂM THÁI BÌNH</t>
  </si>
  <si>
    <t>Jan APE</t>
  </si>
  <si>
    <t>Feb APE</t>
  </si>
  <si>
    <t>TT APE</t>
  </si>
  <si>
    <t>Production</t>
  </si>
  <si>
    <t>YTD APE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</si>
  <si>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</si>
  <si>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</si>
  <si>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</si>
  <si>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</si>
  <si>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</si>
  <si>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</si>
  <si>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</si>
  <si>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</si>
  <si>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</si>
  <si>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</si>
  <si>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</si>
  <si>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</si>
  <si>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</si>
  <si>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</si>
  <si>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</si>
  <si>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</si>
  <si>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</si>
  <si>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</si>
  <si>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</si>
  <si>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</si>
  <si>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</si>
  <si>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Active ratio</t>
  </si>
  <si>
    <t>Total excl SA</t>
  </si>
  <si>
    <t>Servicing Agent</t>
  </si>
  <si>
    <t>CIB2</t>
  </si>
  <si>
    <t>Enhanced critial illness</t>
  </si>
  <si>
    <t>Mar APE</t>
  </si>
  <si>
    <t>008 GA BÀ RỊA - VŨNG TÀU 1</t>
  </si>
  <si>
    <t>AG017653</t>
  </si>
  <si>
    <t>Customer Profile</t>
  </si>
  <si>
    <t>1. Diamond</t>
  </si>
  <si>
    <t>2. Gold</t>
  </si>
  <si>
    <t>3. Silver</t>
  </si>
  <si>
    <t>4. Non VIP</t>
  </si>
  <si>
    <t># Customer</t>
  </si>
  <si>
    <t># Policy</t>
  </si>
  <si>
    <t>Bill Freq</t>
  </si>
  <si>
    <t>Diamond</t>
  </si>
  <si>
    <t>Gold</t>
  </si>
  <si>
    <t>Silver</t>
  </si>
  <si>
    <t>Non VIP</t>
  </si>
  <si>
    <t>Customer Type</t>
  </si>
  <si>
    <t>(APE mil)</t>
  </si>
  <si>
    <t>8.0</t>
  </si>
  <si>
    <t>Customer</t>
  </si>
  <si>
    <t>Product</t>
  </si>
  <si>
    <t>Plan</t>
  </si>
  <si>
    <t>Apr APE</t>
  </si>
  <si>
    <t>ĐÔNG BẮC</t>
  </si>
  <si>
    <t>BẮC TRUNG 1</t>
  </si>
  <si>
    <t>BẮC TRUNG 2</t>
  </si>
  <si>
    <t>TÂY BẮC</t>
  </si>
  <si>
    <t>021 GA HÀ NỘI 4</t>
  </si>
  <si>
    <t>CÔNG TY TNHH MTK HÀ NỘI</t>
  </si>
  <si>
    <t>022 GA LẠNG SƠN 1</t>
  </si>
  <si>
    <t>CÔNG TY TNHH MỘT THÀNH VIÊN HUYỀN ANH LẠNG SƠN</t>
  </si>
  <si>
    <t>AG016511</t>
  </si>
  <si>
    <t>BÙI THỊ HUYỀN</t>
  </si>
  <si>
    <t>DUYÊN HẢI</t>
  </si>
  <si>
    <t>023 GA QUẢNG NINH 1</t>
  </si>
  <si>
    <t>CÔNG TY TNHH MỘT THÀNH VIÊN GREEN P&amp;G</t>
  </si>
  <si>
    <t>AG020350</t>
  </si>
  <si>
    <t>May '17 appointed</t>
  </si>
  <si>
    <t>May APE</t>
  </si>
  <si>
    <t>ĐÔNG NAM</t>
  </si>
  <si>
    <t>MIỀN TRUNG</t>
  </si>
  <si>
    <t>TÂY NAM</t>
  </si>
  <si>
    <t>024 GA HẢI DƯƠNG 1</t>
  </si>
  <si>
    <t>AG019466</t>
  </si>
  <si>
    <t>HOÀNG THỊ HỰU</t>
  </si>
  <si>
    <t>Jun '17 appointed</t>
  </si>
  <si>
    <t>Jun APE</t>
  </si>
  <si>
    <t>026 GA HÀ TĨNH 1</t>
  </si>
  <si>
    <t>AG022170</t>
  </si>
  <si>
    <t>NGUYỄN VĂN THỐNG</t>
  </si>
  <si>
    <t>027 GA THANH HÓA 3</t>
  </si>
  <si>
    <t>AG023677</t>
  </si>
  <si>
    <t>025 GA HCM 4</t>
  </si>
  <si>
    <t>Sort by APE Jun '17</t>
  </si>
  <si>
    <t>Sort by Jun mix</t>
  </si>
  <si>
    <t>(Based on inforce policy end of Jun '17)</t>
  </si>
  <si>
    <t>Jul-17</t>
  </si>
  <si>
    <t>Aug-17</t>
  </si>
  <si>
    <t>Sep-17</t>
  </si>
  <si>
    <t>Oct-17</t>
  </si>
  <si>
    <t>Nov-17</t>
  </si>
  <si>
    <t>Dec-17</t>
  </si>
  <si>
    <t># Manpower_by_rookie_mdrt:Total (excl. SA)</t>
  </si>
  <si>
    <t># Manpower_by_designation:AG</t>
  </si>
  <si>
    <t># Manpower_by_designation:US</t>
  </si>
  <si>
    <t># Manpower_by_designation:UM</t>
  </si>
  <si>
    <t># Manpower_by_designation:SUM</t>
  </si>
  <si>
    <t># Manpower_by_designation:BM</t>
  </si>
  <si>
    <t># Manpower_by_designation:SBM</t>
  </si>
  <si>
    <t># Manpower_by_designation:SA</t>
  </si>
  <si>
    <t>Recruit_by_designation:AG</t>
  </si>
  <si>
    <t>Recruit_by_designation:US</t>
  </si>
  <si>
    <t>Recruit_by_designation:UM</t>
  </si>
  <si>
    <t>Recruit_by_designation:SUM</t>
  </si>
  <si>
    <t>Recruit_by_designation:BM</t>
  </si>
  <si>
    <t>Recruit_by_designation:SBM</t>
  </si>
  <si>
    <t>APE_by_rookie_mdrt:SA</t>
  </si>
  <si>
    <t># Active_by_rookie_mdrt:SA</t>
  </si>
  <si>
    <t># Active_by_rookie_mdrt:Total (excl. SA)</t>
  </si>
  <si>
    <t># Case_by_rookie_mdrt:SA</t>
  </si>
  <si>
    <t xml:space="preserve">Critical Illness - CIB1       </t>
  </si>
  <si>
    <t xml:space="preserve">Enhanced Critical Illness     </t>
  </si>
  <si>
    <t xml:space="preserve">Enhanced Education Regular    </t>
  </si>
  <si>
    <t xml:space="preserve">Universal Life                </t>
  </si>
  <si>
    <t xml:space="preserve">Yearly Cash Bach Basic - RP   </t>
  </si>
  <si>
    <t xml:space="preserve">Enhanced Education Lump Sum   </t>
  </si>
  <si>
    <t xml:space="preserve">Juvenile Whole Life           </t>
  </si>
  <si>
    <t xml:space="preserve">Yearly Cash Bach Basic - LP   </t>
  </si>
  <si>
    <t xml:space="preserve">Education Endowment           </t>
  </si>
  <si>
    <t xml:space="preserve">6-12 Years Term Endowment     </t>
  </si>
  <si>
    <t xml:space="preserve">Level Term Basic              </t>
  </si>
  <si>
    <t xml:space="preserve">Group TL 5                    </t>
  </si>
  <si>
    <t xml:space="preserve">Group TL 3                    </t>
  </si>
  <si>
    <t>BIÊN HÒA 1</t>
  </si>
  <si>
    <t>BIÊN HÒA 2</t>
  </si>
  <si>
    <t>GENCASA BÌNH THẠNH</t>
  </si>
  <si>
    <t>KIÊN GIANG</t>
  </si>
  <si>
    <t>MIGHTY WARRIORS</t>
  </si>
  <si>
    <t>VŨNG TÀU</t>
  </si>
  <si>
    <t>GENCASA BẮC NINH</t>
  </si>
  <si>
    <t>GENCASA CẦU GIẤY</t>
  </si>
  <si>
    <t>GENCASA HẠ LONG 1</t>
  </si>
  <si>
    <t>GENCASA HẠ LONG 2</t>
  </si>
  <si>
    <t>GENCASA HÀ TRUNG</t>
  </si>
  <si>
    <t>GENCASA HOÀNG MAI</t>
  </si>
  <si>
    <t>GENCASA LÀO CAI</t>
  </si>
  <si>
    <t>GENCASA NGHỆ AN 1</t>
  </si>
  <si>
    <t>GENCASA NGHỆ AN 2</t>
  </si>
  <si>
    <t>GENCASA NHƯ QUỲNH</t>
  </si>
  <si>
    <t>GENCASA UÔNG BÍ</t>
  </si>
  <si>
    <t>HẢI DƯƠNG 1</t>
  </si>
  <si>
    <t>HẢI DƯƠNG 2</t>
  </si>
  <si>
    <t>HẢI PHÒNG</t>
  </si>
  <si>
    <t>PHÚ THỌ</t>
  </si>
  <si>
    <t>THĂNG LONG</t>
  </si>
  <si>
    <t>FYP:Total</t>
  </si>
  <si>
    <t>active_recruit_leader</t>
  </si>
  <si>
    <t>APE_total_mdrt_rookie_10%sp</t>
  </si>
  <si>
    <t>Case_total_mdrt_rookie</t>
  </si>
  <si>
    <t>Jul APE</t>
  </si>
  <si>
    <t xml:space="preserve">Jul Case </t>
  </si>
  <si>
    <t>011 GA NGHỆ AN 2</t>
  </si>
  <si>
    <t>CÔNG TY TNHH GENCASA NGHỆ AN</t>
  </si>
  <si>
    <t>AG017309</t>
  </si>
  <si>
    <t>BẠCH THỊ HẢI YẾN</t>
  </si>
  <si>
    <t>CÔNG TY TNHH BẢO AN TOÀN PHÁT</t>
  </si>
  <si>
    <t>CÔNG TY TNHH THÁI TƯỜNG NGÂN</t>
  </si>
  <si>
    <t>028 GA BÀ RỊA - VŨNG TÀU 2</t>
  </si>
  <si>
    <t>CÔNG TY TNHH GENCASA VŨNG TÀU</t>
  </si>
  <si>
    <t>AG008864</t>
  </si>
  <si>
    <t>CÔNG TY TNHH ĐẠI VIỆT Ý</t>
  </si>
  <si>
    <t>CÔNG TY TNHH BẢO AN BÌNH</t>
  </si>
  <si>
    <t>CÔNG TY TNHH MTV TÀI CHÍNH BẢO AN VIỆT</t>
  </si>
  <si>
    <t>029 GA HÀ NỘI 5</t>
  </si>
  <si>
    <t xml:space="preserve">CÔNG TY TNHH GEN HỒNG MINH </t>
  </si>
  <si>
    <t>LÂM ĐỒNG</t>
  </si>
  <si>
    <t>GENCASA MỸ THO</t>
  </si>
  <si>
    <t>GENCASA PHÚ NHUẬN</t>
  </si>
  <si>
    <t>GENCASA TÂN BÌNH</t>
  </si>
  <si>
    <t>LET WE GO</t>
  </si>
  <si>
    <t>Jul Case</t>
  </si>
  <si>
    <t>ĐỖ NGỌC PHƯƠNG QUỲNH</t>
  </si>
  <si>
    <t>BÌNH DƯƠNG</t>
  </si>
  <si>
    <t>NGUYỄN HỒNG PHƯƠNG</t>
  </si>
  <si>
    <t>FAST</t>
  </si>
  <si>
    <t>LƯƠNG CÔNG BẢO NGHIỆP</t>
  </si>
  <si>
    <t>FLYING HORSE</t>
  </si>
  <si>
    <t>HÀ VĂN NGỌC</t>
  </si>
  <si>
    <t>NGUYỄN HỒNG TRÍ</t>
  </si>
  <si>
    <t>DƯƠNG NGỌC THANH</t>
  </si>
  <si>
    <t>LÊ MINH HÙNG</t>
  </si>
  <si>
    <t>NGUYỄN KHẮC BẢO CHUYÊN</t>
  </si>
  <si>
    <t>TRẦN NGỌC TUẤN HUY</t>
  </si>
  <si>
    <t>MAI VIỆT HÒA</t>
  </si>
  <si>
    <t>THÁI THỊ ANH THƯ</t>
  </si>
  <si>
    <t>GENCASA BA ĐÌNH</t>
  </si>
  <si>
    <t>TRẦN QUANG HÒA</t>
  </si>
  <si>
    <t>GENCASA HÒA BÌNH</t>
  </si>
  <si>
    <t>NGUYỄN ĐỨC DUY</t>
  </si>
  <si>
    <t>TRẦN TRUNG HIẾU</t>
  </si>
  <si>
    <t>NGUYỄN TUẤN VŨ</t>
  </si>
  <si>
    <t>NGUYỄN NGỌC BÁ</t>
  </si>
  <si>
    <t>NGUYỄN HẢI LINH</t>
  </si>
  <si>
    <t>PHẠM CHÍ THANH</t>
  </si>
  <si>
    <t>NGUYỄN THÀNH TRUNG</t>
  </si>
  <si>
    <t>Apr'17 appointed</t>
  </si>
  <si>
    <t>Jul '17 appointed</t>
  </si>
  <si>
    <t>-</t>
  </si>
  <si>
    <t>Jan-17</t>
  </si>
  <si>
    <t>Feb-17</t>
  </si>
  <si>
    <t>Mar-17</t>
  </si>
  <si>
    <t>Apr-17</t>
  </si>
  <si>
    <t>May-17</t>
  </si>
  <si>
    <t>Jun-17</t>
  </si>
  <si>
    <t># Active_by_rookie_mdrt:Total</t>
  </si>
  <si>
    <t xml:space="preserve">  BẮC TRUNG 1</t>
  </si>
  <si>
    <t xml:space="preserve">  ANT</t>
  </si>
  <si>
    <t xml:space="preserve">  GENCASA HÀ TRUNG</t>
  </si>
  <si>
    <t xml:space="preserve">  TRỊNH VĂN HÒA </t>
  </si>
  <si>
    <t xml:space="preserve">  GENCASA LAM SƠN</t>
  </si>
  <si>
    <t xml:space="preserve">  HOÀNG NGỌC PHƯƠNG </t>
  </si>
  <si>
    <t xml:space="preserve">  GENCASA THANH HÓA</t>
  </si>
  <si>
    <t xml:space="preserve">  LÊ VĂN TÙNG </t>
  </si>
  <si>
    <t xml:space="preserve">  SPRING</t>
  </si>
  <si>
    <t xml:space="preserve">  PANDA</t>
  </si>
  <si>
    <t xml:space="preserve">  GENCASA NAM ĐỊNH</t>
  </si>
  <si>
    <t xml:space="preserve">  ĐINH THỊ KIM LIÊN </t>
  </si>
  <si>
    <t xml:space="preserve">  GENCASA THÁI BÌNH</t>
  </si>
  <si>
    <t xml:space="preserve">  TRẦN NGỌC ANH </t>
  </si>
  <si>
    <t xml:space="preserve">  BẮC TRUNG 2</t>
  </si>
  <si>
    <t xml:space="preserve">  REDBULL</t>
  </si>
  <si>
    <t xml:space="preserve">  GENCASA HÀ TĨNH</t>
  </si>
  <si>
    <t xml:space="preserve">  TRẦN ĐẮC THẾ </t>
  </si>
  <si>
    <t xml:space="preserve">  GENCASA NGHỆ AN 1</t>
  </si>
  <si>
    <t xml:space="preserve">  NGUYỄN TUẤN VŨ </t>
  </si>
  <si>
    <t xml:space="preserve">  GENCASA NGHỆ AN 2</t>
  </si>
  <si>
    <t xml:space="preserve">  NGUYỄN NGỌC BÁ </t>
  </si>
  <si>
    <t xml:space="preserve">  ĐÔNG BẮC</t>
  </si>
  <si>
    <t xml:space="preserve">  BATTLE HORSE</t>
  </si>
  <si>
    <t xml:space="preserve">  BẮC GIANG</t>
  </si>
  <si>
    <t xml:space="preserve">  TRẦN QUANG HÒA </t>
  </si>
  <si>
    <t xml:space="preserve">  GENCASA BẮC NINH</t>
  </si>
  <si>
    <t xml:space="preserve">  GENCASA LẠNG SƠN</t>
  </si>
  <si>
    <t xml:space="preserve">  RACE HORSE</t>
  </si>
  <si>
    <t xml:space="preserve">  GENCASA HƯNG YÊN</t>
  </si>
  <si>
    <t xml:space="preserve">  NGÔ XUÂN HƯỞNG </t>
  </si>
  <si>
    <t xml:space="preserve">  GENCASA NHƯ QUỲNH</t>
  </si>
  <si>
    <t xml:space="preserve">  GENCASA THÁI NGUYÊN</t>
  </si>
  <si>
    <t xml:space="preserve">  NGUYỄN THÀNH LONG </t>
  </si>
  <si>
    <t xml:space="preserve">  DUYÊN HẢI</t>
  </si>
  <si>
    <t xml:space="preserve">  DOLPHIN</t>
  </si>
  <si>
    <t xml:space="preserve">  HẢI DƯƠNG 1</t>
  </si>
  <si>
    <t xml:space="preserve">  ĐỖ THỊ MƠ </t>
  </si>
  <si>
    <t xml:space="preserve">  HẢI DƯƠNG 2</t>
  </si>
  <si>
    <t xml:space="preserve">  MẠC NGUYỄN DƯƠNG </t>
  </si>
  <si>
    <t xml:space="preserve">  HẢI PHÒNG</t>
  </si>
  <si>
    <t xml:space="preserve">  NGUYỄN THÚY HÒA </t>
  </si>
  <si>
    <t xml:space="preserve">  SEALION</t>
  </si>
  <si>
    <t xml:space="preserve">  GENCASA HẠ LONG 1</t>
  </si>
  <si>
    <t xml:space="preserve">  LÊ THỊ THƠI </t>
  </si>
  <si>
    <t xml:space="preserve">  GENCASA HẠ LONG 2</t>
  </si>
  <si>
    <t xml:space="preserve">  HOÀNG TRỌNG NGHĨA </t>
  </si>
  <si>
    <t xml:space="preserve">  GENCASA UÔNG BÍ</t>
  </si>
  <si>
    <t xml:space="preserve">  NGUYỄN HẢI LINH </t>
  </si>
  <si>
    <t xml:space="preserve">  HÀ NỘI</t>
  </si>
  <si>
    <t xml:space="preserve">  DRAGON</t>
  </si>
  <si>
    <t xml:space="preserve">  GENCASA HÀ ĐÔNG</t>
  </si>
  <si>
    <t xml:space="preserve">  NGUYỄN THỊ HOÀNG YẾN </t>
  </si>
  <si>
    <t xml:space="preserve">  THE POWER</t>
  </si>
  <si>
    <t xml:space="preserve">  NGUYỄN CAO MINH </t>
  </si>
  <si>
    <t xml:space="preserve">  LION</t>
  </si>
  <si>
    <t xml:space="preserve">  F.B.I</t>
  </si>
  <si>
    <t xml:space="preserve">  TRẦN THỊ THU GIANG </t>
  </si>
  <si>
    <t xml:space="preserve">  GENCASA BA ĐÌNH</t>
  </si>
  <si>
    <t xml:space="preserve">  GENCASA CẦU GIẤY</t>
  </si>
  <si>
    <t xml:space="preserve">  TRẦN THỊ HẢI YẾN </t>
  </si>
  <si>
    <t xml:space="preserve">  SPIDER</t>
  </si>
  <si>
    <t xml:space="preserve">  GENCASA HOÀNG MAI</t>
  </si>
  <si>
    <t xml:space="preserve">  NGUYỄN ĐỨC DUY </t>
  </si>
  <si>
    <t xml:space="preserve">  GENCASA LONG BIÊN</t>
  </si>
  <si>
    <t xml:space="preserve">  TRẦN TRUNG HIẾU </t>
  </si>
  <si>
    <t xml:space="preserve">  THĂNG LONG</t>
  </si>
  <si>
    <t xml:space="preserve">  TÂY BẮC</t>
  </si>
  <si>
    <t xml:space="preserve">  BEAR</t>
  </si>
  <si>
    <t xml:space="preserve">  GENCASA HÒA BÌNH</t>
  </si>
  <si>
    <t xml:space="preserve">  GENCASA LÀO CAI</t>
  </si>
  <si>
    <t xml:space="preserve">  TRẦN VĂN NAM </t>
  </si>
  <si>
    <t xml:space="preserve">  GENCASA YÊN BÁI</t>
  </si>
  <si>
    <t xml:space="preserve">  PHẠM CHÍ THANH </t>
  </si>
  <si>
    <t xml:space="preserve">  PANTHER</t>
  </si>
  <si>
    <t xml:space="preserve">  BÌNH MINH</t>
  </si>
  <si>
    <t xml:space="preserve">  TÔ MI SA </t>
  </si>
  <si>
    <t xml:space="preserve">  GENCASA TUYÊN QUANG</t>
  </si>
  <si>
    <t xml:space="preserve">  LÊ VIỆT DŨNG </t>
  </si>
  <si>
    <t xml:space="preserve">  PHÚ THỌ</t>
  </si>
  <si>
    <t xml:space="preserve">  NGUYỄN THÀNH TRUNG </t>
  </si>
  <si>
    <t xml:space="preserve">  MIỀN TRUNG</t>
  </si>
  <si>
    <t xml:space="preserve">  MIỀN TRUNG 1</t>
  </si>
  <si>
    <t xml:space="preserve">  DANANG1</t>
  </si>
  <si>
    <t xml:space="preserve">  PHAN THỊ THANH LAN </t>
  </si>
  <si>
    <t xml:space="preserve">  GENCASA ĐÀ NẴNG 1</t>
  </si>
  <si>
    <t xml:space="preserve">  DƯƠNG NGỌC THANH </t>
  </si>
  <si>
    <t xml:space="preserve">  GENCASA HUẾ 1</t>
  </si>
  <si>
    <t xml:space="preserve">  NGUYỄN THỊ KIM HOÀNG </t>
  </si>
  <si>
    <t xml:space="preserve">  HUẾ 2</t>
  </si>
  <si>
    <t xml:space="preserve">  PHÚ YÊN</t>
  </si>
  <si>
    <t xml:space="preserve">  PHAN ĐÌNH LONG </t>
  </si>
  <si>
    <t xml:space="preserve">  ĐÔNG NAM</t>
  </si>
  <si>
    <t xml:space="preserve">  CAO NGUYÊN</t>
  </si>
  <si>
    <t xml:space="preserve">  DAKLAK</t>
  </si>
  <si>
    <t xml:space="preserve">  NGUYỄN HỒNG PHƯƠNG </t>
  </si>
  <si>
    <t xml:space="preserve">  GIALAI</t>
  </si>
  <si>
    <t xml:space="preserve">  LÂM ĐỒNG</t>
  </si>
  <si>
    <t xml:space="preserve">  ĐÔNG NAM 1</t>
  </si>
  <si>
    <t xml:space="preserve">  BIÊN HÒA 1</t>
  </si>
  <si>
    <t xml:space="preserve">  ĐỖ NGỌC PHƯƠNG QUỲNH </t>
  </si>
  <si>
    <t xml:space="preserve">  BIÊN HÒA 2</t>
  </si>
  <si>
    <t xml:space="preserve">  ĐẮK NÔNG</t>
  </si>
  <si>
    <t xml:space="preserve">  TRÀ HỮU VINH </t>
  </si>
  <si>
    <t xml:space="preserve">  TÂY NINH</t>
  </si>
  <si>
    <t xml:space="preserve">  VŨNG TÀU</t>
  </si>
  <si>
    <t xml:space="preserve">  NGUYỄN TRÍ TÀI </t>
  </si>
  <si>
    <t xml:space="preserve">  ĐÔNG NAM 2</t>
  </si>
  <si>
    <t xml:space="preserve">  BÌNH DƯƠNG</t>
  </si>
  <si>
    <t xml:space="preserve">  GENCASA BÀ RỊA</t>
  </si>
  <si>
    <t xml:space="preserve">  HỒ CHÍ MINH</t>
  </si>
  <si>
    <t xml:space="preserve">  HỒ CHÍ MINH 1</t>
  </si>
  <si>
    <t xml:space="preserve">  ALLEGRO</t>
  </si>
  <si>
    <t xml:space="preserve">  NGUYỄN THANH MỸ </t>
  </si>
  <si>
    <t xml:space="preserve">  GENCASA TÂN PHÚ</t>
  </si>
  <si>
    <t xml:space="preserve">  LIB</t>
  </si>
  <si>
    <t xml:space="preserve">  MIGHTY WARRIORS</t>
  </si>
  <si>
    <t xml:space="preserve">  THÁI THỊ ANH THƯ </t>
  </si>
  <si>
    <t xml:space="preserve">  HỒ CHÍ MINH 3</t>
  </si>
  <si>
    <t xml:space="preserve">  BELIEVE IN FUTURE</t>
  </si>
  <si>
    <t xml:space="preserve">  ĐẶNG THỊ THU THỦY </t>
  </si>
  <si>
    <t xml:space="preserve">  GENCASA BÌNH THẠNH</t>
  </si>
  <si>
    <t xml:space="preserve">  THE QUEEN</t>
  </si>
  <si>
    <t xml:space="preserve">  TRẦN HOÀNG NGÂN KHÁNH </t>
  </si>
  <si>
    <t xml:space="preserve">  HỒ CHÍ MINH 4</t>
  </si>
  <si>
    <t xml:space="preserve">  BIG HERO</t>
  </si>
  <si>
    <t xml:space="preserve">  GENCASA MỸ THO</t>
  </si>
  <si>
    <t xml:space="preserve">  GENCASA PHÚ NHUẬN</t>
  </si>
  <si>
    <t xml:space="preserve">  HỒ CHÍ MINH 5</t>
  </si>
  <si>
    <t xml:space="preserve">  GENCASA TÂN BÌNH</t>
  </si>
  <si>
    <t xml:space="preserve">  LÊ MINH HÙNG </t>
  </si>
  <si>
    <t xml:space="preserve">  LUCKY STAR</t>
  </si>
  <si>
    <t xml:space="preserve">  PHOENIX</t>
  </si>
  <si>
    <t xml:space="preserve">  HỒ CHÍ MINH 6</t>
  </si>
  <si>
    <t xml:space="preserve">  FAST</t>
  </si>
  <si>
    <t xml:space="preserve">  LƯƠNG CÔNG BẢO NGHIỆP </t>
  </si>
  <si>
    <t xml:space="preserve">  FLYING HORSE</t>
  </si>
  <si>
    <t xml:space="preserve">  HÀ VĂN NGỌC </t>
  </si>
  <si>
    <t xml:space="preserve">  LET WE GO</t>
  </si>
  <si>
    <t xml:space="preserve">  MAI VIỆT HÒA </t>
  </si>
  <si>
    <t xml:space="preserve">  TÂY NAM</t>
  </si>
  <si>
    <t xml:space="preserve">  TÂY NAM 1</t>
  </si>
  <si>
    <t xml:space="preserve">  CÀ MAU</t>
  </si>
  <si>
    <t xml:space="preserve">  TRẦN THẾ HUY </t>
  </si>
  <si>
    <t xml:space="preserve">  ĐỒNG THÁP</t>
  </si>
  <si>
    <t xml:space="preserve">  NGUYỄN VĂN HUYỆN </t>
  </si>
  <si>
    <t xml:space="preserve">  GENCASA LONG XUYÊN</t>
  </si>
  <si>
    <t xml:space="preserve">  PHẠM THỊ THU CÚC </t>
  </si>
  <si>
    <t xml:space="preserve">  KIÊN GIANG</t>
  </si>
  <si>
    <t xml:space="preserve">  NGUYỄN KHẮC BẢO CHUYÊN </t>
  </si>
  <si>
    <t xml:space="preserve">  LONG XUYÊN 1</t>
  </si>
  <si>
    <t xml:space="preserve">  TÂY NAM 2</t>
  </si>
  <si>
    <t xml:space="preserve">  CẦN THƠ</t>
  </si>
  <si>
    <t xml:space="preserve">  NGUYỄN MINH HIẾU </t>
  </si>
  <si>
    <t xml:space="preserve">  GENCASA BẾN TRE</t>
  </si>
  <si>
    <t xml:space="preserve">  NGUYỄN HỒNG TRÍ </t>
  </si>
  <si>
    <t xml:space="preserve">  VĨNH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</si>
</sst>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;;&quot;-&quot;"/>
    <numFmt numFmtId="263" formatCode="#,##0.0"/>
    <numFmt numFmtId="264" formatCode="#,##0;;&quot;&quot;"/>
    <numFmt numFmtId="265" formatCode="0;;&quot;&quot;"/>
    <numFmt numFmtId="266" formatCode="0.0;;&quot;&quot;"/>
    <numFmt numFmtId="267" formatCode="0.0%;;&quot;&quot;"/>
    <numFmt numFmtId="268" formatCode="0.0%;;&quot;-&quot;"/>
  </numFmts>
  <fonts count="37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b/>
      <i/>
      <sz val="10"/>
      <color rgb="FFFF0000"/>
      <name val="Arial"/>
      <family val="2"/>
      <charset val="163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b/>
      <u/>
      <sz val="10"/>
      <color rgb="FFC00000"/>
      <name val="Arial"/>
      <family val="2"/>
      <charset val="163"/>
    </font>
    <font>
      <b/>
      <sz val="9"/>
      <color rgb="FFC00000"/>
      <name val="Arial"/>
      <family val="2"/>
      <charset val="163"/>
    </font>
    <font>
      <sz val="9"/>
      <color rgb="FFC00000"/>
      <name val="Arial"/>
      <family val="2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i/>
      <sz val="9"/>
      <color theme="1"/>
      <name val="Arial"/>
      <family val="2"/>
      <charset val="163"/>
    </font>
    <font>
      <sz val="10"/>
      <color rgb="FF0070C0"/>
      <name val="Arial"/>
      <family val="2"/>
      <charset val="163"/>
    </font>
    <font>
      <sz val="10"/>
      <color rgb="FFFA0000"/>
      <name val="Arial"/>
      <family val="2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u/>
      <sz val="9"/>
      <name val="Arial"/>
      <family val="2"/>
      <charset val="163"/>
    </font>
    <font>
      <u/>
      <sz val="9"/>
      <color rgb="FFC00000"/>
      <name val="Arial"/>
      <family val="2"/>
      <charset val="163"/>
    </font>
    <font>
      <u/>
      <sz val="10"/>
      <color rgb="FFC00000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b/>
      <sz val="9"/>
      <color rgb="FF002060"/>
      <name val="Arial"/>
      <family val="2"/>
      <charset val="163"/>
    </font>
    <font>
      <sz val="10"/>
      <color rgb="FF002060"/>
      <name val="Arial"/>
      <family val="2"/>
    </font>
    <font>
      <i/>
      <sz val="9"/>
      <color rgb="FF002060"/>
      <name val="Arial"/>
      <family val="2"/>
    </font>
    <font>
      <sz val="9"/>
      <color rgb="FF002060"/>
      <name val="Arial"/>
      <family val="2"/>
    </font>
    <font>
      <sz val="10"/>
      <color rgb="FFC00000"/>
      <name val="Arial"/>
      <family val="2"/>
      <charset val="163"/>
    </font>
    <font>
      <sz val="8"/>
      <color theme="1"/>
      <name val="Arial Narrow"/>
      <family val="2"/>
    </font>
    <font>
      <sz val="8"/>
      <color theme="1"/>
      <name val="Arial"/>
      <family val="2"/>
    </font>
    <font>
      <i/>
      <sz val="8"/>
      <color theme="1"/>
      <name val="Arial"/>
      <family val="2"/>
      <charset val="163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sz val="9"/>
      <color rgb="FF002060"/>
      <name val="Arial"/>
      <family val="2"/>
      <charset val="163"/>
    </font>
    <font>
      <b/>
      <sz val="8"/>
      <color theme="1"/>
      <name val="Arial"/>
      <family val="2"/>
      <charset val="163"/>
    </font>
    <font>
      <sz val="8"/>
      <color theme="1"/>
      <name val="Arial"/>
      <family val="2"/>
      <charset val="163"/>
    </font>
    <font>
      <sz val="8"/>
      <color rgb="FF002060"/>
      <name val="Arial"/>
      <family val="2"/>
      <charset val="163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u/>
      <sz val="9"/>
      <color rgb="FFC00000"/>
      <name val="Arial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u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8"/>
      <name val="Arial"/>
      <family val="2"/>
      <charset val="163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u/>
      <sz val="9"/>
      <name val="Arial"/>
      <family val="2"/>
    </font>
    <font>
      <b/>
      <sz val="10"/>
      <color indexed="60"/>
      <name val="Arial"/>
      <family val="2"/>
    </font>
    <font>
      <b/>
      <sz val="10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rgb="FF0000FF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b/>
      <u/>
      <sz val="10"/>
      <name val="Arial Narrow"/>
      <family val="2"/>
    </font>
    <font>
      <b/>
      <sz val="10"/>
      <color theme="5" tint="-0.249977111117893"/>
      <name val="Arial"/>
      <family val="2"/>
      <charset val="163"/>
    </font>
    <font>
      <b/>
      <sz val="10"/>
      <color rgb="FF0070C0"/>
      <name val="Arial"/>
      <family val="2"/>
      <charset val="163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i/>
      <sz val="10"/>
      <color rgb="FFC00000"/>
      <name val="Arial"/>
      <family val="2"/>
    </font>
    <font>
      <u/>
      <sz val="10"/>
      <name val="Arial"/>
      <family val="2"/>
      <charset val="163"/>
    </font>
    <font>
      <b/>
      <u/>
      <sz val="10"/>
      <name val="Arial"/>
      <family val="2"/>
      <charset val="163"/>
    </font>
    <font>
      <sz val="9"/>
      <color rgb="FF0070C0"/>
      <name val="Arial"/>
      <family val="2"/>
      <charset val="163"/>
    </font>
    <font>
      <sz val="9"/>
      <color rgb="FF0000FF"/>
      <name val="Arial"/>
      <family val="2"/>
      <charset val="163"/>
    </font>
    <font>
      <b/>
      <sz val="9"/>
      <color theme="1"/>
      <name val="Arial"/>
      <family val="2"/>
      <charset val="163"/>
    </font>
    <font>
      <u/>
      <sz val="9"/>
      <color theme="1"/>
      <name val="Arial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u/>
      <sz val="9"/>
      <color theme="3" tint="-0.499984740745262"/>
      <name val="Arial"/>
      <family val="2"/>
      <charset val="163"/>
    </font>
    <font>
      <sz val="10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10"/>
      <color theme="0" tint="-0.249977111117893"/>
      <name val="Arial Narrow"/>
      <family val="2"/>
    </font>
    <font>
      <sz val="9"/>
      <color theme="0" tint="-0.249977111117893"/>
      <name val="Arial Narrow"/>
      <family val="2"/>
    </font>
    <font>
      <b/>
      <sz val="9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i/>
      <sz val="9"/>
      <color theme="0" tint="-0.499984740745262"/>
      <name val="Arial"/>
      <family val="2"/>
      <charset val="163"/>
    </font>
    <font>
      <b/>
      <i/>
      <sz val="9"/>
      <color theme="1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rgb="FF990000"/>
      <name val="Arial"/>
      <family val="2"/>
      <charset val="163"/>
    </font>
    <font>
      <sz val="9"/>
      <name val="Calibri"/>
      <family val="2"/>
    </font>
    <font>
      <sz val="14"/>
      <color theme="1"/>
      <name val="Arial"/>
      <family val="2"/>
    </font>
    <font>
      <i/>
      <sz val="9"/>
      <color rgb="FFC00000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u/>
      <sz val="9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sz val="9"/>
      <color rgb="FFFF0000"/>
      <name val="Arial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i/>
      <sz val="10"/>
      <color theme="1"/>
      <name val="Arial"/>
      <family val="2"/>
      <charset val="163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4"/>
      <color theme="1"/>
      <name val="Arial"/>
      <family val="2"/>
    </font>
    <font>
      <b/>
      <sz val="11"/>
      <color rgb="FF990000"/>
      <name val="Arial"/>
      <family val="2"/>
    </font>
    <font>
      <b/>
      <sz val="10"/>
      <color rgb="FF990000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3F9E4"/>
        <bgColor indexed="64"/>
      </patternFill>
    </fill>
    <fill>
      <patternFill patternType="solid">
        <fgColor theme="9" tint="0.79998168889431442"/>
        <bgColor indexed="65"/>
      </patternFill>
    </fill>
  </fills>
  <borders count="272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/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34998626667073579"/>
      </top>
      <bottom style="hair">
        <color theme="0" tint="-0.49998474074526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/>
      <bottom style="hair">
        <color auto="1"/>
      </bottom>
      <diagonal/>
    </border>
  </borders>
  <cellStyleXfs count="1095">
    <xf numFmtId="219" fontId="0" fillId="0" borderId="0"/>
    <xf numFmtId="9" fontId="32" fillId="0" borderId="0" applyFont="0" applyFill="0" applyBorder="0" applyAlignment="0" applyProtection="0"/>
    <xf numFmtId="219" fontId="36" fillId="0" borderId="0" applyNumberFormat="0" applyFill="0" applyBorder="0" applyAlignment="0" applyProtection="0">
      <alignment vertical="top"/>
      <protection locked="0"/>
    </xf>
    <xf numFmtId="219" fontId="53" fillId="0" borderId="0"/>
    <xf numFmtId="43" fontId="54" fillId="0" borderId="0" applyFont="0" applyFill="0" applyBorder="0" applyAlignment="0" applyProtection="0"/>
    <xf numFmtId="43" fontId="32" fillId="0" borderId="0" applyFont="0" applyFill="0" applyBorder="0" applyAlignment="0" applyProtection="0"/>
    <xf numFmtId="219" fontId="53" fillId="0" borderId="0"/>
    <xf numFmtId="9" fontId="61" fillId="0" borderId="0" applyFont="0" applyFill="0" applyBorder="0" applyAlignment="0" applyProtection="0"/>
    <xf numFmtId="166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171" fontId="53" fillId="0" borderId="0" applyFont="0" applyFill="0" applyBorder="0" applyAlignment="0" applyProtection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2" fillId="0" borderId="48" applyFont="0" applyBorder="0"/>
    <xf numFmtId="172" fontId="53" fillId="0" borderId="0" applyBorder="0"/>
    <xf numFmtId="168" fontId="102" fillId="0" borderId="48" applyFont="0" applyBorder="0"/>
    <xf numFmtId="172" fontId="53" fillId="0" borderId="0" applyBorder="0"/>
    <xf numFmtId="219" fontId="53" fillId="0" borderId="0"/>
    <xf numFmtId="173" fontId="103" fillId="0" borderId="0" applyFont="0" applyFill="0" applyBorder="0" applyAlignment="0" applyProtection="0"/>
    <xf numFmtId="174" fontId="53" fillId="0" borderId="0" applyFont="0" applyFill="0" applyBorder="0" applyAlignment="0" applyProtection="0"/>
    <xf numFmtId="175" fontId="104" fillId="0" borderId="0" applyFont="0" applyFill="0" applyBorder="0" applyAlignment="0" applyProtection="0"/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164" fontId="106" fillId="0" borderId="0" applyFont="0" applyFill="0" applyBorder="0" applyAlignment="0" applyProtection="0"/>
    <xf numFmtId="9" fontId="107" fillId="0" borderId="0" applyFont="0" applyFill="0" applyBorder="0" applyAlignment="0" applyProtection="0"/>
    <xf numFmtId="219" fontId="108" fillId="0" borderId="0" applyFont="0" applyFill="0" applyBorder="0" applyAlignment="0" applyProtection="0"/>
    <xf numFmtId="219" fontId="109" fillId="0" borderId="0"/>
    <xf numFmtId="219" fontId="110" fillId="0" borderId="0" applyFont="0" applyFill="0" applyBorder="0" applyAlignment="0" applyProtection="0"/>
    <xf numFmtId="174" fontId="53" fillId="0" borderId="0" applyFont="0" applyFill="0" applyBorder="0" applyAlignment="0" applyProtection="0"/>
    <xf numFmtId="176" fontId="111" fillId="0" borderId="0" applyFont="0" applyFill="0" applyBorder="0" applyAlignment="0" applyProtection="0"/>
    <xf numFmtId="177" fontId="112" fillId="0" borderId="0" applyFont="0" applyFill="0" applyBorder="0" applyAlignment="0" applyProtection="0"/>
    <xf numFmtId="219" fontId="113" fillId="0" borderId="0"/>
    <xf numFmtId="164" fontId="112" fillId="0" borderId="0" applyFont="0" applyFill="0" applyBorder="0" applyAlignment="0" applyProtection="0"/>
    <xf numFmtId="40" fontId="110" fillId="0" borderId="0" applyFont="0" applyFill="0" applyBorder="0" applyAlignment="0" applyProtection="0"/>
    <xf numFmtId="38" fontId="110" fillId="0" borderId="0" applyFont="0" applyFill="0" applyBorder="0" applyAlignment="0" applyProtection="0"/>
    <xf numFmtId="9" fontId="114" fillId="0" borderId="0" applyFont="0" applyFill="0" applyBorder="0" applyAlignment="0" applyProtection="0"/>
    <xf numFmtId="165" fontId="112" fillId="0" borderId="0" applyFont="0" applyFill="0" applyBorder="0" applyAlignment="0" applyProtection="0"/>
    <xf numFmtId="178" fontId="53" fillId="0" borderId="0" applyFont="0" applyFill="0" applyBorder="0" applyAlignment="0" applyProtection="0"/>
    <xf numFmtId="179" fontId="111" fillId="0" borderId="0" applyFont="0" applyFill="0" applyBorder="0" applyAlignment="0" applyProtection="0"/>
    <xf numFmtId="179" fontId="111" fillId="0" borderId="0" applyFont="0" applyFill="0" applyBorder="0" applyAlignment="0" applyProtection="0"/>
    <xf numFmtId="219" fontId="112" fillId="0" borderId="0"/>
    <xf numFmtId="180" fontId="112" fillId="0" borderId="0" applyFont="0" applyFill="0" applyBorder="0" applyAlignment="0" applyProtection="0"/>
    <xf numFmtId="219" fontId="53" fillId="0" borderId="0"/>
    <xf numFmtId="219" fontId="110" fillId="0" borderId="0" applyFon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117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65" fontId="117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64" fontId="117" fillId="0" borderId="0" applyFont="0" applyFill="0" applyBorder="0" applyAlignment="0" applyProtection="0"/>
    <xf numFmtId="165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219" fontId="115" fillId="0" borderId="0"/>
    <xf numFmtId="219" fontId="115" fillId="0" borderId="0"/>
    <xf numFmtId="42" fontId="103" fillId="0" borderId="0" applyFont="0" applyFill="0" applyBorder="0" applyAlignment="0" applyProtection="0"/>
    <xf numFmtId="219" fontId="115" fillId="0" borderId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164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5" fillId="0" borderId="0"/>
    <xf numFmtId="219" fontId="115" fillId="0" borderId="0"/>
    <xf numFmtId="219" fontId="115" fillId="0" borderId="0"/>
    <xf numFmtId="219" fontId="119" fillId="0" borderId="0"/>
    <xf numFmtId="219" fontId="120" fillId="0" borderId="0" applyNumberFormat="0" applyFill="0" applyBorder="0" applyAlignment="0" applyProtection="0">
      <alignment vertical="top"/>
      <protection locked="0"/>
    </xf>
    <xf numFmtId="219" fontId="121" fillId="0" borderId="0" applyNumberFormat="0" applyFill="0" applyBorder="0" applyAlignment="0" applyProtection="0">
      <alignment vertical="top"/>
      <protection locked="0"/>
    </xf>
    <xf numFmtId="219" fontId="53" fillId="0" borderId="0"/>
    <xf numFmtId="37" fontId="122" fillId="0" borderId="0"/>
    <xf numFmtId="198" fontId="123" fillId="0" borderId="0" applyFont="0" applyFill="0" applyBorder="0" applyAlignment="0" applyProtection="0"/>
    <xf numFmtId="166" fontId="123" fillId="0" borderId="0" applyFont="0" applyFill="0" applyBorder="0" applyAlignment="0" applyProtection="0"/>
    <xf numFmtId="10" fontId="123" fillId="0" borderId="0" applyFont="0" applyFill="0" applyBorder="0" applyAlignment="0" applyProtection="0"/>
    <xf numFmtId="219" fontId="124" fillId="13" borderId="0"/>
    <xf numFmtId="219" fontId="124" fillId="14" borderId="0"/>
    <xf numFmtId="219" fontId="124" fillId="13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3" borderId="0"/>
    <xf numFmtId="219" fontId="124" fillId="13" borderId="0"/>
    <xf numFmtId="219" fontId="124" fillId="15" borderId="0"/>
    <xf numFmtId="219" fontId="124" fillId="15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4" borderId="0"/>
    <xf numFmtId="219" fontId="125" fillId="0" borderId="0"/>
    <xf numFmtId="9" fontId="126" fillId="0" borderId="0" applyBorder="0" applyAlignment="0" applyProtection="0"/>
    <xf numFmtId="219" fontId="127" fillId="13" borderId="0"/>
    <xf numFmtId="219" fontId="127" fillId="14" borderId="0"/>
    <xf numFmtId="219" fontId="127" fillId="13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3" borderId="0"/>
    <xf numFmtId="219" fontId="127" fillId="13" borderId="0"/>
    <xf numFmtId="219" fontId="127" fillId="15" borderId="0"/>
    <xf numFmtId="219" fontId="127" fillId="15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4" borderId="0"/>
    <xf numFmtId="219" fontId="128" fillId="13" borderId="0"/>
    <xf numFmtId="219" fontId="128" fillId="14" borderId="0"/>
    <xf numFmtId="219" fontId="128" fillId="13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3" borderId="0"/>
    <xf numFmtId="219" fontId="128" fillId="13" borderId="0"/>
    <xf numFmtId="219" fontId="128" fillId="15" borderId="0"/>
    <xf numFmtId="219" fontId="128" fillId="15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4" borderId="0"/>
    <xf numFmtId="219" fontId="129" fillId="0" borderId="0">
      <alignment wrapText="1"/>
    </xf>
    <xf numFmtId="219" fontId="130" fillId="16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19" borderId="0" applyNumberFormat="0" applyBorder="0" applyAlignment="0" applyProtection="0"/>
    <xf numFmtId="219" fontId="131" fillId="20" borderId="0" applyNumberFormat="0" applyBorder="0" applyAlignment="0" applyProtection="0"/>
    <xf numFmtId="219" fontId="130" fillId="18" borderId="0" applyNumberFormat="0" applyBorder="0" applyAlignment="0" applyProtection="0"/>
    <xf numFmtId="219" fontId="130" fillId="21" borderId="0" applyNumberFormat="0" applyBorder="0" applyAlignment="0" applyProtection="0"/>
    <xf numFmtId="219" fontId="131" fillId="19" borderId="0" applyNumberFormat="0" applyBorder="0" applyAlignment="0" applyProtection="0"/>
    <xf numFmtId="219" fontId="130" fillId="16" borderId="0" applyNumberFormat="0" applyBorder="0" applyAlignment="0" applyProtection="0"/>
    <xf numFmtId="219" fontId="130" fillId="19" borderId="0" applyNumberFormat="0" applyBorder="0" applyAlignment="0" applyProtection="0"/>
    <xf numFmtId="219" fontId="131" fillId="19" borderId="0" applyNumberFormat="0" applyBorder="0" applyAlignment="0" applyProtection="0"/>
    <xf numFmtId="219" fontId="130" fillId="22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23" borderId="0" applyNumberFormat="0" applyBorder="0" applyAlignment="0" applyProtection="0"/>
    <xf numFmtId="219" fontId="131" fillId="23" borderId="0" applyNumberFormat="0" applyBorder="0" applyAlignment="0" applyProtection="0"/>
    <xf numFmtId="37" fontId="53" fillId="24" borderId="49" applyFill="0" applyBorder="0" applyAlignment="0" applyProtection="0"/>
    <xf numFmtId="199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00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19" fontId="69" fillId="0" borderId="50" applyNumberFormat="0" applyFill="0" applyBorder="0" applyProtection="0">
      <alignment vertical="center"/>
    </xf>
    <xf numFmtId="219" fontId="134" fillId="0" borderId="0">
      <alignment horizontal="center" wrapText="1"/>
      <protection locked="0"/>
    </xf>
    <xf numFmtId="194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94" fontId="133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5" fillId="0" borderId="0"/>
    <xf numFmtId="219" fontId="136" fillId="0" borderId="0" applyNumberFormat="0" applyFill="0" applyBorder="0" applyAlignment="0" applyProtection="0"/>
    <xf numFmtId="219" fontId="132" fillId="0" borderId="0"/>
    <xf numFmtId="219" fontId="137" fillId="0" borderId="0"/>
    <xf numFmtId="219" fontId="132" fillId="0" borderId="0"/>
    <xf numFmtId="219" fontId="138" fillId="0" borderId="0"/>
    <xf numFmtId="201" fontId="53" fillId="0" borderId="0" applyFill="0" applyBorder="0" applyAlignment="0"/>
    <xf numFmtId="202" fontId="53" fillId="0" borderId="0" applyFill="0" applyBorder="0" applyAlignment="0"/>
    <xf numFmtId="203" fontId="53" fillId="0" borderId="0" applyFill="0" applyBorder="0" applyAlignment="0"/>
    <xf numFmtId="204" fontId="53" fillId="0" borderId="0" applyFill="0" applyBorder="0" applyAlignment="0"/>
    <xf numFmtId="205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39" fillId="0" borderId="0"/>
    <xf numFmtId="207" fontId="103" fillId="0" borderId="0" applyFont="0" applyFill="0" applyBorder="0" applyAlignment="0" applyProtection="0"/>
    <xf numFmtId="1" fontId="140" fillId="0" borderId="51" applyBorder="0"/>
    <xf numFmtId="219" fontId="141" fillId="0" borderId="45" applyNumberFormat="0" applyFill="0" applyProtection="0">
      <alignment horizontal="center"/>
    </xf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19" fontId="143" fillId="0" borderId="52"/>
    <xf numFmtId="201" fontId="53" fillId="0" borderId="0" applyFont="0" applyFill="0" applyBorder="0" applyAlignment="0" applyProtection="0"/>
    <xf numFmtId="43" fontId="31" fillId="0" borderId="0" applyFont="0" applyFill="0" applyBorder="0" applyAlignment="0" applyProtection="0"/>
    <xf numFmtId="209" fontId="137" fillId="0" borderId="0"/>
    <xf numFmtId="37" fontId="123" fillId="0" borderId="0" applyFont="0" applyFill="0" applyBorder="0" applyAlignment="0" applyProtection="0"/>
    <xf numFmtId="210" fontId="123" fillId="0" borderId="0" applyFont="0" applyFill="0" applyBorder="0" applyAlignment="0" applyProtection="0"/>
    <xf numFmtId="39" fontId="123" fillId="0" borderId="0" applyFont="0" applyFill="0" applyBorder="0" applyAlignment="0" applyProtection="0"/>
    <xf numFmtId="3" fontId="53" fillId="0" borderId="0" applyFont="0" applyFill="0" applyBorder="0" applyAlignment="0" applyProtection="0"/>
    <xf numFmtId="37" fontId="53" fillId="13" borderId="49" applyFill="0" applyBorder="0" applyAlignment="0" applyProtection="0"/>
    <xf numFmtId="219" fontId="144" fillId="0" borderId="0" applyNumberFormat="0" applyAlignment="0">
      <alignment horizontal="left"/>
    </xf>
    <xf numFmtId="219" fontId="145" fillId="0" borderId="0" applyNumberFormat="0" applyAlignment="0"/>
    <xf numFmtId="202" fontId="53" fillId="0" borderId="0" applyFont="0" applyFill="0" applyBorder="0" applyAlignment="0" applyProtection="0"/>
    <xf numFmtId="44" fontId="54" fillId="0" borderId="0" applyFont="0" applyFill="0" applyBorder="0" applyAlignment="0" applyProtection="0"/>
    <xf numFmtId="211" fontId="146" fillId="0" borderId="52" applyFill="0" applyBorder="0" applyAlignment="0"/>
    <xf numFmtId="5" fontId="123" fillId="0" borderId="0" applyFont="0" applyFill="0" applyBorder="0" applyAlignment="0" applyProtection="0"/>
    <xf numFmtId="7" fontId="123" fillId="0" borderId="0" applyFont="0" applyFill="0" applyBorder="0" applyAlignment="0" applyProtection="0"/>
    <xf numFmtId="212" fontId="53" fillId="0" borderId="0" applyFont="0" applyFill="0" applyBorder="0" applyAlignment="0" applyProtection="0"/>
    <xf numFmtId="213" fontId="53" fillId="0" borderId="0"/>
    <xf numFmtId="219" fontId="55" fillId="13" borderId="0" applyNumberFormat="0" applyFont="0" applyFill="0" applyBorder="0" applyProtection="0">
      <alignment horizontal="left"/>
    </xf>
    <xf numFmtId="219" fontId="53" fillId="0" borderId="0" applyFont="0" applyFill="0" applyBorder="0" applyAlignment="0" applyProtection="0"/>
    <xf numFmtId="14" fontId="147" fillId="0" borderId="0" applyFill="0" applyBorder="0" applyAlignment="0"/>
    <xf numFmtId="219" fontId="53" fillId="0" borderId="0" applyFill="0" applyBorder="0" applyAlignment="0" applyProtection="0"/>
    <xf numFmtId="214" fontId="53" fillId="0" borderId="53">
      <alignment vertical="center"/>
    </xf>
    <xf numFmtId="215" fontId="53" fillId="0" borderId="0" applyFont="0" applyFill="0" applyBorder="0" applyAlignment="0" applyProtection="0"/>
    <xf numFmtId="216" fontId="53" fillId="0" borderId="0" applyFont="0" applyFill="0" applyBorder="0" applyAlignment="0" applyProtection="0"/>
    <xf numFmtId="217" fontId="53" fillId="0" borderId="0"/>
    <xf numFmtId="219" fontId="148" fillId="0" borderId="0" applyNumberFormat="0" applyFill="0" applyBorder="0" applyAlignment="0" applyProtection="0"/>
    <xf numFmtId="218" fontId="149" fillId="25" borderId="54">
      <protection locked="0"/>
    </xf>
    <xf numFmtId="219" fontId="150" fillId="26" borderId="0" applyNumberFormat="0" applyBorder="0" applyAlignment="0" applyProtection="0"/>
    <xf numFmtId="219" fontId="150" fillId="27" borderId="0" applyNumberFormat="0" applyBorder="0" applyAlignment="0" applyProtection="0"/>
    <xf numFmtId="219" fontId="150" fillId="28" borderId="0" applyNumberFormat="0" applyBorder="0" applyAlignment="0" applyProtection="0"/>
    <xf numFmtId="219" fontId="103" fillId="0" borderId="0"/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51" fillId="0" borderId="0" applyNumberFormat="0" applyAlignment="0">
      <alignment horizontal="left"/>
    </xf>
    <xf numFmtId="219" fontId="53" fillId="0" borderId="0" applyFont="0" applyFill="0" applyBorder="0" applyAlignment="0" applyProtection="0"/>
    <xf numFmtId="219" fontId="152" fillId="0" borderId="0" applyProtection="0"/>
    <xf numFmtId="219" fontId="153" fillId="0" borderId="0" applyProtection="0"/>
    <xf numFmtId="219" fontId="154" fillId="0" borderId="0" applyProtection="0"/>
    <xf numFmtId="219" fontId="155" fillId="0" borderId="0" applyProtection="0"/>
    <xf numFmtId="219" fontId="156" fillId="0" borderId="0" applyNumberFormat="0" applyFont="0" applyFill="0" applyBorder="0" applyAlignment="0" applyProtection="0"/>
    <xf numFmtId="219" fontId="157" fillId="0" borderId="0" applyProtection="0"/>
    <xf numFmtId="219" fontId="158" fillId="0" borderId="0" applyProtection="0"/>
    <xf numFmtId="2" fontId="53" fillId="0" borderId="0" applyFont="0" applyFill="0" applyBorder="0" applyAlignment="0" applyProtection="0"/>
    <xf numFmtId="219" fontId="159" fillId="0" borderId="0" applyNumberFormat="0" applyFill="0" applyBorder="0" applyAlignment="0" applyProtection="0">
      <alignment vertical="top"/>
      <protection locked="0"/>
    </xf>
    <xf numFmtId="38" fontId="62" fillId="13" borderId="0" applyNumberFormat="0" applyBorder="0" applyAlignment="0" applyProtection="0"/>
    <xf numFmtId="219" fontId="160" fillId="0" borderId="0" applyNumberFormat="0" applyFont="0" applyBorder="0" applyAlignment="0">
      <alignment horizontal="left" vertical="center"/>
    </xf>
    <xf numFmtId="219" fontId="161" fillId="29" borderId="0"/>
    <xf numFmtId="219" fontId="162" fillId="0" borderId="0">
      <alignment horizontal="left"/>
    </xf>
    <xf numFmtId="219" fontId="96" fillId="0" borderId="55" applyNumberFormat="0" applyAlignment="0" applyProtection="0">
      <alignment horizontal="left" vertical="center"/>
    </xf>
    <xf numFmtId="37" fontId="60" fillId="30" borderId="0">
      <alignment vertical="center"/>
    </xf>
    <xf numFmtId="219" fontId="96" fillId="0" borderId="56">
      <alignment horizontal="left" vertical="center"/>
    </xf>
    <xf numFmtId="220" fontId="163" fillId="25" borderId="0">
      <alignment horizontal="left" vertical="top"/>
    </xf>
    <xf numFmtId="221" fontId="117" fillId="0" borderId="0">
      <protection locked="0"/>
    </xf>
    <xf numFmtId="222" fontId="117" fillId="0" borderId="0">
      <protection locked="0"/>
    </xf>
    <xf numFmtId="222" fontId="117" fillId="0" borderId="0">
      <protection locked="0"/>
    </xf>
    <xf numFmtId="221" fontId="117" fillId="0" borderId="0">
      <protection locked="0"/>
    </xf>
    <xf numFmtId="221" fontId="117" fillId="0" borderId="0">
      <protection locked="0"/>
    </xf>
    <xf numFmtId="219" fontId="164" fillId="0" borderId="47">
      <alignment horizontal="center"/>
    </xf>
    <xf numFmtId="219" fontId="164" fillId="0" borderId="0">
      <alignment horizontal="center"/>
    </xf>
    <xf numFmtId="5" fontId="165" fillId="31" borderId="52" applyNumberFormat="0" applyAlignment="0">
      <alignment horizontal="left" vertical="top"/>
    </xf>
    <xf numFmtId="223" fontId="53" fillId="0" borderId="0" applyFont="0" applyFill="0" applyBorder="0" applyAlignment="0" applyProtection="0">
      <alignment vertical="top" wrapText="1"/>
    </xf>
    <xf numFmtId="219" fontId="166" fillId="30" borderId="57" applyNumberFormat="0" applyFont="0" applyBorder="0" applyAlignment="0">
      <alignment vertical="center"/>
    </xf>
    <xf numFmtId="219" fontId="166" fillId="32" borderId="58" applyNumberFormat="0" applyFont="0" applyBorder="0" applyAlignment="0"/>
    <xf numFmtId="49" fontId="167" fillId="0" borderId="52">
      <alignment vertical="center"/>
    </xf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 applyProtection="0">
      <alignment vertical="top"/>
      <protection locked="0"/>
    </xf>
    <xf numFmtId="193" fontId="103" fillId="0" borderId="0" applyFont="0" applyFill="0" applyBorder="0" applyAlignment="0" applyProtection="0"/>
    <xf numFmtId="219" fontId="170" fillId="25" borderId="0">
      <alignment horizontal="left" wrapText="1" indent="2"/>
    </xf>
    <xf numFmtId="224" fontId="171" fillId="0" borderId="58" applyFont="0" applyFill="0" applyBorder="0" applyProtection="0">
      <alignment horizontal="right"/>
    </xf>
    <xf numFmtId="10" fontId="62" fillId="25" borderId="52" applyNumberFormat="0" applyBorder="0" applyAlignment="0" applyProtection="0"/>
    <xf numFmtId="225" fontId="53" fillId="33" borderId="0"/>
    <xf numFmtId="209" fontId="53" fillId="13" borderId="58" applyFill="0" applyBorder="0" applyAlignment="0"/>
    <xf numFmtId="219" fontId="115" fillId="0" borderId="0"/>
    <xf numFmtId="37" fontId="55" fillId="0" borderId="0" applyFont="0" applyFill="0" applyBorder="0" applyAlignment="0"/>
    <xf numFmtId="219" fontId="115" fillId="0" borderId="0"/>
    <xf numFmtId="3" fontId="143" fillId="0" borderId="56">
      <alignment horizontal="centerContinuous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25" fontId="53" fillId="34" borderId="0"/>
    <xf numFmtId="226" fontId="172" fillId="0" borderId="44" applyFont="0" applyFill="0" applyBorder="0" applyProtection="0">
      <alignment horizontal="right"/>
    </xf>
    <xf numFmtId="38" fontId="115" fillId="0" borderId="0" applyFont="0" applyFill="0" applyBorder="0" applyAlignment="0" applyProtection="0"/>
    <xf numFmtId="40" fontId="115" fillId="0" borderId="0" applyFont="0" applyFill="0" applyBorder="0" applyAlignment="0" applyProtection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73" fillId="0" borderId="47"/>
    <xf numFmtId="218" fontId="174" fillId="0" borderId="59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27" fontId="115" fillId="0" borderId="0" applyFont="0" applyFill="0" applyBorder="0" applyAlignment="0" applyProtection="0"/>
    <xf numFmtId="228" fontId="115" fillId="0" borderId="0" applyFont="0" applyFill="0" applyBorder="0" applyAlignment="0" applyProtection="0"/>
    <xf numFmtId="229" fontId="53" fillId="0" borderId="0" applyFont="0" applyFill="0" applyBorder="0" applyAlignment="0" applyProtection="0"/>
    <xf numFmtId="230" fontId="53" fillId="0" borderId="0" applyFont="0" applyFill="0" applyBorder="0" applyAlignment="0" applyProtection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37" fillId="0" borderId="0"/>
    <xf numFmtId="37" fontId="176" fillId="0" borderId="0"/>
    <xf numFmtId="231" fontId="53" fillId="30" borderId="60" applyFont="0" applyBorder="0">
      <alignment horizontal="center" vertical="center"/>
    </xf>
    <xf numFmtId="219" fontId="177" fillId="0" borderId="52" applyNumberFormat="0" applyFont="0" applyFill="0" applyBorder="0" applyAlignment="0">
      <alignment horizontal="center"/>
    </xf>
    <xf numFmtId="232" fontId="146" fillId="0" borderId="0"/>
    <xf numFmtId="219" fontId="178" fillId="0" borderId="0"/>
    <xf numFmtId="219" fontId="54" fillId="0" borderId="0"/>
    <xf numFmtId="219" fontId="53" fillId="0" borderId="0"/>
    <xf numFmtId="219" fontId="31" fillId="0" borderId="0"/>
    <xf numFmtId="219" fontId="31" fillId="0" borderId="0"/>
    <xf numFmtId="219" fontId="179" fillId="0" borderId="0"/>
    <xf numFmtId="37" fontId="180" fillId="0" borderId="0"/>
    <xf numFmtId="3" fontId="181" fillId="0" borderId="0" applyFont="0" applyFill="0" applyBorder="0" applyAlignment="0" applyProtection="0"/>
    <xf numFmtId="233" fontId="53" fillId="0" borderId="0" applyFont="0" applyFill="0" applyBorder="0" applyAlignment="0" applyProtection="0"/>
    <xf numFmtId="234" fontId="53" fillId="0" borderId="0" applyFon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53" fillId="0" borderId="0" applyFill="0" applyBorder="0" applyAlignment="0" applyProtection="0"/>
    <xf numFmtId="219" fontId="137" fillId="0" borderId="0"/>
    <xf numFmtId="3" fontId="53" fillId="13" borderId="49" applyFill="0" applyBorder="0" applyAlignment="0" applyProtection="0">
      <alignment vertical="top"/>
    </xf>
    <xf numFmtId="219" fontId="183" fillId="0" borderId="0" applyNumberFormat="0" applyFill="0" applyBorder="0" applyAlignment="0" applyProtection="0"/>
    <xf numFmtId="219" fontId="184" fillId="24" borderId="0"/>
    <xf numFmtId="41" fontId="53" fillId="0" borderId="0" applyFont="0" applyFill="0" applyBorder="0" applyAlignment="0" applyProtection="0"/>
    <xf numFmtId="14" fontId="134" fillId="0" borderId="0">
      <alignment horizontal="center" wrapText="1"/>
      <protection locked="0"/>
    </xf>
    <xf numFmtId="205" fontId="53" fillId="0" borderId="0" applyFont="0" applyFill="0" applyBorder="0" applyAlignment="0" applyProtection="0"/>
    <xf numFmtId="235" fontId="53" fillId="0" borderId="0" applyFont="0" applyFill="0" applyBorder="0" applyAlignment="0" applyProtection="0"/>
    <xf numFmtId="10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115" fillId="0" borderId="61" applyNumberFormat="0" applyBorder="0"/>
    <xf numFmtId="218" fontId="62" fillId="25" borderId="62" applyFont="0" applyBorder="0">
      <protection locked="0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85" fillId="0" borderId="0"/>
    <xf numFmtId="219" fontId="186" fillId="0" borderId="0" applyFont="0" applyFill="0" applyBorder="0" applyAlignment="0" applyProtection="0"/>
    <xf numFmtId="219" fontId="115" fillId="0" borderId="0" applyNumberFormat="0" applyFont="0" applyFill="0" applyBorder="0" applyAlignment="0" applyProtection="0">
      <alignment horizontal="left"/>
    </xf>
    <xf numFmtId="219" fontId="187" fillId="0" borderId="47">
      <alignment horizontal="center"/>
    </xf>
    <xf numFmtId="219" fontId="188" fillId="35" borderId="0" applyNumberFormat="0" applyFont="0" applyBorder="0" applyAlignment="0">
      <alignment horizontal="center"/>
    </xf>
    <xf numFmtId="236" fontId="53" fillId="0" borderId="0" applyNumberFormat="0" applyFill="0" applyBorder="0" applyAlignment="0" applyProtection="0">
      <alignment horizontal="left"/>
    </xf>
    <xf numFmtId="193" fontId="103" fillId="0" borderId="0" applyFont="0" applyFill="0" applyBorder="0" applyAlignment="0" applyProtection="0"/>
    <xf numFmtId="3" fontId="103" fillId="0" borderId="63">
      <alignment horizontal="right" wrapText="1"/>
    </xf>
    <xf numFmtId="4" fontId="189" fillId="36" borderId="64" applyNumberFormat="0" applyProtection="0">
      <alignment horizontal="left" vertical="center" indent="1"/>
    </xf>
    <xf numFmtId="3" fontId="175" fillId="24" borderId="65" applyProtection="0">
      <alignment horizontal="right" vertical="center"/>
    </xf>
    <xf numFmtId="4" fontId="166" fillId="25" borderId="64" applyNumberFormat="0" applyProtection="0">
      <alignment horizontal="left" vertical="center" wrapText="1" indent="1"/>
    </xf>
    <xf numFmtId="219" fontId="188" fillId="1" borderId="56" applyNumberFormat="0" applyFont="0" applyAlignment="0">
      <alignment horizontal="center"/>
    </xf>
    <xf numFmtId="219" fontId="190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192" fillId="0" borderId="0" applyNumberFormat="0" applyFill="0" applyBorder="0" applyAlignment="0">
      <alignment horizontal="center"/>
    </xf>
    <xf numFmtId="219" fontId="53" fillId="0" borderId="0"/>
    <xf numFmtId="219" fontId="115" fillId="0" borderId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219" fontId="147" fillId="0" borderId="0" applyNumberFormat="0" applyBorder="0" applyAlignment="0"/>
    <xf numFmtId="219" fontId="193" fillId="0" borderId="0" applyNumberFormat="0" applyBorder="0" applyAlignment="0"/>
    <xf numFmtId="219" fontId="194" fillId="0" borderId="0" applyNumberFormat="0" applyBorder="0" applyAlignment="0"/>
    <xf numFmtId="219" fontId="195" fillId="0" borderId="0" applyNumberFormat="0" applyBorder="0" applyAlignment="0"/>
    <xf numFmtId="219" fontId="196" fillId="0" borderId="0" applyNumberFormat="0" applyBorder="0" applyAlignment="0"/>
    <xf numFmtId="219" fontId="197" fillId="0" borderId="0" applyNumberFormat="0" applyBorder="0" applyAlignment="0"/>
    <xf numFmtId="219" fontId="173" fillId="0" borderId="0"/>
    <xf numFmtId="219" fontId="198" fillId="25" borderId="0">
      <alignment wrapText="1"/>
    </xf>
    <xf numFmtId="40" fontId="199" fillId="0" borderId="0" applyBorder="0">
      <alignment horizontal="right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37" fontId="147" fillId="0" borderId="0" applyBorder="0" applyAlignment="0" applyProtection="0"/>
    <xf numFmtId="49" fontId="147" fillId="0" borderId="0" applyFill="0" applyBorder="0" applyAlignment="0"/>
    <xf numFmtId="239" fontId="53" fillId="0" borderId="0" applyFill="0" applyBorder="0" applyAlignment="0"/>
    <xf numFmtId="240" fontId="53" fillId="0" borderId="0" applyFill="0" applyBorder="0" applyAlignment="0"/>
    <xf numFmtId="241" fontId="103" fillId="0" borderId="52">
      <alignment horizontal="left"/>
    </xf>
    <xf numFmtId="219" fontId="201" fillId="0" borderId="68"/>
    <xf numFmtId="230" fontId="179" fillId="0" borderId="66">
      <alignment horizontal="center"/>
    </xf>
    <xf numFmtId="219" fontId="202" fillId="0" borderId="0">
      <alignment vertical="center" wrapText="1"/>
      <protection locked="0"/>
    </xf>
    <xf numFmtId="219" fontId="201" fillId="0" borderId="68"/>
    <xf numFmtId="219" fontId="203" fillId="0" borderId="68"/>
    <xf numFmtId="219" fontId="203" fillId="0" borderId="68"/>
    <xf numFmtId="219" fontId="201" fillId="0" borderId="68"/>
    <xf numFmtId="219" fontId="201" fillId="0" borderId="68"/>
    <xf numFmtId="219" fontId="201" fillId="0" borderId="68"/>
    <xf numFmtId="219" fontId="203" fillId="0" borderId="68"/>
    <xf numFmtId="219" fontId="203" fillId="0" borderId="69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40" fontId="204" fillId="0" borderId="0"/>
    <xf numFmtId="219" fontId="174" fillId="0" borderId="70" applyNumberFormat="0" applyAlignment="0">
      <alignment horizontal="center"/>
    </xf>
    <xf numFmtId="219" fontId="53" fillId="0" borderId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45" fillId="0" borderId="0"/>
    <xf numFmtId="242" fontId="53" fillId="0" borderId="71" applyFont="0" applyFill="0" applyBorder="0" applyProtection="0">
      <alignment horizontal="center"/>
      <protection locked="0"/>
    </xf>
    <xf numFmtId="243" fontId="55" fillId="0" borderId="72" applyFont="0" applyFill="0" applyBorder="0" applyProtection="0">
      <alignment horizontal="center"/>
    </xf>
    <xf numFmtId="38" fontId="53" fillId="0" borderId="52" applyFont="0" applyFill="0" applyBorder="0" applyAlignment="0" applyProtection="0">
      <protection locked="0"/>
    </xf>
    <xf numFmtId="15" fontId="53" fillId="0" borderId="52" applyFont="0" applyFill="0" applyBorder="0" applyProtection="0">
      <alignment horizontal="center"/>
      <protection locked="0"/>
    </xf>
    <xf numFmtId="10" fontId="53" fillId="0" borderId="52" applyFont="0" applyFill="0" applyBorder="0" applyProtection="0">
      <alignment horizontal="center"/>
      <protection locked="0"/>
    </xf>
    <xf numFmtId="244" fontId="53" fillId="0" borderId="52" applyFont="0" applyFill="0" applyBorder="0" applyProtection="0">
      <alignment horizontal="center"/>
    </xf>
    <xf numFmtId="3" fontId="140" fillId="0" borderId="0" applyFont="0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45" fontId="205" fillId="0" borderId="0"/>
    <xf numFmtId="246" fontId="103" fillId="0" borderId="52"/>
    <xf numFmtId="219" fontId="206" fillId="0" borderId="0"/>
    <xf numFmtId="219" fontId="206" fillId="0" borderId="0"/>
    <xf numFmtId="5" fontId="207" fillId="37" borderId="73">
      <alignment vertical="top"/>
    </xf>
    <xf numFmtId="219" fontId="208" fillId="38" borderId="52">
      <alignment horizontal="left" vertical="center"/>
    </xf>
    <xf numFmtId="6" fontId="209" fillId="39" borderId="73"/>
    <xf numFmtId="5" fontId="165" fillId="0" borderId="73">
      <alignment horizontal="left" vertical="top"/>
    </xf>
    <xf numFmtId="219" fontId="210" fillId="40" borderId="0">
      <alignment horizontal="left" vertical="center"/>
    </xf>
    <xf numFmtId="5" fontId="116" fillId="0" borderId="58">
      <alignment horizontal="left" vertical="top"/>
    </xf>
    <xf numFmtId="219" fontId="211" fillId="0" borderId="58">
      <alignment horizontal="left" vertical="center"/>
    </xf>
    <xf numFmtId="247" fontId="53" fillId="0" borderId="0" applyFont="0" applyFill="0" applyBorder="0" applyAlignment="0" applyProtection="0"/>
    <xf numFmtId="248" fontId="53" fillId="0" borderId="0" applyFont="0" applyFill="0" applyBorder="0" applyAlignment="0" applyProtection="0"/>
    <xf numFmtId="219" fontId="212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213" fillId="0" borderId="0">
      <alignment vertical="center"/>
    </xf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219" fontId="214" fillId="0" borderId="0" applyFont="0" applyFill="0" applyBorder="0" applyAlignment="0" applyProtection="0"/>
    <xf numFmtId="219" fontId="214" fillId="0" borderId="0" applyFont="0" applyFill="0" applyBorder="0" applyAlignment="0" applyProtection="0"/>
    <xf numFmtId="219" fontId="215" fillId="0" borderId="0">
      <alignment vertical="center"/>
    </xf>
    <xf numFmtId="40" fontId="216" fillId="0" borderId="0" applyFont="0" applyFill="0" applyBorder="0" applyAlignment="0" applyProtection="0"/>
    <xf numFmtId="38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9" fontId="217" fillId="0" borderId="0" applyBorder="0" applyAlignment="0" applyProtection="0"/>
    <xf numFmtId="219" fontId="218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20" fillId="0" borderId="0" applyFont="0" applyFill="0" applyBorder="0" applyAlignment="0" applyProtection="0"/>
    <xf numFmtId="219" fontId="220" fillId="0" borderId="0" applyFont="0" applyFill="0" applyBorder="0" applyAlignment="0" applyProtection="0"/>
    <xf numFmtId="249" fontId="221" fillId="0" borderId="0" applyFont="0" applyFill="0" applyBorder="0" applyAlignment="0" applyProtection="0"/>
    <xf numFmtId="250" fontId="221" fillId="0" borderId="0" applyFont="0" applyFill="0" applyBorder="0" applyAlignment="0" applyProtection="0"/>
    <xf numFmtId="219" fontId="222" fillId="0" borderId="0"/>
    <xf numFmtId="219" fontId="175" fillId="0" borderId="0"/>
    <xf numFmtId="194" fontId="53" fillId="0" borderId="0" applyFont="0" applyFill="0" applyBorder="0" applyAlignment="0" applyProtection="0"/>
    <xf numFmtId="175" fontId="53" fillId="0" borderId="0" applyFont="0" applyFill="0" applyBorder="0" applyAlignment="0" applyProtection="0"/>
    <xf numFmtId="175" fontId="223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219" fontId="224" fillId="0" borderId="0" applyNumberFormat="0" applyFill="0" applyBorder="0" applyAlignment="0" applyProtection="0"/>
    <xf numFmtId="219" fontId="225" fillId="0" borderId="0" applyNumberFormat="0" applyFill="0" applyBorder="0" applyAlignment="0" applyProtection="0">
      <alignment vertical="top"/>
      <protection locked="0"/>
    </xf>
    <xf numFmtId="219" fontId="226" fillId="0" borderId="0"/>
    <xf numFmtId="219" fontId="53" fillId="0" borderId="0"/>
    <xf numFmtId="175" fontId="53" fillId="0" borderId="0" applyFont="0" applyFill="0" applyBorder="0" applyAlignment="0" applyProtection="0"/>
    <xf numFmtId="194" fontId="53" fillId="0" borderId="0" applyFont="0" applyFill="0" applyBorder="0" applyAlignment="0" applyProtection="0"/>
    <xf numFmtId="219" fontId="227" fillId="0" borderId="0"/>
    <xf numFmtId="177" fontId="69" fillId="0" borderId="0" applyFont="0" applyFill="0" applyBorder="0" applyAlignment="0" applyProtection="0"/>
    <xf numFmtId="6" fontId="228" fillId="0" borderId="0" applyFont="0" applyFill="0" applyBorder="0" applyAlignment="0" applyProtection="0"/>
    <xf numFmtId="180" fontId="69" fillId="0" borderId="0" applyFont="0" applyFill="0" applyBorder="0" applyAlignment="0" applyProtection="0"/>
    <xf numFmtId="219" fontId="229" fillId="0" borderId="0" applyNumberFormat="0" applyFill="0" applyBorder="0" applyAlignment="0" applyProtection="0"/>
    <xf numFmtId="219" fontId="230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29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44" fontId="53" fillId="0" borderId="0" applyFont="0" applyFill="0" applyBorder="0" applyAlignment="0" applyProtection="0"/>
    <xf numFmtId="42" fontId="53" fillId="0" borderId="0" applyFont="0" applyFill="0" applyBorder="0" applyAlignment="0" applyProtection="0"/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43" fontId="53" fillId="0" borderId="0" applyFont="0" applyFill="0" applyBorder="0" applyAlignment="0" applyProtection="0"/>
    <xf numFmtId="219" fontId="54" fillId="0" borderId="0"/>
    <xf numFmtId="43" fontId="53" fillId="0" borderId="0" applyFont="0" applyFill="0" applyBorder="0" applyAlignment="0" applyProtection="0"/>
    <xf numFmtId="219" fontId="239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4" fontId="130" fillId="0" borderId="0" applyFont="0" applyFill="0" applyBorder="0" applyAlignment="0" applyProtection="0"/>
    <xf numFmtId="219" fontId="239" fillId="0" borderId="0">
      <alignment vertical="center"/>
    </xf>
    <xf numFmtId="210" fontId="32" fillId="0" borderId="0"/>
    <xf numFmtId="219" fontId="32" fillId="0" borderId="0"/>
    <xf numFmtId="216" fontId="32" fillId="0" borderId="0"/>
    <xf numFmtId="217" fontId="32" fillId="0" borderId="0"/>
    <xf numFmtId="9" fontId="32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30" fillId="0" borderId="0" applyFont="0" applyFill="0" applyBorder="0" applyAlignment="0" applyProtection="0"/>
    <xf numFmtId="219" fontId="240" fillId="0" borderId="0">
      <alignment horizontal="left" indent="3"/>
    </xf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61" fillId="0" borderId="0"/>
    <xf numFmtId="219" fontId="53" fillId="0" borderId="0" applyNumberFormat="0" applyFill="0" applyBorder="0" applyAlignment="0" applyProtection="0"/>
    <xf numFmtId="219" fontId="29" fillId="0" borderId="0"/>
    <xf numFmtId="219" fontId="147" fillId="0" borderId="0"/>
    <xf numFmtId="219" fontId="32" fillId="0" borderId="0"/>
    <xf numFmtId="219" fontId="53" fillId="0" borderId="0"/>
    <xf numFmtId="219" fontId="32" fillId="0" borderId="0"/>
    <xf numFmtId="43" fontId="54" fillId="0" borderId="0" applyFont="0" applyFill="0" applyBorder="0" applyAlignment="0" applyProtection="0"/>
    <xf numFmtId="9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219" fontId="141" fillId="0" borderId="76" applyNumberFormat="0" applyFill="0" applyProtection="0">
      <alignment horizontal="center"/>
    </xf>
    <xf numFmtId="43" fontId="26" fillId="0" borderId="0" applyFont="0" applyFill="0" applyBorder="0" applyAlignment="0" applyProtection="0"/>
    <xf numFmtId="218" fontId="149" fillId="25" borderId="159">
      <protection locked="0"/>
    </xf>
    <xf numFmtId="226" fontId="172" fillId="0" borderId="83" applyFont="0" applyFill="0" applyBorder="0" applyProtection="0">
      <alignment horizontal="right"/>
    </xf>
    <xf numFmtId="219" fontId="26" fillId="0" borderId="0"/>
    <xf numFmtId="219" fontId="26" fillId="0" borderId="0"/>
    <xf numFmtId="43" fontId="53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19" fontId="239" fillId="0" borderId="0">
      <alignment vertical="center"/>
    </xf>
    <xf numFmtId="9" fontId="26" fillId="0" borderId="0" applyFont="0" applyFill="0" applyBorder="0" applyAlignment="0" applyProtection="0"/>
    <xf numFmtId="219" fontId="26" fillId="0" borderId="0"/>
    <xf numFmtId="219" fontId="25" fillId="0" borderId="0"/>
    <xf numFmtId="0" fontId="25" fillId="0" borderId="0"/>
    <xf numFmtId="9" fontId="25" fillId="0" borderId="0" applyFont="0" applyFill="0" applyBorder="0" applyAlignment="0" applyProtection="0"/>
    <xf numFmtId="5" fontId="25" fillId="0" borderId="0" applyFont="0" applyFill="0" applyBorder="0" applyAlignment="0" applyProtection="0"/>
    <xf numFmtId="0" fontId="24" fillId="0" borderId="0"/>
    <xf numFmtId="0" fontId="345" fillId="0" borderId="0"/>
    <xf numFmtId="0" fontId="352" fillId="0" borderId="0"/>
    <xf numFmtId="0" fontId="354" fillId="0" borderId="0"/>
    <xf numFmtId="0" fontId="147" fillId="0" borderId="0"/>
    <xf numFmtId="0" fontId="357" fillId="0" borderId="0"/>
    <xf numFmtId="0" fontId="345" fillId="0" borderId="0"/>
    <xf numFmtId="0" fontId="363" fillId="0" borderId="0"/>
    <xf numFmtId="0" fontId="365" fillId="0" borderId="0"/>
    <xf numFmtId="0" fontId="3" fillId="0" borderId="0"/>
    <xf numFmtId="0" fontId="1" fillId="71" borderId="0" applyNumberFormat="0" applyBorder="0" applyAlignment="0" applyProtection="0"/>
  </cellStyleXfs>
  <cellXfs count="2431">
    <xf numFmtId="219" fontId="0" fillId="0" borderId="0" xfId="0"/>
    <xf numFmtId="219" fontId="34" fillId="0" borderId="0" xfId="0" applyFont="1"/>
    <xf numFmtId="219" fontId="35" fillId="0" borderId="0" xfId="0" applyFont="1"/>
    <xf numFmtId="219" fontId="37" fillId="0" borderId="0" xfId="2" applyFont="1" applyAlignment="1" applyProtection="1"/>
    <xf numFmtId="219" fontId="33" fillId="0" borderId="0" xfId="0" applyFont="1"/>
    <xf numFmtId="219" fontId="39" fillId="2" borderId="0" xfId="0" applyFont="1" applyFill="1"/>
    <xf numFmtId="219" fontId="40" fillId="0" borderId="0" xfId="0" applyFont="1"/>
    <xf numFmtId="219" fontId="41" fillId="0" borderId="0" xfId="0" applyFont="1" applyBorder="1" applyAlignment="1">
      <alignment vertical="center"/>
    </xf>
    <xf numFmtId="219" fontId="39" fillId="0" borderId="0" xfId="0" applyFont="1"/>
    <xf numFmtId="219" fontId="42" fillId="0" borderId="0" xfId="0" applyFont="1"/>
    <xf numFmtId="219" fontId="44" fillId="0" borderId="0" xfId="0" applyFont="1" applyAlignment="1">
      <alignment horizontal="right"/>
    </xf>
    <xf numFmtId="219" fontId="0" fillId="0" borderId="0" xfId="0" applyAlignment="1">
      <alignment horizontal="right"/>
    </xf>
    <xf numFmtId="219" fontId="0" fillId="3" borderId="0" xfId="0" applyFill="1" applyBorder="1"/>
    <xf numFmtId="219" fontId="0" fillId="3" borderId="14" xfId="0" applyFill="1" applyBorder="1"/>
    <xf numFmtId="219" fontId="47" fillId="3" borderId="15" xfId="0" applyFont="1" applyFill="1" applyBorder="1"/>
    <xf numFmtId="219" fontId="0" fillId="3" borderId="16" xfId="0" applyFill="1" applyBorder="1"/>
    <xf numFmtId="219" fontId="35" fillId="3" borderId="16" xfId="0" applyFont="1" applyFill="1" applyBorder="1"/>
    <xf numFmtId="219" fontId="0" fillId="3" borderId="17" xfId="0" applyFill="1" applyBorder="1"/>
    <xf numFmtId="219" fontId="39" fillId="3" borderId="10" xfId="0" applyFont="1" applyFill="1" applyBorder="1"/>
    <xf numFmtId="9" fontId="35" fillId="0" borderId="13" xfId="1" applyFont="1" applyFill="1" applyBorder="1"/>
    <xf numFmtId="219" fontId="56" fillId="3" borderId="10" xfId="0" applyFont="1" applyFill="1" applyBorder="1"/>
    <xf numFmtId="219" fontId="54" fillId="3" borderId="0" xfId="0" applyFont="1" applyFill="1" applyBorder="1"/>
    <xf numFmtId="219" fontId="56" fillId="3" borderId="0" xfId="0" applyFont="1" applyFill="1" applyBorder="1" applyAlignment="1">
      <alignment horizontal="left"/>
    </xf>
    <xf numFmtId="219" fontId="56" fillId="3" borderId="0" xfId="0" applyFont="1" applyFill="1" applyBorder="1" applyAlignment="1">
      <alignment horizontal="left" indent="1"/>
    </xf>
    <xf numFmtId="219" fontId="57" fillId="3" borderId="12" xfId="0" applyFont="1" applyFill="1" applyBorder="1" applyAlignment="1">
      <alignment horizontal="left" indent="1"/>
    </xf>
    <xf numFmtId="219" fontId="39" fillId="3" borderId="11" xfId="0" applyFont="1" applyFill="1" applyBorder="1"/>
    <xf numFmtId="219" fontId="39" fillId="3" borderId="14" xfId="0" applyFont="1" applyFill="1" applyBorder="1"/>
    <xf numFmtId="219" fontId="0" fillId="3" borderId="0" xfId="0" applyFont="1" applyFill="1" applyBorder="1"/>
    <xf numFmtId="219" fontId="0" fillId="3" borderId="0" xfId="0" applyFont="1" applyFill="1" applyBorder="1" applyAlignment="1">
      <alignment horizontal="right"/>
    </xf>
    <xf numFmtId="219" fontId="0" fillId="3" borderId="0" xfId="0" applyFont="1" applyFill="1" applyBorder="1" applyAlignment="1">
      <alignment horizontal="left"/>
    </xf>
    <xf numFmtId="219" fontId="60" fillId="0" borderId="0" xfId="6" applyFont="1"/>
    <xf numFmtId="219" fontId="53" fillId="0" borderId="0" xfId="6" applyFont="1"/>
    <xf numFmtId="219" fontId="53" fillId="0" borderId="0" xfId="6" applyFont="1" applyBorder="1"/>
    <xf numFmtId="166" fontId="53" fillId="0" borderId="0" xfId="7" applyNumberFormat="1" applyFont="1" applyBorder="1"/>
    <xf numFmtId="167" fontId="53" fillId="0" borderId="0" xfId="8" applyNumberFormat="1" applyFont="1" applyBorder="1"/>
    <xf numFmtId="167" fontId="53" fillId="0" borderId="0" xfId="8" applyNumberFormat="1" applyFont="1"/>
    <xf numFmtId="168" fontId="53" fillId="0" borderId="0" xfId="8" applyNumberFormat="1" applyFont="1"/>
    <xf numFmtId="167" fontId="32" fillId="0" borderId="0" xfId="8" applyNumberFormat="1" applyFont="1"/>
    <xf numFmtId="219" fontId="55" fillId="0" borderId="0" xfId="6" applyFont="1"/>
    <xf numFmtId="219" fontId="65" fillId="0" borderId="0" xfId="9" applyFont="1"/>
    <xf numFmtId="166" fontId="65" fillId="0" borderId="0" xfId="7" applyNumberFormat="1" applyFont="1"/>
    <xf numFmtId="167" fontId="65" fillId="0" borderId="0" xfId="8" applyNumberFormat="1" applyFont="1"/>
    <xf numFmtId="219" fontId="64" fillId="0" borderId="0" xfId="6" applyFont="1" applyFill="1" applyBorder="1" applyAlignment="1">
      <alignment vertical="center"/>
    </xf>
    <xf numFmtId="219" fontId="53" fillId="0" borderId="0" xfId="6" applyFont="1" applyFill="1" applyBorder="1" applyAlignment="1"/>
    <xf numFmtId="219" fontId="70" fillId="0" borderId="0" xfId="6" applyFont="1" applyFill="1" applyBorder="1" applyAlignment="1"/>
    <xf numFmtId="168" fontId="63" fillId="0" borderId="19" xfId="8" applyNumberFormat="1" applyFont="1" applyFill="1" applyBorder="1" applyAlignment="1">
      <alignment horizontal="center" vertical="center"/>
    </xf>
    <xf numFmtId="9" fontId="63" fillId="0" borderId="19" xfId="7" applyNumberFormat="1" applyFont="1" applyFill="1" applyBorder="1" applyAlignment="1">
      <alignment horizontal="right" vertical="center"/>
    </xf>
    <xf numFmtId="168" fontId="63" fillId="0" borderId="28" xfId="8" applyNumberFormat="1" applyFont="1" applyFill="1" applyBorder="1" applyAlignment="1">
      <alignment horizontal="center" vertical="center"/>
    </xf>
    <xf numFmtId="219" fontId="52" fillId="3" borderId="26" xfId="6" applyFont="1" applyFill="1" applyBorder="1" applyAlignment="1">
      <alignment vertical="center"/>
    </xf>
    <xf numFmtId="219" fontId="52" fillId="3" borderId="18" xfId="6" applyFont="1" applyFill="1" applyBorder="1" applyAlignment="1">
      <alignment vertical="center"/>
    </xf>
    <xf numFmtId="219" fontId="52" fillId="3" borderId="27" xfId="6" applyFont="1" applyFill="1" applyBorder="1" applyAlignment="1">
      <alignment vertical="center"/>
    </xf>
    <xf numFmtId="167" fontId="52" fillId="3" borderId="18" xfId="8" applyNumberFormat="1" applyFont="1" applyFill="1" applyBorder="1" applyAlignment="1">
      <alignment vertical="center"/>
    </xf>
    <xf numFmtId="167" fontId="52" fillId="3" borderId="26" xfId="8" applyNumberFormat="1" applyFont="1" applyFill="1" applyBorder="1" applyAlignment="1">
      <alignment vertical="center"/>
    </xf>
    <xf numFmtId="167" fontId="52" fillId="3" borderId="27" xfId="8" applyNumberFormat="1" applyFont="1" applyFill="1" applyBorder="1" applyAlignment="1">
      <alignment vertical="center"/>
    </xf>
    <xf numFmtId="169" fontId="63" fillId="0" borderId="36" xfId="5" applyNumberFormat="1" applyFont="1" applyFill="1" applyBorder="1" applyAlignment="1">
      <alignment horizontal="right" vertical="center"/>
    </xf>
    <xf numFmtId="167" fontId="69" fillId="3" borderId="34" xfId="8" applyNumberFormat="1" applyFont="1" applyFill="1" applyBorder="1" applyAlignment="1">
      <alignment horizontal="center" wrapText="1"/>
    </xf>
    <xf numFmtId="167" fontId="69" fillId="3" borderId="35" xfId="8" applyNumberFormat="1" applyFont="1" applyFill="1" applyBorder="1" applyAlignment="1">
      <alignment horizontal="center" wrapText="1"/>
    </xf>
    <xf numFmtId="219" fontId="67" fillId="3" borderId="38" xfId="6" applyFont="1" applyFill="1" applyBorder="1" applyAlignment="1">
      <alignment horizontal="left" vertical="center"/>
    </xf>
    <xf numFmtId="219" fontId="71" fillId="0" borderId="0" xfId="9" applyFont="1"/>
    <xf numFmtId="219" fontId="72" fillId="0" borderId="0" xfId="0" applyFont="1"/>
    <xf numFmtId="219" fontId="73" fillId="4" borderId="0" xfId="0" applyFont="1" applyFill="1"/>
    <xf numFmtId="219" fontId="76" fillId="4" borderId="0" xfId="0" applyFont="1" applyFill="1"/>
    <xf numFmtId="219" fontId="77" fillId="4" borderId="0" xfId="0" applyFont="1" applyFill="1"/>
    <xf numFmtId="219" fontId="60" fillId="4" borderId="0" xfId="0" applyFont="1" applyFill="1"/>
    <xf numFmtId="17" fontId="38" fillId="2" borderId="0" xfId="0" applyNumberFormat="1" applyFont="1" applyFill="1" applyAlignment="1">
      <alignment horizontal="left" indent="1"/>
    </xf>
    <xf numFmtId="219" fontId="75" fillId="4" borderId="0" xfId="0" applyFont="1" applyFill="1" applyAlignment="1">
      <alignment horizontal="left" indent="8"/>
    </xf>
    <xf numFmtId="219" fontId="0" fillId="3" borderId="9" xfId="0" applyFont="1" applyFill="1" applyBorder="1"/>
    <xf numFmtId="219" fontId="0" fillId="3" borderId="10" xfId="0" applyFont="1" applyFill="1" applyBorder="1"/>
    <xf numFmtId="219" fontId="78" fillId="3" borderId="12" xfId="0" applyFont="1" applyFill="1" applyBorder="1" applyAlignment="1">
      <alignment horizontal="left" indent="1"/>
    </xf>
    <xf numFmtId="219" fontId="79" fillId="4" borderId="0" xfId="0" applyFont="1" applyFill="1" applyAlignment="1">
      <alignment horizontal="right"/>
    </xf>
    <xf numFmtId="219" fontId="0" fillId="3" borderId="0" xfId="0" applyFill="1" applyBorder="1" applyAlignment="1">
      <alignment horizontal="left"/>
    </xf>
    <xf numFmtId="219" fontId="0" fillId="3" borderId="0" xfId="0" applyFont="1" applyFill="1" applyBorder="1" applyAlignment="1">
      <alignment horizontal="right" indent="1"/>
    </xf>
    <xf numFmtId="169" fontId="35" fillId="0" borderId="13" xfId="5" applyNumberFormat="1" applyFont="1" applyFill="1" applyBorder="1"/>
    <xf numFmtId="219" fontId="39" fillId="0" borderId="0" xfId="0" applyFont="1" applyFill="1"/>
    <xf numFmtId="219" fontId="82" fillId="0" borderId="0" xfId="0" applyFont="1"/>
    <xf numFmtId="219" fontId="82" fillId="0" borderId="0" xfId="0" applyFont="1" applyBorder="1" applyAlignment="1">
      <alignment vertical="center"/>
    </xf>
    <xf numFmtId="219" fontId="82" fillId="0" borderId="0" xfId="0" applyFont="1" applyAlignment="1">
      <alignment horizontal="right"/>
    </xf>
    <xf numFmtId="168" fontId="82" fillId="0" borderId="13" xfId="5" applyNumberFormat="1" applyFont="1" applyFill="1" applyBorder="1"/>
    <xf numFmtId="219" fontId="63" fillId="3" borderId="41" xfId="6" applyFont="1" applyFill="1" applyBorder="1" applyAlignment="1">
      <alignment horizontal="center" vertical="center"/>
    </xf>
    <xf numFmtId="219" fontId="86" fillId="0" borderId="0" xfId="9" applyFont="1"/>
    <xf numFmtId="219" fontId="86" fillId="0" borderId="0" xfId="9" applyFont="1" applyAlignment="1">
      <alignment horizontal="right"/>
    </xf>
    <xf numFmtId="9" fontId="86" fillId="5" borderId="0" xfId="7" applyNumberFormat="1" applyFont="1" applyFill="1"/>
    <xf numFmtId="167" fontId="86" fillId="0" borderId="0" xfId="8" applyNumberFormat="1" applyFont="1"/>
    <xf numFmtId="9" fontId="86" fillId="6" borderId="0" xfId="7" applyNumberFormat="1" applyFont="1" applyFill="1"/>
    <xf numFmtId="169" fontId="85" fillId="0" borderId="13" xfId="5" applyNumberFormat="1" applyFont="1" applyFill="1" applyBorder="1"/>
    <xf numFmtId="9" fontId="85" fillId="0" borderId="13" xfId="1" applyFont="1" applyFill="1" applyBorder="1"/>
    <xf numFmtId="219" fontId="41" fillId="3" borderId="0" xfId="0" applyFont="1" applyFill="1" applyBorder="1"/>
    <xf numFmtId="219" fontId="41" fillId="0" borderId="13" xfId="0" applyFont="1" applyFill="1" applyBorder="1"/>
    <xf numFmtId="169" fontId="41" fillId="0" borderId="13" xfId="5" applyNumberFormat="1" applyFont="1" applyFill="1" applyBorder="1"/>
    <xf numFmtId="169" fontId="86" fillId="6" borderId="42" xfId="5" applyNumberFormat="1" applyFont="1" applyFill="1" applyBorder="1"/>
    <xf numFmtId="169" fontId="63" fillId="0" borderId="23" xfId="5" applyNumberFormat="1" applyFont="1" applyFill="1" applyBorder="1" applyAlignment="1">
      <alignment vertical="center"/>
    </xf>
    <xf numFmtId="168" fontId="63" fillId="0" borderId="19" xfId="5" applyNumberFormat="1" applyFont="1" applyFill="1" applyBorder="1" applyAlignment="1">
      <alignment vertical="center"/>
    </xf>
    <xf numFmtId="168" fontId="63" fillId="0" borderId="28" xfId="5" applyNumberFormat="1" applyFont="1" applyFill="1" applyBorder="1" applyAlignment="1">
      <alignment vertical="center"/>
    </xf>
    <xf numFmtId="219" fontId="87" fillId="0" borderId="0" xfId="9" applyFont="1"/>
    <xf numFmtId="169" fontId="86" fillId="5" borderId="42" xfId="5" applyNumberFormat="1" applyFont="1" applyFill="1" applyBorder="1"/>
    <xf numFmtId="9" fontId="86" fillId="5" borderId="42" xfId="7" applyNumberFormat="1" applyFont="1" applyFill="1" applyBorder="1"/>
    <xf numFmtId="9" fontId="86" fillId="6" borderId="42" xfId="7" applyNumberFormat="1" applyFont="1" applyFill="1" applyBorder="1"/>
    <xf numFmtId="219" fontId="81" fillId="3" borderId="10" xfId="0" applyFont="1" applyFill="1" applyBorder="1"/>
    <xf numFmtId="1" fontId="85" fillId="0" borderId="13" xfId="0" applyNumberFormat="1" applyFont="1" applyFill="1" applyBorder="1"/>
    <xf numFmtId="219" fontId="67" fillId="3" borderId="40" xfId="6" applyFont="1" applyFill="1" applyBorder="1" applyAlignment="1">
      <alignment horizontal="left" vertical="center"/>
    </xf>
    <xf numFmtId="219" fontId="49" fillId="0" borderId="0" xfId="0" applyFont="1" applyAlignment="1">
      <alignment horizontal="right"/>
    </xf>
    <xf numFmtId="219" fontId="46" fillId="0" borderId="0" xfId="0" applyFont="1" applyAlignment="1">
      <alignment horizontal="center"/>
    </xf>
    <xf numFmtId="219" fontId="59" fillId="3" borderId="12" xfId="0" applyFont="1" applyFill="1" applyBorder="1" applyAlignment="1">
      <alignment horizontal="left" indent="1"/>
    </xf>
    <xf numFmtId="170" fontId="35" fillId="0" borderId="13" xfId="0" applyNumberFormat="1" applyFont="1" applyFill="1" applyBorder="1"/>
    <xf numFmtId="219" fontId="93" fillId="0" borderId="0" xfId="0" applyFont="1"/>
    <xf numFmtId="219" fontId="88" fillId="0" borderId="0" xfId="0" applyFont="1"/>
    <xf numFmtId="219" fontId="94" fillId="0" borderId="0" xfId="0" applyFont="1"/>
    <xf numFmtId="219" fontId="95" fillId="0" borderId="0" xfId="0" applyFont="1"/>
    <xf numFmtId="219" fontId="45" fillId="0" borderId="0" xfId="0" applyFont="1" applyAlignment="1">
      <alignment horizontal="left" indent="3"/>
    </xf>
    <xf numFmtId="219" fontId="88" fillId="0" borderId="0" xfId="0" applyFont="1" applyAlignment="1">
      <alignment horizontal="center"/>
    </xf>
    <xf numFmtId="168" fontId="53" fillId="0" borderId="13" xfId="5" applyNumberFormat="1" applyFont="1" applyFill="1" applyBorder="1"/>
    <xf numFmtId="168" fontId="53" fillId="3" borderId="0" xfId="5" applyNumberFormat="1" applyFont="1" applyFill="1" applyBorder="1"/>
    <xf numFmtId="219" fontId="53" fillId="3" borderId="0" xfId="0" applyFont="1" applyFill="1" applyBorder="1"/>
    <xf numFmtId="219" fontId="53" fillId="0" borderId="13" xfId="0" applyFont="1" applyFill="1" applyBorder="1"/>
    <xf numFmtId="9" fontId="53" fillId="0" borderId="13" xfId="1" applyFont="1" applyFill="1" applyBorder="1"/>
    <xf numFmtId="219" fontId="53" fillId="3" borderId="0" xfId="0" applyFont="1" applyFill="1" applyBorder="1" applyAlignment="1">
      <alignment horizontal="right"/>
    </xf>
    <xf numFmtId="219" fontId="53" fillId="3" borderId="0" xfId="0" applyFont="1" applyFill="1" applyBorder="1" applyAlignment="1">
      <alignment horizontal="left"/>
    </xf>
    <xf numFmtId="169" fontId="53" fillId="0" borderId="13" xfId="5" applyNumberFormat="1" applyFont="1" applyFill="1" applyBorder="1"/>
    <xf numFmtId="219" fontId="69" fillId="3" borderId="0" xfId="0" applyFont="1" applyFill="1" applyBorder="1" applyAlignment="1">
      <alignment horizontal="left"/>
    </xf>
    <xf numFmtId="219" fontId="53" fillId="0" borderId="0" xfId="0" applyFont="1" applyAlignment="1">
      <alignment horizontal="right"/>
    </xf>
    <xf numFmtId="219" fontId="54" fillId="0" borderId="0" xfId="0" applyFont="1"/>
    <xf numFmtId="219" fontId="0" fillId="7" borderId="0" xfId="0" applyFill="1" applyBorder="1"/>
    <xf numFmtId="168" fontId="53" fillId="7" borderId="13" xfId="5" applyNumberFormat="1" applyFont="1" applyFill="1" applyBorder="1"/>
    <xf numFmtId="9" fontId="53" fillId="7" borderId="13" xfId="1" applyFont="1" applyFill="1" applyBorder="1"/>
    <xf numFmtId="168" fontId="54" fillId="0" borderId="13" xfId="5" applyNumberFormat="1" applyFont="1" applyFill="1" applyBorder="1"/>
    <xf numFmtId="43" fontId="53" fillId="3" borderId="0" xfId="0" applyNumberFormat="1" applyFont="1" applyFill="1" applyBorder="1"/>
    <xf numFmtId="219" fontId="97" fillId="0" borderId="0" xfId="0" applyFont="1" applyAlignment="1">
      <alignment horizontal="right"/>
    </xf>
    <xf numFmtId="219" fontId="54" fillId="0" borderId="0" xfId="0" applyFont="1" applyBorder="1" applyAlignment="1">
      <alignment vertical="center"/>
    </xf>
    <xf numFmtId="219" fontId="54" fillId="0" borderId="13" xfId="0" applyFont="1" applyFill="1" applyBorder="1"/>
    <xf numFmtId="169" fontId="54" fillId="0" borderId="13" xfId="5" applyNumberFormat="1" applyFont="1" applyFill="1" applyBorder="1"/>
    <xf numFmtId="219" fontId="54" fillId="3" borderId="16" xfId="0" applyFont="1" applyFill="1" applyBorder="1"/>
    <xf numFmtId="170" fontId="54" fillId="0" borderId="13" xfId="0" applyNumberFormat="1" applyFont="1" applyFill="1" applyBorder="1"/>
    <xf numFmtId="9" fontId="54" fillId="0" borderId="13" xfId="1" applyFont="1" applyFill="1" applyBorder="1"/>
    <xf numFmtId="169" fontId="53" fillId="7" borderId="13" xfId="5" applyNumberFormat="1" applyFont="1" applyFill="1" applyBorder="1"/>
    <xf numFmtId="219" fontId="48" fillId="7" borderId="0" xfId="6" applyFont="1" applyFill="1" applyAlignment="1">
      <alignment vertical="top"/>
    </xf>
    <xf numFmtId="219" fontId="70" fillId="7" borderId="0" xfId="6" applyFont="1" applyFill="1" applyBorder="1" applyAlignment="1">
      <alignment vertical="center"/>
    </xf>
    <xf numFmtId="219" fontId="53" fillId="0" borderId="0" xfId="0" applyFont="1"/>
    <xf numFmtId="170" fontId="0" fillId="0" borderId="0" xfId="0" applyNumberFormat="1"/>
    <xf numFmtId="1" fontId="0" fillId="0" borderId="0" xfId="0" applyNumberFormat="1"/>
    <xf numFmtId="219" fontId="53" fillId="0" borderId="19" xfId="0" applyFont="1" applyFill="1" applyBorder="1"/>
    <xf numFmtId="170" fontId="53" fillId="0" borderId="13" xfId="0" applyNumberFormat="1" applyFont="1" applyFill="1" applyBorder="1"/>
    <xf numFmtId="219" fontId="53" fillId="0" borderId="74" xfId="0" applyFont="1" applyFill="1" applyBorder="1"/>
    <xf numFmtId="9" fontId="53" fillId="0" borderId="74" xfId="1" applyFont="1" applyFill="1" applyBorder="1"/>
    <xf numFmtId="9" fontId="54" fillId="7" borderId="13" xfId="1" applyFont="1" applyFill="1" applyBorder="1"/>
    <xf numFmtId="43" fontId="54" fillId="3" borderId="0" xfId="0" applyNumberFormat="1" applyFont="1" applyFill="1" applyBorder="1"/>
    <xf numFmtId="169" fontId="54" fillId="7" borderId="13" xfId="5" applyNumberFormat="1" applyFont="1" applyFill="1" applyBorder="1"/>
    <xf numFmtId="219" fontId="0" fillId="0" borderId="0" xfId="0" applyBorder="1"/>
    <xf numFmtId="9" fontId="0" fillId="0" borderId="0" xfId="1" applyFont="1"/>
    <xf numFmtId="219" fontId="0" fillId="0" borderId="0" xfId="0" applyAlignment="1">
      <alignment horizontal="center"/>
    </xf>
    <xf numFmtId="219" fontId="69" fillId="3" borderId="22" xfId="6" applyFont="1" applyFill="1" applyBorder="1" applyAlignment="1">
      <alignment horizontal="center" vertical="center" wrapText="1"/>
    </xf>
    <xf numFmtId="219" fontId="69" fillId="3" borderId="35" xfId="6" applyFont="1" applyFill="1" applyBorder="1" applyAlignment="1">
      <alignment horizontal="center" vertical="center" wrapText="1"/>
    </xf>
    <xf numFmtId="219" fontId="0" fillId="3" borderId="12" xfId="0" applyFill="1" applyBorder="1" applyAlignment="1">
      <alignment horizontal="left" indent="1"/>
    </xf>
    <xf numFmtId="219" fontId="80" fillId="0" borderId="0" xfId="0" applyFont="1"/>
    <xf numFmtId="1" fontId="80" fillId="0" borderId="13" xfId="0" applyNumberFormat="1" applyFont="1" applyFill="1" applyBorder="1"/>
    <xf numFmtId="168" fontId="63" fillId="0" borderId="23" xfId="8" applyNumberFormat="1" applyFont="1" applyFill="1" applyBorder="1" applyAlignment="1">
      <alignment vertical="center"/>
    </xf>
    <xf numFmtId="167" fontId="69" fillId="3" borderId="20" xfId="8" applyNumberFormat="1" applyFont="1" applyFill="1" applyBorder="1" applyAlignment="1">
      <alignment horizontal="center" wrapText="1"/>
    </xf>
    <xf numFmtId="219" fontId="64" fillId="7" borderId="0" xfId="6" applyFont="1" applyFill="1" applyBorder="1" applyAlignment="1">
      <alignment vertical="center"/>
    </xf>
    <xf numFmtId="219" fontId="86" fillId="7" borderId="0" xfId="9" applyFont="1" applyFill="1"/>
    <xf numFmtId="167" fontId="65" fillId="7" borderId="0" xfId="8" applyNumberFormat="1" applyFont="1" applyFill="1"/>
    <xf numFmtId="169" fontId="86" fillId="5" borderId="37" xfId="5" applyNumberFormat="1" applyFont="1" applyFill="1" applyBorder="1"/>
    <xf numFmtId="169" fontId="86" fillId="6" borderId="37" xfId="5" applyNumberFormat="1" applyFont="1" applyFill="1" applyBorder="1"/>
    <xf numFmtId="41" fontId="35" fillId="0" borderId="13" xfId="0" applyNumberFormat="1" applyFont="1" applyFill="1" applyBorder="1"/>
    <xf numFmtId="41" fontId="54" fillId="0" borderId="13" xfId="0" applyNumberFormat="1" applyFont="1" applyFill="1" applyBorder="1"/>
    <xf numFmtId="219" fontId="52" fillId="3" borderId="18" xfId="6" applyNumberFormat="1" applyFont="1" applyFill="1" applyBorder="1" applyAlignment="1">
      <alignment vertical="center"/>
    </xf>
    <xf numFmtId="169" fontId="63" fillId="0" borderId="28" xfId="5" applyNumberFormat="1" applyFont="1" applyFill="1" applyBorder="1" applyAlignment="1">
      <alignment vertical="center"/>
    </xf>
    <xf numFmtId="166" fontId="69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53" fillId="43" borderId="0" xfId="1" applyFont="1" applyFill="1"/>
    <xf numFmtId="9" fontId="99" fillId="43" borderId="0" xfId="1" applyFont="1" applyFill="1"/>
    <xf numFmtId="1" fontId="53" fillId="43" borderId="0" xfId="0" applyNumberFormat="1" applyFont="1" applyFill="1"/>
    <xf numFmtId="1" fontId="99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44" fillId="0" borderId="0" xfId="0" applyFont="1"/>
    <xf numFmtId="168" fontId="33" fillId="43" borderId="0" xfId="5" applyNumberFormat="1" applyFont="1" applyFill="1"/>
    <xf numFmtId="168" fontId="100" fillId="43" borderId="0" xfId="5" applyNumberFormat="1" applyFont="1" applyFill="1"/>
    <xf numFmtId="168" fontId="53" fillId="43" borderId="0" xfId="5" applyNumberFormat="1" applyFont="1" applyFill="1"/>
    <xf numFmtId="168" fontId="99" fillId="43" borderId="0" xfId="5" applyNumberFormat="1" applyFont="1" applyFill="1"/>
    <xf numFmtId="219" fontId="245" fillId="0" borderId="0" xfId="0" applyFont="1"/>
    <xf numFmtId="219" fontId="54" fillId="0" borderId="0" xfId="0" applyFont="1" applyAlignment="1">
      <alignment horizontal="right"/>
    </xf>
    <xf numFmtId="219" fontId="53" fillId="0" borderId="84" xfId="0" applyFont="1" applyFill="1" applyBorder="1"/>
    <xf numFmtId="41" fontId="46" fillId="3" borderId="0" xfId="0" applyNumberFormat="1" applyFont="1" applyFill="1" applyBorder="1"/>
    <xf numFmtId="9" fontId="35" fillId="0" borderId="0" xfId="1" applyFont="1" applyFill="1" applyBorder="1"/>
    <xf numFmtId="219" fontId="33" fillId="7" borderId="0" xfId="0" applyFont="1" applyFill="1"/>
    <xf numFmtId="219" fontId="0" fillId="7" borderId="0" xfId="0" applyFill="1"/>
    <xf numFmtId="219" fontId="35" fillId="7" borderId="0" xfId="0" applyFont="1" applyFill="1"/>
    <xf numFmtId="41" fontId="35" fillId="3" borderId="0" xfId="0" applyNumberFormat="1" applyFont="1" applyFill="1" applyBorder="1"/>
    <xf numFmtId="41" fontId="85" fillId="3" borderId="0" xfId="0" applyNumberFormat="1" applyFont="1" applyFill="1" applyBorder="1"/>
    <xf numFmtId="41" fontId="54" fillId="3" borderId="0" xfId="0" applyNumberFormat="1" applyFont="1" applyFill="1" applyBorder="1"/>
    <xf numFmtId="41" fontId="56" fillId="3" borderId="0" xfId="0" applyNumberFormat="1" applyFont="1" applyFill="1" applyBorder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48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4" fontId="69" fillId="3" borderId="43" xfId="0" applyNumberFormat="1" applyFont="1" applyFill="1" applyBorder="1" applyAlignment="1">
      <alignment horizontal="right" indent="1"/>
    </xf>
    <xf numFmtId="219" fontId="238" fillId="9" borderId="0" xfId="0" applyFont="1" applyFill="1" applyAlignment="1">
      <alignment horizontal="right"/>
    </xf>
    <xf numFmtId="168" fontId="33" fillId="9" borderId="0" xfId="5" applyNumberFormat="1" applyFont="1" applyFill="1"/>
    <xf numFmtId="168" fontId="100" fillId="9" borderId="0" xfId="5" applyNumberFormat="1" applyFont="1" applyFill="1"/>
    <xf numFmtId="168" fontId="0" fillId="9" borderId="0" xfId="5" applyNumberFormat="1" applyFont="1" applyFill="1"/>
    <xf numFmtId="168" fontId="34" fillId="9" borderId="0" xfId="5" applyNumberFormat="1" applyFont="1" applyFill="1"/>
    <xf numFmtId="1" fontId="0" fillId="9" borderId="0" xfId="0" applyNumberFormat="1" applyFill="1"/>
    <xf numFmtId="170" fontId="0" fillId="9" borderId="0" xfId="0" applyNumberFormat="1" applyFill="1"/>
    <xf numFmtId="170" fontId="34" fillId="9" borderId="0" xfId="0" applyNumberFormat="1" applyFont="1" applyFill="1"/>
    <xf numFmtId="219" fontId="0" fillId="0" borderId="0" xfId="0" applyAlignment="1">
      <alignment horizontal="center" vertical="center"/>
    </xf>
    <xf numFmtId="219" fontId="0" fillId="0" borderId="0" xfId="0" applyBorder="1" applyAlignment="1">
      <alignment horizontal="center" vertical="center"/>
    </xf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50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49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5" xfId="0" applyBorder="1" applyAlignment="1" applyProtection="1">
      <alignment horizontal="center" vertical="center"/>
    </xf>
    <xf numFmtId="219" fontId="0" fillId="0" borderId="85" xfId="0" applyBorder="1" applyProtection="1"/>
    <xf numFmtId="219" fontId="248" fillId="0" borderId="0" xfId="0" applyFont="1" applyBorder="1" applyAlignment="1" applyProtection="1">
      <alignment horizontal="center"/>
    </xf>
    <xf numFmtId="219" fontId="248" fillId="0" borderId="0" xfId="0" applyFont="1" applyAlignment="1" applyProtection="1">
      <alignment horizontal="center" vertical="center"/>
    </xf>
    <xf numFmtId="219" fontId="248" fillId="0" borderId="0" xfId="0" applyFont="1" applyBorder="1" applyAlignment="1" applyProtection="1">
      <alignment horizontal="center" vertical="center"/>
    </xf>
    <xf numFmtId="219" fontId="248" fillId="0" borderId="0" xfId="0" applyFont="1" applyProtection="1"/>
    <xf numFmtId="219" fontId="53" fillId="8" borderId="0" xfId="0" applyFont="1" applyFill="1" applyAlignment="1" applyProtection="1">
      <alignment horizontal="center" vertical="center"/>
    </xf>
    <xf numFmtId="219" fontId="53" fillId="8" borderId="0" xfId="0" applyFont="1" applyFill="1" applyBorder="1" applyAlignment="1" applyProtection="1">
      <alignment horizontal="center" vertical="center"/>
    </xf>
    <xf numFmtId="219" fontId="53" fillId="8" borderId="0" xfId="0" applyFont="1" applyFill="1" applyAlignment="1" applyProtection="1">
      <alignment horizontal="right" vertical="center"/>
    </xf>
    <xf numFmtId="219" fontId="53" fillId="8" borderId="0" xfId="0" applyFont="1" applyFill="1" applyProtection="1"/>
    <xf numFmtId="170" fontId="0" fillId="0" borderId="85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5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48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48" fillId="0" borderId="0" xfId="1" applyFont="1" applyAlignment="1" applyProtection="1">
      <alignment horizontal="center" vertical="center"/>
    </xf>
    <xf numFmtId="9" fontId="0" fillId="0" borderId="85" xfId="1" applyFont="1" applyBorder="1" applyAlignment="1" applyProtection="1">
      <alignment horizontal="center" vertical="center"/>
    </xf>
    <xf numFmtId="170" fontId="0" fillId="0" borderId="85" xfId="0" applyNumberFormat="1" applyBorder="1" applyAlignment="1" applyProtection="1">
      <alignment horizontal="center" vertical="center"/>
    </xf>
    <xf numFmtId="1" fontId="0" fillId="0" borderId="85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44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67" fillId="3" borderId="39" xfId="6" applyFont="1" applyFill="1" applyBorder="1" applyAlignment="1">
      <alignment horizontal="left" vertical="center"/>
    </xf>
    <xf numFmtId="219" fontId="66" fillId="3" borderId="26" xfId="6" applyFont="1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/>
    </xf>
    <xf numFmtId="9" fontId="0" fillId="3" borderId="0" xfId="0" applyNumberFormat="1" applyFill="1" applyBorder="1" applyAlignment="1">
      <alignment horizontal="center" vertical="center"/>
    </xf>
    <xf numFmtId="170" fontId="0" fillId="3" borderId="0" xfId="0" applyNumberForma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3" fontId="253" fillId="3" borderId="43" xfId="0" applyNumberFormat="1" applyFont="1" applyFill="1" applyBorder="1" applyAlignment="1">
      <alignment horizontal="right" indent="1"/>
    </xf>
    <xf numFmtId="170" fontId="0" fillId="3" borderId="88" xfId="0" applyNumberFormat="1" applyFill="1" applyBorder="1" applyAlignment="1">
      <alignment horizontal="center" vertical="center"/>
    </xf>
    <xf numFmtId="9" fontId="0" fillId="3" borderId="88" xfId="0" applyNumberFormat="1" applyFill="1" applyBorder="1" applyAlignment="1">
      <alignment horizontal="center" vertical="center"/>
    </xf>
    <xf numFmtId="1" fontId="0" fillId="3" borderId="88" xfId="0" applyNumberFormat="1" applyFill="1" applyBorder="1" applyAlignment="1">
      <alignment horizontal="center" vertical="center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1" fontId="53" fillId="3" borderId="0" xfId="0" applyNumberFormat="1" applyFont="1" applyFill="1" applyBorder="1"/>
    <xf numFmtId="43" fontId="41" fillId="3" borderId="0" xfId="0" applyNumberFormat="1" applyFont="1" applyFill="1" applyBorder="1"/>
    <xf numFmtId="169" fontId="41" fillId="7" borderId="13" xfId="5" applyNumberFormat="1" applyFont="1" applyFill="1" applyBorder="1"/>
    <xf numFmtId="219" fontId="63" fillId="3" borderId="87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horizontal="left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219" fontId="41" fillId="0" borderId="0" xfId="0" applyFont="1" applyBorder="1" applyAlignment="1">
      <alignment horizontal="left" indent="1"/>
    </xf>
    <xf numFmtId="43" fontId="0" fillId="3" borderId="0" xfId="5" applyNumberFormat="1" applyFont="1" applyFill="1"/>
    <xf numFmtId="168" fontId="0" fillId="3" borderId="0" xfId="0" applyNumberFormat="1" applyFill="1"/>
    <xf numFmtId="167" fontId="69" fillId="3" borderId="34" xfId="8" applyNumberFormat="1" applyFont="1" applyFill="1" applyBorder="1" applyAlignment="1">
      <alignment horizontal="center" vertical="center" wrapText="1"/>
    </xf>
    <xf numFmtId="219" fontId="66" fillId="3" borderId="18" xfId="6" applyFont="1" applyFill="1" applyBorder="1" applyAlignment="1">
      <alignment horizontal="left" vertical="center" wrapText="1"/>
    </xf>
    <xf numFmtId="9" fontId="63" fillId="0" borderId="29" xfId="7" applyNumberFormat="1" applyFont="1" applyFill="1" applyBorder="1" applyAlignment="1">
      <alignment horizontal="right" vertical="center"/>
    </xf>
    <xf numFmtId="168" fontId="63" fillId="0" borderId="23" xfId="5" applyNumberFormat="1" applyFont="1" applyFill="1" applyBorder="1" applyAlignment="1">
      <alignment vertical="center"/>
    </xf>
    <xf numFmtId="219" fontId="32" fillId="0" borderId="0" xfId="9" applyFont="1"/>
    <xf numFmtId="219" fontId="32" fillId="0" borderId="0" xfId="9" applyFont="1" applyAlignment="1">
      <alignment horizontal="center" vertical="center"/>
    </xf>
    <xf numFmtId="9" fontId="86" fillId="5" borderId="42" xfId="7" applyNumberFormat="1" applyFont="1" applyFill="1" applyBorder="1" applyAlignment="1">
      <alignment horizontal="center" vertical="center"/>
    </xf>
    <xf numFmtId="9" fontId="86" fillId="6" borderId="42" xfId="7" applyNumberFormat="1" applyFont="1" applyFill="1" applyBorder="1" applyAlignment="1">
      <alignment horizontal="center" vertical="center"/>
    </xf>
    <xf numFmtId="219" fontId="86" fillId="0" borderId="0" xfId="9" applyFont="1" applyAlignment="1">
      <alignment horizontal="right" vertical="center"/>
    </xf>
    <xf numFmtId="168" fontId="63" fillId="7" borderId="23" xfId="5" applyNumberFormat="1" applyFont="1" applyFill="1" applyBorder="1" applyAlignment="1">
      <alignment vertical="center"/>
    </xf>
    <xf numFmtId="167" fontId="69" fillId="3" borderId="22" xfId="8" applyNumberFormat="1" applyFont="1" applyFill="1" applyBorder="1" applyAlignment="1">
      <alignment horizontal="center" vertical="center" wrapText="1"/>
    </xf>
    <xf numFmtId="170" fontId="63" fillId="7" borderId="78" xfId="6" applyNumberFormat="1" applyFont="1" applyFill="1" applyBorder="1" applyAlignment="1">
      <alignment vertical="center"/>
    </xf>
    <xf numFmtId="17" fontId="38" fillId="7" borderId="0" xfId="0" applyNumberFormat="1" applyFont="1" applyFill="1" applyAlignment="1">
      <alignment horizontal="center"/>
    </xf>
    <xf numFmtId="168" fontId="54" fillId="7" borderId="13" xfId="5" applyNumberFormat="1" applyFont="1" applyFill="1" applyBorder="1"/>
    <xf numFmtId="9" fontId="54" fillId="0" borderId="74" xfId="1" applyFont="1" applyFill="1" applyBorder="1"/>
    <xf numFmtId="41" fontId="54" fillId="0" borderId="13" xfId="0" applyNumberFormat="1" applyFont="1" applyFill="1" applyBorder="1" applyAlignment="1">
      <alignment horizontal="right"/>
    </xf>
    <xf numFmtId="219" fontId="250" fillId="0" borderId="0" xfId="6" applyFont="1" applyBorder="1"/>
    <xf numFmtId="219" fontId="259" fillId="0" borderId="0" xfId="9" applyFont="1"/>
    <xf numFmtId="166" fontId="259" fillId="0" borderId="0" xfId="7" applyNumberFormat="1" applyFont="1"/>
    <xf numFmtId="167" fontId="259" fillId="0" borderId="0" xfId="8" applyNumberFormat="1" applyFont="1"/>
    <xf numFmtId="4" fontId="69" fillId="3" borderId="43" xfId="0" applyNumberFormat="1" applyFont="1" applyFill="1" applyBorder="1" applyAlignment="1">
      <alignment horizontal="right" vertical="center"/>
    </xf>
    <xf numFmtId="219" fontId="0" fillId="8" borderId="0" xfId="0" applyFill="1"/>
    <xf numFmtId="219" fontId="260" fillId="0" borderId="0" xfId="6" applyFont="1" applyAlignment="1">
      <alignment vertical="top"/>
    </xf>
    <xf numFmtId="219" fontId="65" fillId="0" borderId="0" xfId="9" applyFont="1" applyAlignment="1">
      <alignment horizontal="center"/>
    </xf>
    <xf numFmtId="168" fontId="41" fillId="3" borderId="0" xfId="0" applyNumberFormat="1" applyFont="1" applyFill="1" applyBorder="1"/>
    <xf numFmtId="168" fontId="69" fillId="0" borderId="13" xfId="8" applyNumberFormat="1" applyFont="1" applyFill="1" applyBorder="1" applyAlignment="1">
      <alignment horizontal="right" vertical="center"/>
    </xf>
    <xf numFmtId="168" fontId="69" fillId="0" borderId="21" xfId="8" applyNumberFormat="1" applyFont="1" applyFill="1" applyBorder="1" applyAlignment="1">
      <alignment horizontal="right" vertical="center"/>
    </xf>
    <xf numFmtId="219" fontId="64" fillId="0" borderId="0" xfId="6" applyFont="1" applyFill="1" applyBorder="1" applyAlignment="1"/>
    <xf numFmtId="219" fontId="243" fillId="3" borderId="41" xfId="6" applyFont="1" applyFill="1" applyBorder="1" applyAlignment="1">
      <alignment horizontal="left"/>
    </xf>
    <xf numFmtId="219" fontId="89" fillId="3" borderId="38" xfId="6" applyFont="1" applyFill="1" applyBorder="1" applyAlignment="1">
      <alignment horizontal="left"/>
    </xf>
    <xf numFmtId="219" fontId="99" fillId="0" borderId="0" xfId="6" applyFont="1" applyFill="1" applyBorder="1" applyAlignment="1"/>
    <xf numFmtId="219" fontId="261" fillId="3" borderId="9" xfId="6" applyFont="1" applyFill="1" applyBorder="1" applyAlignment="1">
      <alignment horizontal="left"/>
    </xf>
    <xf numFmtId="219" fontId="90" fillId="3" borderId="10" xfId="6" applyFont="1" applyFill="1" applyBorder="1" applyAlignment="1">
      <alignment horizontal="left" wrapText="1"/>
    </xf>
    <xf numFmtId="9" fontId="41" fillId="3" borderId="0" xfId="1" applyFont="1" applyFill="1" applyBorder="1"/>
    <xf numFmtId="167" fontId="248" fillId="0" borderId="0" xfId="8" applyNumberFormat="1" applyFont="1"/>
    <xf numFmtId="219" fontId="262" fillId="0" borderId="0" xfId="9" applyFont="1"/>
    <xf numFmtId="41" fontId="66" fillId="0" borderId="13" xfId="8" applyNumberFormat="1" applyFont="1" applyFill="1" applyBorder="1" applyAlignment="1">
      <alignment horizontal="right"/>
    </xf>
    <xf numFmtId="219" fontId="63" fillId="3" borderId="12" xfId="6" applyFont="1" applyFill="1" applyBorder="1" applyAlignment="1">
      <alignment horizontal="center" vertical="center"/>
    </xf>
    <xf numFmtId="41" fontId="90" fillId="7" borderId="97" xfId="6" applyNumberFormat="1" applyFont="1" applyFill="1" applyBorder="1" applyAlignment="1">
      <alignment horizontal="right" wrapText="1"/>
    </xf>
    <xf numFmtId="219" fontId="63" fillId="7" borderId="41" xfId="6" applyFont="1" applyFill="1" applyBorder="1" applyAlignment="1">
      <alignment horizontal="center" vertical="center"/>
    </xf>
    <xf numFmtId="219" fontId="67" fillId="7" borderId="38" xfId="6" applyFont="1" applyFill="1" applyBorder="1" applyAlignment="1">
      <alignment horizontal="left" vertical="center"/>
    </xf>
    <xf numFmtId="219" fontId="67" fillId="7" borderId="38" xfId="6" applyFont="1" applyFill="1" applyBorder="1" applyAlignment="1">
      <alignment vertical="center"/>
    </xf>
    <xf numFmtId="168" fontId="66" fillId="7" borderId="39" xfId="8" applyNumberFormat="1" applyFont="1" applyFill="1" applyBorder="1" applyAlignment="1">
      <alignment horizontal="right" vertical="center"/>
    </xf>
    <xf numFmtId="9" fontId="69" fillId="7" borderId="39" xfId="1" applyFont="1" applyFill="1" applyBorder="1" applyAlignment="1">
      <alignment horizontal="right" vertical="center"/>
    </xf>
    <xf numFmtId="168" fontId="69" fillId="0" borderId="93" xfId="8" applyNumberFormat="1" applyFont="1" applyFill="1" applyBorder="1" applyAlignment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1" fontId="267" fillId="0" borderId="0" xfId="0" applyNumberFormat="1" applyFont="1"/>
    <xf numFmtId="9" fontId="53" fillId="0" borderId="0" xfId="1" applyFont="1" applyAlignment="1" applyProtection="1">
      <alignment horizontal="right" vertical="center"/>
    </xf>
    <xf numFmtId="219" fontId="63" fillId="0" borderId="87" xfId="6" applyFont="1" applyFill="1" applyBorder="1" applyAlignment="1">
      <alignment horizontal="center" vertical="center"/>
    </xf>
    <xf numFmtId="219" fontId="67" fillId="0" borderId="39" xfId="6" applyFont="1" applyFill="1" applyBorder="1" applyAlignment="1">
      <alignment horizontal="left" vertical="center"/>
    </xf>
    <xf numFmtId="219" fontId="63" fillId="8" borderId="87" xfId="6" applyFont="1" applyFill="1" applyBorder="1" applyAlignment="1">
      <alignment horizontal="center" vertical="center"/>
    </xf>
    <xf numFmtId="219" fontId="67" fillId="8" borderId="39" xfId="6" applyFont="1" applyFill="1" applyBorder="1" applyAlignment="1">
      <alignment horizontal="left" vertical="center"/>
    </xf>
    <xf numFmtId="170" fontId="63" fillId="8" borderId="78" xfId="6" applyNumberFormat="1" applyFont="1" applyFill="1" applyBorder="1" applyAlignment="1">
      <alignment vertical="center"/>
    </xf>
    <xf numFmtId="169" fontId="63" fillId="8" borderId="28" xfId="5" applyNumberFormat="1" applyFont="1" applyFill="1" applyBorder="1" applyAlignment="1">
      <alignment vertical="center"/>
    </xf>
    <xf numFmtId="169" fontId="63" fillId="8" borderId="23" xfId="5" applyNumberFormat="1" applyFont="1" applyFill="1" applyBorder="1" applyAlignment="1">
      <alignment vertical="center"/>
    </xf>
    <xf numFmtId="168" fontId="63" fillId="8" borderId="23" xfId="8" applyNumberFormat="1" applyFont="1" applyFill="1" applyBorder="1" applyAlignment="1">
      <alignment vertical="center"/>
    </xf>
    <xf numFmtId="9" fontId="63" fillId="8" borderId="19" xfId="7" applyNumberFormat="1" applyFont="1" applyFill="1" applyBorder="1" applyAlignment="1">
      <alignment horizontal="right" vertical="center"/>
    </xf>
    <xf numFmtId="169" fontId="63" fillId="8" borderId="36" xfId="5" applyNumberFormat="1" applyFont="1" applyFill="1" applyBorder="1" applyAlignment="1">
      <alignment horizontal="right" vertical="center"/>
    </xf>
    <xf numFmtId="168" fontId="63" fillId="8" borderId="28" xfId="8" applyNumberFormat="1" applyFont="1" applyFill="1" applyBorder="1" applyAlignment="1">
      <alignment horizontal="center" vertical="center"/>
    </xf>
    <xf numFmtId="168" fontId="63" fillId="8" borderId="19" xfId="8" applyNumberFormat="1" applyFont="1" applyFill="1" applyBorder="1" applyAlignment="1">
      <alignment horizontal="center" vertical="center"/>
    </xf>
    <xf numFmtId="168" fontId="63" fillId="8" borderId="19" xfId="5" applyNumberFormat="1" applyFont="1" applyFill="1" applyBorder="1" applyAlignment="1">
      <alignment vertical="center"/>
    </xf>
    <xf numFmtId="168" fontId="63" fillId="8" borderId="23" xfId="5" applyNumberFormat="1" applyFont="1" applyFill="1" applyBorder="1" applyAlignment="1">
      <alignment vertical="center"/>
    </xf>
    <xf numFmtId="9" fontId="63" fillId="8" borderId="75" xfId="7" applyNumberFormat="1" applyFont="1" applyFill="1" applyBorder="1" applyAlignment="1">
      <alignment horizontal="right" vertical="center"/>
    </xf>
    <xf numFmtId="168" fontId="63" fillId="8" borderId="28" xfId="5" applyNumberFormat="1" applyFont="1" applyFill="1" applyBorder="1" applyAlignment="1">
      <alignment vertical="center"/>
    </xf>
    <xf numFmtId="9" fontId="63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89" fillId="7" borderId="0" xfId="6" applyFont="1" applyFill="1" applyBorder="1" applyAlignment="1">
      <alignment horizontal="right" vertical="center"/>
    </xf>
    <xf numFmtId="219" fontId="248" fillId="0" borderId="0" xfId="0" applyFont="1" applyAlignment="1">
      <alignment horizontal="center"/>
    </xf>
    <xf numFmtId="219" fontId="268" fillId="0" borderId="0" xfId="9" applyFont="1" applyAlignment="1">
      <alignment horizontal="center"/>
    </xf>
    <xf numFmtId="219" fontId="269" fillId="8" borderId="38" xfId="6" applyFont="1" applyFill="1" applyBorder="1" applyAlignment="1">
      <alignment horizontal="left" vertical="center"/>
    </xf>
    <xf numFmtId="219" fontId="269" fillId="8" borderId="38" xfId="6" applyFont="1" applyFill="1" applyBorder="1" applyAlignment="1">
      <alignment horizontal="center" vertical="center"/>
    </xf>
    <xf numFmtId="219" fontId="269" fillId="8" borderId="106" xfId="6" applyFont="1" applyFill="1" applyBorder="1" applyAlignment="1">
      <alignment horizontal="center" vertical="center"/>
    </xf>
    <xf numFmtId="219" fontId="269" fillId="0" borderId="38" xfId="6" applyFont="1" applyFill="1" applyBorder="1" applyAlignment="1">
      <alignment horizontal="left" vertical="center"/>
    </xf>
    <xf numFmtId="219" fontId="269" fillId="0" borderId="38" xfId="6" applyFont="1" applyFill="1" applyBorder="1" applyAlignment="1">
      <alignment horizontal="center" vertical="center"/>
    </xf>
    <xf numFmtId="219" fontId="269" fillId="0" borderId="106" xfId="6" applyFont="1" applyFill="1" applyBorder="1" applyAlignment="1">
      <alignment horizontal="center" vertical="center"/>
    </xf>
    <xf numFmtId="219" fontId="268" fillId="0" borderId="107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68" fillId="0" borderId="0" xfId="9" applyFont="1" applyAlignment="1">
      <alignment horizontal="right"/>
    </xf>
    <xf numFmtId="170" fontId="53" fillId="3" borderId="0" xfId="0" applyNumberFormat="1" applyFont="1" applyFill="1" applyBorder="1" applyAlignment="1">
      <alignment horizontal="center" vertical="center"/>
    </xf>
    <xf numFmtId="1" fontId="53" fillId="3" borderId="0" xfId="0" applyNumberFormat="1" applyFont="1" applyFill="1" applyBorder="1" applyAlignment="1">
      <alignment horizontal="center" vertical="center"/>
    </xf>
    <xf numFmtId="9" fontId="53" fillId="3" borderId="0" xfId="0" applyNumberFormat="1" applyFont="1" applyFill="1" applyBorder="1" applyAlignment="1">
      <alignment horizontal="center" vertical="center"/>
    </xf>
    <xf numFmtId="168" fontId="63" fillId="0" borderId="29" xfId="5" applyNumberFormat="1" applyFont="1" applyFill="1" applyBorder="1" applyAlignment="1">
      <alignment vertical="center"/>
    </xf>
    <xf numFmtId="168" fontId="63" fillId="8" borderId="29" xfId="5" applyNumberFormat="1" applyFont="1" applyFill="1" applyBorder="1" applyAlignment="1">
      <alignment vertical="center"/>
    </xf>
    <xf numFmtId="9" fontId="41" fillId="0" borderId="0" xfId="1" applyFont="1" applyAlignment="1" applyProtection="1">
      <alignment horizontal="right" vertical="center"/>
    </xf>
    <xf numFmtId="219" fontId="33" fillId="0" borderId="0" xfId="0" applyFont="1" applyBorder="1" applyAlignment="1" applyProtection="1">
      <alignment horizontal="left" indent="1"/>
    </xf>
    <xf numFmtId="170" fontId="33" fillId="0" borderId="0" xfId="0" applyNumberFormat="1" applyFont="1" applyAlignment="1" applyProtection="1">
      <alignment horizontal="center" vertical="center"/>
    </xf>
    <xf numFmtId="219" fontId="33" fillId="0" borderId="0" xfId="0" applyFont="1" applyBorder="1" applyAlignment="1" applyProtection="1">
      <alignment horizontal="center" vertical="center"/>
    </xf>
    <xf numFmtId="219" fontId="33" fillId="0" borderId="0" xfId="0" applyFont="1" applyAlignment="1" applyProtection="1">
      <alignment horizontal="center" vertical="center"/>
    </xf>
    <xf numFmtId="219" fontId="33" fillId="0" borderId="0" xfId="0" applyFont="1" applyProtection="1"/>
    <xf numFmtId="219" fontId="0" fillId="0" borderId="0" xfId="0" applyFont="1"/>
    <xf numFmtId="170" fontId="82" fillId="0" borderId="13" xfId="0" applyNumberFormat="1" applyFont="1" applyFill="1" applyBorder="1" applyAlignment="1">
      <alignment horizontal="center"/>
    </xf>
    <xf numFmtId="219" fontId="271" fillId="3" borderId="12" xfId="0" applyFont="1" applyFill="1" applyBorder="1" applyAlignment="1">
      <alignment horizontal="left" indent="1"/>
    </xf>
    <xf numFmtId="219" fontId="272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9"/>
    </xf>
    <xf numFmtId="9" fontId="53" fillId="3" borderId="0" xfId="1" applyFont="1" applyFill="1" applyBorder="1" applyAlignment="1">
      <alignment horizontal="center" vertical="center"/>
    </xf>
    <xf numFmtId="219" fontId="265" fillId="0" borderId="0" xfId="0" applyFont="1"/>
    <xf numFmtId="219" fontId="58" fillId="0" borderId="0" xfId="0" applyFont="1" applyAlignment="1">
      <alignment horizontal="left" indent="2"/>
    </xf>
    <xf numFmtId="9" fontId="39" fillId="3" borderId="0" xfId="1" applyFont="1" applyFill="1" applyBorder="1" applyAlignment="1">
      <alignment horizontal="left"/>
    </xf>
    <xf numFmtId="219" fontId="53" fillId="0" borderId="0" xfId="0" applyFont="1" applyBorder="1" applyAlignment="1">
      <alignment horizontal="left" indent="1"/>
    </xf>
    <xf numFmtId="219" fontId="53" fillId="0" borderId="0" xfId="0" applyFont="1" applyBorder="1" applyAlignment="1">
      <alignment vertical="center"/>
    </xf>
    <xf numFmtId="219" fontId="62" fillId="11" borderId="20" xfId="6" applyFont="1" applyFill="1" applyBorder="1" applyAlignment="1">
      <alignment horizontal="center" vertical="center" wrapText="1"/>
    </xf>
    <xf numFmtId="219" fontId="62" fillId="8" borderId="20" xfId="6" applyFont="1" applyFill="1" applyBorder="1" applyAlignment="1">
      <alignment horizontal="center" vertical="center" wrapText="1"/>
    </xf>
    <xf numFmtId="219" fontId="46" fillId="3" borderId="26" xfId="6" applyFont="1" applyFill="1" applyBorder="1" applyAlignment="1">
      <alignment vertical="center"/>
    </xf>
    <xf numFmtId="219" fontId="46" fillId="3" borderId="18" xfId="6" applyFont="1" applyFill="1" applyBorder="1" applyAlignment="1">
      <alignment vertical="center"/>
    </xf>
    <xf numFmtId="219" fontId="46" fillId="3" borderId="27" xfId="6" applyFont="1" applyFill="1" applyBorder="1" applyAlignment="1">
      <alignment vertical="center"/>
    </xf>
    <xf numFmtId="1" fontId="54" fillId="3" borderId="0" xfId="0" applyNumberFormat="1" applyFont="1" applyFill="1" applyBorder="1" applyAlignment="1">
      <alignment horizontal="center" vertical="center"/>
    </xf>
    <xf numFmtId="219" fontId="53" fillId="0" borderId="0" xfId="0" applyFont="1" applyAlignment="1">
      <alignment horizontal="center" vertical="center"/>
    </xf>
    <xf numFmtId="168" fontId="63" fillId="0" borderId="109" xfId="8" applyNumberFormat="1" applyFont="1" applyFill="1" applyBorder="1" applyAlignment="1">
      <alignment horizontal="center" vertical="center"/>
    </xf>
    <xf numFmtId="168" fontId="63" fillId="8" borderId="109" xfId="8" applyNumberFormat="1" applyFont="1" applyFill="1" applyBorder="1" applyAlignment="1">
      <alignment horizontal="center" vertical="center"/>
    </xf>
    <xf numFmtId="219" fontId="27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79" fillId="0" borderId="0" xfId="1059" applyFont="1"/>
    <xf numFmtId="41" fontId="281" fillId="8" borderId="110" xfId="1060" applyNumberFormat="1" applyFont="1" applyFill="1" applyBorder="1" applyAlignment="1">
      <alignment horizontal="center" vertical="center"/>
    </xf>
    <xf numFmtId="41" fontId="281" fillId="0" borderId="110" xfId="1060" applyNumberFormat="1" applyFont="1" applyFill="1" applyBorder="1" applyAlignment="1">
      <alignment horizontal="center" vertical="center"/>
    </xf>
    <xf numFmtId="1" fontId="130" fillId="7" borderId="0" xfId="1060" applyNumberFormat="1" applyFont="1" applyFill="1" applyBorder="1" applyAlignment="1">
      <alignment horizontal="center"/>
    </xf>
    <xf numFmtId="170" fontId="130" fillId="7" borderId="0" xfId="1060" applyNumberFormat="1" applyFont="1" applyFill="1" applyBorder="1" applyAlignment="1">
      <alignment horizontal="right"/>
    </xf>
    <xf numFmtId="170" fontId="130" fillId="7" borderId="0" xfId="1060" applyNumberFormat="1" applyFont="1" applyFill="1" applyBorder="1" applyAlignment="1"/>
    <xf numFmtId="41" fontId="130" fillId="0" borderId="110" xfId="1060" applyNumberFormat="1" applyFont="1" applyFill="1" applyBorder="1" applyAlignment="1">
      <alignment horizontal="center" vertical="center"/>
    </xf>
    <xf numFmtId="41" fontId="130" fillId="8" borderId="110" xfId="1060" applyNumberFormat="1" applyFont="1" applyFill="1" applyBorder="1" applyAlignment="1">
      <alignment horizontal="center" vertical="center"/>
    </xf>
    <xf numFmtId="167" fontId="283" fillId="0" borderId="0" xfId="8" applyNumberFormat="1" applyFont="1"/>
    <xf numFmtId="219" fontId="283" fillId="0" borderId="0" xfId="9" applyFont="1"/>
    <xf numFmtId="43" fontId="85" fillId="0" borderId="0" xfId="0" applyNumberFormat="1" applyFont="1"/>
    <xf numFmtId="3" fontId="285" fillId="3" borderId="14" xfId="0" applyNumberFormat="1" applyFont="1" applyFill="1" applyBorder="1" applyAlignment="1">
      <alignment horizontal="center" vertical="center"/>
    </xf>
    <xf numFmtId="3" fontId="285" fillId="3" borderId="14" xfId="0" applyNumberFormat="1" applyFont="1" applyFill="1" applyBorder="1" applyAlignment="1">
      <alignment horizontal="center"/>
    </xf>
    <xf numFmtId="9" fontId="285" fillId="3" borderId="14" xfId="0" applyNumberFormat="1" applyFont="1" applyFill="1" applyBorder="1" applyAlignment="1">
      <alignment horizontal="center"/>
    </xf>
    <xf numFmtId="170" fontId="285" fillId="3" borderId="14" xfId="0" applyNumberFormat="1" applyFont="1" applyFill="1" applyBorder="1" applyAlignment="1">
      <alignment horizontal="center" vertical="center"/>
    </xf>
    <xf numFmtId="219" fontId="286" fillId="0" borderId="0" xfId="0" applyFont="1" applyAlignment="1">
      <alignment horizontal="center" wrapText="1"/>
    </xf>
    <xf numFmtId="219" fontId="286" fillId="3" borderId="10" xfId="0" applyFont="1" applyFill="1" applyBorder="1"/>
    <xf numFmtId="219" fontId="289" fillId="3" borderId="41" xfId="6" applyFont="1" applyFill="1" applyBorder="1" applyAlignment="1">
      <alignment horizontal="center" vertical="center"/>
    </xf>
    <xf numFmtId="219" fontId="290" fillId="3" borderId="38" xfId="6" applyFont="1" applyFill="1" applyBorder="1" applyAlignment="1">
      <alignment horizontal="left" vertical="center"/>
    </xf>
    <xf numFmtId="219" fontId="290" fillId="3" borderId="40" xfId="6" applyFont="1" applyFill="1" applyBorder="1" applyAlignment="1">
      <alignment horizontal="left" vertical="center"/>
    </xf>
    <xf numFmtId="168" fontId="63" fillId="8" borderId="115" xfId="8" applyNumberFormat="1" applyFont="1" applyFill="1" applyBorder="1" applyAlignment="1">
      <alignment horizontal="center" vertical="center"/>
    </xf>
    <xf numFmtId="168" fontId="63" fillId="0" borderId="115" xfId="8" applyNumberFormat="1" applyFont="1" applyFill="1" applyBorder="1" applyAlignment="1">
      <alignment horizontal="center" vertical="center"/>
    </xf>
    <xf numFmtId="219" fontId="294" fillId="46" borderId="110" xfId="1060" applyFont="1" applyFill="1" applyBorder="1" applyAlignment="1">
      <alignment horizontal="center" vertical="center" wrapText="1"/>
    </xf>
    <xf numFmtId="219" fontId="248" fillId="0" borderId="0" xfId="0" applyFont="1" applyBorder="1" applyAlignment="1">
      <alignment horizontal="center"/>
    </xf>
    <xf numFmtId="219" fontId="295" fillId="7" borderId="38" xfId="6" applyFont="1" applyFill="1" applyBorder="1" applyAlignment="1">
      <alignment horizontal="left" vertical="center"/>
    </xf>
    <xf numFmtId="219" fontId="295" fillId="7" borderId="38" xfId="6" applyFont="1" applyFill="1" applyBorder="1" applyAlignment="1">
      <alignment horizontal="center" vertical="center"/>
    </xf>
    <xf numFmtId="219" fontId="295" fillId="7" borderId="106" xfId="6" applyFont="1" applyFill="1" applyBorder="1" applyAlignment="1">
      <alignment horizontal="center" vertical="center"/>
    </xf>
    <xf numFmtId="166" fontId="283" fillId="0" borderId="0" xfId="7" applyNumberFormat="1" applyFont="1"/>
    <xf numFmtId="219" fontId="295" fillId="8" borderId="38" xfId="6" applyFont="1" applyFill="1" applyBorder="1" applyAlignment="1">
      <alignment horizontal="left" vertical="center"/>
    </xf>
    <xf numFmtId="219" fontId="295" fillId="8" borderId="38" xfId="6" applyFont="1" applyFill="1" applyBorder="1" applyAlignment="1">
      <alignment horizontal="center" vertical="center"/>
    </xf>
    <xf numFmtId="219" fontId="295" fillId="8" borderId="106" xfId="6" applyFont="1" applyFill="1" applyBorder="1" applyAlignment="1">
      <alignment horizontal="center" vertical="center"/>
    </xf>
    <xf numFmtId="219" fontId="296" fillId="0" borderId="0" xfId="9" applyFont="1" applyAlignment="1">
      <alignment horizontal="center"/>
    </xf>
    <xf numFmtId="219" fontId="296" fillId="0" borderId="105" xfId="9" applyFont="1" applyBorder="1" applyAlignment="1">
      <alignment horizontal="center"/>
    </xf>
    <xf numFmtId="1" fontId="0" fillId="0" borderId="85" xfId="0" applyNumberFormat="1" applyBorder="1" applyAlignment="1" applyProtection="1">
      <alignment horizontal="right" vertical="center"/>
    </xf>
    <xf numFmtId="43" fontId="54" fillId="0" borderId="0" xfId="0" applyNumberFormat="1" applyFont="1"/>
    <xf numFmtId="168" fontId="63" fillId="0" borderId="108" xfId="8" applyNumberFormat="1" applyFont="1" applyFill="1" applyBorder="1" applyAlignment="1">
      <alignment horizontal="center" vertical="center"/>
    </xf>
    <xf numFmtId="168" fontId="63" fillId="8" borderId="108" xfId="8" applyNumberFormat="1" applyFont="1" applyFill="1" applyBorder="1" applyAlignment="1">
      <alignment horizontal="center" vertical="center"/>
    </xf>
    <xf numFmtId="219" fontId="248" fillId="0" borderId="0" xfId="9" applyFont="1" applyAlignment="1">
      <alignment horizontal="left" vertical="center"/>
    </xf>
    <xf numFmtId="219" fontId="34" fillId="0" borderId="0" xfId="9" applyFont="1"/>
    <xf numFmtId="219" fontId="28" fillId="0" borderId="0" xfId="1059" applyFont="1"/>
    <xf numFmtId="41" fontId="130" fillId="0" borderId="110" xfId="1060" applyNumberFormat="1" applyFont="1" applyFill="1" applyBorder="1" applyAlignment="1">
      <alignment horizontal="right" vertical="center"/>
    </xf>
    <xf numFmtId="41" fontId="130" fillId="8" borderId="110" xfId="1060" applyNumberFormat="1" applyFont="1" applyFill="1" applyBorder="1" applyAlignment="1">
      <alignment horizontal="right" vertical="center"/>
    </xf>
    <xf numFmtId="169" fontId="63" fillId="8" borderId="117" xfId="5" applyNumberFormat="1" applyFont="1" applyFill="1" applyBorder="1" applyAlignment="1">
      <alignment horizontal="right" vertical="center"/>
    </xf>
    <xf numFmtId="169" fontId="63" fillId="7" borderId="117" xfId="5" applyNumberFormat="1" applyFont="1" applyFill="1" applyBorder="1" applyAlignment="1">
      <alignment horizontal="right" vertical="center"/>
    </xf>
    <xf numFmtId="9" fontId="63" fillId="7" borderId="75" xfId="7" applyNumberFormat="1" applyFont="1" applyFill="1" applyBorder="1" applyAlignment="1">
      <alignment horizontal="right" vertical="center"/>
    </xf>
    <xf numFmtId="219" fontId="32" fillId="3" borderId="15" xfId="9" applyFont="1" applyFill="1" applyBorder="1" applyAlignment="1">
      <alignment horizontal="center" vertical="center"/>
    </xf>
    <xf numFmtId="219" fontId="32" fillId="3" borderId="16" xfId="9" applyFont="1" applyFill="1" applyBorder="1" applyAlignment="1">
      <alignment horizontal="center" vertical="center"/>
    </xf>
    <xf numFmtId="219" fontId="248" fillId="3" borderId="16" xfId="9" applyFont="1" applyFill="1" applyBorder="1" applyAlignment="1">
      <alignment horizontal="left" vertical="center"/>
    </xf>
    <xf numFmtId="168" fontId="248" fillId="0" borderId="118" xfId="9" applyNumberFormat="1" applyFont="1" applyBorder="1" applyAlignment="1">
      <alignment horizontal="center" vertical="center"/>
    </xf>
    <xf numFmtId="168" fontId="248" fillId="0" borderId="16" xfId="9" applyNumberFormat="1" applyFont="1" applyBorder="1" applyAlignment="1">
      <alignment horizontal="center" vertical="center"/>
    </xf>
    <xf numFmtId="9" fontId="64" fillId="0" borderId="82" xfId="7" applyNumberFormat="1" applyFont="1" applyFill="1" applyBorder="1" applyAlignment="1">
      <alignment horizontal="right" vertical="center"/>
    </xf>
    <xf numFmtId="168" fontId="64" fillId="0" borderId="118" xfId="5" applyNumberFormat="1" applyFont="1" applyFill="1" applyBorder="1" applyAlignment="1">
      <alignment horizontal="center" vertical="center"/>
    </xf>
    <xf numFmtId="168" fontId="64" fillId="0" borderId="81" xfId="5" applyNumberFormat="1" applyFont="1" applyFill="1" applyBorder="1" applyAlignment="1">
      <alignment horizontal="center" vertical="center"/>
    </xf>
    <xf numFmtId="219" fontId="65" fillId="0" borderId="40" xfId="9" applyFont="1" applyFill="1" applyBorder="1"/>
    <xf numFmtId="168" fontId="65" fillId="0" borderId="40" xfId="9" applyNumberFormat="1" applyFont="1" applyFill="1" applyBorder="1"/>
    <xf numFmtId="219" fontId="65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3" fillId="2" borderId="0" xfId="0" applyNumberFormat="1" applyFont="1" applyFill="1"/>
    <xf numFmtId="9" fontId="55" fillId="0" borderId="0" xfId="1" applyFont="1" applyAlignment="1" applyProtection="1">
      <alignment horizontal="right" vertical="center"/>
    </xf>
    <xf numFmtId="9" fontId="249" fillId="0" borderId="0" xfId="1" applyFont="1" applyAlignment="1" applyProtection="1">
      <alignment horizontal="right" vertical="center"/>
    </xf>
    <xf numFmtId="9" fontId="69" fillId="0" borderId="13" xfId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left" vertical="center"/>
    </xf>
    <xf numFmtId="15" fontId="281" fillId="8" borderId="110" xfId="1060" applyNumberFormat="1" applyFont="1" applyFill="1" applyBorder="1" applyAlignment="1">
      <alignment horizontal="center" vertical="center"/>
    </xf>
    <xf numFmtId="15" fontId="281" fillId="0" borderId="110" xfId="1060" applyNumberFormat="1" applyFont="1" applyFill="1" applyBorder="1" applyAlignment="1">
      <alignment horizontal="left" vertical="center"/>
    </xf>
    <xf numFmtId="15" fontId="281" fillId="0" borderId="110" xfId="1060" applyNumberFormat="1" applyFont="1" applyFill="1" applyBorder="1" applyAlignment="1">
      <alignment horizontal="center" vertical="center"/>
    </xf>
    <xf numFmtId="168" fontId="63" fillId="8" borderId="78" xfId="5" applyNumberFormat="1" applyFont="1" applyFill="1" applyBorder="1" applyAlignment="1">
      <alignment vertical="center"/>
    </xf>
    <xf numFmtId="168" fontId="63" fillId="7" borderId="78" xfId="5" applyNumberFormat="1" applyFont="1" applyFill="1" applyBorder="1" applyAlignment="1">
      <alignment vertical="center"/>
    </xf>
    <xf numFmtId="219" fontId="76" fillId="4" borderId="0" xfId="0" quotePrefix="1" applyFont="1" applyFill="1" applyAlignment="1">
      <alignment horizontal="right"/>
    </xf>
    <xf numFmtId="219" fontId="294" fillId="46" borderId="119" xfId="1060" applyFont="1" applyFill="1" applyBorder="1" applyAlignment="1">
      <alignment horizontal="center" vertical="center" wrapText="1"/>
    </xf>
    <xf numFmtId="41" fontId="130" fillId="0" borderId="122" xfId="1060" applyNumberFormat="1" applyFont="1" applyFill="1" applyBorder="1" applyAlignment="1">
      <alignment horizontal="right" vertical="center"/>
    </xf>
    <xf numFmtId="9" fontId="130" fillId="0" borderId="123" xfId="1" applyFont="1" applyFill="1" applyBorder="1" applyAlignment="1">
      <alignment horizontal="right" vertical="center"/>
    </xf>
    <xf numFmtId="41" fontId="130" fillId="8" borderId="122" xfId="1060" applyNumberFormat="1" applyFont="1" applyFill="1" applyBorder="1" applyAlignment="1">
      <alignment horizontal="right" vertical="center"/>
    </xf>
    <xf numFmtId="9" fontId="130" fillId="8" borderId="123" xfId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center" vertical="center"/>
    </xf>
    <xf numFmtId="41" fontId="281" fillId="0" borderId="123" xfId="1060" applyNumberFormat="1" applyFont="1" applyFill="1" applyBorder="1" applyAlignment="1">
      <alignment horizontal="center" vertical="center"/>
    </xf>
    <xf numFmtId="41" fontId="281" fillId="8" borderId="122" xfId="1060" applyNumberFormat="1" applyFont="1" applyFill="1" applyBorder="1" applyAlignment="1">
      <alignment horizontal="center" vertical="center"/>
    </xf>
    <xf numFmtId="41" fontId="281" fillId="8" borderId="123" xfId="1060" applyNumberFormat="1" applyFont="1" applyFill="1" applyBorder="1" applyAlignment="1">
      <alignment horizontal="center" vertical="center"/>
    </xf>
    <xf numFmtId="219" fontId="300" fillId="47" borderId="122" xfId="1060" applyFont="1" applyFill="1" applyBorder="1" applyAlignment="1">
      <alignment horizontal="center" vertical="center" wrapText="1"/>
    </xf>
    <xf numFmtId="219" fontId="300" fillId="47" borderId="110" xfId="1060" applyFont="1" applyFill="1" applyBorder="1" applyAlignment="1">
      <alignment horizontal="center" vertical="center" wrapText="1"/>
    </xf>
    <xf numFmtId="219" fontId="300" fillId="47" borderId="123" xfId="1060" applyFont="1" applyFill="1" applyBorder="1" applyAlignment="1">
      <alignment horizontal="center" vertical="center" wrapText="1"/>
    </xf>
    <xf numFmtId="219" fontId="27" fillId="0" borderId="0" xfId="1059" applyFont="1"/>
    <xf numFmtId="9" fontId="0" fillId="0" borderId="0" xfId="0" applyNumberFormat="1"/>
    <xf numFmtId="219" fontId="33" fillId="0" borderId="0" xfId="0" pivotButton="1" applyFont="1"/>
    <xf numFmtId="219" fontId="246" fillId="0" borderId="0" xfId="0" applyFont="1"/>
    <xf numFmtId="219" fontId="248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77" fillId="7" borderId="0" xfId="0" applyFont="1" applyFill="1" applyBorder="1" applyAlignment="1">
      <alignment vertical="center"/>
    </xf>
    <xf numFmtId="219" fontId="29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77" fillId="7" borderId="0" xfId="0" applyFont="1" applyFill="1" applyBorder="1" applyAlignment="1"/>
    <xf numFmtId="219" fontId="41" fillId="3" borderId="145" xfId="6" applyFont="1" applyFill="1" applyBorder="1" applyAlignment="1">
      <alignment vertical="center"/>
    </xf>
    <xf numFmtId="219" fontId="41" fillId="3" borderId="146" xfId="6" applyFont="1" applyFill="1" applyBorder="1" applyAlignment="1">
      <alignment vertical="center"/>
    </xf>
    <xf numFmtId="219" fontId="41" fillId="3" borderId="103" xfId="6" applyFont="1" applyFill="1" applyBorder="1" applyAlignment="1">
      <alignment vertical="center"/>
    </xf>
    <xf numFmtId="219" fontId="33" fillId="3" borderId="98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69" fillId="3" borderId="118" xfId="6" applyFont="1" applyFill="1" applyBorder="1" applyAlignment="1">
      <alignment horizontal="center" vertical="center" wrapText="1"/>
    </xf>
    <xf numFmtId="219" fontId="69" fillId="11" borderId="80" xfId="6" applyFont="1" applyFill="1" applyBorder="1" applyAlignment="1">
      <alignment horizontal="center" vertical="center" wrapText="1"/>
    </xf>
    <xf numFmtId="219" fontId="69" fillId="8" borderId="80" xfId="6" applyFont="1" applyFill="1" applyBorder="1" applyAlignment="1">
      <alignment horizontal="center" vertical="center" wrapText="1"/>
    </xf>
    <xf numFmtId="219" fontId="69" fillId="42" borderId="80" xfId="6" applyFont="1" applyFill="1" applyBorder="1" applyAlignment="1">
      <alignment horizontal="center" vertical="center" wrapText="1"/>
    </xf>
    <xf numFmtId="219" fontId="69" fillId="42" borderId="17" xfId="6" applyFont="1" applyFill="1" applyBorder="1" applyAlignment="1">
      <alignment horizontal="center" vertical="center" wrapText="1"/>
    </xf>
    <xf numFmtId="219" fontId="234" fillId="3" borderId="118" xfId="6" applyFont="1" applyFill="1" applyBorder="1" applyAlignment="1">
      <alignment horizontal="center" vertical="center" wrapText="1"/>
    </xf>
    <xf numFmtId="219" fontId="69" fillId="3" borderId="80" xfId="6" applyFont="1" applyFill="1" applyBorder="1" applyAlignment="1">
      <alignment horizontal="center" vertical="center" wrapText="1"/>
    </xf>
    <xf numFmtId="219" fontId="69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53" fillId="0" borderId="102" xfId="1" applyFont="1" applyFill="1" applyBorder="1" applyAlignment="1">
      <alignment horizontal="center" vertical="center"/>
    </xf>
    <xf numFmtId="219" fontId="27" fillId="0" borderId="148" xfId="1059" applyFont="1" applyBorder="1"/>
    <xf numFmtId="219" fontId="27" fillId="0" borderId="149" xfId="1059" applyFont="1" applyBorder="1"/>
    <xf numFmtId="219" fontId="301" fillId="0" borderId="147" xfId="1059" applyFont="1" applyBorder="1" applyAlignment="1">
      <alignment horizontal="left" vertical="center"/>
    </xf>
    <xf numFmtId="219" fontId="0" fillId="0" borderId="72" xfId="0" applyBorder="1"/>
    <xf numFmtId="219" fontId="27" fillId="0" borderId="149" xfId="1059" applyFont="1" applyBorder="1" applyAlignment="1">
      <alignment horizontal="center" vertical="center"/>
    </xf>
    <xf numFmtId="219" fontId="30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30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9" fontId="54" fillId="3" borderId="0" xfId="0" applyNumberFormat="1" applyFont="1" applyFill="1" applyBorder="1" applyAlignment="1">
      <alignment horizontal="center" vertical="center"/>
    </xf>
    <xf numFmtId="170" fontId="54" fillId="3" borderId="0" xfId="0" applyNumberFormat="1" applyFont="1" applyFill="1" applyBorder="1" applyAlignment="1">
      <alignment horizontal="center" vertical="center"/>
    </xf>
    <xf numFmtId="9" fontId="54" fillId="3" borderId="0" xfId="1" applyFont="1" applyFill="1" applyBorder="1" applyAlignment="1">
      <alignment horizontal="center" vertical="center"/>
    </xf>
    <xf numFmtId="41" fontId="66" fillId="7" borderId="24" xfId="8" applyNumberFormat="1" applyFont="1" applyFill="1" applyBorder="1" applyAlignment="1">
      <alignment horizontal="right"/>
    </xf>
    <xf numFmtId="219" fontId="28" fillId="0" borderId="149" xfId="1059" applyFont="1" applyBorder="1"/>
    <xf numFmtId="15" fontId="281" fillId="0" borderId="110" xfId="1060" applyNumberFormat="1" applyFont="1" applyFill="1" applyBorder="1" applyAlignment="1">
      <alignment horizontal="right" vertical="center"/>
    </xf>
    <xf numFmtId="41" fontId="281" fillId="0" borderId="110" xfId="1060" applyNumberFormat="1" applyFont="1" applyFill="1" applyBorder="1" applyAlignment="1">
      <alignment horizontal="right" vertical="center"/>
    </xf>
    <xf numFmtId="41" fontId="281" fillId="8" borderId="110" xfId="1060" applyNumberFormat="1" applyFont="1" applyFill="1" applyBorder="1" applyAlignment="1">
      <alignment horizontal="right" vertical="center"/>
    </xf>
    <xf numFmtId="219" fontId="234" fillId="3" borderId="91" xfId="6" applyFont="1" applyFill="1" applyBorder="1" applyAlignment="1">
      <alignment horizontal="center" vertical="center" wrapText="1"/>
    </xf>
    <xf numFmtId="219" fontId="69" fillId="3" borderId="92" xfId="6" applyFont="1" applyFill="1" applyBorder="1" applyAlignment="1">
      <alignment horizontal="center" vertical="center" wrapText="1"/>
    </xf>
    <xf numFmtId="219" fontId="69" fillId="11" borderId="92" xfId="6" applyFont="1" applyFill="1" applyBorder="1" applyAlignment="1">
      <alignment horizontal="center" vertical="center" wrapText="1"/>
    </xf>
    <xf numFmtId="219" fontId="69" fillId="11" borderId="90" xfId="6" applyFont="1" applyFill="1" applyBorder="1" applyAlignment="1">
      <alignment horizontal="center" vertical="center" wrapText="1"/>
    </xf>
    <xf numFmtId="41" fontId="90" fillId="3" borderId="30" xfId="6" applyNumberFormat="1" applyFont="1" applyFill="1" applyBorder="1" applyAlignment="1">
      <alignment horizontal="right" wrapText="1"/>
    </xf>
    <xf numFmtId="41" fontId="90" fillId="11" borderId="13" xfId="6" applyNumberFormat="1" applyFont="1" applyFill="1" applyBorder="1" applyAlignment="1">
      <alignment horizontal="right" wrapText="1"/>
    </xf>
    <xf numFmtId="168" fontId="69" fillId="3" borderId="30" xfId="8" applyNumberFormat="1" applyFont="1" applyFill="1" applyBorder="1" applyAlignment="1">
      <alignment horizontal="right" vertical="center"/>
    </xf>
    <xf numFmtId="219" fontId="64" fillId="3" borderId="12" xfId="6" applyFont="1" applyFill="1" applyBorder="1" applyAlignment="1">
      <alignment horizontal="center" vertical="center"/>
    </xf>
    <xf numFmtId="219" fontId="89" fillId="3" borderId="0" xfId="6" applyFont="1" applyFill="1" applyBorder="1" applyAlignment="1">
      <alignment horizontal="left" vertical="center"/>
    </xf>
    <xf numFmtId="219" fontId="67" fillId="3" borderId="39" xfId="6" applyFont="1" applyFill="1" applyBorder="1" applyAlignment="1">
      <alignment vertical="center"/>
    </xf>
    <xf numFmtId="9" fontId="97" fillId="11" borderId="100" xfId="7" applyFont="1" applyFill="1" applyBorder="1" applyAlignment="1">
      <alignment horizontal="right" vertical="center"/>
    </xf>
    <xf numFmtId="219" fontId="54" fillId="0" borderId="13" xfId="0" applyFont="1" applyBorder="1"/>
    <xf numFmtId="219" fontId="54" fillId="0" borderId="31" xfId="0" applyFont="1" applyBorder="1"/>
    <xf numFmtId="9" fontId="54" fillId="0" borderId="13" xfId="1" applyFont="1" applyBorder="1"/>
    <xf numFmtId="168" fontId="56" fillId="11" borderId="13" xfId="8" applyNumberFormat="1" applyFont="1" applyFill="1" applyBorder="1" applyAlignment="1">
      <alignment horizontal="right" vertical="center"/>
    </xf>
    <xf numFmtId="9" fontId="54" fillId="0" borderId="31" xfId="1" applyFont="1" applyBorder="1"/>
    <xf numFmtId="168" fontId="56" fillId="3" borderId="30" xfId="8" applyNumberFormat="1" applyFont="1" applyFill="1" applyBorder="1" applyAlignment="1">
      <alignment horizontal="right" vertical="center"/>
    </xf>
    <xf numFmtId="168" fontId="90" fillId="3" borderId="30" xfId="8" applyNumberFormat="1" applyFont="1" applyFill="1" applyBorder="1" applyAlignment="1">
      <alignment horizontal="right" vertical="center"/>
    </xf>
    <xf numFmtId="9" fontId="90" fillId="3" borderId="98" xfId="7" applyFont="1" applyFill="1" applyBorder="1" applyAlignment="1">
      <alignment horizontal="right" vertical="center"/>
    </xf>
    <xf numFmtId="219" fontId="54" fillId="0" borderId="100" xfId="0" applyFont="1" applyBorder="1"/>
    <xf numFmtId="219" fontId="54" fillId="0" borderId="101" xfId="0" applyFont="1" applyBorder="1"/>
    <xf numFmtId="9" fontId="56" fillId="7" borderId="39" xfId="7" applyFont="1" applyFill="1" applyBorder="1" applyAlignment="1">
      <alignment horizontal="right" vertical="center"/>
    </xf>
    <xf numFmtId="168" fontId="69" fillId="3" borderId="32" xfId="8" applyNumberFormat="1" applyFont="1" applyFill="1" applyBorder="1" applyAlignment="1">
      <alignment horizontal="right" vertical="center"/>
    </xf>
    <xf numFmtId="219" fontId="63" fillId="7" borderId="0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horizontal="left" vertical="center"/>
    </xf>
    <xf numFmtId="168" fontId="56" fillId="7" borderId="0" xfId="8" applyNumberFormat="1" applyFont="1" applyFill="1" applyBorder="1" applyAlignment="1">
      <alignment horizontal="right" vertical="center"/>
    </xf>
    <xf numFmtId="9" fontId="54" fillId="7" borderId="0" xfId="1" applyFont="1" applyFill="1" applyBorder="1"/>
    <xf numFmtId="219" fontId="263" fillId="48" borderId="96" xfId="6" applyFont="1" applyFill="1" applyBorder="1" applyAlignment="1">
      <alignment horizontal="center" vertical="center"/>
    </xf>
    <xf numFmtId="168" fontId="90" fillId="48" borderId="32" xfId="8" applyNumberFormat="1" applyFont="1" applyFill="1" applyBorder="1" applyAlignment="1">
      <alignment horizontal="right" vertical="center"/>
    </xf>
    <xf numFmtId="9" fontId="99" fillId="48" borderId="21" xfId="1" applyFont="1" applyFill="1" applyBorder="1"/>
    <xf numFmtId="168" fontId="90" fillId="48" borderId="21" xfId="8" applyNumberFormat="1" applyFont="1" applyFill="1" applyBorder="1" applyAlignment="1">
      <alignment horizontal="right" vertical="center"/>
    </xf>
    <xf numFmtId="9" fontId="99" fillId="48" borderId="33" xfId="1" applyFont="1" applyFill="1" applyBorder="1"/>
    <xf numFmtId="219" fontId="263" fillId="48" borderId="40" xfId="6" applyFont="1" applyFill="1" applyBorder="1" applyAlignment="1">
      <alignment horizontal="center" vertical="center"/>
    </xf>
    <xf numFmtId="168" fontId="90" fillId="48" borderId="30" xfId="8" applyNumberFormat="1" applyFont="1" applyFill="1" applyBorder="1" applyAlignment="1">
      <alignment horizontal="right" vertical="center"/>
    </xf>
    <xf numFmtId="9" fontId="99" fillId="48" borderId="13" xfId="1" applyFont="1" applyFill="1" applyBorder="1"/>
    <xf numFmtId="168" fontId="90" fillId="48" borderId="13" xfId="8" applyNumberFormat="1" applyFont="1" applyFill="1" applyBorder="1" applyAlignment="1">
      <alignment horizontal="right" vertical="center"/>
    </xf>
    <xf numFmtId="9" fontId="99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53" fillId="2" borderId="0" xfId="1" applyFont="1" applyFill="1" applyAlignment="1" applyProtection="1">
      <alignment horizontal="right" vertical="center"/>
    </xf>
    <xf numFmtId="9" fontId="54" fillId="43" borderId="13" xfId="1" applyFont="1" applyFill="1" applyBorder="1"/>
    <xf numFmtId="9" fontId="248" fillId="0" borderId="0" xfId="1" applyFont="1" applyFill="1" applyBorder="1"/>
    <xf numFmtId="219" fontId="300" fillId="47" borderId="151" xfId="1060" applyFont="1" applyFill="1" applyBorder="1" applyAlignment="1">
      <alignment horizontal="center" vertical="center" wrapText="1"/>
    </xf>
    <xf numFmtId="9" fontId="54" fillId="0" borderId="74" xfId="1" applyNumberFormat="1" applyFont="1" applyFill="1" applyBorder="1"/>
    <xf numFmtId="9" fontId="63" fillId="0" borderId="19" xfId="7" applyNumberFormat="1" applyFont="1" applyFill="1" applyBorder="1" applyAlignment="1">
      <alignment horizontal="center" vertical="center"/>
    </xf>
    <xf numFmtId="9" fontId="63" fillId="8" borderId="19" xfId="7" applyNumberFormat="1" applyFont="1" applyFill="1" applyBorder="1" applyAlignment="1">
      <alignment horizontal="center" vertical="center"/>
    </xf>
    <xf numFmtId="169" fontId="63" fillId="0" borderId="36" xfId="5" applyNumberFormat="1" applyFont="1" applyFill="1" applyBorder="1" applyAlignment="1">
      <alignment horizontal="center" vertical="center"/>
    </xf>
    <xf numFmtId="169" fontId="63" fillId="8" borderId="36" xfId="5" applyNumberFormat="1" applyFont="1" applyFill="1" applyBorder="1" applyAlignment="1">
      <alignment horizontal="center" vertical="center"/>
    </xf>
    <xf numFmtId="1" fontId="33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219" fontId="248" fillId="2" borderId="0" xfId="0" applyFont="1" applyFill="1"/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53" fillId="7" borderId="0" xfId="1" applyFont="1" applyFill="1" applyAlignment="1" applyProtection="1">
      <alignment horizontal="right" vertical="center"/>
    </xf>
    <xf numFmtId="9" fontId="0" fillId="7" borderId="85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53" fillId="49" borderId="0" xfId="1" applyFont="1" applyFill="1" applyAlignment="1" applyProtection="1">
      <alignment horizontal="right" vertical="center"/>
    </xf>
    <xf numFmtId="9" fontId="53" fillId="7" borderId="0" xfId="1" applyNumberFormat="1" applyFont="1" applyFill="1" applyAlignment="1" applyProtection="1">
      <alignment horizontal="right" vertical="center"/>
    </xf>
    <xf numFmtId="9" fontId="55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3" fillId="0" borderId="0" xfId="0" applyNumberFormat="1" applyFont="1"/>
    <xf numFmtId="219" fontId="234" fillId="3" borderId="93" xfId="6" applyFont="1" applyFill="1" applyBorder="1" applyAlignment="1">
      <alignment horizontal="center" vertical="center" wrapText="1"/>
    </xf>
    <xf numFmtId="41" fontId="90" fillId="3" borderId="24" xfId="6" applyNumberFormat="1" applyFont="1" applyFill="1" applyBorder="1" applyAlignment="1">
      <alignment horizontal="right" wrapText="1"/>
    </xf>
    <xf numFmtId="168" fontId="56" fillId="3" borderId="24" xfId="8" applyNumberFormat="1" applyFont="1" applyFill="1" applyBorder="1" applyAlignment="1">
      <alignment horizontal="right" vertical="center"/>
    </xf>
    <xf numFmtId="168" fontId="90" fillId="48" borderId="24" xfId="8" applyNumberFormat="1" applyFont="1" applyFill="1" applyBorder="1" applyAlignment="1">
      <alignment horizontal="right" vertical="center"/>
    </xf>
    <xf numFmtId="9" fontId="90" fillId="3" borderId="99" xfId="7" applyFont="1" applyFill="1" applyBorder="1" applyAlignment="1">
      <alignment horizontal="right" vertical="center"/>
    </xf>
    <xf numFmtId="168" fontId="90" fillId="48" borderId="25" xfId="8" applyNumberFormat="1" applyFont="1" applyFill="1" applyBorder="1" applyAlignment="1">
      <alignment horizontal="right" vertical="center"/>
    </xf>
    <xf numFmtId="219" fontId="54" fillId="0" borderId="0" xfId="0" applyFont="1" applyBorder="1"/>
    <xf numFmtId="219" fontId="54" fillId="0" borderId="14" xfId="0" applyFont="1" applyBorder="1"/>
    <xf numFmtId="1" fontId="281" fillId="8" borderId="110" xfId="1060" applyNumberFormat="1" applyFont="1" applyFill="1" applyBorder="1" applyAlignment="1">
      <alignment horizontal="right" vertical="center"/>
    </xf>
    <xf numFmtId="9" fontId="281" fillId="8" borderId="123" xfId="1" applyFont="1" applyFill="1" applyBorder="1" applyAlignment="1">
      <alignment horizontal="center" vertical="center"/>
    </xf>
    <xf numFmtId="9" fontId="281" fillId="0" borderId="123" xfId="1" applyFont="1" applyFill="1" applyBorder="1" applyAlignment="1">
      <alignment horizontal="center" vertical="center"/>
    </xf>
    <xf numFmtId="14" fontId="278" fillId="0" borderId="0" xfId="1059" applyNumberFormat="1" applyFont="1" applyAlignment="1">
      <alignment horizontal="center" vertical="center"/>
    </xf>
    <xf numFmtId="170" fontId="53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55" fillId="49" borderId="0" xfId="1" applyFont="1" applyFill="1" applyAlignment="1" applyProtection="1">
      <alignment horizontal="right" vertical="center"/>
    </xf>
    <xf numFmtId="9" fontId="53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63" fillId="7" borderId="78" xfId="6" applyNumberFormat="1" applyFont="1" applyFill="1" applyBorder="1" applyAlignment="1">
      <alignment vertical="center"/>
    </xf>
    <xf numFmtId="1" fontId="63" fillId="8" borderId="78" xfId="6" applyNumberFormat="1" applyFont="1" applyFill="1" applyBorder="1" applyAlignment="1">
      <alignment vertical="center"/>
    </xf>
    <xf numFmtId="9" fontId="302" fillId="47" borderId="110" xfId="1" applyFont="1" applyFill="1" applyBorder="1" applyAlignment="1">
      <alignment horizontal="center" vertical="center" wrapText="1"/>
    </xf>
    <xf numFmtId="9" fontId="302" fillId="47" borderId="123" xfId="1" applyFont="1" applyFill="1" applyBorder="1" applyAlignment="1">
      <alignment horizontal="center" vertical="center" wrapText="1"/>
    </xf>
    <xf numFmtId="219" fontId="263" fillId="3" borderId="40" xfId="6" applyFont="1" applyFill="1" applyBorder="1" applyAlignment="1">
      <alignment horizontal="center" vertical="center"/>
    </xf>
    <xf numFmtId="219" fontId="64" fillId="3" borderId="9" xfId="6" applyFont="1" applyFill="1" applyBorder="1" applyAlignment="1">
      <alignment vertical="center"/>
    </xf>
    <xf numFmtId="219" fontId="64" fillId="3" borderId="10" xfId="6" applyFont="1" applyFill="1" applyBorder="1" applyAlignment="1">
      <alignment vertical="center"/>
    </xf>
    <xf numFmtId="219" fontId="64" fillId="3" borderId="15" xfId="6" applyFont="1" applyFill="1" applyBorder="1" applyAlignment="1">
      <alignment vertical="center"/>
    </xf>
    <xf numFmtId="219" fontId="64" fillId="3" borderId="16" xfId="6" applyFont="1" applyFill="1" applyBorder="1" applyAlignment="1">
      <alignment vertical="center"/>
    </xf>
    <xf numFmtId="219" fontId="87" fillId="0" borderId="0" xfId="0" applyFont="1"/>
    <xf numFmtId="166" fontId="0" fillId="0" borderId="0" xfId="1" applyNumberFormat="1" applyFont="1" applyAlignment="1" applyProtection="1">
      <alignment horizontal="center" vertical="center"/>
    </xf>
    <xf numFmtId="170" fontId="0" fillId="7" borderId="85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9" fontId="69" fillId="43" borderId="24" xfId="1" applyFont="1" applyFill="1" applyBorder="1" applyAlignment="1">
      <alignment horizontal="right" vertical="center"/>
    </xf>
    <xf numFmtId="9" fontId="69" fillId="7" borderId="24" xfId="1" applyFont="1" applyFill="1" applyBorder="1" applyAlignment="1">
      <alignment horizontal="right" vertical="center"/>
    </xf>
    <xf numFmtId="9" fontId="69" fillId="7" borderId="25" xfId="1" applyFont="1" applyFill="1" applyBorder="1" applyAlignment="1">
      <alignment horizontal="right" vertical="center"/>
    </xf>
    <xf numFmtId="9" fontId="69" fillId="43" borderId="25" xfId="1" applyFont="1" applyFill="1" applyBorder="1" applyAlignment="1">
      <alignment horizontal="right" vertical="center"/>
    </xf>
    <xf numFmtId="9" fontId="69" fillId="0" borderId="93" xfId="1" applyFont="1" applyFill="1" applyBorder="1" applyAlignment="1">
      <alignment horizontal="right" vertical="center"/>
    </xf>
    <xf numFmtId="168" fontId="90" fillId="3" borderId="161" xfId="6" applyNumberFormat="1" applyFont="1" applyFill="1" applyBorder="1" applyAlignment="1">
      <alignment horizontal="right" wrapText="1"/>
    </xf>
    <xf numFmtId="41" fontId="90" fillId="7" borderId="162" xfId="6" applyNumberFormat="1" applyFont="1" applyFill="1" applyBorder="1" applyAlignment="1">
      <alignment horizontal="right" wrapText="1"/>
    </xf>
    <xf numFmtId="168" fontId="66" fillId="3" borderId="163" xfId="8" applyNumberFormat="1" applyFont="1" applyFill="1" applyBorder="1" applyAlignment="1">
      <alignment horizontal="right" vertical="center"/>
    </xf>
    <xf numFmtId="168" fontId="69" fillId="0" borderId="164" xfId="8" applyNumberFormat="1" applyFont="1" applyFill="1" applyBorder="1" applyAlignment="1">
      <alignment horizontal="right" vertical="center"/>
    </xf>
    <xf numFmtId="168" fontId="66" fillId="3" borderId="165" xfId="8" applyNumberFormat="1" applyFont="1" applyFill="1" applyBorder="1" applyAlignment="1">
      <alignment horizontal="right" vertical="center"/>
    </xf>
    <xf numFmtId="168" fontId="69" fillId="0" borderId="166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horizontal="right" vertical="center"/>
    </xf>
    <xf numFmtId="168" fontId="66" fillId="3" borderId="171" xfId="8" applyNumberFormat="1" applyFont="1" applyFill="1" applyBorder="1" applyAlignment="1">
      <alignment horizontal="right" vertical="center"/>
    </xf>
    <xf numFmtId="168" fontId="66" fillId="7" borderId="0" xfId="8" applyNumberFormat="1" applyFont="1" applyFill="1" applyBorder="1" applyAlignment="1">
      <alignment horizontal="right" vertical="center"/>
    </xf>
    <xf numFmtId="9" fontId="69" fillId="7" borderId="0" xfId="1" applyFont="1" applyFill="1" applyBorder="1" applyAlignment="1">
      <alignment horizontal="right" vertical="center"/>
    </xf>
    <xf numFmtId="41" fontId="66" fillId="3" borderId="173" xfId="8" applyNumberFormat="1" applyFont="1" applyFill="1" applyBorder="1" applyAlignment="1">
      <alignment horizontal="right"/>
    </xf>
    <xf numFmtId="41" fontId="66" fillId="7" borderId="174" xfId="8" applyNumberFormat="1" applyFont="1" applyFill="1" applyBorder="1" applyAlignment="1">
      <alignment horizontal="right"/>
    </xf>
    <xf numFmtId="41" fontId="66" fillId="0" borderId="175" xfId="8" applyNumberFormat="1" applyFont="1" applyFill="1" applyBorder="1" applyAlignment="1">
      <alignment horizontal="right"/>
    </xf>
    <xf numFmtId="41" fontId="66" fillId="0" borderId="176" xfId="8" applyNumberFormat="1" applyFont="1" applyFill="1" applyBorder="1" applyAlignment="1">
      <alignment horizontal="right"/>
    </xf>
    <xf numFmtId="168" fontId="69" fillId="0" borderId="172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vertical="center"/>
    </xf>
    <xf numFmtId="219" fontId="264" fillId="3" borderId="10" xfId="6" applyFont="1" applyFill="1" applyBorder="1" applyAlignment="1">
      <alignment horizontal="center" vertical="center"/>
    </xf>
    <xf numFmtId="219" fontId="264" fillId="3" borderId="16" xfId="6" applyFont="1" applyFill="1" applyBorder="1" applyAlignment="1">
      <alignment horizontal="center" vertical="center"/>
    </xf>
    <xf numFmtId="168" fontId="66" fillId="3" borderId="173" xfId="8" applyNumberFormat="1" applyFont="1" applyFill="1" applyBorder="1" applyAlignment="1">
      <alignment horizontal="right" vertical="center"/>
    </xf>
    <xf numFmtId="9" fontId="69" fillId="0" borderId="174" xfId="1" applyFont="1" applyFill="1" applyBorder="1" applyAlignment="1">
      <alignment horizontal="right" vertical="center"/>
    </xf>
    <xf numFmtId="168" fontId="69" fillId="0" borderId="174" xfId="8" applyNumberFormat="1" applyFont="1" applyFill="1" applyBorder="1" applyAlignment="1">
      <alignment horizontal="right" vertical="center"/>
    </xf>
    <xf numFmtId="168" fontId="69" fillId="0" borderId="177" xfId="8" applyNumberFormat="1" applyFont="1" applyFill="1" applyBorder="1" applyAlignment="1">
      <alignment horizontal="right" vertical="center"/>
    </xf>
    <xf numFmtId="219" fontId="46" fillId="3" borderId="112" xfId="6" applyFont="1" applyFill="1" applyBorder="1" applyAlignment="1">
      <alignment vertical="center"/>
    </xf>
    <xf numFmtId="219" fontId="46" fillId="3" borderId="113" xfId="6" applyFont="1" applyFill="1" applyBorder="1" applyAlignment="1">
      <alignment vertical="center"/>
    </xf>
    <xf numFmtId="219" fontId="46" fillId="3" borderId="114" xfId="6" applyFont="1" applyFill="1" applyBorder="1" applyAlignment="1">
      <alignment vertical="center"/>
    </xf>
    <xf numFmtId="168" fontId="66" fillId="3" borderId="179" xfId="8" applyNumberFormat="1" applyFont="1" applyFill="1" applyBorder="1" applyAlignment="1">
      <alignment horizontal="right" vertical="center"/>
    </xf>
    <xf numFmtId="9" fontId="69" fillId="0" borderId="42" xfId="1" applyFont="1" applyFill="1" applyBorder="1" applyAlignment="1">
      <alignment horizontal="right" vertical="center"/>
    </xf>
    <xf numFmtId="168" fontId="69" fillId="0" borderId="42" xfId="8" applyNumberFormat="1" applyFont="1" applyFill="1" applyBorder="1" applyAlignment="1">
      <alignment horizontal="right" vertical="center"/>
    </xf>
    <xf numFmtId="168" fontId="69" fillId="0" borderId="105" xfId="8" applyNumberFormat="1" applyFont="1" applyFill="1" applyBorder="1" applyAlignment="1">
      <alignment horizontal="right" vertical="center"/>
    </xf>
    <xf numFmtId="219" fontId="62" fillId="3" borderId="180" xfId="6" applyFont="1" applyFill="1" applyBorder="1" applyAlignment="1">
      <alignment horizontal="center" vertical="center" wrapText="1"/>
    </xf>
    <xf numFmtId="219" fontId="62" fillId="11" borderId="181" xfId="6" applyFont="1" applyFill="1" applyBorder="1" applyAlignment="1">
      <alignment horizontal="center" vertical="center" wrapText="1"/>
    </xf>
    <xf numFmtId="219" fontId="62" fillId="8" borderId="181" xfId="6" applyFont="1" applyFill="1" applyBorder="1" applyAlignment="1">
      <alignment horizontal="center" vertical="center" wrapText="1"/>
    </xf>
    <xf numFmtId="219" fontId="62" fillId="42" borderId="160" xfId="6" applyFont="1" applyFill="1" applyBorder="1" applyAlignment="1">
      <alignment horizontal="center" vertical="center" wrapText="1"/>
    </xf>
    <xf numFmtId="168" fontId="291" fillId="3" borderId="167" xfId="8" applyNumberFormat="1" applyFont="1" applyFill="1" applyBorder="1" applyAlignment="1">
      <alignment horizontal="right" vertical="center"/>
    </xf>
    <xf numFmtId="168" fontId="292" fillId="0" borderId="182" xfId="8" applyNumberFormat="1" applyFont="1" applyFill="1" applyBorder="1" applyAlignment="1">
      <alignment horizontal="right" vertical="center"/>
    </xf>
    <xf numFmtId="168" fontId="292" fillId="0" borderId="183" xfId="8" applyNumberFormat="1" applyFont="1" applyFill="1" applyBorder="1" applyAlignment="1">
      <alignment horizontal="right" vertical="center"/>
    </xf>
    <xf numFmtId="168" fontId="292" fillId="0" borderId="184" xfId="8" applyNumberFormat="1" applyFont="1" applyFill="1" applyBorder="1" applyAlignment="1">
      <alignment horizontal="right" vertical="center"/>
    </xf>
    <xf numFmtId="9" fontId="90" fillId="3" borderId="168" xfId="1" applyFont="1" applyFill="1" applyBorder="1" applyAlignment="1">
      <alignment horizontal="right" vertical="center" wrapText="1"/>
    </xf>
    <xf numFmtId="9" fontId="90" fillId="3" borderId="169" xfId="1" applyFont="1" applyFill="1" applyBorder="1" applyAlignment="1">
      <alignment horizontal="right" vertical="center" wrapText="1"/>
    </xf>
    <xf numFmtId="9" fontId="90" fillId="3" borderId="170" xfId="1" applyFont="1" applyFill="1" applyBorder="1" applyAlignment="1">
      <alignment horizontal="right" vertical="center" wrapText="1"/>
    </xf>
    <xf numFmtId="9" fontId="90" fillId="3" borderId="168" xfId="1" applyFont="1" applyFill="1" applyBorder="1" applyAlignment="1">
      <alignment vertical="center" wrapText="1"/>
    </xf>
    <xf numFmtId="9" fontId="90" fillId="3" borderId="169" xfId="1" applyFont="1" applyFill="1" applyBorder="1" applyAlignment="1">
      <alignment vertical="center" wrapText="1"/>
    </xf>
    <xf numFmtId="9" fontId="90" fillId="3" borderId="170" xfId="1" applyFont="1" applyFill="1" applyBorder="1" applyAlignment="1">
      <alignment vertical="center" wrapText="1"/>
    </xf>
    <xf numFmtId="15" fontId="281" fillId="0" borderId="119" xfId="1060" applyNumberFormat="1" applyFont="1" applyFill="1" applyBorder="1" applyAlignment="1">
      <alignment horizontal="right" vertical="center"/>
    </xf>
    <xf numFmtId="15" fontId="281" fillId="8" borderId="119" xfId="1060" applyNumberFormat="1" applyFont="1" applyFill="1" applyBorder="1" applyAlignment="1">
      <alignment horizontal="right" vertical="center"/>
    </xf>
    <xf numFmtId="219" fontId="300" fillId="47" borderId="122" xfId="1060" applyNumberFormat="1" applyFont="1" applyFill="1" applyBorder="1" applyAlignment="1">
      <alignment horizontal="center" vertical="center" wrapText="1"/>
    </xf>
    <xf numFmtId="219" fontId="299" fillId="0" borderId="0" xfId="0" applyFont="1" applyBorder="1"/>
    <xf numFmtId="17" fontId="35" fillId="0" borderId="83" xfId="0" applyNumberFormat="1" applyFont="1" applyBorder="1" applyAlignment="1">
      <alignment horizontal="center"/>
    </xf>
    <xf numFmtId="9" fontId="53" fillId="0" borderId="0" xfId="1" applyFont="1" applyBorder="1" applyAlignment="1">
      <alignment horizontal="center"/>
    </xf>
    <xf numFmtId="168" fontId="35" fillId="0" borderId="0" xfId="5" applyNumberFormat="1" applyFont="1" applyBorder="1" applyAlignment="1"/>
    <xf numFmtId="9" fontId="35" fillId="0" borderId="0" xfId="1" applyFont="1" applyBorder="1"/>
    <xf numFmtId="169" fontId="35" fillId="0" borderId="0" xfId="5" applyNumberFormat="1" applyFont="1" applyBorder="1"/>
    <xf numFmtId="168" fontId="35" fillId="0" borderId="0" xfId="5" applyNumberFormat="1" applyFont="1" applyBorder="1" applyAlignment="1">
      <alignment horizontal="center"/>
    </xf>
    <xf numFmtId="169" fontId="35" fillId="0" borderId="0" xfId="5" applyNumberFormat="1" applyFont="1" applyBorder="1" applyAlignment="1">
      <alignment horizontal="center"/>
    </xf>
    <xf numFmtId="1" fontId="35" fillId="0" borderId="0" xfId="0" applyNumberFormat="1" applyFont="1" applyBorder="1"/>
    <xf numFmtId="168" fontId="35" fillId="0" borderId="0" xfId="5" applyNumberFormat="1" applyFont="1" applyBorder="1"/>
    <xf numFmtId="168" fontId="35" fillId="0" borderId="43" xfId="5" applyNumberFormat="1" applyFont="1" applyBorder="1"/>
    <xf numFmtId="17" fontId="35" fillId="0" borderId="187" xfId="0" applyNumberFormat="1" applyFont="1" applyBorder="1" applyAlignment="1">
      <alignment horizontal="center"/>
    </xf>
    <xf numFmtId="168" fontId="35" fillId="0" borderId="86" xfId="5" applyNumberFormat="1" applyFont="1" applyBorder="1"/>
    <xf numFmtId="1" fontId="248" fillId="0" borderId="185" xfId="0" applyNumberFormat="1" applyFont="1" applyFill="1" applyBorder="1" applyAlignment="1">
      <alignment horizontal="center"/>
    </xf>
    <xf numFmtId="1" fontId="248" fillId="0" borderId="185" xfId="0" applyNumberFormat="1" applyFont="1" applyFill="1" applyBorder="1" applyAlignment="1"/>
    <xf numFmtId="9" fontId="248" fillId="7" borderId="185" xfId="1" applyFont="1" applyFill="1" applyBorder="1"/>
    <xf numFmtId="170" fontId="248" fillId="7" borderId="185" xfId="0" applyNumberFormat="1" applyFont="1" applyFill="1" applyBorder="1"/>
    <xf numFmtId="168" fontId="248" fillId="7" borderId="185" xfId="5" applyNumberFormat="1" applyFont="1" applyFill="1" applyBorder="1"/>
    <xf numFmtId="170" fontId="248" fillId="7" borderId="185" xfId="0" applyNumberFormat="1" applyFont="1" applyFill="1" applyBorder="1" applyAlignment="1">
      <alignment horizontal="right"/>
    </xf>
    <xf numFmtId="1" fontId="248" fillId="0" borderId="185" xfId="0" applyNumberFormat="1" applyFont="1" applyFill="1" applyBorder="1"/>
    <xf numFmtId="168" fontId="248" fillId="0" borderId="185" xfId="5" applyNumberFormat="1" applyFont="1" applyFill="1" applyBorder="1"/>
    <xf numFmtId="168" fontId="248" fillId="0" borderId="150" xfId="5" applyNumberFormat="1" applyFont="1" applyFill="1" applyBorder="1"/>
    <xf numFmtId="168" fontId="314" fillId="7" borderId="59" xfId="5" applyNumberFormat="1" applyFont="1" applyFill="1" applyBorder="1" applyAlignment="1">
      <alignment horizontal="center"/>
    </xf>
    <xf numFmtId="1" fontId="314" fillId="0" borderId="59" xfId="0" applyNumberFormat="1" applyFont="1" applyFill="1" applyBorder="1" applyAlignment="1">
      <alignment horizontal="right"/>
    </xf>
    <xf numFmtId="1" fontId="54" fillId="7" borderId="59" xfId="0" applyNumberFormat="1" applyFont="1" applyFill="1" applyBorder="1" applyAlignment="1">
      <alignment horizontal="right"/>
    </xf>
    <xf numFmtId="168" fontId="54" fillId="8" borderId="59" xfId="5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center"/>
    </xf>
    <xf numFmtId="9" fontId="54" fillId="8" borderId="59" xfId="0" applyNumberFormat="1" applyFont="1" applyFill="1" applyBorder="1" applyAlignment="1">
      <alignment horizontal="center"/>
    </xf>
    <xf numFmtId="1" fontId="54" fillId="0" borderId="59" xfId="0" applyNumberFormat="1" applyFont="1" applyBorder="1" applyAlignment="1">
      <alignment horizontal="center"/>
    </xf>
    <xf numFmtId="170" fontId="54" fillId="8" borderId="59" xfId="0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right"/>
    </xf>
    <xf numFmtId="168" fontId="314" fillId="7" borderId="128" xfId="5" applyNumberFormat="1" applyFont="1" applyFill="1" applyBorder="1" applyAlignment="1">
      <alignment horizontal="center"/>
    </xf>
    <xf numFmtId="1" fontId="314" fillId="0" borderId="128" xfId="0" applyNumberFormat="1" applyFont="1" applyFill="1" applyBorder="1" applyAlignment="1">
      <alignment horizontal="right"/>
    </xf>
    <xf numFmtId="1" fontId="54" fillId="7" borderId="128" xfId="0" applyNumberFormat="1" applyFont="1" applyFill="1" applyBorder="1" applyAlignment="1">
      <alignment horizontal="right"/>
    </xf>
    <xf numFmtId="168" fontId="54" fillId="8" borderId="128" xfId="5" applyNumberFormat="1" applyFont="1" applyFill="1" applyBorder="1" applyAlignment="1">
      <alignment horizontal="center"/>
    </xf>
    <xf numFmtId="168" fontId="314" fillId="0" borderId="128" xfId="5" applyNumberFormat="1" applyFont="1" applyBorder="1" applyAlignment="1">
      <alignment horizontal="center"/>
    </xf>
    <xf numFmtId="9" fontId="54" fillId="8" borderId="128" xfId="0" applyNumberFormat="1" applyFont="1" applyFill="1" applyBorder="1" applyAlignment="1">
      <alignment horizontal="center"/>
    </xf>
    <xf numFmtId="1" fontId="54" fillId="0" borderId="128" xfId="0" applyNumberFormat="1" applyFont="1" applyBorder="1" applyAlignment="1">
      <alignment horizontal="center"/>
    </xf>
    <xf numFmtId="170" fontId="54" fillId="8" borderId="128" xfId="0" applyNumberFormat="1" applyFont="1" applyFill="1" applyBorder="1" applyAlignment="1">
      <alignment horizontal="center"/>
    </xf>
    <xf numFmtId="168" fontId="54" fillId="0" borderId="128" xfId="5" applyNumberFormat="1" applyFont="1" applyBorder="1" applyAlignment="1">
      <alignment horizontal="right"/>
    </xf>
    <xf numFmtId="9" fontId="35" fillId="8" borderId="128" xfId="0" applyNumberFormat="1" applyFont="1" applyFill="1" applyBorder="1" applyAlignment="1">
      <alignment horizontal="center"/>
    </xf>
    <xf numFmtId="1" fontId="35" fillId="0" borderId="128" xfId="0" applyNumberFormat="1" applyFont="1" applyBorder="1" applyAlignment="1">
      <alignment horizontal="center"/>
    </xf>
    <xf numFmtId="170" fontId="35" fillId="8" borderId="128" xfId="0" applyNumberFormat="1" applyFont="1" applyFill="1" applyBorder="1" applyAlignment="1">
      <alignment horizontal="center"/>
    </xf>
    <xf numFmtId="168" fontId="35" fillId="0" borderId="128" xfId="5" applyNumberFormat="1" applyFont="1" applyBorder="1" applyAlignment="1">
      <alignment horizontal="right"/>
    </xf>
    <xf numFmtId="168" fontId="314" fillId="7" borderId="130" xfId="5" applyNumberFormat="1" applyFont="1" applyFill="1" applyBorder="1" applyAlignment="1">
      <alignment horizontal="center"/>
    </xf>
    <xf numFmtId="1" fontId="314" fillId="0" borderId="130" xfId="0" applyNumberFormat="1" applyFont="1" applyFill="1" applyBorder="1" applyAlignment="1">
      <alignment horizontal="right"/>
    </xf>
    <xf numFmtId="1" fontId="54" fillId="7" borderId="130" xfId="0" applyNumberFormat="1" applyFont="1" applyFill="1" applyBorder="1" applyAlignment="1">
      <alignment horizontal="right"/>
    </xf>
    <xf numFmtId="168" fontId="54" fillId="8" borderId="130" xfId="5" applyNumberFormat="1" applyFont="1" applyFill="1" applyBorder="1" applyAlignment="1">
      <alignment horizontal="center"/>
    </xf>
    <xf numFmtId="168" fontId="314" fillId="0" borderId="130" xfId="5" applyNumberFormat="1" applyFont="1" applyBorder="1" applyAlignment="1">
      <alignment horizontal="center"/>
    </xf>
    <xf numFmtId="9" fontId="35" fillId="8" borderId="130" xfId="0" applyNumberFormat="1" applyFont="1" applyFill="1" applyBorder="1" applyAlignment="1">
      <alignment horizontal="center"/>
    </xf>
    <xf numFmtId="1" fontId="54" fillId="0" borderId="130" xfId="0" applyNumberFormat="1" applyFont="1" applyBorder="1" applyAlignment="1">
      <alignment horizontal="center"/>
    </xf>
    <xf numFmtId="1" fontId="35" fillId="0" borderId="130" xfId="0" applyNumberFormat="1" applyFont="1" applyBorder="1" applyAlignment="1">
      <alignment horizontal="center"/>
    </xf>
    <xf numFmtId="170" fontId="35" fillId="8" borderId="130" xfId="0" applyNumberFormat="1" applyFont="1" applyFill="1" applyBorder="1" applyAlignment="1">
      <alignment horizontal="center"/>
    </xf>
    <xf numFmtId="168" fontId="35" fillId="0" borderId="130" xfId="5" applyNumberFormat="1" applyFont="1" applyBorder="1" applyAlignment="1">
      <alignment horizontal="right"/>
    </xf>
    <xf numFmtId="168" fontId="314" fillId="0" borderId="59" xfId="5" applyNumberFormat="1" applyFont="1" applyBorder="1" applyAlignment="1">
      <alignment horizontal="center"/>
    </xf>
    <xf numFmtId="9" fontId="42" fillId="8" borderId="59" xfId="0" applyNumberFormat="1" applyFont="1" applyFill="1" applyBorder="1" applyAlignment="1">
      <alignment horizontal="center"/>
    </xf>
    <xf numFmtId="9" fontId="42" fillId="8" borderId="128" xfId="0" applyNumberFormat="1" applyFont="1" applyFill="1" applyBorder="1" applyAlignment="1">
      <alignment horizontal="center"/>
    </xf>
    <xf numFmtId="9" fontId="42" fillId="8" borderId="130" xfId="0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center"/>
    </xf>
    <xf numFmtId="1" fontId="313" fillId="7" borderId="72" xfId="0" applyNumberFormat="1" applyFont="1" applyFill="1" applyBorder="1" applyAlignment="1">
      <alignment horizontal="center"/>
    </xf>
    <xf numFmtId="9" fontId="99" fillId="7" borderId="72" xfId="0" applyNumberFormat="1" applyFont="1" applyFill="1" applyBorder="1" applyAlignment="1">
      <alignment horizontal="center"/>
    </xf>
    <xf numFmtId="1" fontId="99" fillId="7" borderId="72" xfId="0" applyNumberFormat="1" applyFont="1" applyFill="1" applyBorder="1" applyAlignment="1">
      <alignment horizontal="center"/>
    </xf>
    <xf numFmtId="170" fontId="99" fillId="7" borderId="72" xfId="0" applyNumberFormat="1" applyFont="1" applyFill="1" applyBorder="1" applyAlignment="1">
      <alignment horizontal="center"/>
    </xf>
    <xf numFmtId="168" fontId="99" fillId="7" borderId="121" xfId="5" applyNumberFormat="1" applyFont="1" applyFill="1" applyBorder="1" applyAlignment="1">
      <alignment horizontal="right"/>
    </xf>
    <xf numFmtId="168" fontId="35" fillId="2" borderId="43" xfId="0" applyNumberFormat="1" applyFont="1" applyFill="1" applyBorder="1"/>
    <xf numFmtId="1" fontId="314" fillId="0" borderId="0" xfId="0" applyNumberFormat="1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right"/>
    </xf>
    <xf numFmtId="168" fontId="54" fillId="0" borderId="0" xfId="5" applyNumberFormat="1" applyFont="1" applyFill="1" applyBorder="1" applyAlignment="1">
      <alignment horizontal="center"/>
    </xf>
    <xf numFmtId="168" fontId="314" fillId="0" borderId="0" xfId="5" applyNumberFormat="1" applyFont="1" applyFill="1" applyBorder="1" applyAlignment="1">
      <alignment horizontal="center"/>
    </xf>
    <xf numFmtId="9" fontId="35" fillId="0" borderId="0" xfId="1" applyFont="1" applyFill="1" applyBorder="1" applyAlignment="1">
      <alignment horizontal="center"/>
    </xf>
    <xf numFmtId="9" fontId="35" fillId="0" borderId="43" xfId="1" applyFont="1" applyFill="1" applyBorder="1" applyAlignment="1">
      <alignment horizontal="left"/>
    </xf>
    <xf numFmtId="168" fontId="248" fillId="0" borderId="43" xfId="5" applyNumberFormat="1" applyFont="1" applyFill="1" applyBorder="1"/>
    <xf numFmtId="168" fontId="35" fillId="0" borderId="43" xfId="5" applyNumberFormat="1" applyFont="1" applyFill="1" applyBorder="1"/>
    <xf numFmtId="9" fontId="35" fillId="0" borderId="43" xfId="1" applyFont="1" applyFill="1" applyBorder="1"/>
    <xf numFmtId="9" fontId="316" fillId="0" borderId="0" xfId="0" applyNumberFormat="1" applyFont="1" applyFill="1" applyBorder="1" applyAlignment="1">
      <alignment horizontal="left"/>
    </xf>
    <xf numFmtId="9" fontId="314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311" fillId="0" borderId="0" xfId="722" applyNumberFormat="1" applyFont="1" applyBorder="1" applyAlignment="1">
      <alignment horizontal="right" vertical="top"/>
    </xf>
    <xf numFmtId="1" fontId="311" fillId="0" borderId="43" xfId="722" applyNumberFormat="1" applyFont="1" applyBorder="1" applyAlignment="1">
      <alignment horizontal="right" vertical="top"/>
    </xf>
    <xf numFmtId="1" fontId="311" fillId="0" borderId="0" xfId="722" applyNumberFormat="1" applyFont="1" applyBorder="1" applyAlignment="1">
      <alignment horizontal="right"/>
    </xf>
    <xf numFmtId="1" fontId="311" fillId="0" borderId="43" xfId="722" applyNumberFormat="1" applyFont="1" applyBorder="1" applyAlignment="1">
      <alignment horizontal="right"/>
    </xf>
    <xf numFmtId="168" fontId="33" fillId="2" borderId="43" xfId="0" applyNumberFormat="1" applyFont="1" applyFill="1" applyBorder="1"/>
    <xf numFmtId="170" fontId="0" fillId="7" borderId="0" xfId="0" applyNumberFormat="1" applyFill="1"/>
    <xf numFmtId="168" fontId="33" fillId="7" borderId="0" xfId="5" applyNumberFormat="1" applyFont="1" applyFill="1"/>
    <xf numFmtId="168" fontId="0" fillId="7" borderId="0" xfId="5" applyNumberFormat="1" applyFont="1" applyFill="1"/>
    <xf numFmtId="9" fontId="53" fillId="7" borderId="0" xfId="1" applyFont="1" applyFill="1"/>
    <xf numFmtId="170" fontId="0" fillId="7" borderId="0" xfId="0" applyNumberFormat="1" applyFill="1" applyAlignment="1">
      <alignment horizontal="right"/>
    </xf>
    <xf numFmtId="168" fontId="53" fillId="7" borderId="0" xfId="5" applyNumberFormat="1" applyFont="1" applyFill="1"/>
    <xf numFmtId="1" fontId="53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99" fillId="43" borderId="0" xfId="0" applyNumberFormat="1" applyFont="1" applyFill="1"/>
    <xf numFmtId="1" fontId="34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81" fillId="0" borderId="123" xfId="1060" applyNumberFormat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right" vertical="center"/>
    </xf>
    <xf numFmtId="41" fontId="281" fillId="8" borderId="123" xfId="1060" applyNumberFormat="1" applyFont="1" applyFill="1" applyBorder="1" applyAlignment="1">
      <alignment horizontal="right" vertical="center"/>
    </xf>
    <xf numFmtId="41" fontId="281" fillId="8" borderId="122" xfId="1060" applyNumberFormat="1" applyFont="1" applyFill="1" applyBorder="1" applyAlignment="1">
      <alignment horizontal="right" vertical="center"/>
    </xf>
    <xf numFmtId="219" fontId="75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100" fillId="0" borderId="185" xfId="0" applyNumberFormat="1" applyFont="1" applyFill="1" applyBorder="1" applyAlignment="1">
      <alignment horizontal="center"/>
    </xf>
    <xf numFmtId="1" fontId="35" fillId="0" borderId="0" xfId="0" applyNumberFormat="1" applyFont="1" applyBorder="1" applyAlignment="1">
      <alignment horizontal="center"/>
    </xf>
    <xf numFmtId="43" fontId="0" fillId="0" borderId="0" xfId="0" applyNumberFormat="1"/>
    <xf numFmtId="9" fontId="270" fillId="3" borderId="0" xfId="1" applyFont="1" applyFill="1" applyBorder="1" applyAlignment="1">
      <alignment horizontal="center" vertical="center"/>
    </xf>
    <xf numFmtId="9" fontId="298" fillId="3" borderId="0" xfId="1" applyFont="1" applyFill="1" applyBorder="1" applyAlignment="1">
      <alignment horizontal="center" vertical="center"/>
    </xf>
    <xf numFmtId="9" fontId="270" fillId="3" borderId="12" xfId="1" applyFont="1" applyFill="1" applyBorder="1" applyAlignment="1">
      <alignment vertical="center"/>
    </xf>
    <xf numFmtId="9" fontId="270" fillId="3" borderId="14" xfId="1" applyFont="1" applyFill="1" applyBorder="1" applyAlignment="1">
      <alignment vertical="center"/>
    </xf>
    <xf numFmtId="9" fontId="270" fillId="0" borderId="0" xfId="1" applyFont="1" applyAlignment="1">
      <alignment vertic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3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21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85" xfId="1" applyFont="1" applyBorder="1" applyAlignment="1">
      <alignment horizontal="right"/>
    </xf>
    <xf numFmtId="9" fontId="0" fillId="0" borderId="150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21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96" fillId="0" borderId="0" xfId="0" applyFont="1"/>
    <xf numFmtId="9" fontId="297" fillId="3" borderId="0" xfId="1" applyFont="1" applyFill="1" applyBorder="1" applyAlignment="1">
      <alignment horizontal="center" vertical="center"/>
    </xf>
    <xf numFmtId="219" fontId="75" fillId="4" borderId="0" xfId="0" applyFont="1" applyFill="1" applyAlignment="1">
      <alignment horizontal="left" indent="4"/>
    </xf>
    <xf numFmtId="17" fontId="38" fillId="2" borderId="0" xfId="0" applyNumberFormat="1" applyFont="1" applyFill="1" applyAlignment="1">
      <alignment horizontal="left"/>
    </xf>
    <xf numFmtId="1" fontId="0" fillId="0" borderId="0" xfId="0" applyNumberFormat="1" applyProtection="1"/>
    <xf numFmtId="9" fontId="0" fillId="0" borderId="43" xfId="0" applyNumberFormat="1" applyBorder="1"/>
    <xf numFmtId="9" fontId="53" fillId="0" borderId="0" xfId="1" applyFont="1" applyBorder="1" applyAlignment="1">
      <alignment horizontal="right"/>
    </xf>
    <xf numFmtId="168" fontId="53" fillId="0" borderId="0" xfId="5" applyNumberFormat="1" applyFont="1" applyBorder="1" applyAlignment="1">
      <alignment horizontal="right"/>
    </xf>
    <xf numFmtId="219" fontId="322" fillId="0" borderId="0" xfId="0" applyFont="1" applyAlignment="1">
      <alignment horizontal="right" vertical="center"/>
    </xf>
    <xf numFmtId="219" fontId="322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219" fontId="46" fillId="3" borderId="190" xfId="6" applyFont="1" applyFill="1" applyBorder="1" applyAlignment="1">
      <alignment vertical="center"/>
    </xf>
    <xf numFmtId="219" fontId="62" fillId="3" borderId="191" xfId="6" applyFont="1" applyFill="1" applyBorder="1" applyAlignment="1">
      <alignment horizontal="center" vertical="center" wrapText="1"/>
    </xf>
    <xf numFmtId="9" fontId="90" fillId="11" borderId="168" xfId="1" applyFont="1" applyFill="1" applyBorder="1" applyAlignment="1">
      <alignment horizontal="right" vertical="center" wrapText="1"/>
    </xf>
    <xf numFmtId="9" fontId="90" fillId="8" borderId="169" xfId="1" applyFont="1" applyFill="1" applyBorder="1" applyAlignment="1">
      <alignment horizontal="right" vertical="center" wrapText="1"/>
    </xf>
    <xf numFmtId="219" fontId="62" fillId="42" borderId="18" xfId="6" applyFont="1" applyFill="1" applyBorder="1" applyAlignment="1">
      <alignment horizontal="center" vertical="center" wrapText="1"/>
    </xf>
    <xf numFmtId="41" fontId="90" fillId="7" borderId="10" xfId="6" applyNumberFormat="1" applyFont="1" applyFill="1" applyBorder="1" applyAlignment="1">
      <alignment horizontal="right" wrapText="1"/>
    </xf>
    <xf numFmtId="9" fontId="90" fillId="42" borderId="178" xfId="1" applyFont="1" applyFill="1" applyBorder="1" applyAlignment="1">
      <alignment horizontal="right" vertical="center" wrapText="1"/>
    </xf>
    <xf numFmtId="41" fontId="66" fillId="3" borderId="165" xfId="8" applyNumberFormat="1" applyFont="1" applyFill="1" applyBorder="1" applyAlignment="1">
      <alignment horizontal="right"/>
    </xf>
    <xf numFmtId="41" fontId="66" fillId="0" borderId="193" xfId="8" applyNumberFormat="1" applyFont="1" applyFill="1" applyBorder="1" applyAlignment="1">
      <alignment horizontal="right"/>
    </xf>
    <xf numFmtId="219" fontId="41" fillId="0" borderId="0" xfId="0" applyFont="1" applyAlignment="1">
      <alignment horizontal="center" vertical="center"/>
    </xf>
    <xf numFmtId="1" fontId="312" fillId="7" borderId="0" xfId="722" applyNumberFormat="1" applyFont="1" applyFill="1" applyBorder="1" applyAlignment="1">
      <alignment horizontal="center"/>
    </xf>
    <xf numFmtId="219" fontId="41" fillId="0" borderId="0" xfId="0" applyFont="1"/>
    <xf numFmtId="9" fontId="0" fillId="0" borderId="88" xfId="1" applyFont="1" applyBorder="1"/>
    <xf numFmtId="219" fontId="0" fillId="0" borderId="88" xfId="0" applyBorder="1"/>
    <xf numFmtId="219" fontId="248" fillId="0" borderId="88" xfId="0" applyFont="1" applyBorder="1"/>
    <xf numFmtId="219" fontId="41" fillId="0" borderId="104" xfId="0" applyFont="1" applyBorder="1"/>
    <xf numFmtId="9" fontId="41" fillId="0" borderId="157" xfId="1" applyFont="1" applyBorder="1"/>
    <xf numFmtId="9" fontId="41" fillId="0" borderId="104" xfId="1" applyFont="1" applyBorder="1"/>
    <xf numFmtId="219" fontId="41" fillId="0" borderId="157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59" fillId="0" borderId="0" xfId="0" applyFont="1"/>
    <xf numFmtId="219" fontId="0" fillId="8" borderId="0" xfId="0" applyFill="1" applyAlignment="1">
      <alignment vertical="center"/>
    </xf>
    <xf numFmtId="219" fontId="0" fillId="8" borderId="88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8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5" fillId="0" borderId="88" xfId="1" applyFont="1" applyBorder="1"/>
    <xf numFmtId="9" fontId="35" fillId="0" borderId="0" xfId="1" applyFont="1"/>
    <xf numFmtId="219" fontId="325" fillId="0" borderId="0" xfId="0" applyFont="1"/>
    <xf numFmtId="219" fontId="297" fillId="0" borderId="0" xfId="0" applyFont="1"/>
    <xf numFmtId="219" fontId="0" fillId="0" borderId="0" xfId="0" applyAlignment="1">
      <alignment vertical="top"/>
    </xf>
    <xf numFmtId="219" fontId="310" fillId="0" borderId="0" xfId="0" applyFont="1" applyAlignment="1">
      <alignment horizontal="left" vertical="top"/>
    </xf>
    <xf numFmtId="219" fontId="267" fillId="7" borderId="0" xfId="0" applyFont="1" applyFill="1" applyBorder="1" applyAlignment="1">
      <alignment vertical="center"/>
    </xf>
    <xf numFmtId="219" fontId="326" fillId="7" borderId="0" xfId="0" applyFont="1" applyFill="1" applyBorder="1" applyAlignment="1">
      <alignment horizontal="left" vertical="center"/>
    </xf>
    <xf numFmtId="219" fontId="327" fillId="7" borderId="0" xfId="2" applyFont="1" applyFill="1" applyBorder="1" applyAlignment="1" applyProtection="1"/>
    <xf numFmtId="219" fontId="322" fillId="3" borderId="66" xfId="0" applyFont="1" applyFill="1" applyBorder="1" applyAlignment="1">
      <alignment horizontal="left" vertical="center" indent="1"/>
    </xf>
    <xf numFmtId="219" fontId="76" fillId="3" borderId="66" xfId="0" applyFont="1" applyFill="1" applyBorder="1" applyAlignment="1">
      <alignment horizontal="left" vertical="center" indent="1"/>
    </xf>
    <xf numFmtId="219" fontId="331" fillId="0" borderId="0" xfId="0" applyFont="1" applyAlignment="1">
      <alignment horizontal="center" vertical="center"/>
    </xf>
    <xf numFmtId="9" fontId="331" fillId="3" borderId="0" xfId="1" applyFont="1" applyFill="1" applyBorder="1" applyAlignment="1">
      <alignment horizontal="center" vertical="center"/>
    </xf>
    <xf numFmtId="170" fontId="331" fillId="3" borderId="0" xfId="0" applyNumberFormat="1" applyFont="1" applyFill="1" applyBorder="1" applyAlignment="1">
      <alignment horizontal="center" vertical="center"/>
    </xf>
    <xf numFmtId="219" fontId="333" fillId="7" borderId="0" xfId="1060" quotePrefix="1" applyNumberFormat="1" applyFont="1" applyFill="1" applyBorder="1" applyAlignment="1">
      <alignment horizontal="center" vertical="center"/>
    </xf>
    <xf numFmtId="219" fontId="331" fillId="7" borderId="0" xfId="0" applyNumberFormat="1" applyFont="1" applyFill="1" applyBorder="1" applyAlignment="1">
      <alignment horizontal="center" vertical="center"/>
    </xf>
    <xf numFmtId="219" fontId="335" fillId="53" borderId="0" xfId="1060" applyNumberFormat="1" applyFont="1" applyFill="1" applyBorder="1" applyAlignment="1">
      <alignment horizontal="center" vertical="center" wrapText="1"/>
    </xf>
    <xf numFmtId="219" fontId="331" fillId="7" borderId="0" xfId="0" applyNumberFormat="1" applyFont="1" applyFill="1" applyBorder="1" applyAlignment="1">
      <alignment horizontal="center"/>
    </xf>
    <xf numFmtId="219" fontId="331" fillId="7" borderId="0" xfId="0" quotePrefix="1" applyNumberFormat="1" applyFont="1" applyFill="1" applyBorder="1" applyAlignment="1">
      <alignment horizontal="center"/>
    </xf>
    <xf numFmtId="219" fontId="332" fillId="7" borderId="0" xfId="0" applyNumberFormat="1" applyFont="1" applyFill="1" applyBorder="1" applyAlignment="1">
      <alignment horizontal="center"/>
    </xf>
    <xf numFmtId="219" fontId="334" fillId="7" borderId="0" xfId="1059" applyNumberFormat="1" applyFont="1" applyFill="1" applyBorder="1" applyAlignment="1">
      <alignment horizontal="center"/>
    </xf>
    <xf numFmtId="9" fontId="328" fillId="0" borderId="0" xfId="1" applyFont="1" applyAlignment="1">
      <alignment horizontal="left" indent="1"/>
    </xf>
    <xf numFmtId="49" fontId="33" fillId="43" borderId="140" xfId="1063" applyNumberFormat="1" applyFont="1" applyFill="1" applyBorder="1" applyAlignment="1">
      <alignment horizontal="left"/>
    </xf>
    <xf numFmtId="49" fontId="33" fillId="43" borderId="127" xfId="1063" applyNumberFormat="1" applyFont="1" applyFill="1" applyBorder="1" applyAlignment="1">
      <alignment horizontal="left"/>
    </xf>
    <xf numFmtId="49" fontId="33" fillId="43" borderId="63" xfId="1063" applyNumberFormat="1" applyFont="1" applyFill="1" applyBorder="1" applyAlignment="1">
      <alignment horizontal="left"/>
    </xf>
    <xf numFmtId="49" fontId="33" fillId="43" borderId="129" xfId="1063" applyNumberFormat="1" applyFont="1" applyFill="1" applyBorder="1" applyAlignment="1">
      <alignment horizontal="left"/>
    </xf>
    <xf numFmtId="49" fontId="33" fillId="43" borderId="141" xfId="1063" applyNumberFormat="1" applyFont="1" applyFill="1" applyBorder="1" applyAlignment="1">
      <alignment horizontal="left"/>
    </xf>
    <xf numFmtId="49" fontId="33" fillId="43" borderId="132" xfId="1063" applyNumberFormat="1" applyFont="1" applyFill="1" applyBorder="1" applyAlignment="1">
      <alignment horizontal="left"/>
    </xf>
    <xf numFmtId="1" fontId="82" fillId="7" borderId="77" xfId="0" applyNumberFormat="1" applyFont="1" applyFill="1" applyBorder="1" applyAlignment="1">
      <alignment horizontal="center"/>
    </xf>
    <xf numFmtId="9" fontId="82" fillId="0" borderId="13" xfId="0" applyNumberFormat="1" applyFont="1" applyFill="1" applyBorder="1" applyAlignment="1">
      <alignment horizontal="center"/>
    </xf>
    <xf numFmtId="219" fontId="279" fillId="0" borderId="147" xfId="1059" applyFont="1" applyBorder="1"/>
    <xf numFmtId="168" fontId="281" fillId="0" borderId="110" xfId="5" applyNumberFormat="1" applyFont="1" applyFill="1" applyBorder="1" applyAlignment="1">
      <alignment horizontal="right" vertical="center"/>
    </xf>
    <xf numFmtId="168" fontId="281" fillId="8" borderId="110" xfId="5" applyNumberFormat="1" applyFont="1" applyFill="1" applyBorder="1" applyAlignment="1">
      <alignment horizontal="right" vertical="center"/>
    </xf>
    <xf numFmtId="168" fontId="280" fillId="46" borderId="110" xfId="5" applyNumberFormat="1" applyFont="1" applyFill="1" applyBorder="1" applyAlignment="1">
      <alignment horizontal="center" vertical="center" wrapText="1"/>
    </xf>
    <xf numFmtId="168" fontId="281" fillId="0" borderId="110" xfId="5" applyNumberFormat="1" applyFont="1" applyFill="1" applyBorder="1" applyAlignment="1">
      <alignment horizontal="center" vertical="center"/>
    </xf>
    <xf numFmtId="168" fontId="281" fillId="8" borderId="110" xfId="5" applyNumberFormat="1" applyFont="1" applyFill="1" applyBorder="1" applyAlignment="1">
      <alignment horizontal="center" vertical="center"/>
    </xf>
    <xf numFmtId="168" fontId="281" fillId="0" borderId="122" xfId="5" applyNumberFormat="1" applyFont="1" applyFill="1" applyBorder="1" applyAlignment="1">
      <alignment horizontal="center" vertical="center"/>
    </xf>
    <xf numFmtId="168" fontId="281" fillId="8" borderId="122" xfId="5" applyNumberFormat="1" applyFont="1" applyFill="1" applyBorder="1" applyAlignment="1">
      <alignment horizontal="center" vertical="center"/>
    </xf>
    <xf numFmtId="168" fontId="281" fillId="8" borderId="186" xfId="5" applyNumberFormat="1" applyFont="1" applyFill="1" applyBorder="1" applyAlignment="1">
      <alignment horizontal="center" vertical="center"/>
    </xf>
    <xf numFmtId="168" fontId="281" fillId="0" borderId="186" xfId="5" applyNumberFormat="1" applyFont="1" applyFill="1" applyBorder="1" applyAlignment="1">
      <alignment horizontal="center" vertical="center"/>
    </xf>
    <xf numFmtId="1" fontId="248" fillId="0" borderId="0" xfId="0" applyNumberFormat="1" applyFont="1" applyAlignment="1"/>
    <xf numFmtId="9" fontId="248" fillId="0" borderId="0" xfId="1" applyFont="1" applyAlignment="1"/>
    <xf numFmtId="43" fontId="248" fillId="0" borderId="0" xfId="5" applyNumberFormat="1" applyFont="1" applyAlignment="1"/>
    <xf numFmtId="169" fontId="248" fillId="0" borderId="0" xfId="5" applyNumberFormat="1" applyFont="1" applyAlignment="1"/>
    <xf numFmtId="168" fontId="248" fillId="0" borderId="0" xfId="5" applyNumberFormat="1" applyFont="1" applyAlignment="1"/>
    <xf numFmtId="1" fontId="281" fillId="0" borderId="110" xfId="1060" applyNumberFormat="1" applyFont="1" applyFill="1" applyBorder="1" applyAlignment="1">
      <alignment horizontal="right" vertical="center"/>
    </xf>
    <xf numFmtId="219" fontId="53" fillId="7" borderId="0" xfId="0" applyFont="1" applyFill="1" applyAlignment="1">
      <alignment vertical="center"/>
    </xf>
    <xf numFmtId="49" fontId="53" fillId="43" borderId="140" xfId="1063" applyNumberFormat="1" applyFont="1" applyFill="1" applyBorder="1" applyAlignment="1">
      <alignment horizontal="left"/>
    </xf>
    <xf numFmtId="49" fontId="53" fillId="43" borderId="127" xfId="1063" applyNumberFormat="1" applyFont="1" applyFill="1" applyBorder="1" applyAlignment="1">
      <alignment horizontal="left"/>
    </xf>
    <xf numFmtId="49" fontId="53" fillId="43" borderId="63" xfId="1063" applyNumberFormat="1" applyFont="1" applyFill="1" applyBorder="1" applyAlignment="1">
      <alignment horizontal="left"/>
    </xf>
    <xf numFmtId="49" fontId="53" fillId="43" borderId="129" xfId="1063" applyNumberFormat="1" applyFont="1" applyFill="1" applyBorder="1" applyAlignment="1">
      <alignment horizontal="left"/>
    </xf>
    <xf numFmtId="49" fontId="53" fillId="43" borderId="141" xfId="1063" applyNumberFormat="1" applyFont="1" applyFill="1" applyBorder="1" applyAlignment="1">
      <alignment horizontal="left" vertical="center" wrapText="1"/>
    </xf>
    <xf numFmtId="49" fontId="53" fillId="43" borderId="132" xfId="1063" applyNumberFormat="1" applyFont="1" applyFill="1" applyBorder="1" applyAlignment="1">
      <alignment horizontal="left" vertical="center" wrapText="1"/>
    </xf>
    <xf numFmtId="49" fontId="53" fillId="43" borderId="141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96" fillId="55" borderId="0" xfId="0" applyFont="1" applyFill="1" applyBorder="1" applyAlignment="1">
      <alignment horizontal="right"/>
    </xf>
    <xf numFmtId="9" fontId="96" fillId="55" borderId="0" xfId="0" applyNumberFormat="1" applyFont="1" applyFill="1" applyBorder="1" applyAlignment="1">
      <alignment horizontal="left"/>
    </xf>
    <xf numFmtId="41" fontId="281" fillId="8" borderId="119" xfId="1060" applyNumberFormat="1" applyFont="1" applyFill="1" applyBorder="1" applyAlignment="1">
      <alignment horizontal="right" vertical="center"/>
    </xf>
    <xf numFmtId="41" fontId="281" fillId="8" borderId="124" xfId="1060" applyNumberFormat="1" applyFont="1" applyFill="1" applyBorder="1" applyAlignment="1">
      <alignment horizontal="right" vertical="center"/>
    </xf>
    <xf numFmtId="41" fontId="281" fillId="0" borderId="119" xfId="1060" applyNumberFormat="1" applyFont="1" applyFill="1" applyBorder="1" applyAlignment="1">
      <alignment horizontal="right" vertical="center"/>
    </xf>
    <xf numFmtId="41" fontId="281" fillId="0" borderId="124" xfId="1060" applyNumberFormat="1" applyFont="1" applyFill="1" applyBorder="1" applyAlignment="1">
      <alignment horizontal="right" vertical="center"/>
    </xf>
    <xf numFmtId="219" fontId="63" fillId="7" borderId="12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48" fillId="44" borderId="0" xfId="0" applyFont="1" applyFill="1" applyBorder="1" applyAlignment="1" applyProtection="1">
      <alignment horizontal="center"/>
    </xf>
    <xf numFmtId="1" fontId="248" fillId="44" borderId="0" xfId="0" applyNumberFormat="1" applyFont="1" applyFill="1" applyAlignment="1" applyProtection="1">
      <alignment horizontal="center" vertical="center"/>
    </xf>
    <xf numFmtId="219" fontId="248" fillId="44" borderId="0" xfId="0" applyFont="1" applyFill="1" applyProtection="1"/>
    <xf numFmtId="168" fontId="248" fillId="44" borderId="0" xfId="5" applyNumberFormat="1" applyFont="1" applyFill="1" applyAlignment="1" applyProtection="1">
      <alignment horizontal="center" vertical="center"/>
    </xf>
    <xf numFmtId="168" fontId="248" fillId="44" borderId="0" xfId="5" applyNumberFormat="1" applyFont="1" applyFill="1" applyBorder="1" applyAlignment="1" applyProtection="1">
      <alignment horizontal="center" vertical="center"/>
    </xf>
    <xf numFmtId="168" fontId="248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51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44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49" fillId="9" borderId="0" xfId="0" applyNumberFormat="1" applyFont="1" applyFill="1" applyBorder="1" applyAlignment="1" applyProtection="1">
      <alignment horizontal="left" vertical="center"/>
    </xf>
    <xf numFmtId="0" fontId="70" fillId="9" borderId="0" xfId="0" applyNumberFormat="1" applyFont="1" applyFill="1" applyBorder="1" applyAlignment="1" applyProtection="1">
      <alignment horizontal="center" vertical="center"/>
    </xf>
    <xf numFmtId="0" fontId="70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50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49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right" vertical="center"/>
    </xf>
    <xf numFmtId="0" fontId="0" fillId="0" borderId="104" xfId="0" applyNumberFormat="1" applyBorder="1" applyProtection="1"/>
    <xf numFmtId="0" fontId="53" fillId="8" borderId="0" xfId="0" applyNumberFormat="1" applyFont="1" applyFill="1" applyAlignment="1" applyProtection="1">
      <alignment horizontal="center" vertical="center"/>
    </xf>
    <xf numFmtId="0" fontId="53" fillId="8" borderId="0" xfId="0" applyNumberFormat="1" applyFont="1" applyFill="1" applyBorder="1" applyAlignment="1" applyProtection="1">
      <alignment horizontal="center" vertical="center"/>
    </xf>
    <xf numFmtId="0" fontId="53" fillId="8" borderId="0" xfId="0" applyNumberFormat="1" applyFont="1" applyFill="1" applyAlignment="1" applyProtection="1">
      <alignment horizontal="right" vertical="center"/>
    </xf>
    <xf numFmtId="0" fontId="53" fillId="8" borderId="0" xfId="0" applyNumberFormat="1" applyFont="1" applyFill="1" applyProtection="1"/>
    <xf numFmtId="170" fontId="0" fillId="0" borderId="104" xfId="0" applyNumberFormat="1" applyBorder="1" applyAlignment="1" applyProtection="1">
      <alignment horizontal="center" vertical="center"/>
    </xf>
    <xf numFmtId="170" fontId="0" fillId="0" borderId="104" xfId="0" applyNumberFormat="1" applyBorder="1" applyAlignment="1" applyProtection="1">
      <alignment horizontal="right" vertical="center"/>
    </xf>
    <xf numFmtId="9" fontId="0" fillId="0" borderId="104" xfId="1" applyFont="1" applyBorder="1" applyAlignment="1" applyProtection="1">
      <alignment horizontal="center" vertical="center"/>
    </xf>
    <xf numFmtId="9" fontId="0" fillId="0" borderId="104" xfId="1" applyFont="1" applyBorder="1" applyAlignment="1" applyProtection="1">
      <alignment horizontal="right" vertical="center"/>
    </xf>
    <xf numFmtId="9" fontId="0" fillId="7" borderId="104" xfId="1" applyFont="1" applyFill="1" applyBorder="1" applyAlignment="1" applyProtection="1">
      <alignment horizontal="right" vertical="center"/>
    </xf>
    <xf numFmtId="0" fontId="248" fillId="0" borderId="0" xfId="0" applyNumberFormat="1" applyFont="1" applyBorder="1" applyAlignment="1" applyProtection="1">
      <alignment horizontal="center"/>
    </xf>
    <xf numFmtId="0" fontId="248" fillId="0" borderId="0" xfId="0" applyNumberFormat="1" applyFont="1" applyBorder="1" applyAlignment="1" applyProtection="1">
      <alignment horizontal="center" vertical="center"/>
    </xf>
    <xf numFmtId="0" fontId="248" fillId="0" borderId="0" xfId="0" applyNumberFormat="1" applyFont="1" applyAlignment="1" applyProtection="1">
      <alignment horizontal="center" vertical="center"/>
    </xf>
    <xf numFmtId="0" fontId="248" fillId="0" borderId="0" xfId="0" applyNumberFormat="1" applyFont="1" applyProtection="1"/>
    <xf numFmtId="170" fontId="0" fillId="7" borderId="104" xfId="0" applyNumberFormat="1" applyFill="1" applyBorder="1" applyAlignment="1" applyProtection="1">
      <alignment horizontal="right" vertical="center"/>
    </xf>
    <xf numFmtId="0" fontId="248" fillId="44" borderId="0" xfId="0" applyNumberFormat="1" applyFont="1" applyFill="1" applyBorder="1" applyAlignment="1" applyProtection="1">
      <alignment horizontal="center"/>
    </xf>
    <xf numFmtId="0" fontId="248" fillId="44" borderId="0" xfId="0" applyNumberFormat="1" applyFont="1" applyFill="1" applyBorder="1" applyAlignment="1" applyProtection="1">
      <alignment horizontal="center" vertical="center"/>
    </xf>
    <xf numFmtId="0" fontId="248" fillId="44" borderId="0" xfId="0" applyNumberFormat="1" applyFont="1" applyFill="1" applyAlignment="1" applyProtection="1">
      <alignment horizontal="center" vertical="center"/>
    </xf>
    <xf numFmtId="41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Protection="1"/>
    <xf numFmtId="0" fontId="55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81" fillId="0" borderId="111" xfId="1060" applyNumberFormat="1" applyFont="1" applyFill="1" applyBorder="1" applyAlignment="1">
      <alignment horizontal="center" vertical="center"/>
    </xf>
    <xf numFmtId="0" fontId="281" fillId="8" borderId="111" xfId="1060" applyNumberFormat="1" applyFont="1" applyFill="1" applyBorder="1" applyAlignment="1">
      <alignment horizontal="center" vertical="center"/>
    </xf>
    <xf numFmtId="0" fontId="53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69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center" vertical="center"/>
    </xf>
    <xf numFmtId="0" fontId="41" fillId="3" borderId="0" xfId="0" applyNumberFormat="1" applyFont="1" applyFill="1" applyBorder="1" applyAlignment="1">
      <alignment horizontal="center" vertical="center"/>
    </xf>
    <xf numFmtId="0" fontId="331" fillId="3" borderId="0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 applyAlignment="1">
      <alignment vertical="center"/>
    </xf>
    <xf numFmtId="0" fontId="248" fillId="0" borderId="0" xfId="0" applyNumberFormat="1" applyFont="1" applyAlignment="1"/>
    <xf numFmtId="0" fontId="248" fillId="3" borderId="12" xfId="0" applyNumberFormat="1" applyFont="1" applyFill="1" applyBorder="1" applyAlignment="1"/>
    <xf numFmtId="0" fontId="253" fillId="3" borderId="43" xfId="0" applyNumberFormat="1" applyFont="1" applyFill="1" applyBorder="1" applyAlignment="1">
      <alignment horizontal="right" indent="1"/>
    </xf>
    <xf numFmtId="0" fontId="331" fillId="7" borderId="77" xfId="0" applyNumberFormat="1" applyFont="1" applyFill="1" applyBorder="1" applyAlignment="1">
      <alignment horizontal="center"/>
    </xf>
    <xf numFmtId="0" fontId="248" fillId="3" borderId="14" xfId="0" applyNumberFormat="1" applyFont="1" applyFill="1" applyBorder="1" applyAlignment="1"/>
    <xf numFmtId="0" fontId="270" fillId="0" borderId="0" xfId="0" applyNumberFormat="1" applyFont="1" applyAlignment="1">
      <alignment vertical="center"/>
    </xf>
    <xf numFmtId="0" fontId="270" fillId="3" borderId="12" xfId="0" applyNumberFormat="1" applyFont="1" applyFill="1" applyBorder="1" applyAlignment="1">
      <alignment vertical="center"/>
    </xf>
    <xf numFmtId="0" fontId="68" fillId="3" borderId="43" xfId="0" applyNumberFormat="1" applyFont="1" applyFill="1" applyBorder="1" applyAlignment="1">
      <alignment horizontal="right" vertical="center" indent="1"/>
    </xf>
    <xf numFmtId="0" fontId="270" fillId="3" borderId="0" xfId="0" applyNumberFormat="1" applyFont="1" applyFill="1" applyBorder="1" applyAlignment="1">
      <alignment horizontal="center" vertical="center"/>
    </xf>
    <xf numFmtId="0" fontId="270" fillId="3" borderId="14" xfId="0" applyNumberFormat="1" applyFont="1" applyFill="1" applyBorder="1" applyAlignment="1">
      <alignment vertical="center"/>
    </xf>
    <xf numFmtId="0" fontId="69" fillId="3" borderId="0" xfId="0" applyNumberFormat="1" applyFont="1" applyFill="1" applyBorder="1" applyAlignment="1">
      <alignment vertical="center"/>
    </xf>
    <xf numFmtId="0" fontId="80" fillId="3" borderId="0" xfId="0" applyNumberFormat="1" applyFont="1" applyFill="1" applyBorder="1" applyAlignment="1">
      <alignment horizontal="center" vertical="center"/>
    </xf>
    <xf numFmtId="0" fontId="66" fillId="3" borderId="86" xfId="0" applyNumberFormat="1" applyFont="1" applyFill="1" applyBorder="1" applyAlignment="1">
      <alignment horizontal="right" vertical="center" indent="1"/>
    </xf>
    <xf numFmtId="0" fontId="308" fillId="3" borderId="104" xfId="0" applyNumberFormat="1" applyFont="1" applyFill="1" applyBorder="1" applyAlignment="1">
      <alignment horizontal="center" vertical="center"/>
    </xf>
    <xf numFmtId="0" fontId="49" fillId="3" borderId="0" xfId="0" applyNumberFormat="1" applyFont="1" applyFill="1" applyBorder="1" applyAlignment="1">
      <alignment horizontal="center" vertical="center"/>
    </xf>
    <xf numFmtId="0" fontId="49" fillId="3" borderId="104" xfId="0" applyNumberFormat="1" applyFont="1" applyFill="1" applyBorder="1" applyAlignment="1">
      <alignment horizontal="center" vertical="center"/>
    </xf>
    <xf numFmtId="0" fontId="299" fillId="3" borderId="104" xfId="0" applyNumberFormat="1" applyFont="1" applyFill="1" applyBorder="1" applyAlignment="1">
      <alignment horizontal="center" vertical="center"/>
    </xf>
    <xf numFmtId="0" fontId="68" fillId="3" borderId="104" xfId="0" applyNumberFormat="1" applyFont="1" applyFill="1" applyBorder="1" applyAlignment="1">
      <alignment horizontal="center" vertical="center"/>
    </xf>
    <xf numFmtId="0" fontId="39" fillId="3" borderId="0" xfId="0" applyNumberFormat="1" applyFont="1" applyFill="1" applyBorder="1" applyAlignment="1">
      <alignment vertical="center"/>
    </xf>
    <xf numFmtId="0" fontId="268" fillId="3" borderId="86" xfId="0" applyNumberFormat="1" applyFont="1" applyFill="1" applyBorder="1" applyAlignment="1">
      <alignment horizontal="right" vertical="center" indent="1"/>
    </xf>
    <xf numFmtId="9" fontId="308" fillId="3" borderId="104" xfId="0" applyNumberFormat="1" applyFont="1" applyFill="1" applyBorder="1" applyAlignment="1">
      <alignment horizontal="center" vertical="center"/>
    </xf>
    <xf numFmtId="0" fontId="39" fillId="3" borderId="43" xfId="0" applyNumberFormat="1" applyFont="1" applyFill="1" applyBorder="1" applyAlignment="1">
      <alignment horizontal="right" vertical="center" indent="1"/>
    </xf>
    <xf numFmtId="0" fontId="0" fillId="3" borderId="14" xfId="0" quotePrefix="1" applyNumberFormat="1" applyFill="1" applyBorder="1" applyAlignment="1">
      <alignment vertical="center"/>
    </xf>
    <xf numFmtId="0" fontId="262" fillId="0" borderId="0" xfId="0" applyNumberFormat="1" applyFont="1"/>
    <xf numFmtId="0" fontId="262" fillId="3" borderId="12" xfId="0" applyNumberFormat="1" applyFont="1" applyFill="1" applyBorder="1"/>
    <xf numFmtId="0" fontId="262" fillId="3" borderId="14" xfId="0" applyNumberFormat="1" applyFont="1" applyFill="1" applyBorder="1"/>
    <xf numFmtId="0" fontId="0" fillId="0" borderId="0" xfId="0" applyNumberFormat="1"/>
    <xf numFmtId="0" fontId="0" fillId="3" borderId="15" xfId="0" applyNumberFormat="1" applyFill="1" applyBorder="1"/>
    <xf numFmtId="0" fontId="0" fillId="3" borderId="16" xfId="0" applyNumberFormat="1" applyFill="1" applyBorder="1"/>
    <xf numFmtId="0" fontId="0" fillId="3" borderId="16" xfId="0" applyNumberFormat="1" applyFill="1" applyBorder="1" applyAlignment="1">
      <alignment horizontal="center" vertical="center"/>
    </xf>
    <xf numFmtId="0" fontId="53" fillId="3" borderId="16" xfId="0" applyNumberFormat="1" applyFont="1" applyFill="1" applyBorder="1" applyAlignment="1">
      <alignment horizontal="center" vertical="center"/>
    </xf>
    <xf numFmtId="0" fontId="41" fillId="3" borderId="16" xfId="0" applyNumberFormat="1" applyFont="1" applyFill="1" applyBorder="1" applyAlignment="1">
      <alignment horizontal="center" vertical="center"/>
    </xf>
    <xf numFmtId="0" fontId="331" fillId="3" borderId="16" xfId="0" applyNumberFormat="1" applyFont="1" applyFill="1" applyBorder="1" applyAlignment="1">
      <alignment horizontal="center" vertical="center"/>
    </xf>
    <xf numFmtId="0" fontId="0" fillId="3" borderId="17" xfId="0" applyNumberFormat="1" applyFill="1" applyBorder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41" fillId="0" borderId="0" xfId="0" applyNumberFormat="1" applyFont="1" applyAlignment="1">
      <alignment horizontal="center" vertical="center"/>
    </xf>
    <xf numFmtId="0" fontId="331" fillId="0" borderId="0" xfId="0" applyNumberFormat="1" applyFont="1" applyAlignment="1">
      <alignment horizontal="center" vertical="center"/>
    </xf>
    <xf numFmtId="0" fontId="249" fillId="3" borderId="9" xfId="0" applyNumberFormat="1" applyFont="1" applyFill="1" applyBorder="1"/>
    <xf numFmtId="0" fontId="0" fillId="3" borderId="10" xfId="0" applyNumberFormat="1" applyFill="1" applyBorder="1"/>
    <xf numFmtId="0" fontId="0" fillId="3" borderId="10" xfId="0" applyNumberFormat="1" applyFill="1" applyBorder="1" applyAlignment="1">
      <alignment horizontal="center" vertical="center"/>
    </xf>
    <xf numFmtId="0" fontId="307" fillId="3" borderId="10" xfId="0" applyNumberFormat="1" applyFont="1" applyFill="1" applyBorder="1" applyAlignment="1">
      <alignment horizontal="center"/>
    </xf>
    <xf numFmtId="0" fontId="68" fillId="3" borderId="10" xfId="0" applyNumberFormat="1" applyFont="1" applyFill="1" applyBorder="1" applyAlignment="1">
      <alignment horizontal="center"/>
    </xf>
    <xf numFmtId="0" fontId="323" fillId="3" borderId="10" xfId="0" applyNumberFormat="1" applyFont="1" applyFill="1" applyBorder="1" applyAlignment="1">
      <alignment horizontal="center"/>
    </xf>
    <xf numFmtId="0" fontId="0" fillId="3" borderId="11" xfId="0" applyNumberFormat="1" applyFill="1" applyBorder="1"/>
    <xf numFmtId="0" fontId="0" fillId="3" borderId="12" xfId="0" applyNumberFormat="1" applyFill="1" applyBorder="1"/>
    <xf numFmtId="0" fontId="268" fillId="3" borderId="150" xfId="0" applyNumberFormat="1" applyFont="1" applyFill="1" applyBorder="1" applyAlignment="1">
      <alignment horizontal="right" indent="1"/>
    </xf>
    <xf numFmtId="0" fontId="248" fillId="3" borderId="76" xfId="0" applyNumberFormat="1" applyFont="1" applyFill="1" applyBorder="1" applyAlignment="1">
      <alignment horizontal="center" vertical="center"/>
    </xf>
    <xf numFmtId="0" fontId="248" fillId="3" borderId="0" xfId="0" applyNumberFormat="1" applyFont="1" applyFill="1" applyBorder="1" applyAlignment="1">
      <alignment horizontal="center" vertical="center"/>
    </xf>
    <xf numFmtId="0" fontId="262" fillId="3" borderId="76" xfId="0" applyNumberFormat="1" applyFont="1" applyFill="1" applyBorder="1" applyAlignment="1">
      <alignment horizontal="center" vertical="center"/>
    </xf>
    <xf numFmtId="0" fontId="298" fillId="3" borderId="76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/>
    <xf numFmtId="0" fontId="276" fillId="3" borderId="43" xfId="0" applyNumberFormat="1" applyFont="1" applyFill="1" applyBorder="1" applyAlignment="1">
      <alignment horizontal="right" indent="1"/>
    </xf>
    <xf numFmtId="0" fontId="35" fillId="3" borderId="14" xfId="0" applyNumberFormat="1" applyFont="1" applyFill="1" applyBorder="1" applyAlignment="1"/>
    <xf numFmtId="0" fontId="262" fillId="0" borderId="0" xfId="0" applyNumberFormat="1" applyFont="1" applyAlignment="1">
      <alignment vertical="center"/>
    </xf>
    <xf numFmtId="0" fontId="262" fillId="3" borderId="12" xfId="0" applyNumberFormat="1" applyFont="1" applyFill="1" applyBorder="1" applyAlignment="1">
      <alignment vertical="center"/>
    </xf>
    <xf numFmtId="0" fontId="297" fillId="3" borderId="0" xfId="0" applyNumberFormat="1" applyFont="1" applyFill="1" applyBorder="1" applyAlignment="1">
      <alignment horizontal="center" vertical="center"/>
    </xf>
    <xf numFmtId="0" fontId="298" fillId="3" borderId="0" xfId="0" applyNumberFormat="1" applyFont="1" applyFill="1" applyBorder="1" applyAlignment="1">
      <alignment horizontal="center" vertical="center"/>
    </xf>
    <xf numFmtId="0" fontId="262" fillId="3" borderId="14" xfId="0" applyNumberFormat="1" applyFont="1" applyFill="1" applyBorder="1" applyAlignment="1">
      <alignment vertical="center"/>
    </xf>
    <xf numFmtId="0" fontId="242" fillId="3" borderId="0" xfId="0" applyNumberFormat="1" applyFont="1" applyFill="1" applyBorder="1" applyAlignment="1">
      <alignment vertical="center"/>
    </xf>
    <xf numFmtId="0" fontId="248" fillId="3" borderId="104" xfId="0" applyNumberFormat="1" applyFont="1" applyFill="1" applyBorder="1" applyAlignment="1">
      <alignment horizontal="center" vertical="center"/>
    </xf>
    <xf numFmtId="0" fontId="262" fillId="3" borderId="104" xfId="0" applyNumberFormat="1" applyFont="1" applyFill="1" applyBorder="1" applyAlignment="1">
      <alignment horizontal="center" vertical="center"/>
    </xf>
    <xf numFmtId="0" fontId="298" fillId="3" borderId="104" xfId="0" applyNumberFormat="1" applyFont="1" applyFill="1" applyBorder="1" applyAlignment="1">
      <alignment horizontal="center" vertical="center"/>
    </xf>
    <xf numFmtId="0" fontId="262" fillId="3" borderId="0" xfId="0" applyNumberFormat="1" applyFont="1" applyFill="1" applyBorder="1" applyAlignment="1">
      <alignment horizontal="center" vertical="center"/>
    </xf>
    <xf numFmtId="0" fontId="248" fillId="0" borderId="0" xfId="0" applyNumberFormat="1" applyFont="1" applyAlignment="1">
      <alignment vertical="center"/>
    </xf>
    <xf numFmtId="0" fontId="273" fillId="3" borderId="10" xfId="0" applyNumberFormat="1" applyFont="1" applyFill="1" applyBorder="1" applyAlignment="1">
      <alignment horizontal="center"/>
    </xf>
    <xf numFmtId="0" fontId="274" fillId="3" borderId="10" xfId="0" applyNumberFormat="1" applyFont="1" applyFill="1" applyBorder="1" applyAlignment="1">
      <alignment horizontal="center"/>
    </xf>
    <xf numFmtId="0" fontId="320" fillId="3" borderId="10" xfId="0" applyNumberFormat="1" applyFont="1" applyFill="1" applyBorder="1" applyAlignment="1">
      <alignment horizontal="center"/>
    </xf>
    <xf numFmtId="0" fontId="47" fillId="3" borderId="10" xfId="0" applyNumberFormat="1" applyFont="1" applyFill="1" applyBorder="1"/>
    <xf numFmtId="0" fontId="56" fillId="3" borderId="10" xfId="0" applyNumberFormat="1" applyFont="1" applyFill="1" applyBorder="1"/>
    <xf numFmtId="0" fontId="69" fillId="3" borderId="10" xfId="0" applyNumberFormat="1" applyFont="1" applyFill="1" applyBorder="1"/>
    <xf numFmtId="0" fontId="35" fillId="0" borderId="0" xfId="0" applyNumberFormat="1" applyFont="1"/>
    <xf numFmtId="0" fontId="35" fillId="3" borderId="12" xfId="0" applyNumberFormat="1" applyFont="1" applyFill="1" applyBorder="1"/>
    <xf numFmtId="0" fontId="47" fillId="3" borderId="150" xfId="0" applyNumberFormat="1" applyFont="1" applyFill="1" applyBorder="1"/>
    <xf numFmtId="0" fontId="273" fillId="3" borderId="76" xfId="0" applyNumberFormat="1" applyFont="1" applyFill="1" applyBorder="1" applyAlignment="1">
      <alignment horizontal="center"/>
    </xf>
    <xf numFmtId="0" fontId="274" fillId="3" borderId="0" xfId="0" applyNumberFormat="1" applyFont="1" applyFill="1" applyBorder="1" applyAlignment="1">
      <alignment horizontal="center"/>
    </xf>
    <xf numFmtId="0" fontId="320" fillId="3" borderId="89" xfId="0" applyNumberFormat="1" applyFont="1" applyFill="1" applyBorder="1" applyAlignment="1">
      <alignment horizontal="center"/>
    </xf>
    <xf numFmtId="0" fontId="47" fillId="3" borderId="0" xfId="0" applyNumberFormat="1" applyFont="1" applyFill="1" applyBorder="1" applyAlignment="1">
      <alignment horizontal="center"/>
    </xf>
    <xf numFmtId="0" fontId="47" fillId="3" borderId="89" xfId="0" applyNumberFormat="1" applyFont="1" applyFill="1" applyBorder="1" applyAlignment="1">
      <alignment horizontal="center"/>
    </xf>
    <xf numFmtId="0" fontId="47" fillId="3" borderId="76" xfId="0" applyNumberFormat="1" applyFont="1" applyFill="1" applyBorder="1" applyAlignment="1">
      <alignment horizontal="center"/>
    </xf>
    <xf numFmtId="0" fontId="49" fillId="3" borderId="76" xfId="0" applyNumberFormat="1" applyFont="1" applyFill="1" applyBorder="1" applyAlignment="1">
      <alignment horizontal="center"/>
    </xf>
    <xf numFmtId="0" fontId="97" fillId="3" borderId="76" xfId="0" applyNumberFormat="1" applyFont="1" applyFill="1" applyBorder="1" applyAlignment="1">
      <alignment horizontal="center"/>
    </xf>
    <xf numFmtId="0" fontId="68" fillId="3" borderId="76" xfId="0" applyNumberFormat="1" applyFont="1" applyFill="1" applyBorder="1" applyAlignment="1">
      <alignment horizontal="center"/>
    </xf>
    <xf numFmtId="0" fontId="47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/>
    <xf numFmtId="0" fontId="0" fillId="3" borderId="88" xfId="0" applyNumberFormat="1" applyFill="1" applyBorder="1" applyAlignment="1">
      <alignment horizontal="center" vertical="center"/>
    </xf>
    <xf numFmtId="0" fontId="54" fillId="3" borderId="0" xfId="0" applyNumberFormat="1" applyFont="1" applyFill="1" applyBorder="1" applyAlignment="1">
      <alignment horizontal="center" vertical="center"/>
    </xf>
    <xf numFmtId="0" fontId="285" fillId="3" borderId="14" xfId="0" applyNumberFormat="1" applyFont="1" applyFill="1" applyBorder="1" applyAlignment="1">
      <alignment horizontal="center"/>
    </xf>
    <xf numFmtId="0" fontId="41" fillId="3" borderId="88" xfId="0" applyNumberFormat="1" applyFont="1" applyFill="1" applyBorder="1" applyAlignment="1">
      <alignment horizontal="center" vertical="center"/>
    </xf>
    <xf numFmtId="0" fontId="330" fillId="3" borderId="0" xfId="0" applyNumberFormat="1" applyFont="1" applyFill="1" applyBorder="1"/>
    <xf numFmtId="0" fontId="285" fillId="3" borderId="14" xfId="0" applyNumberFormat="1" applyFont="1" applyFill="1" applyBorder="1"/>
    <xf numFmtId="0" fontId="80" fillId="0" borderId="0" xfId="0" applyNumberFormat="1" applyFont="1"/>
    <xf numFmtId="0" fontId="80" fillId="3" borderId="12" xfId="0" applyNumberFormat="1" applyFont="1" applyFill="1" applyBorder="1"/>
    <xf numFmtId="0" fontId="46" fillId="3" borderId="43" xfId="0" applyNumberFormat="1" applyFont="1" applyFill="1" applyBorder="1" applyAlignment="1">
      <alignment horizontal="right" vertical="center" indent="1"/>
    </xf>
    <xf numFmtId="0" fontId="41" fillId="3" borderId="0" xfId="0" applyNumberFormat="1" applyFont="1" applyFill="1" applyBorder="1"/>
    <xf numFmtId="0" fontId="80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center"/>
    </xf>
    <xf numFmtId="0" fontId="0" fillId="7" borderId="0" xfId="0" applyNumberFormat="1" applyFill="1" applyBorder="1"/>
    <xf numFmtId="0" fontId="0" fillId="3" borderId="43" xfId="0" applyNumberFormat="1" applyFill="1" applyBorder="1"/>
    <xf numFmtId="0" fontId="255" fillId="3" borderId="0" xfId="0" applyNumberFormat="1" applyFont="1" applyFill="1" applyBorder="1" applyAlignment="1">
      <alignment horizontal="center"/>
    </xf>
    <xf numFmtId="0" fontId="0" fillId="3" borderId="43" xfId="0" applyNumberFormat="1" applyFill="1" applyBorder="1" applyAlignment="1">
      <alignment horizontal="right" indent="1"/>
    </xf>
    <xf numFmtId="0" fontId="256" fillId="3" borderId="16" xfId="0" applyNumberFormat="1" applyFon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0" fontId="53" fillId="3" borderId="16" xfId="0" applyNumberFormat="1" applyFont="1" applyFill="1" applyBorder="1"/>
    <xf numFmtId="0" fontId="330" fillId="3" borderId="16" xfId="0" applyNumberFormat="1" applyFont="1" applyFill="1" applyBorder="1"/>
    <xf numFmtId="0" fontId="285" fillId="3" borderId="17" xfId="0" applyNumberFormat="1" applyFont="1" applyFill="1" applyBorder="1"/>
    <xf numFmtId="0" fontId="256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53" fillId="0" borderId="0" xfId="0" applyNumberFormat="1" applyFont="1"/>
    <xf numFmtId="0" fontId="330" fillId="0" borderId="0" xfId="0" applyNumberFormat="1" applyFont="1"/>
    <xf numFmtId="0" fontId="285" fillId="0" borderId="0" xfId="0" applyNumberFormat="1" applyFont="1"/>
    <xf numFmtId="0" fontId="47" fillId="3" borderId="10" xfId="0" applyNumberFormat="1" applyFont="1" applyFill="1" applyBorder="1" applyAlignment="1">
      <alignment horizontal="center"/>
    </xf>
    <xf numFmtId="0" fontId="0" fillId="3" borderId="12" xfId="0" applyNumberFormat="1" applyFont="1" applyFill="1" applyBorder="1"/>
    <xf numFmtId="0" fontId="275" fillId="3" borderId="0" xfId="0" applyNumberFormat="1" applyFont="1" applyFill="1" applyBorder="1" applyAlignment="1">
      <alignment horizontal="center"/>
    </xf>
    <xf numFmtId="0" fontId="275" fillId="3" borderId="89" xfId="0" applyNumberFormat="1" applyFont="1" applyFill="1" applyBorder="1" applyAlignment="1">
      <alignment horizontal="center"/>
    </xf>
    <xf numFmtId="0" fontId="275" fillId="3" borderId="76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3" borderId="88" xfId="0" applyNumberFormat="1" applyFill="1" applyBorder="1"/>
    <xf numFmtId="0" fontId="80" fillId="3" borderId="88" xfId="0" applyNumberFormat="1" applyFont="1" applyFill="1" applyBorder="1"/>
    <xf numFmtId="0" fontId="0" fillId="3" borderId="0" xfId="0" applyNumberFormat="1" applyFill="1" applyBorder="1" applyAlignment="1">
      <alignment horizontal="center"/>
    </xf>
    <xf numFmtId="0" fontId="266" fillId="3" borderId="0" xfId="0" applyNumberFormat="1" applyFont="1" applyFill="1" applyBorder="1" applyAlignment="1">
      <alignment horizontal="center"/>
    </xf>
    <xf numFmtId="0" fontId="50" fillId="3" borderId="16" xfId="0" applyNumberFormat="1" applyFont="1" applyFill="1" applyBorder="1" applyAlignment="1">
      <alignment horizontal="center"/>
    </xf>
    <xf numFmtId="0" fontId="43" fillId="0" borderId="0" xfId="0" applyNumberFormat="1" applyFont="1" applyAlignment="1"/>
    <xf numFmtId="0" fontId="39" fillId="0" borderId="0" xfId="0" applyNumberFormat="1" applyFont="1"/>
    <xf numFmtId="0" fontId="92" fillId="0" borderId="0" xfId="0" applyNumberFormat="1" applyFont="1" applyAlignment="1">
      <alignment horizontal="right" wrapText="1"/>
    </xf>
    <xf numFmtId="0" fontId="42" fillId="0" borderId="0" xfId="0" applyNumberFormat="1" applyFont="1"/>
    <xf numFmtId="0" fontId="54" fillId="0" borderId="0" xfId="0" applyNumberFormat="1" applyFont="1"/>
    <xf numFmtId="0" fontId="0" fillId="0" borderId="0" xfId="0" applyNumberFormat="1" applyBorder="1"/>
    <xf numFmtId="0" fontId="46" fillId="0" borderId="0" xfId="0" applyNumberFormat="1" applyFont="1" applyAlignment="1">
      <alignment horizontal="center"/>
    </xf>
    <xf numFmtId="0" fontId="46" fillId="0" borderId="0" xfId="0" applyNumberFormat="1" applyFont="1" applyAlignment="1">
      <alignment horizontal="right"/>
    </xf>
    <xf numFmtId="0" fontId="47" fillId="0" borderId="0" xfId="0" applyNumberFormat="1" applyFont="1" applyAlignment="1">
      <alignment horizontal="right"/>
    </xf>
    <xf numFmtId="0" fontId="49" fillId="0" borderId="0" xfId="0" applyNumberFormat="1" applyFont="1" applyAlignment="1">
      <alignment horizontal="right"/>
    </xf>
    <xf numFmtId="0" fontId="97" fillId="0" borderId="0" xfId="0" applyNumberFormat="1" applyFont="1" applyAlignment="1">
      <alignment horizontal="right"/>
    </xf>
    <xf numFmtId="0" fontId="287" fillId="0" borderId="0" xfId="0" applyNumberFormat="1" applyFont="1" applyAlignment="1">
      <alignment horizontal="right"/>
    </xf>
    <xf numFmtId="0" fontId="39" fillId="0" borderId="0" xfId="0" applyNumberFormat="1" applyFont="1" applyBorder="1"/>
    <xf numFmtId="0" fontId="33" fillId="3" borderId="9" xfId="0" applyNumberFormat="1" applyFont="1" applyFill="1" applyBorder="1"/>
    <xf numFmtId="0" fontId="85" fillId="3" borderId="10" xfId="0" applyNumberFormat="1" applyFont="1" applyFill="1" applyBorder="1"/>
    <xf numFmtId="0" fontId="82" fillId="3" borderId="10" xfId="0" applyNumberFormat="1" applyFont="1" applyFill="1" applyBorder="1"/>
    <xf numFmtId="0" fontId="35" fillId="3" borderId="10" xfId="0" applyNumberFormat="1" applyFont="1" applyFill="1" applyBorder="1"/>
    <xf numFmtId="0" fontId="54" fillId="3" borderId="10" xfId="0" applyNumberFormat="1" applyFont="1" applyFill="1" applyBorder="1"/>
    <xf numFmtId="0" fontId="288" fillId="3" borderId="11" xfId="0" applyNumberFormat="1" applyFont="1" applyFill="1" applyBorder="1"/>
    <xf numFmtId="0" fontId="56" fillId="3" borderId="0" xfId="0" applyNumberFormat="1" applyFont="1" applyFill="1" applyBorder="1"/>
    <xf numFmtId="0" fontId="54" fillId="3" borderId="0" xfId="0" applyNumberFormat="1" applyFont="1" applyFill="1" applyBorder="1"/>
    <xf numFmtId="0" fontId="35" fillId="0" borderId="13" xfId="0" applyNumberFormat="1" applyFont="1" applyFill="1" applyBorder="1"/>
    <xf numFmtId="0" fontId="54" fillId="0" borderId="13" xfId="0" applyNumberFormat="1" applyFont="1" applyFill="1" applyBorder="1"/>
    <xf numFmtId="0" fontId="288" fillId="3" borderId="14" xfId="0" applyNumberFormat="1" applyFont="1" applyFill="1" applyBorder="1"/>
    <xf numFmtId="0" fontId="56" fillId="3" borderId="12" xfId="0" applyNumberFormat="1" applyFont="1" applyFill="1" applyBorder="1" applyAlignment="1">
      <alignment horizontal="left" indent="3"/>
    </xf>
    <xf numFmtId="0" fontId="56" fillId="3" borderId="0" xfId="0" applyNumberFormat="1" applyFont="1" applyFill="1" applyBorder="1" applyAlignment="1">
      <alignment horizontal="left"/>
    </xf>
    <xf numFmtId="0" fontId="85" fillId="3" borderId="0" xfId="0" applyNumberFormat="1" applyFont="1" applyFill="1" applyBorder="1"/>
    <xf numFmtId="0" fontId="82" fillId="3" borderId="0" xfId="0" applyNumberFormat="1" applyFont="1" applyFill="1" applyBorder="1"/>
    <xf numFmtId="0" fontId="35" fillId="3" borderId="0" xfId="0" applyNumberFormat="1" applyFont="1" applyFill="1" applyBorder="1"/>
    <xf numFmtId="0" fontId="0" fillId="0" borderId="0" xfId="0" quotePrefix="1" applyNumberFormat="1"/>
    <xf numFmtId="0" fontId="253" fillId="3" borderId="0" xfId="0" applyNumberFormat="1" applyFont="1" applyFill="1" applyBorder="1"/>
    <xf numFmtId="0" fontId="35" fillId="0" borderId="0" xfId="0" applyNumberFormat="1" applyFont="1" applyFill="1" applyBorder="1"/>
    <xf numFmtId="0" fontId="56" fillId="3" borderId="0" xfId="0" applyNumberFormat="1" applyFont="1" applyFill="1" applyBorder="1" applyAlignment="1">
      <alignment horizontal="left" indent="2"/>
    </xf>
    <xf numFmtId="0" fontId="56" fillId="3" borderId="12" xfId="0" applyNumberFormat="1" applyFont="1" applyFill="1" applyBorder="1" applyAlignment="1">
      <alignment horizontal="left" indent="2"/>
    </xf>
    <xf numFmtId="0" fontId="57" fillId="3" borderId="12" xfId="0" applyNumberFormat="1" applyFont="1" applyFill="1" applyBorder="1" applyAlignment="1">
      <alignment horizontal="left" indent="1"/>
    </xf>
    <xf numFmtId="0" fontId="241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/>
    </xf>
    <xf numFmtId="0" fontId="80" fillId="0" borderId="13" xfId="0" applyNumberFormat="1" applyFont="1" applyFill="1" applyBorder="1"/>
    <xf numFmtId="0" fontId="82" fillId="0" borderId="13" xfId="0" applyNumberFormat="1" applyFont="1" applyFill="1" applyBorder="1"/>
    <xf numFmtId="0" fontId="242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 indent="1"/>
    </xf>
    <xf numFmtId="0" fontId="80" fillId="0" borderId="0" xfId="0" applyNumberFormat="1" applyFont="1" applyAlignment="1">
      <alignment horizontal="right"/>
    </xf>
    <xf numFmtId="0" fontId="47" fillId="3" borderId="15" xfId="0" applyNumberFormat="1" applyFont="1" applyFill="1" applyBorder="1"/>
    <xf numFmtId="0" fontId="35" fillId="3" borderId="16" xfId="0" applyNumberFormat="1" applyFont="1" applyFill="1" applyBorder="1"/>
    <xf numFmtId="0" fontId="82" fillId="3" borderId="16" xfId="0" applyNumberFormat="1" applyFont="1" applyFill="1" applyBorder="1"/>
    <xf numFmtId="0" fontId="54" fillId="3" borderId="16" xfId="0" applyNumberFormat="1" applyFont="1" applyFill="1" applyBorder="1"/>
    <xf numFmtId="0" fontId="85" fillId="3" borderId="16" xfId="0" applyNumberFormat="1" applyFont="1" applyFill="1" applyBorder="1"/>
    <xf numFmtId="0" fontId="288" fillId="3" borderId="17" xfId="0" applyNumberFormat="1" applyFont="1" applyFill="1" applyBorder="1"/>
    <xf numFmtId="0" fontId="49" fillId="0" borderId="0" xfId="0" applyNumberFormat="1" applyFont="1"/>
    <xf numFmtId="0" fontId="83" fillId="0" borderId="0" xfId="0" applyNumberFormat="1" applyFont="1"/>
    <xf numFmtId="0" fontId="50" fillId="0" borderId="0" xfId="0" applyNumberFormat="1" applyFont="1"/>
    <xf numFmtId="0" fontId="82" fillId="0" borderId="0" xfId="0" applyNumberFormat="1" applyFont="1"/>
    <xf numFmtId="0" fontId="288" fillId="0" borderId="0" xfId="0" applyNumberFormat="1" applyFont="1"/>
    <xf numFmtId="0" fontId="43" fillId="0" borderId="0" xfId="0" applyNumberFormat="1" applyFont="1" applyAlignment="1">
      <alignment vertical="top"/>
    </xf>
    <xf numFmtId="0" fontId="85" fillId="0" borderId="0" xfId="0" applyNumberFormat="1" applyFont="1"/>
    <xf numFmtId="0" fontId="287" fillId="0" borderId="0" xfId="0" applyNumberFormat="1" applyFont="1"/>
    <xf numFmtId="0" fontId="39" fillId="3" borderId="10" xfId="0" applyNumberFormat="1" applyFont="1" applyFill="1" applyBorder="1"/>
    <xf numFmtId="0" fontId="4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center"/>
    </xf>
    <xf numFmtId="0" fontId="5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left" indent="1"/>
    </xf>
    <xf numFmtId="0" fontId="51" fillId="0" borderId="0" xfId="0" applyNumberFormat="1" applyFont="1"/>
    <xf numFmtId="0" fontId="233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/>
    <xf numFmtId="0" fontId="84" fillId="3" borderId="0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/>
    <xf numFmtId="0" fontId="39" fillId="3" borderId="12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 applyAlignment="1">
      <alignment horizontal="center"/>
    </xf>
    <xf numFmtId="0" fontId="84" fillId="3" borderId="0" xfId="0" applyNumberFormat="1" applyFont="1" applyFill="1" applyBorder="1" applyAlignment="1">
      <alignment horizontal="center"/>
    </xf>
    <xf numFmtId="0" fontId="56" fillId="3" borderId="0" xfId="0" applyNumberFormat="1" applyFont="1" applyFill="1" applyBorder="1" applyAlignment="1">
      <alignment horizontal="center"/>
    </xf>
    <xf numFmtId="0" fontId="58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 applyAlignment="1">
      <alignment horizontal="right"/>
    </xf>
    <xf numFmtId="0" fontId="82" fillId="0" borderId="13" xfId="0" applyNumberFormat="1" applyFont="1" applyFill="1" applyBorder="1" applyAlignment="1">
      <alignment horizontal="center"/>
    </xf>
    <xf numFmtId="0" fontId="53" fillId="3" borderId="10" xfId="0" applyNumberFormat="1" applyFont="1" applyFill="1" applyBorder="1" applyAlignment="1">
      <alignment horizontal="center" vertical="center"/>
    </xf>
    <xf numFmtId="0" fontId="41" fillId="3" borderId="10" xfId="0" applyNumberFormat="1" applyFont="1" applyFill="1" applyBorder="1" applyAlignment="1">
      <alignment horizontal="center" vertical="center"/>
    </xf>
    <xf numFmtId="0" fontId="66" fillId="3" borderId="150" xfId="0" applyNumberFormat="1" applyFont="1" applyFill="1" applyBorder="1" applyAlignment="1">
      <alignment horizontal="right" indent="1"/>
    </xf>
    <xf numFmtId="0" fontId="308" fillId="3" borderId="76" xfId="0" applyNumberFormat="1" applyFont="1" applyFill="1" applyBorder="1" applyAlignment="1">
      <alignment horizontal="center" vertical="center"/>
    </xf>
    <xf numFmtId="0" fontId="299" fillId="3" borderId="76" xfId="0" applyNumberFormat="1" applyFont="1" applyFill="1" applyBorder="1" applyAlignment="1">
      <alignment horizontal="center"/>
    </xf>
    <xf numFmtId="0" fontId="254" fillId="9" borderId="0" xfId="0" applyNumberFormat="1" applyFont="1" applyFill="1" applyBorder="1" applyAlignment="1" applyProtection="1">
      <alignment horizontal="center" vertical="center"/>
    </xf>
    <xf numFmtId="0" fontId="254" fillId="9" borderId="0" xfId="0" applyNumberFormat="1" applyFont="1" applyFill="1" applyAlignment="1" applyProtection="1">
      <alignment horizontal="center" vertical="center"/>
    </xf>
    <xf numFmtId="168" fontId="0" fillId="0" borderId="104" xfId="5" applyNumberFormat="1" applyFont="1" applyBorder="1" applyAlignment="1" applyProtection="1">
      <alignment horizontal="right" vertical="center"/>
    </xf>
    <xf numFmtId="1" fontId="0" fillId="0" borderId="104" xfId="0" applyNumberFormat="1" applyBorder="1" applyProtection="1"/>
    <xf numFmtId="9" fontId="53" fillId="7" borderId="104" xfId="1" applyFont="1" applyFill="1" applyBorder="1" applyAlignment="1" applyProtection="1">
      <alignment horizontal="right" vertical="center"/>
    </xf>
    <xf numFmtId="170" fontId="0" fillId="0" borderId="104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4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44" fillId="0" borderId="0" xfId="0" applyNumberFormat="1" applyFont="1"/>
    <xf numFmtId="0" fontId="237" fillId="9" borderId="0" xfId="0" applyNumberFormat="1" applyFont="1" applyFill="1"/>
    <xf numFmtId="0" fontId="237" fillId="9" borderId="0" xfId="0" applyNumberFormat="1" applyFont="1" applyFill="1" applyAlignment="1">
      <alignment horizontal="center"/>
    </xf>
    <xf numFmtId="0" fontId="238" fillId="9" borderId="0" xfId="0" applyNumberFormat="1" applyFont="1" applyFill="1" applyAlignment="1">
      <alignment horizontal="right"/>
    </xf>
    <xf numFmtId="0" fontId="238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4" fillId="9" borderId="0" xfId="0" applyNumberFormat="1" applyFont="1" applyFill="1"/>
    <xf numFmtId="0" fontId="0" fillId="9" borderId="0" xfId="0" applyNumberFormat="1" applyFill="1" applyBorder="1" applyAlignment="1" applyProtection="1"/>
    <xf numFmtId="0" fontId="237" fillId="43" borderId="0" xfId="0" applyNumberFormat="1" applyFont="1" applyFill="1"/>
    <xf numFmtId="0" fontId="237" fillId="43" borderId="0" xfId="0" applyNumberFormat="1" applyFont="1" applyFill="1" applyAlignment="1">
      <alignment horizontal="center"/>
    </xf>
    <xf numFmtId="0" fontId="238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53" fillId="43" borderId="0" xfId="0" applyNumberFormat="1" applyFont="1" applyFill="1"/>
    <xf numFmtId="0" fontId="53" fillId="7" borderId="0" xfId="0" applyNumberFormat="1" applyFont="1" applyFill="1"/>
    <xf numFmtId="0" fontId="99" fillId="43" borderId="0" xfId="0" applyNumberFormat="1" applyFont="1" applyFill="1"/>
    <xf numFmtId="0" fontId="0" fillId="43" borderId="0" xfId="0" applyNumberFormat="1" applyFill="1" applyBorder="1" applyAlignment="1" applyProtection="1"/>
    <xf numFmtId="0" fontId="244" fillId="7" borderId="0" xfId="0" applyNumberFormat="1" applyFont="1" applyFill="1"/>
    <xf numFmtId="0" fontId="237" fillId="3" borderId="0" xfId="0" applyNumberFormat="1" applyFont="1" applyFill="1"/>
    <xf numFmtId="0" fontId="238" fillId="3" borderId="0" xfId="0" applyNumberFormat="1" applyFont="1" applyFill="1" applyAlignment="1">
      <alignment horizontal="right"/>
    </xf>
    <xf numFmtId="0" fontId="238" fillId="0" borderId="0" xfId="0" applyNumberFormat="1" applyFont="1" applyAlignment="1">
      <alignment horizontal="right"/>
    </xf>
    <xf numFmtId="0" fontId="0" fillId="3" borderId="0" xfId="0" applyNumberFormat="1" applyFill="1"/>
    <xf numFmtId="0" fontId="252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53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3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53" fillId="8" borderId="0" xfId="6" applyNumberFormat="1" applyFont="1" applyFill="1" applyBorder="1" applyAlignment="1">
      <alignment horizontal="right" vertical="center"/>
    </xf>
    <xf numFmtId="0" fontId="33" fillId="0" borderId="0" xfId="0" applyNumberFormat="1" applyFont="1" applyFill="1" applyBorder="1"/>
    <xf numFmtId="0" fontId="33" fillId="0" borderId="0" xfId="0" applyNumberFormat="1" applyFont="1" applyBorder="1"/>
    <xf numFmtId="0" fontId="33" fillId="8" borderId="0" xfId="6" applyNumberFormat="1" applyFont="1" applyFill="1" applyBorder="1" applyAlignment="1">
      <alignment horizontal="left" vertical="center"/>
    </xf>
    <xf numFmtId="0" fontId="33" fillId="8" borderId="0" xfId="0" applyNumberFormat="1" applyFont="1" applyFill="1" applyBorder="1"/>
    <xf numFmtId="0" fontId="33" fillId="8" borderId="0" xfId="6" applyNumberFormat="1" applyFont="1" applyFill="1" applyBorder="1" applyAlignment="1">
      <alignment horizontal="right" vertical="center"/>
    </xf>
    <xf numFmtId="0" fontId="246" fillId="0" borderId="0" xfId="0" applyNumberFormat="1" applyFont="1"/>
    <xf numFmtId="0" fontId="281" fillId="0" borderId="110" xfId="1060" applyNumberFormat="1" applyFont="1" applyFill="1" applyBorder="1" applyAlignment="1">
      <alignment vertical="center"/>
    </xf>
    <xf numFmtId="0" fontId="321" fillId="0" borderId="111" xfId="1060" applyNumberFormat="1" applyFont="1" applyFill="1" applyBorder="1" applyAlignment="1">
      <alignment horizontal="left" vertical="center"/>
    </xf>
    <xf numFmtId="0" fontId="281" fillId="0" borderId="151" xfId="1060" applyNumberFormat="1" applyFont="1" applyFill="1" applyBorder="1" applyAlignment="1">
      <alignment horizontal="center" vertical="center"/>
    </xf>
    <xf numFmtId="0" fontId="331" fillId="7" borderId="0" xfId="0" applyNumberFormat="1" applyFont="1" applyFill="1" applyBorder="1" applyAlignment="1">
      <alignment horizontal="center"/>
    </xf>
    <xf numFmtId="0" fontId="281" fillId="8" borderId="110" xfId="1060" applyNumberFormat="1" applyFont="1" applyFill="1" applyBorder="1" applyAlignment="1">
      <alignment vertical="center"/>
    </xf>
    <xf numFmtId="0" fontId="321" fillId="8" borderId="111" xfId="1060" applyNumberFormat="1" applyFont="1" applyFill="1" applyBorder="1" applyAlignment="1">
      <alignment horizontal="left" vertical="center"/>
    </xf>
    <xf numFmtId="0" fontId="281" fillId="8" borderId="151" xfId="1060" applyNumberFormat="1" applyFont="1" applyFill="1" applyBorder="1" applyAlignment="1">
      <alignment horizontal="center" vertical="center"/>
    </xf>
    <xf numFmtId="0" fontId="302" fillId="7" borderId="0" xfId="1060" applyNumberFormat="1" applyFont="1" applyFill="1" applyBorder="1" applyAlignment="1"/>
    <xf numFmtId="0" fontId="302" fillId="7" borderId="0" xfId="1060" applyNumberFormat="1" applyFont="1" applyFill="1" applyBorder="1" applyAlignment="1">
      <alignment horizontal="left"/>
    </xf>
    <xf numFmtId="0" fontId="282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left" indent="1"/>
    </xf>
    <xf numFmtId="0" fontId="281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 vertical="center"/>
    </xf>
    <xf numFmtId="0" fontId="25" fillId="7" borderId="0" xfId="1059" applyNumberFormat="1" applyFont="1" applyFill="1"/>
    <xf numFmtId="0" fontId="334" fillId="7" borderId="0" xfId="1059" applyNumberFormat="1" applyFont="1" applyFill="1" applyBorder="1" applyAlignment="1">
      <alignment horizontal="center"/>
    </xf>
    <xf numFmtId="0" fontId="324" fillId="0" borderId="0" xfId="1059" applyNumberFormat="1" applyFont="1" applyAlignment="1">
      <alignment horizontal="left" vertical="center"/>
    </xf>
    <xf numFmtId="0" fontId="304" fillId="0" borderId="0" xfId="1059" applyNumberFormat="1" applyFont="1" applyAlignment="1">
      <alignment horizontal="left" vertical="center"/>
    </xf>
    <xf numFmtId="0" fontId="25" fillId="0" borderId="0" xfId="1059" applyNumberFormat="1" applyFont="1"/>
    <xf numFmtId="0" fontId="279" fillId="0" borderId="0" xfId="1059" applyNumberFormat="1" applyFont="1"/>
    <xf numFmtId="0" fontId="279" fillId="0" borderId="147" xfId="1059" applyNumberFormat="1" applyFont="1" applyBorder="1"/>
    <xf numFmtId="0" fontId="25" fillId="0" borderId="148" xfId="1059" applyNumberFormat="1" applyFont="1" applyBorder="1"/>
    <xf numFmtId="0" fontId="25" fillId="0" borderId="149" xfId="1059" applyNumberFormat="1" applyFont="1" applyBorder="1"/>
    <xf numFmtId="0" fontId="301" fillId="0" borderId="147" xfId="1059" applyNumberFormat="1" applyFont="1" applyBorder="1" applyAlignment="1">
      <alignment horizontal="left" vertical="center"/>
    </xf>
    <xf numFmtId="0" fontId="0" fillId="0" borderId="121" xfId="0" applyNumberFormat="1" applyBorder="1"/>
    <xf numFmtId="0" fontId="25" fillId="0" borderId="133" xfId="1059" applyNumberFormat="1" applyFont="1" applyBorder="1" applyAlignment="1">
      <alignment horizontal="center" vertical="center"/>
    </xf>
    <xf numFmtId="0" fontId="25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2" fillId="0" borderId="148" xfId="1061" applyNumberFormat="1" applyFont="1" applyBorder="1"/>
    <xf numFmtId="0" fontId="32" fillId="0" borderId="149" xfId="1061" applyNumberFormat="1" applyFont="1" applyBorder="1"/>
    <xf numFmtId="0" fontId="294" fillId="46" borderId="110" xfId="1060" applyNumberFormat="1" applyFont="1" applyFill="1" applyBorder="1" applyAlignment="1">
      <alignment horizontal="center" vertical="center" wrapText="1"/>
    </xf>
    <xf numFmtId="0" fontId="300" fillId="47" borderId="122" xfId="1060" applyNumberFormat="1" applyFont="1" applyFill="1" applyBorder="1" applyAlignment="1">
      <alignment horizontal="center" vertical="center" wrapText="1"/>
    </xf>
    <xf numFmtId="0" fontId="300" fillId="47" borderId="110" xfId="1060" applyNumberFormat="1" applyFont="1" applyFill="1" applyBorder="1" applyAlignment="1">
      <alignment horizontal="center" vertical="center" wrapText="1"/>
    </xf>
    <xf numFmtId="0" fontId="300" fillId="47" borderId="123" xfId="1060" applyNumberFormat="1" applyFont="1" applyFill="1" applyBorder="1" applyAlignment="1">
      <alignment horizontal="center" vertical="center" wrapText="1"/>
    </xf>
    <xf numFmtId="0" fontId="300" fillId="47" borderId="111" xfId="1060" applyNumberFormat="1" applyFont="1" applyFill="1" applyBorder="1" applyAlignment="1">
      <alignment horizontal="center" vertical="center" wrapText="1"/>
    </xf>
    <xf numFmtId="0" fontId="293" fillId="0" borderId="0" xfId="1059" applyNumberFormat="1" applyFont="1" applyAlignment="1">
      <alignment vertical="center" wrapText="1"/>
    </xf>
    <xf numFmtId="0" fontId="300" fillId="47" borderId="119" xfId="1060" applyNumberFormat="1" applyFont="1" applyFill="1" applyBorder="1" applyAlignment="1">
      <alignment horizontal="center" vertical="center" wrapText="1"/>
    </xf>
    <xf numFmtId="0" fontId="300" fillId="47" borderId="124" xfId="1060" applyNumberFormat="1" applyFont="1" applyFill="1" applyBorder="1" applyAlignment="1">
      <alignment horizontal="center" vertical="center" wrapText="1"/>
    </xf>
    <xf numFmtId="0" fontId="335" fillId="53" borderId="0" xfId="1060" applyNumberFormat="1" applyFont="1" applyFill="1" applyBorder="1" applyAlignment="1">
      <alignment horizontal="center" vertical="center" wrapText="1"/>
    </xf>
    <xf numFmtId="0" fontId="281" fillId="8" borderId="110" xfId="1060" applyNumberFormat="1" applyFont="1" applyFill="1" applyBorder="1" applyAlignment="1">
      <alignment horizontal="left" vertical="center"/>
    </xf>
    <xf numFmtId="0" fontId="338" fillId="0" borderId="0" xfId="1059" applyNumberFormat="1" applyFont="1" applyAlignment="1">
      <alignment horizontal="left" vertical="center"/>
    </xf>
    <xf numFmtId="0" fontId="281" fillId="0" borderId="110" xfId="1060" applyNumberFormat="1" applyFont="1" applyFill="1" applyBorder="1" applyAlignment="1">
      <alignment horizontal="left" vertical="center"/>
    </xf>
    <xf numFmtId="0" fontId="339" fillId="0" borderId="0" xfId="1059" applyNumberFormat="1" applyFont="1" applyAlignment="1">
      <alignment vertical="center" wrapText="1"/>
    </xf>
    <xf numFmtId="0" fontId="328" fillId="0" borderId="0" xfId="1059" applyNumberFormat="1" applyFont="1" applyAlignment="1">
      <alignment horizontal="right"/>
    </xf>
    <xf numFmtId="0" fontId="279" fillId="0" borderId="0" xfId="1059" applyNumberFormat="1" applyFont="1" applyAlignment="1">
      <alignment horizontal="center"/>
    </xf>
    <xf numFmtId="0" fontId="279" fillId="0" borderId="147" xfId="1059" applyNumberFormat="1" applyFont="1" applyBorder="1" applyAlignment="1">
      <alignment horizontal="left"/>
    </xf>
    <xf numFmtId="9" fontId="25" fillId="0" borderId="149" xfId="1" applyFont="1" applyBorder="1"/>
    <xf numFmtId="0" fontId="25" fillId="0" borderId="0" xfId="1059" applyNumberFormat="1" applyFont="1" applyAlignment="1">
      <alignment horizontal="center" vertical="center"/>
    </xf>
    <xf numFmtId="0" fontId="25" fillId="0" borderId="72" xfId="1059" applyNumberFormat="1" applyFont="1" applyBorder="1"/>
    <xf numFmtId="0" fontId="25" fillId="0" borderId="121" xfId="1059" applyNumberFormat="1" applyFont="1" applyBorder="1"/>
    <xf numFmtId="9" fontId="25" fillId="0" borderId="0" xfId="1" applyFont="1"/>
    <xf numFmtId="0" fontId="280" fillId="46" borderId="110" xfId="1060" applyNumberFormat="1" applyFont="1" applyFill="1" applyBorder="1" applyAlignment="1">
      <alignment horizontal="center" vertical="center" wrapText="1"/>
    </xf>
    <xf numFmtId="0" fontId="302" fillId="47" borderId="122" xfId="1060" applyNumberFormat="1" applyFont="1" applyFill="1" applyBorder="1" applyAlignment="1">
      <alignment horizontal="center" vertical="center" wrapText="1"/>
    </xf>
    <xf numFmtId="0" fontId="302" fillId="47" borderId="110" xfId="1060" applyNumberFormat="1" applyFont="1" applyFill="1" applyBorder="1" applyAlignment="1">
      <alignment horizontal="center" vertical="center" wrapText="1"/>
    </xf>
    <xf numFmtId="0" fontId="302" fillId="47" borderId="123" xfId="1060" applyNumberFormat="1" applyFont="1" applyFill="1" applyBorder="1" applyAlignment="1">
      <alignment horizontal="center" vertical="center" wrapText="1"/>
    </xf>
    <xf numFmtId="0" fontId="302" fillId="47" borderId="111" xfId="1060" applyNumberFormat="1" applyFont="1" applyFill="1" applyBorder="1" applyAlignment="1">
      <alignment horizontal="center" vertical="center" wrapText="1"/>
    </xf>
    <xf numFmtId="0" fontId="278" fillId="0" borderId="0" xfId="1059" applyNumberFormat="1" applyFont="1" applyAlignment="1">
      <alignment horizontal="center" vertical="center"/>
    </xf>
    <xf numFmtId="0" fontId="333" fillId="53" borderId="0" xfId="1060" applyNumberFormat="1" applyFont="1" applyFill="1" applyBorder="1" applyAlignment="1">
      <alignment horizontal="center" vertical="center" wrapText="1"/>
    </xf>
    <xf numFmtId="0" fontId="333" fillId="7" borderId="0" xfId="1060" applyNumberFormat="1" applyFont="1" applyFill="1" applyBorder="1" applyAlignment="1">
      <alignment horizontal="center" vertical="center"/>
    </xf>
    <xf numFmtId="170" fontId="248" fillId="44" borderId="0" xfId="0" applyNumberFormat="1" applyFont="1" applyFill="1" applyAlignment="1" applyProtection="1">
      <alignment horizontal="center" vertical="center"/>
    </xf>
    <xf numFmtId="170" fontId="248" fillId="44" borderId="0" xfId="0" applyNumberFormat="1" applyFont="1" applyFill="1" applyAlignment="1" applyProtection="1">
      <alignment horizontal="right" vertical="center"/>
    </xf>
    <xf numFmtId="1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48" fillId="7" borderId="0" xfId="0" applyNumberFormat="1" applyFont="1" applyFill="1" applyBorder="1" applyAlignment="1" applyProtection="1">
      <alignment horizontal="center"/>
    </xf>
    <xf numFmtId="1" fontId="248" fillId="7" borderId="0" xfId="0" applyNumberFormat="1" applyFont="1" applyFill="1" applyAlignment="1" applyProtection="1">
      <alignment horizontal="center" vertical="center"/>
    </xf>
    <xf numFmtId="1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Alignment="1" applyProtection="1">
      <alignment horizontal="right" vertical="center"/>
    </xf>
    <xf numFmtId="0" fontId="248" fillId="7" borderId="0" xfId="0" applyNumberFormat="1" applyFont="1" applyFill="1" applyProtection="1"/>
    <xf numFmtId="1" fontId="0" fillId="44" borderId="196" xfId="0" applyNumberFormat="1" applyFill="1" applyBorder="1" applyAlignment="1" applyProtection="1">
      <alignment horizontal="center" vertical="center"/>
    </xf>
    <xf numFmtId="0" fontId="0" fillId="44" borderId="196" xfId="0" applyNumberFormat="1" applyFill="1" applyBorder="1" applyAlignment="1" applyProtection="1">
      <alignment horizontal="right" vertical="center"/>
    </xf>
    <xf numFmtId="0" fontId="0" fillId="44" borderId="196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96" xfId="0" applyNumberFormat="1" applyFill="1" applyBorder="1" applyAlignment="1" applyProtection="1">
      <alignment horizontal="center" vertical="center"/>
    </xf>
    <xf numFmtId="0" fontId="281" fillId="8" borderId="111" xfId="1060" applyNumberFormat="1" applyFont="1" applyFill="1" applyBorder="1" applyAlignment="1">
      <alignment vertical="center"/>
    </xf>
    <xf numFmtId="0" fontId="281" fillId="0" borderId="111" xfId="1060" applyNumberFormat="1" applyFont="1" applyFill="1" applyBorder="1" applyAlignment="1">
      <alignment vertical="center"/>
    </xf>
    <xf numFmtId="0" fontId="281" fillId="0" borderId="119" xfId="1060" applyNumberFormat="1" applyFont="1" applyFill="1" applyBorder="1" applyAlignment="1">
      <alignment horizontal="right" vertical="center"/>
    </xf>
    <xf numFmtId="0" fontId="281" fillId="8" borderId="119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20" xfId="0" applyNumberFormat="1" applyFill="1" applyBorder="1" applyAlignment="1">
      <alignment horizontal="right"/>
    </xf>
    <xf numFmtId="0" fontId="0" fillId="2" borderId="121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50" xfId="0" applyNumberFormat="1" applyFill="1" applyBorder="1" applyAlignment="1">
      <alignment horizontal="right"/>
    </xf>
    <xf numFmtId="0" fontId="33" fillId="7" borderId="0" xfId="0" applyNumberFormat="1" applyFont="1" applyFill="1" applyBorder="1" applyAlignment="1">
      <alignment horizontal="right"/>
    </xf>
    <xf numFmtId="0" fontId="33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312" fillId="7" borderId="0" xfId="722" applyNumberFormat="1" applyFont="1" applyFill="1" applyBorder="1" applyAlignment="1">
      <alignment horizontal="right"/>
    </xf>
    <xf numFmtId="0" fontId="309" fillId="7" borderId="83" xfId="0" applyNumberFormat="1" applyFont="1" applyFill="1" applyBorder="1" applyAlignment="1">
      <alignment horizontal="left"/>
    </xf>
    <xf numFmtId="0" fontId="0" fillId="7" borderId="185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52" fillId="0" borderId="120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2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311" fillId="0" borderId="120" xfId="722" applyNumberFormat="1" applyFont="1" applyBorder="1" applyAlignment="1">
      <alignment horizontal="center" vertical="center" wrapText="1"/>
    </xf>
    <xf numFmtId="0" fontId="311" fillId="0" borderId="72" xfId="722" applyNumberFormat="1" applyFont="1" applyBorder="1" applyAlignment="1">
      <alignment horizontal="center" vertical="center" wrapText="1"/>
    </xf>
    <xf numFmtId="0" fontId="311" fillId="0" borderId="121" xfId="722" applyNumberFormat="1" applyFont="1" applyBorder="1" applyAlignment="1">
      <alignment horizontal="center" vertical="center" wrapText="1"/>
    </xf>
    <xf numFmtId="0" fontId="244" fillId="7" borderId="120" xfId="0" applyNumberFormat="1" applyFont="1" applyFill="1" applyBorder="1" applyAlignment="1">
      <alignment horizontal="center" vertical="center" wrapText="1"/>
    </xf>
    <xf numFmtId="0" fontId="244" fillId="0" borderId="121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3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311" fillId="0" borderId="83" xfId="722" applyNumberFormat="1" applyFont="1" applyBorder="1" applyAlignment="1">
      <alignment horizontal="right" vertical="top"/>
    </xf>
    <xf numFmtId="0" fontId="248" fillId="0" borderId="83" xfId="0" applyNumberFormat="1" applyFont="1" applyBorder="1" applyAlignment="1">
      <alignment wrapText="1"/>
    </xf>
    <xf numFmtId="0" fontId="0" fillId="7" borderId="83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311" fillId="0" borderId="83" xfId="722" applyNumberFormat="1" applyFont="1" applyBorder="1" applyAlignment="1">
      <alignment horizontal="right"/>
    </xf>
    <xf numFmtId="0" fontId="248" fillId="0" borderId="83" xfId="0" applyNumberFormat="1" applyFont="1" applyBorder="1"/>
    <xf numFmtId="0" fontId="53" fillId="0" borderId="83" xfId="0" applyNumberFormat="1" applyFont="1" applyBorder="1" applyAlignment="1">
      <alignment horizontal="right"/>
    </xf>
    <xf numFmtId="0" fontId="53" fillId="0" borderId="0" xfId="0" applyNumberFormat="1" applyFont="1" applyBorder="1" applyAlignment="1">
      <alignment horizontal="right"/>
    </xf>
    <xf numFmtId="0" fontId="53" fillId="0" borderId="43" xfId="0" applyNumberFormat="1" applyFont="1" applyBorder="1"/>
    <xf numFmtId="0" fontId="0" fillId="0" borderId="43" xfId="0" applyNumberFormat="1" applyBorder="1"/>
    <xf numFmtId="0" fontId="53" fillId="0" borderId="46" xfId="0" applyNumberFormat="1" applyFont="1" applyBorder="1" applyAlignment="1">
      <alignment horizontal="right"/>
    </xf>
    <xf numFmtId="0" fontId="53" fillId="0" borderId="185" xfId="0" applyNumberFormat="1" applyFont="1" applyBorder="1" applyAlignment="1">
      <alignment horizontal="right"/>
    </xf>
    <xf numFmtId="0" fontId="53" fillId="0" borderId="150" xfId="0" applyNumberFormat="1" applyFont="1" applyBorder="1"/>
    <xf numFmtId="0" fontId="248" fillId="7" borderId="83" xfId="0" applyNumberFormat="1" applyFont="1" applyFill="1" applyBorder="1"/>
    <xf numFmtId="0" fontId="0" fillId="0" borderId="83" xfId="0" applyNumberFormat="1" applyBorder="1" applyAlignment="1">
      <alignment horizontal="right"/>
    </xf>
    <xf numFmtId="0" fontId="0" fillId="0" borderId="120" xfId="0" applyNumberFormat="1" applyBorder="1" applyAlignment="1">
      <alignment horizontal="right"/>
    </xf>
    <xf numFmtId="0" fontId="33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20" xfId="0" applyNumberFormat="1" applyBorder="1" applyAlignment="1">
      <alignment horizontal="center" vertical="center" wrapText="1"/>
    </xf>
    <xf numFmtId="0" fontId="0" fillId="0" borderId="83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85" xfId="0" applyNumberFormat="1" applyBorder="1" applyAlignment="1">
      <alignment horizontal="right"/>
    </xf>
    <xf numFmtId="0" fontId="0" fillId="0" borderId="185" xfId="0" applyNumberFormat="1" applyBorder="1"/>
    <xf numFmtId="0" fontId="244" fillId="0" borderId="150" xfId="0" applyNumberFormat="1" applyFont="1" applyBorder="1"/>
    <xf numFmtId="0" fontId="0" fillId="0" borderId="150" xfId="0" applyNumberFormat="1" applyBorder="1"/>
    <xf numFmtId="0" fontId="309" fillId="0" borderId="0" xfId="0" applyNumberFormat="1" applyFont="1"/>
    <xf numFmtId="0" fontId="248" fillId="0" borderId="0" xfId="0" applyNumberFormat="1" applyFont="1" applyAlignment="1">
      <alignment horizontal="right"/>
    </xf>
    <xf numFmtId="0" fontId="33" fillId="0" borderId="0" xfId="0" applyNumberFormat="1" applyFont="1" applyAlignment="1">
      <alignment horizontal="right"/>
    </xf>
    <xf numFmtId="0" fontId="53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3" fillId="7" borderId="0" xfId="0" applyNumberFormat="1" applyFont="1" applyFill="1"/>
    <xf numFmtId="0" fontId="303" fillId="41" borderId="72" xfId="0" applyNumberFormat="1" applyFont="1" applyFill="1" applyBorder="1" applyAlignment="1" applyProtection="1">
      <alignment vertical="center" wrapText="1"/>
    </xf>
    <xf numFmtId="0" fontId="303" fillId="41" borderId="0" xfId="0" applyNumberFormat="1" applyFont="1" applyFill="1" applyBorder="1" applyAlignment="1" applyProtection="1">
      <alignment vertical="center" wrapText="1"/>
    </xf>
    <xf numFmtId="0" fontId="303" fillId="41" borderId="43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horizontal="center" vertical="center" wrapText="1"/>
    </xf>
    <xf numFmtId="0" fontId="303" fillId="41" borderId="86" xfId="0" applyNumberFormat="1" applyFont="1" applyFill="1" applyBorder="1" applyAlignment="1" applyProtection="1">
      <alignment horizontal="center" vertical="center" wrapText="1"/>
    </xf>
    <xf numFmtId="0" fontId="53" fillId="12" borderId="125" xfId="5" applyNumberFormat="1" applyFont="1" applyFill="1" applyBorder="1" applyAlignment="1" applyProtection="1">
      <alignment horizontal="center"/>
    </xf>
    <xf numFmtId="0" fontId="33" fillId="0" borderId="143" xfId="0" applyNumberFormat="1" applyFont="1" applyBorder="1"/>
    <xf numFmtId="0" fontId="0" fillId="0" borderId="143" xfId="0" applyNumberFormat="1" applyBorder="1"/>
    <xf numFmtId="0" fontId="0" fillId="0" borderId="134" xfId="0" applyNumberFormat="1" applyBorder="1"/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31" xfId="5" applyNumberFormat="1" applyFont="1" applyFill="1" applyBorder="1" applyAlignment="1" applyProtection="1">
      <alignment horizontal="center"/>
    </xf>
    <xf numFmtId="0" fontId="33" fillId="0" borderId="144" xfId="0" applyNumberFormat="1" applyFont="1" applyBorder="1"/>
    <xf numFmtId="0" fontId="0" fillId="0" borderId="144" xfId="0" applyNumberFormat="1" applyBorder="1"/>
    <xf numFmtId="0" fontId="0" fillId="0" borderId="136" xfId="0" applyNumberFormat="1" applyBorder="1"/>
    <xf numFmtId="0" fontId="247" fillId="10" borderId="120" xfId="0" applyNumberFormat="1" applyFont="1" applyFill="1" applyBorder="1" applyAlignment="1" applyProtection="1">
      <alignment horizontal="center" vertical="center" wrapText="1"/>
    </xf>
    <xf numFmtId="0" fontId="247" fillId="10" borderId="72" xfId="0" applyNumberFormat="1" applyFont="1" applyFill="1" applyBorder="1" applyAlignment="1" applyProtection="1">
      <alignment horizontal="center" vertical="center" wrapText="1"/>
    </xf>
    <xf numFmtId="0" fontId="247" fillId="10" borderId="121" xfId="0" applyNumberFormat="1" applyFont="1" applyFill="1" applyBorder="1" applyAlignment="1" applyProtection="1">
      <alignment horizontal="center" vertical="center" wrapText="1"/>
    </xf>
    <xf numFmtId="0" fontId="55" fillId="10" borderId="0" xfId="0" applyNumberFormat="1" applyFont="1" applyFill="1" applyBorder="1" applyAlignment="1" applyProtection="1">
      <alignment vertical="center" wrapText="1"/>
    </xf>
    <xf numFmtId="0" fontId="55" fillId="10" borderId="43" xfId="0" applyNumberFormat="1" applyFont="1" applyFill="1" applyBorder="1" applyAlignment="1" applyProtection="1">
      <alignment vertical="center" wrapText="1"/>
    </xf>
    <xf numFmtId="0" fontId="247" fillId="10" borderId="197" xfId="0" applyNumberFormat="1" applyFont="1" applyFill="1" applyBorder="1" applyAlignment="1" applyProtection="1">
      <alignment horizontal="center" vertical="center" wrapText="1"/>
    </xf>
    <xf numFmtId="0" fontId="247" fillId="10" borderId="86" xfId="0" applyNumberFormat="1" applyFont="1" applyFill="1" applyBorder="1" applyAlignment="1" applyProtection="1">
      <alignment horizontal="center" vertical="center" wrapText="1"/>
    </xf>
    <xf numFmtId="0" fontId="53" fillId="9" borderId="125" xfId="0" applyNumberFormat="1" applyFont="1" applyFill="1" applyBorder="1" applyAlignment="1" applyProtection="1">
      <alignment horizontal="center" vertical="center"/>
    </xf>
    <xf numFmtId="0" fontId="33" fillId="0" borderId="157" xfId="0" applyNumberFormat="1" applyFont="1" applyBorder="1"/>
    <xf numFmtId="0" fontId="33" fillId="0" borderId="158" xfId="0" applyNumberFormat="1" applyFont="1" applyBorder="1"/>
    <xf numFmtId="0" fontId="0" fillId="0" borderId="158" xfId="0" applyNumberFormat="1" applyBorder="1"/>
    <xf numFmtId="0" fontId="0" fillId="0" borderId="138" xfId="0" applyNumberFormat="1" applyBorder="1"/>
    <xf numFmtId="0" fontId="33" fillId="0" borderId="153" xfId="0" applyNumberFormat="1" applyFont="1" applyBorder="1"/>
    <xf numFmtId="0" fontId="53" fillId="9" borderId="131" xfId="0" applyNumberFormat="1" applyFont="1" applyFill="1" applyBorder="1" applyAlignment="1" applyProtection="1">
      <alignment horizontal="center" vertical="center"/>
    </xf>
    <xf numFmtId="0" fontId="33" fillId="0" borderId="152" xfId="0" applyNumberFormat="1" applyFont="1" applyBorder="1"/>
    <xf numFmtId="0" fontId="67" fillId="0" borderId="0" xfId="6" applyNumberFormat="1" applyFont="1" applyFill="1" applyBorder="1" applyAlignment="1">
      <alignment horizontal="left" vertical="center"/>
    </xf>
    <xf numFmtId="0" fontId="53" fillId="0" borderId="195" xfId="1063" applyNumberFormat="1" applyFont="1" applyBorder="1"/>
    <xf numFmtId="0" fontId="53" fillId="0" borderId="142" xfId="1063" applyNumberFormat="1" applyFont="1" applyBorder="1"/>
    <xf numFmtId="0" fontId="53" fillId="0" borderId="140" xfId="1063" applyNumberFormat="1" applyFont="1" applyBorder="1"/>
    <xf numFmtId="0" fontId="53" fillId="0" borderId="135" xfId="1063" applyNumberFormat="1" applyFont="1" applyBorder="1"/>
    <xf numFmtId="0" fontId="53" fillId="0" borderId="143" xfId="1063" applyNumberFormat="1" applyFont="1" applyBorder="1"/>
    <xf numFmtId="0" fontId="53" fillId="0" borderId="63" xfId="1063" applyNumberFormat="1" applyFont="1" applyBorder="1"/>
    <xf numFmtId="0" fontId="53" fillId="0" borderId="137" xfId="1063" applyNumberFormat="1" applyFont="1" applyBorder="1"/>
    <xf numFmtId="0" fontId="53" fillId="0" borderId="144" xfId="1063" applyNumberFormat="1" applyFont="1" applyBorder="1"/>
    <xf numFmtId="0" fontId="53" fillId="0" borderId="141" xfId="1063" applyNumberFormat="1" applyFont="1" applyBorder="1"/>
    <xf numFmtId="0" fontId="336" fillId="0" borderId="0" xfId="6" applyNumberFormat="1" applyFont="1" applyFill="1" applyBorder="1" applyAlignment="1">
      <alignment horizontal="left" vertical="center"/>
    </xf>
    <xf numFmtId="0" fontId="33" fillId="0" borderId="195" xfId="1063" applyNumberFormat="1" applyFont="1" applyBorder="1"/>
    <xf numFmtId="0" fontId="33" fillId="0" borderId="142" xfId="1063" applyNumberFormat="1" applyFont="1" applyBorder="1"/>
    <xf numFmtId="0" fontId="33" fillId="0" borderId="140" xfId="1063" applyNumberFormat="1" applyFont="1" applyBorder="1"/>
    <xf numFmtId="0" fontId="33" fillId="0" borderId="135" xfId="1063" applyNumberFormat="1" applyFont="1" applyBorder="1"/>
    <xf numFmtId="0" fontId="33" fillId="0" borderId="143" xfId="1063" applyNumberFormat="1" applyFont="1" applyBorder="1"/>
    <xf numFmtId="0" fontId="33" fillId="0" borderId="63" xfId="1063" applyNumberFormat="1" applyFont="1" applyBorder="1"/>
    <xf numFmtId="0" fontId="33" fillId="0" borderId="137" xfId="1063" applyNumberFormat="1" applyFont="1" applyBorder="1"/>
    <xf numFmtId="0" fontId="33" fillId="0" borderId="144" xfId="1063" applyNumberFormat="1" applyFont="1" applyBorder="1"/>
    <xf numFmtId="0" fontId="33" fillId="0" borderId="141" xfId="1063" applyNumberFormat="1" applyFont="1" applyBorder="1"/>
    <xf numFmtId="0" fontId="256" fillId="7" borderId="0" xfId="0" applyNumberFormat="1" applyFont="1" applyFill="1"/>
    <xf numFmtId="0" fontId="41" fillId="0" borderId="0" xfId="0" applyNumberFormat="1" applyFont="1"/>
    <xf numFmtId="0" fontId="248" fillId="0" borderId="0" xfId="0" applyNumberFormat="1" applyFont="1"/>
    <xf numFmtId="219" fontId="0" fillId="0" borderId="0" xfId="0" applyNumberFormat="1" applyAlignment="1">
      <alignment horizontal="left"/>
    </xf>
    <xf numFmtId="0" fontId="37" fillId="0" borderId="0" xfId="2" applyNumberFormat="1" applyFont="1" applyAlignment="1" applyProtection="1"/>
    <xf numFmtId="0" fontId="78" fillId="0" borderId="0" xfId="0" applyNumberFormat="1" applyFont="1"/>
    <xf numFmtId="0" fontId="55" fillId="3" borderId="9" xfId="6" applyNumberFormat="1" applyFont="1" applyFill="1" applyBorder="1" applyAlignment="1">
      <alignment vertical="center"/>
    </xf>
    <xf numFmtId="0" fontId="70" fillId="3" borderId="10" xfId="6" applyNumberFormat="1" applyFont="1" applyFill="1" applyBorder="1" applyAlignment="1"/>
    <xf numFmtId="0" fontId="70" fillId="3" borderId="10" xfId="6" applyNumberFormat="1" applyFont="1" applyFill="1" applyBorder="1" applyAlignment="1">
      <alignment vertical="center"/>
    </xf>
    <xf numFmtId="0" fontId="70" fillId="3" borderId="11" xfId="6" applyNumberFormat="1" applyFont="1" applyFill="1" applyBorder="1" applyAlignment="1">
      <alignment vertical="center"/>
    </xf>
    <xf numFmtId="0" fontId="52" fillId="3" borderId="94" xfId="6" applyNumberFormat="1" applyFont="1" applyFill="1" applyBorder="1" applyAlignment="1">
      <alignment vertical="center" wrapText="1"/>
    </xf>
    <xf numFmtId="0" fontId="52" fillId="3" borderId="18" xfId="6" applyNumberFormat="1" applyFont="1" applyFill="1" applyBorder="1" applyAlignment="1">
      <alignment vertical="center"/>
    </xf>
    <xf numFmtId="0" fontId="52" fillId="3" borderId="26" xfId="6" applyNumberFormat="1" applyFont="1" applyFill="1" applyBorder="1" applyAlignment="1">
      <alignment vertical="center"/>
    </xf>
    <xf numFmtId="0" fontId="52" fillId="3" borderId="27" xfId="6" applyNumberFormat="1" applyFont="1" applyFill="1" applyBorder="1" applyAlignment="1">
      <alignment vertical="center"/>
    </xf>
    <xf numFmtId="0" fontId="66" fillId="3" borderId="15" xfId="6" applyNumberFormat="1" applyFont="1" applyFill="1" applyBorder="1" applyAlignment="1">
      <alignment horizontal="center" vertical="center" wrapText="1"/>
    </xf>
    <xf numFmtId="0" fontId="66" fillId="3" borderId="16" xfId="6" applyNumberFormat="1" applyFont="1" applyFill="1" applyBorder="1" applyAlignment="1">
      <alignment horizontal="center" vertical="center" wrapText="1"/>
    </xf>
    <xf numFmtId="0" fontId="98" fillId="3" borderId="16" xfId="6" applyNumberFormat="1" applyFont="1" applyFill="1" applyBorder="1" applyAlignment="1">
      <alignment horizontal="left" vertical="center" wrapText="1"/>
    </xf>
    <xf numFmtId="0" fontId="98" fillId="3" borderId="17" xfId="6" applyNumberFormat="1" applyFont="1" applyFill="1" applyBorder="1" applyAlignment="1">
      <alignment horizontal="center" vertical="center" wrapText="1"/>
    </xf>
    <xf numFmtId="0" fontId="69" fillId="3" borderId="20" xfId="6" applyNumberFormat="1" applyFont="1" applyFill="1" applyBorder="1" applyAlignment="1">
      <alignment horizontal="center" wrapText="1"/>
    </xf>
    <xf numFmtId="0" fontId="69" fillId="3" borderId="34" xfId="6" applyNumberFormat="1" applyFont="1" applyFill="1" applyBorder="1" applyAlignment="1">
      <alignment horizontal="center" vertical="center" wrapText="1"/>
    </xf>
    <xf numFmtId="0" fontId="69" fillId="3" borderId="22" xfId="6" applyNumberFormat="1" applyFont="1" applyFill="1" applyBorder="1" applyAlignment="1">
      <alignment horizontal="center" vertical="center" wrapText="1"/>
    </xf>
    <xf numFmtId="0" fontId="69" fillId="3" borderId="95" xfId="6" applyNumberFormat="1" applyFont="1" applyFill="1" applyBorder="1" applyAlignment="1">
      <alignment horizontal="center" vertical="center" wrapText="1"/>
    </xf>
    <xf numFmtId="0" fontId="69" fillId="3" borderId="116" xfId="6" applyNumberFormat="1" applyFont="1" applyFill="1" applyBorder="1" applyAlignment="1">
      <alignment horizontal="center" vertical="center" wrapText="1"/>
    </xf>
    <xf numFmtId="0" fontId="52" fillId="3" borderId="79" xfId="6" applyNumberFormat="1" applyFont="1" applyFill="1" applyBorder="1" applyAlignment="1">
      <alignment horizontal="center" vertical="center" wrapText="1"/>
    </xf>
    <xf numFmtId="0" fontId="69" fillId="3" borderId="35" xfId="6" applyNumberFormat="1" applyFont="1" applyFill="1" applyBorder="1" applyAlignment="1">
      <alignment horizontal="center" vertical="center" wrapText="1"/>
    </xf>
    <xf numFmtId="0" fontId="69" fillId="3" borderId="18" xfId="6" applyNumberFormat="1" applyFont="1" applyFill="1" applyBorder="1" applyAlignment="1">
      <alignment horizontal="center" vertical="center" wrapText="1"/>
    </xf>
    <xf numFmtId="0" fontId="63" fillId="54" borderId="87" xfId="6" applyNumberFormat="1" applyFont="1" applyFill="1" applyBorder="1" applyAlignment="1">
      <alignment horizontal="center" vertical="center"/>
    </xf>
    <xf numFmtId="0" fontId="63" fillId="0" borderId="19" xfId="6" applyNumberFormat="1" applyFont="1" applyFill="1" applyBorder="1" applyAlignment="1">
      <alignment horizontal="center" vertical="center"/>
    </xf>
    <xf numFmtId="0" fontId="67" fillId="0" borderId="19" xfId="6" applyNumberFormat="1" applyFont="1" applyFill="1" applyBorder="1" applyAlignment="1">
      <alignment horizontal="left" vertical="center"/>
    </xf>
    <xf numFmtId="0" fontId="64" fillId="0" borderId="0" xfId="6" applyNumberFormat="1" applyFont="1" applyFill="1" applyBorder="1" applyAlignment="1">
      <alignment vertical="center"/>
    </xf>
    <xf numFmtId="0" fontId="63" fillId="8" borderId="19" xfId="6" applyNumberFormat="1" applyFont="1" applyFill="1" applyBorder="1" applyAlignment="1">
      <alignment horizontal="center" vertical="center"/>
    </xf>
    <xf numFmtId="0" fontId="67" fillId="8" borderId="19" xfId="6" applyNumberFormat="1" applyFont="1" applyFill="1" applyBorder="1" applyAlignment="1">
      <alignment horizontal="left" vertical="center"/>
    </xf>
    <xf numFmtId="0" fontId="337" fillId="54" borderId="87" xfId="6" applyNumberFormat="1" applyFont="1" applyFill="1" applyBorder="1" applyAlignment="1">
      <alignment horizontal="center" vertical="center"/>
    </xf>
    <xf numFmtId="0" fontId="63" fillId="2" borderId="87" xfId="6" applyNumberFormat="1" applyFont="1" applyFill="1" applyBorder="1" applyAlignment="1">
      <alignment horizontal="center" vertical="center"/>
    </xf>
    <xf numFmtId="0" fontId="63" fillId="51" borderId="87" xfId="6" applyNumberFormat="1" applyFont="1" applyFill="1" applyBorder="1" applyAlignment="1">
      <alignment horizontal="center" vertical="center"/>
    </xf>
    <xf numFmtId="0" fontId="63" fillId="45" borderId="87" xfId="6" applyNumberFormat="1" applyFont="1" applyFill="1" applyBorder="1" applyAlignment="1">
      <alignment horizontal="center" vertical="center"/>
    </xf>
    <xf numFmtId="0" fontId="63" fillId="49" borderId="87" xfId="6" applyNumberFormat="1" applyFont="1" applyFill="1" applyBorder="1" applyAlignment="1">
      <alignment horizontal="center" vertical="center"/>
    </xf>
    <xf numFmtId="0" fontId="63" fillId="0" borderId="87" xfId="6" applyNumberFormat="1" applyFont="1" applyFill="1" applyBorder="1" applyAlignment="1">
      <alignment horizontal="center" vertical="center"/>
    </xf>
    <xf numFmtId="0" fontId="63" fillId="8" borderId="87" xfId="6" applyNumberFormat="1" applyFont="1" applyFill="1" applyBorder="1" applyAlignment="1">
      <alignment horizontal="center" vertical="center"/>
    </xf>
    <xf numFmtId="0" fontId="39" fillId="0" borderId="0" xfId="9" applyNumberFormat="1" applyFont="1"/>
    <xf numFmtId="0" fontId="87" fillId="0" borderId="0" xfId="9" applyNumberFormat="1" applyFont="1"/>
    <xf numFmtId="0" fontId="86" fillId="0" borderId="0" xfId="9" applyNumberFormat="1" applyFont="1"/>
    <xf numFmtId="0" fontId="86" fillId="7" borderId="0" xfId="9" applyNumberFormat="1" applyFont="1" applyFill="1"/>
    <xf numFmtId="0" fontId="86" fillId="0" borderId="0" xfId="9" applyNumberFormat="1" applyFont="1" applyAlignment="1">
      <alignment horizontal="right"/>
    </xf>
    <xf numFmtId="0" fontId="66" fillId="44" borderId="12" xfId="6" applyNumberFormat="1" applyFont="1" applyFill="1" applyBorder="1" applyAlignment="1">
      <alignment horizontal="center" vertical="center" wrapText="1"/>
    </xf>
    <xf numFmtId="0" fontId="66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3" fillId="0" borderId="0" xfId="0" pivotButton="1" applyNumberFormat="1" applyFont="1"/>
    <xf numFmtId="0" fontId="33" fillId="0" borderId="143" xfId="1" applyNumberFormat="1" applyFont="1" applyBorder="1"/>
    <xf numFmtId="0" fontId="0" fillId="0" borderId="143" xfId="1" applyNumberFormat="1" applyFont="1" applyBorder="1"/>
    <xf numFmtId="0" fontId="0" fillId="0" borderId="134" xfId="1" applyNumberFormat="1" applyFont="1" applyBorder="1"/>
    <xf numFmtId="0" fontId="53" fillId="43" borderId="140" xfId="1063" applyNumberFormat="1" applyFont="1" applyFill="1" applyBorder="1" applyAlignment="1">
      <alignment horizontal="left"/>
    </xf>
    <xf numFmtId="0" fontId="53" fillId="43" borderId="127" xfId="1063" applyNumberFormat="1" applyFont="1" applyFill="1" applyBorder="1" applyAlignment="1">
      <alignment horizontal="left"/>
    </xf>
    <xf numFmtId="0" fontId="244" fillId="0" borderId="120" xfId="0" applyNumberFormat="1" applyFont="1" applyBorder="1"/>
    <xf numFmtId="0" fontId="315" fillId="0" borderId="72" xfId="0" applyNumberFormat="1" applyFont="1" applyBorder="1"/>
    <xf numFmtId="0" fontId="316" fillId="0" borderId="0" xfId="0" applyNumberFormat="1" applyFont="1" applyFill="1" applyBorder="1"/>
    <xf numFmtId="0" fontId="317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48" fillId="0" borderId="0" xfId="0" applyNumberFormat="1" applyFont="1" applyBorder="1"/>
    <xf numFmtId="0" fontId="35" fillId="0" borderId="0" xfId="0" applyNumberFormat="1" applyFont="1" applyBorder="1"/>
    <xf numFmtId="0" fontId="318" fillId="0" borderId="83" xfId="0" applyNumberFormat="1" applyFont="1" applyBorder="1" applyAlignment="1">
      <alignment horizontal="center"/>
    </xf>
    <xf numFmtId="0" fontId="319" fillId="0" borderId="0" xfId="0" applyNumberFormat="1" applyFont="1" applyBorder="1"/>
    <xf numFmtId="0" fontId="248" fillId="0" borderId="66" xfId="0" applyNumberFormat="1" applyFont="1" applyFill="1" applyBorder="1"/>
    <xf numFmtId="0" fontId="35" fillId="0" borderId="56" xfId="0" applyNumberFormat="1" applyFont="1" applyFill="1" applyBorder="1" applyAlignment="1">
      <alignment horizontal="center" vertical="top" wrapText="1"/>
    </xf>
    <xf numFmtId="0" fontId="54" fillId="0" borderId="56" xfId="0" applyNumberFormat="1" applyFont="1" applyFill="1" applyBorder="1" applyAlignment="1">
      <alignment horizontal="center" vertical="top" wrapText="1"/>
    </xf>
    <xf numFmtId="0" fontId="35" fillId="0" borderId="56" xfId="0" applyNumberFormat="1" applyFont="1" applyFill="1" applyBorder="1" applyAlignment="1">
      <alignment horizontal="right" vertical="top" wrapText="1"/>
    </xf>
    <xf numFmtId="0" fontId="42" fillId="0" borderId="56" xfId="0" applyNumberFormat="1" applyFont="1" applyFill="1" applyBorder="1" applyAlignment="1">
      <alignment horizontal="right" vertical="top" wrapText="1"/>
    </xf>
    <xf numFmtId="0" fontId="35" fillId="0" borderId="71" xfId="0" applyNumberFormat="1" applyFont="1" applyFill="1" applyBorder="1" applyAlignment="1">
      <alignment horizontal="center" vertical="top" wrapText="1"/>
    </xf>
    <xf numFmtId="0" fontId="35" fillId="0" borderId="0" xfId="0" applyNumberFormat="1" applyFont="1" applyFill="1" applyBorder="1" applyAlignment="1">
      <alignment horizontal="center" vertical="top" wrapText="1"/>
    </xf>
    <xf numFmtId="0" fontId="318" fillId="0" borderId="83" xfId="0" applyNumberFormat="1" applyFont="1" applyBorder="1"/>
    <xf numFmtId="0" fontId="319" fillId="0" borderId="0" xfId="0" applyNumberFormat="1" applyFont="1" applyBorder="1" applyAlignment="1">
      <alignment horizontal="right"/>
    </xf>
    <xf numFmtId="0" fontId="35" fillId="0" borderId="0" xfId="0" applyNumberFormat="1" applyFont="1" applyFill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42" fillId="0" borderId="0" xfId="0" applyNumberFormat="1" applyFont="1" applyBorder="1" applyAlignment="1">
      <alignment horizontal="center"/>
    </xf>
    <xf numFmtId="9" fontId="53" fillId="0" borderId="197" xfId="1" applyFont="1" applyBorder="1" applyAlignment="1">
      <alignment horizontal="center"/>
    </xf>
    <xf numFmtId="0" fontId="35" fillId="0" borderId="197" xfId="0" applyNumberFormat="1" applyFont="1" applyBorder="1" applyAlignment="1">
      <alignment horizontal="center"/>
    </xf>
    <xf numFmtId="1" fontId="35" fillId="0" borderId="197" xfId="0" applyNumberFormat="1" applyFont="1" applyBorder="1" applyAlignment="1">
      <alignment horizontal="center"/>
    </xf>
    <xf numFmtId="0" fontId="42" fillId="0" borderId="197" xfId="0" applyNumberFormat="1" applyFont="1" applyBorder="1" applyAlignment="1">
      <alignment horizontal="center"/>
    </xf>
    <xf numFmtId="168" fontId="35" fillId="0" borderId="197" xfId="5" applyNumberFormat="1" applyFont="1" applyBorder="1" applyAlignment="1"/>
    <xf numFmtId="9" fontId="35" fillId="0" borderId="197" xfId="1" applyFont="1" applyBorder="1"/>
    <xf numFmtId="169" fontId="35" fillId="0" borderId="197" xfId="5" applyNumberFormat="1" applyFont="1" applyBorder="1"/>
    <xf numFmtId="168" fontId="35" fillId="0" borderId="197" xfId="5" applyNumberFormat="1" applyFont="1" applyBorder="1" applyAlignment="1">
      <alignment horizontal="center"/>
    </xf>
    <xf numFmtId="169" fontId="35" fillId="0" borderId="197" xfId="5" applyNumberFormat="1" applyFont="1" applyBorder="1" applyAlignment="1">
      <alignment horizontal="center"/>
    </xf>
    <xf numFmtId="1" fontId="35" fillId="0" borderId="197" xfId="0" applyNumberFormat="1" applyFont="1" applyBorder="1"/>
    <xf numFmtId="168" fontId="35" fillId="0" borderId="197" xfId="5" applyNumberFormat="1" applyFont="1" applyBorder="1"/>
    <xf numFmtId="0" fontId="314" fillId="0" borderId="0" xfId="0" applyNumberFormat="1" applyFont="1" applyFill="1" applyBorder="1" applyAlignment="1">
      <alignment horizontal="left"/>
    </xf>
    <xf numFmtId="0" fontId="35" fillId="0" borderId="46" xfId="0" applyNumberFormat="1" applyFont="1" applyFill="1" applyBorder="1"/>
    <xf numFmtId="0" fontId="35" fillId="0" borderId="185" xfId="0" applyNumberFormat="1" applyFont="1" applyFill="1" applyBorder="1"/>
    <xf numFmtId="0" fontId="35" fillId="0" borderId="52" xfId="0" applyNumberFormat="1" applyFont="1" applyBorder="1" applyAlignment="1">
      <alignment wrapText="1"/>
    </xf>
    <xf numFmtId="0" fontId="35" fillId="8" borderId="52" xfId="0" applyNumberFormat="1" applyFont="1" applyFill="1" applyBorder="1" applyAlignment="1">
      <alignment horizontal="center" wrapText="1"/>
    </xf>
    <xf numFmtId="0" fontId="314" fillId="7" borderId="52" xfId="0" applyNumberFormat="1" applyFont="1" applyFill="1" applyBorder="1" applyAlignment="1">
      <alignment horizontal="center" wrapText="1"/>
    </xf>
    <xf numFmtId="0" fontId="314" fillId="0" borderId="52" xfId="0" applyNumberFormat="1" applyFont="1" applyBorder="1" applyAlignment="1">
      <alignment horizontal="right" wrapText="1"/>
    </xf>
    <xf numFmtId="0" fontId="54" fillId="7" borderId="52" xfId="0" applyNumberFormat="1" applyFont="1" applyFill="1" applyBorder="1" applyAlignment="1">
      <alignment horizontal="right" wrapText="1"/>
    </xf>
    <xf numFmtId="0" fontId="314" fillId="0" borderId="52" xfId="0" applyNumberFormat="1" applyFont="1" applyBorder="1" applyAlignment="1">
      <alignment horizontal="center" wrapText="1"/>
    </xf>
    <xf numFmtId="0" fontId="35" fillId="0" borderId="52" xfId="0" applyNumberFormat="1" applyFont="1" applyBorder="1" applyAlignment="1">
      <alignment horizontal="center" wrapText="1"/>
    </xf>
    <xf numFmtId="0" fontId="35" fillId="50" borderId="52" xfId="0" applyNumberFormat="1" applyFont="1" applyFill="1" applyBorder="1" applyAlignment="1">
      <alignment horizontal="center" wrapText="1"/>
    </xf>
    <xf numFmtId="0" fontId="305" fillId="0" borderId="120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5" fillId="7" borderId="72" xfId="0" applyNumberFormat="1" applyFont="1" applyFill="1" applyBorder="1" applyAlignment="1">
      <alignment horizontal="center"/>
    </xf>
    <xf numFmtId="0" fontId="99" fillId="7" borderId="72" xfId="0" applyNumberFormat="1" applyFont="1" applyFill="1" applyBorder="1" applyAlignment="1">
      <alignment horizontal="center"/>
    </xf>
    <xf numFmtId="0" fontId="35" fillId="0" borderId="83" xfId="0" applyNumberFormat="1" applyFont="1" applyFill="1" applyBorder="1"/>
    <xf numFmtId="0" fontId="80" fillId="0" borderId="0" xfId="0" applyNumberFormat="1" applyFont="1" applyFill="1" applyBorder="1" applyAlignment="1">
      <alignment horizontal="center"/>
    </xf>
    <xf numFmtId="0" fontId="35" fillId="0" borderId="43" xfId="0" applyNumberFormat="1" applyFont="1" applyFill="1" applyBorder="1"/>
    <xf numFmtId="0" fontId="34" fillId="0" borderId="83" xfId="0" applyNumberFormat="1" applyFont="1" applyBorder="1"/>
    <xf numFmtId="0" fontId="80" fillId="0" borderId="0" xfId="0" applyNumberFormat="1" applyFont="1" applyBorder="1" applyAlignment="1">
      <alignment horizontal="center"/>
    </xf>
    <xf numFmtId="0" fontId="35" fillId="0" borderId="59" xfId="0" applyNumberFormat="1" applyFont="1" applyBorder="1" applyAlignment="1">
      <alignment horizontal="center"/>
    </xf>
    <xf numFmtId="0" fontId="54" fillId="8" borderId="59" xfId="0" applyNumberFormat="1" applyFont="1" applyFill="1" applyBorder="1" applyAlignment="1">
      <alignment horizontal="center"/>
    </xf>
    <xf numFmtId="0" fontId="54" fillId="0" borderId="59" xfId="0" applyNumberFormat="1" applyFont="1" applyBorder="1" applyAlignment="1">
      <alignment horizontal="center"/>
    </xf>
    <xf numFmtId="0" fontId="35" fillId="0" borderId="128" xfId="0" applyNumberFormat="1" applyFont="1" applyBorder="1" applyAlignment="1">
      <alignment horizontal="center"/>
    </xf>
    <xf numFmtId="0" fontId="54" fillId="8" borderId="128" xfId="0" applyNumberFormat="1" applyFont="1" applyFill="1" applyBorder="1" applyAlignment="1">
      <alignment horizontal="center"/>
    </xf>
    <xf numFmtId="0" fontId="35" fillId="0" borderId="43" xfId="0" applyNumberFormat="1" applyFont="1" applyBorder="1"/>
    <xf numFmtId="0" fontId="35" fillId="8" borderId="128" xfId="0" applyNumberFormat="1" applyFont="1" applyFill="1" applyBorder="1" applyAlignment="1">
      <alignment horizontal="center"/>
    </xf>
    <xf numFmtId="0" fontId="35" fillId="0" borderId="130" xfId="0" applyNumberFormat="1" applyFont="1" applyBorder="1" applyAlignment="1">
      <alignment horizontal="center"/>
    </xf>
    <xf numFmtId="0" fontId="35" fillId="8" borderId="130" xfId="0" applyNumberFormat="1" applyFont="1" applyFill="1" applyBorder="1" applyAlignment="1">
      <alignment horizontal="center"/>
    </xf>
    <xf numFmtId="0" fontId="34" fillId="0" borderId="83" xfId="0" applyNumberFormat="1" applyFont="1" applyFill="1" applyBorder="1"/>
    <xf numFmtId="0" fontId="314" fillId="7" borderId="0" xfId="0" applyNumberFormat="1" applyFont="1" applyFill="1" applyBorder="1" applyAlignment="1">
      <alignment horizontal="center"/>
    </xf>
    <xf numFmtId="0" fontId="34" fillId="0" borderId="46" xfId="0" applyNumberFormat="1" applyFont="1" applyFill="1" applyBorder="1"/>
    <xf numFmtId="0" fontId="80" fillId="0" borderId="185" xfId="0" applyNumberFormat="1" applyFont="1" applyFill="1" applyBorder="1" applyAlignment="1">
      <alignment horizontal="center"/>
    </xf>
    <xf numFmtId="0" fontId="35" fillId="0" borderId="150" xfId="0" applyNumberFormat="1" applyFont="1" applyFill="1" applyBorder="1"/>
    <xf numFmtId="0" fontId="66" fillId="11" borderId="12" xfId="6" applyNumberFormat="1" applyFont="1" applyFill="1" applyBorder="1" applyAlignment="1">
      <alignment horizontal="center" vertical="center" wrapText="1"/>
    </xf>
    <xf numFmtId="0" fontId="41" fillId="8" borderId="0" xfId="6" applyNumberFormat="1" applyFont="1" applyFill="1" applyBorder="1" applyAlignment="1">
      <alignment horizontal="left" vertical="center"/>
    </xf>
    <xf numFmtId="168" fontId="281" fillId="0" borderId="119" xfId="5" applyNumberFormat="1" applyFont="1" applyFill="1" applyBorder="1" applyAlignment="1">
      <alignment horizontal="center" vertical="center"/>
    </xf>
    <xf numFmtId="168" fontId="281" fillId="8" borderId="119" xfId="5" applyNumberFormat="1" applyFont="1" applyFill="1" applyBorder="1" applyAlignment="1">
      <alignment horizontal="center" vertical="center"/>
    </xf>
    <xf numFmtId="168" fontId="54" fillId="3" borderId="0" xfId="5" applyNumberFormat="1" applyFont="1" applyFill="1" applyBorder="1" applyAlignment="1">
      <alignment horizontal="center" vertical="center"/>
    </xf>
    <xf numFmtId="168" fontId="82" fillId="7" borderId="77" xfId="5" applyNumberFormat="1" applyFont="1" applyFill="1" applyBorder="1" applyAlignment="1">
      <alignment horizontal="center"/>
    </xf>
    <xf numFmtId="168" fontId="54" fillId="0" borderId="13" xfId="5" applyNumberFormat="1" applyFont="1" applyFill="1" applyBorder="1" applyAlignment="1">
      <alignment horizontal="right"/>
    </xf>
    <xf numFmtId="0" fontId="66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7" fillId="3" borderId="0" xfId="0" applyNumberFormat="1" applyFont="1" applyFill="1" applyBorder="1" applyAlignment="1">
      <alignment horizontal="right" vertical="center" indent="1"/>
    </xf>
    <xf numFmtId="0" fontId="85" fillId="0" borderId="0" xfId="0" applyNumberFormat="1" applyFont="1" applyFill="1" applyBorder="1"/>
    <xf numFmtId="0" fontId="66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38" fillId="2" borderId="0" xfId="0" applyFont="1" applyFill="1" applyAlignment="1">
      <alignment horizontal="right"/>
    </xf>
    <xf numFmtId="2" fontId="0" fillId="2" borderId="0" xfId="0" applyNumberFormat="1" applyFill="1"/>
    <xf numFmtId="0" fontId="66" fillId="3" borderId="12" xfId="6" applyNumberFormat="1" applyFont="1" applyFill="1" applyBorder="1" applyAlignment="1">
      <alignment horizontal="center" vertical="center" wrapText="1"/>
    </xf>
    <xf numFmtId="0" fontId="340" fillId="0" borderId="0" xfId="1081" applyFont="1" applyProtection="1">
      <protection locked="0"/>
    </xf>
    <xf numFmtId="0" fontId="25" fillId="0" borderId="0" xfId="1081" applyProtection="1">
      <protection locked="0"/>
    </xf>
    <xf numFmtId="0" fontId="341" fillId="0" borderId="0" xfId="1081" applyFont="1" applyProtection="1">
      <protection locked="0"/>
    </xf>
    <xf numFmtId="0" fontId="25" fillId="0" borderId="52" xfId="1081" applyBorder="1" applyProtection="1">
      <protection locked="0"/>
    </xf>
    <xf numFmtId="0" fontId="342" fillId="7" borderId="0" xfId="1081" applyFont="1" applyFill="1" applyProtection="1">
      <protection locked="0"/>
    </xf>
    <xf numFmtId="0" fontId="25" fillId="7" borderId="56" xfId="1081" applyFill="1" applyBorder="1" applyProtection="1">
      <protection locked="0"/>
    </xf>
    <xf numFmtId="0" fontId="278" fillId="7" borderId="56" xfId="1081" applyFont="1" applyFill="1" applyBorder="1" applyAlignment="1" applyProtection="1">
      <alignment horizontal="center" vertical="center" wrapText="1"/>
      <protection locked="0"/>
    </xf>
    <xf numFmtId="0" fontId="25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342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38" fillId="2" borderId="0" xfId="0" applyNumberFormat="1" applyFont="1" applyFill="1" applyAlignment="1">
      <alignment horizontal="right"/>
    </xf>
    <xf numFmtId="219" fontId="343" fillId="0" borderId="0" xfId="0" applyFont="1" applyBorder="1" applyAlignment="1" applyProtection="1">
      <alignment horizontal="left" indent="1"/>
    </xf>
    <xf numFmtId="0" fontId="343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91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4" fillId="0" borderId="0" xfId="1084"/>
    <xf numFmtId="0" fontId="344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44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3" fillId="8" borderId="0" xfId="0" applyNumberFormat="1" applyFont="1" applyFill="1" applyBorder="1" applyAlignment="1"/>
    <xf numFmtId="0" fontId="24" fillId="0" borderId="0" xfId="1084" applyAlignment="1"/>
    <xf numFmtId="0" fontId="24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346" fillId="0" borderId="199" xfId="1085" applyFont="1" applyFill="1" applyBorder="1" applyAlignment="1"/>
    <xf numFmtId="0" fontId="25" fillId="0" borderId="43" xfId="1081" applyNumberFormat="1" applyBorder="1" applyProtection="1">
      <protection locked="0"/>
    </xf>
    <xf numFmtId="0" fontId="53" fillId="7" borderId="0" xfId="6" applyNumberFormat="1" applyFont="1" applyFill="1" applyBorder="1" applyAlignment="1">
      <alignment horizontal="right" vertical="center"/>
    </xf>
    <xf numFmtId="219" fontId="347" fillId="0" borderId="0" xfId="0" applyFont="1"/>
    <xf numFmtId="254" fontId="0" fillId="0" borderId="0" xfId="5" applyNumberFormat="1" applyFont="1"/>
    <xf numFmtId="255" fontId="0" fillId="0" borderId="0" xfId="5" applyNumberFormat="1" applyFont="1"/>
    <xf numFmtId="255" fontId="348" fillId="0" borderId="0" xfId="5" applyNumberFormat="1" applyFont="1"/>
    <xf numFmtId="2" fontId="53" fillId="43" borderId="0" xfId="0" applyNumberFormat="1" applyFont="1" applyFill="1"/>
    <xf numFmtId="254" fontId="348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8" fillId="2" borderId="0" xfId="0" applyNumberFormat="1" applyFont="1" applyFill="1" applyAlignment="1">
      <alignment horizontal="right" indent="1"/>
    </xf>
    <xf numFmtId="256" fontId="38" fillId="2" borderId="0" xfId="0" applyNumberFormat="1" applyFont="1" applyFill="1" applyAlignment="1">
      <alignment horizontal="left" indent="1"/>
    </xf>
    <xf numFmtId="219" fontId="53" fillId="2" borderId="0" xfId="6" applyFont="1" applyFill="1"/>
    <xf numFmtId="256" fontId="349" fillId="2" borderId="0" xfId="0" applyNumberFormat="1" applyFont="1" applyFill="1" applyAlignment="1">
      <alignment horizontal="left" indent="1"/>
    </xf>
    <xf numFmtId="168" fontId="285" fillId="0" borderId="13" xfId="5" applyNumberFormat="1" applyFont="1" applyFill="1" applyBorder="1" applyAlignment="1">
      <alignment horizontal="right"/>
    </xf>
    <xf numFmtId="219" fontId="285" fillId="3" borderId="0" xfId="0" applyFont="1" applyFill="1" applyBorder="1" applyAlignment="1">
      <alignment horizontal="right"/>
    </xf>
    <xf numFmtId="219" fontId="285" fillId="0" borderId="13" xfId="0" applyFont="1" applyFill="1" applyBorder="1" applyAlignment="1">
      <alignment horizontal="right"/>
    </xf>
    <xf numFmtId="170" fontId="285" fillId="0" borderId="13" xfId="0" applyNumberFormat="1" applyFont="1" applyFill="1" applyBorder="1" applyAlignment="1">
      <alignment horizontal="right"/>
    </xf>
    <xf numFmtId="169" fontId="285" fillId="0" borderId="13" xfId="0" applyNumberFormat="1" applyFont="1" applyFill="1" applyBorder="1" applyAlignment="1">
      <alignment horizontal="right"/>
    </xf>
    <xf numFmtId="9" fontId="285" fillId="0" borderId="74" xfId="0" applyNumberFormat="1" applyFont="1" applyFill="1" applyBorder="1" applyAlignment="1">
      <alignment horizontal="right"/>
    </xf>
    <xf numFmtId="210" fontId="285" fillId="0" borderId="13" xfId="5" applyNumberFormat="1" applyFont="1" applyFill="1" applyBorder="1" applyAlignment="1">
      <alignment horizontal="right"/>
    </xf>
    <xf numFmtId="168" fontId="0" fillId="0" borderId="52" xfId="5" applyNumberFormat="1" applyFont="1" applyBorder="1"/>
    <xf numFmtId="0" fontId="350" fillId="0" borderId="0" xfId="0" applyNumberFormat="1" applyFont="1" applyBorder="1"/>
    <xf numFmtId="0" fontId="350" fillId="0" borderId="43" xfId="0" applyNumberFormat="1" applyFont="1" applyBorder="1"/>
    <xf numFmtId="219" fontId="41" fillId="0" borderId="0" xfId="0" applyFont="1" applyFill="1" applyBorder="1"/>
    <xf numFmtId="169" fontId="41" fillId="7" borderId="0" xfId="5" applyNumberFormat="1" applyFont="1" applyFill="1" applyBorder="1"/>
    <xf numFmtId="169" fontId="41" fillId="0" borderId="0" xfId="5" applyNumberFormat="1" applyFont="1" applyFill="1" applyBorder="1"/>
    <xf numFmtId="0" fontId="248" fillId="2" borderId="0" xfId="0" applyNumberFormat="1" applyFont="1" applyFill="1" applyAlignment="1">
      <alignment horizontal="right"/>
    </xf>
    <xf numFmtId="0" fontId="53" fillId="8" borderId="0" xfId="6" applyNumberFormat="1" applyFont="1" applyFill="1" applyBorder="1" applyAlignment="1">
      <alignment vertical="center"/>
    </xf>
    <xf numFmtId="0" fontId="41" fillId="8" borderId="0" xfId="6" applyNumberFormat="1" applyFont="1" applyFill="1" applyBorder="1" applyAlignment="1">
      <alignment vertical="center"/>
    </xf>
    <xf numFmtId="0" fontId="33" fillId="8" borderId="0" xfId="6" applyNumberFormat="1" applyFont="1" applyFill="1" applyBorder="1" applyAlignment="1">
      <alignment vertical="center"/>
    </xf>
    <xf numFmtId="14" fontId="24" fillId="0" borderId="0" xfId="1084" applyNumberFormat="1"/>
    <xf numFmtId="252" fontId="0" fillId="0" borderId="200" xfId="0" applyNumberFormat="1" applyBorder="1"/>
    <xf numFmtId="219" fontId="0" fillId="0" borderId="200" xfId="0" applyBorder="1"/>
    <xf numFmtId="0" fontId="25" fillId="0" borderId="200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4" fillId="2" borderId="0" xfId="1084" applyFill="1"/>
    <xf numFmtId="0" fontId="97" fillId="3" borderId="185" xfId="0" applyNumberFormat="1" applyFont="1" applyFill="1" applyBorder="1" applyAlignment="1">
      <alignment horizontal="center"/>
    </xf>
    <xf numFmtId="0" fontId="53" fillId="3" borderId="0" xfId="6" applyNumberFormat="1" applyFont="1" applyFill="1" applyBorder="1" applyAlignment="1">
      <alignment horizontal="right" vertical="center"/>
    </xf>
    <xf numFmtId="0" fontId="33" fillId="3" borderId="0" xfId="0" applyNumberFormat="1" applyFont="1" applyFill="1" applyBorder="1"/>
    <xf numFmtId="0" fontId="23" fillId="49" borderId="0" xfId="1084" applyFont="1" applyFill="1"/>
    <xf numFmtId="0" fontId="22" fillId="49" borderId="0" xfId="1084" applyFont="1" applyFill="1"/>
    <xf numFmtId="0" fontId="21" fillId="49" borderId="0" xfId="1084" applyFont="1" applyFill="1"/>
    <xf numFmtId="0" fontId="25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20" fillId="49" borderId="0" xfId="1084" applyFont="1" applyFill="1"/>
    <xf numFmtId="219" fontId="246" fillId="0" borderId="0" xfId="0" applyFont="1" applyBorder="1" applyAlignment="1"/>
    <xf numFmtId="219" fontId="246" fillId="0" borderId="0" xfId="0" applyFont="1" applyBorder="1"/>
    <xf numFmtId="219" fontId="0" fillId="60" borderId="200" xfId="0" applyFill="1" applyBorder="1" applyAlignment="1">
      <alignment horizontal="center"/>
    </xf>
    <xf numFmtId="0" fontId="24" fillId="60" borderId="200" xfId="1084" applyFill="1" applyBorder="1"/>
    <xf numFmtId="0" fontId="24" fillId="0" borderId="200" xfId="1084" applyBorder="1"/>
    <xf numFmtId="219" fontId="67" fillId="8" borderId="200" xfId="6" applyFont="1" applyFill="1" applyBorder="1" applyAlignment="1">
      <alignment horizontal="left" vertical="center"/>
    </xf>
    <xf numFmtId="219" fontId="67" fillId="2" borderId="200" xfId="6" applyFont="1" applyFill="1" applyBorder="1" applyAlignment="1">
      <alignment horizontal="left" vertical="center"/>
    </xf>
    <xf numFmtId="219" fontId="0" fillId="58" borderId="200" xfId="0" applyFill="1" applyBorder="1"/>
    <xf numFmtId="219" fontId="0" fillId="0" borderId="203" xfId="0" applyBorder="1"/>
    <xf numFmtId="0" fontId="24" fillId="0" borderId="203" xfId="1084" applyBorder="1"/>
    <xf numFmtId="219" fontId="322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98" fillId="3" borderId="17" xfId="6" applyNumberFormat="1" applyFont="1" applyFill="1" applyBorder="1" applyAlignment="1">
      <alignment vertical="center" wrapText="1"/>
    </xf>
    <xf numFmtId="219" fontId="67" fillId="0" borderId="39" xfId="6" applyFont="1" applyFill="1" applyBorder="1" applyAlignment="1">
      <alignment vertical="center"/>
    </xf>
    <xf numFmtId="219" fontId="67" fillId="8" borderId="39" xfId="6" applyFont="1" applyFill="1" applyBorder="1" applyAlignment="1">
      <alignment vertical="center"/>
    </xf>
    <xf numFmtId="219" fontId="67" fillId="2" borderId="39" xfId="6" applyFont="1" applyFill="1" applyBorder="1" applyAlignment="1">
      <alignment vertical="center"/>
    </xf>
    <xf numFmtId="0" fontId="67" fillId="0" borderId="39" xfId="6" applyNumberFormat="1" applyFont="1" applyFill="1" applyBorder="1" applyAlignment="1">
      <alignment vertical="center"/>
    </xf>
    <xf numFmtId="0" fontId="67" fillId="8" borderId="39" xfId="6" applyNumberFormat="1" applyFont="1" applyFill="1" applyBorder="1" applyAlignment="1">
      <alignment vertical="center"/>
    </xf>
    <xf numFmtId="0" fontId="86" fillId="0" borderId="0" xfId="9" applyNumberFormat="1" applyFont="1" applyAlignment="1"/>
    <xf numFmtId="0" fontId="346" fillId="61" borderId="0" xfId="1085" applyFont="1" applyFill="1" applyBorder="1" applyAlignment="1"/>
    <xf numFmtId="0" fontId="19" fillId="49" borderId="0" xfId="1084" applyFont="1" applyFill="1"/>
    <xf numFmtId="219" fontId="0" fillId="7" borderId="204" xfId="0" applyFill="1" applyBorder="1"/>
    <xf numFmtId="0" fontId="24" fillId="7" borderId="204" xfId="1084" applyFill="1" applyBorder="1"/>
    <xf numFmtId="219" fontId="67" fillId="7" borderId="204" xfId="6" applyFont="1" applyFill="1" applyBorder="1" applyAlignment="1">
      <alignment horizontal="left" vertical="center"/>
    </xf>
    <xf numFmtId="219" fontId="0" fillId="7" borderId="200" xfId="0" applyFill="1" applyBorder="1"/>
    <xf numFmtId="0" fontId="24" fillId="7" borderId="200" xfId="1084" applyFill="1" applyBorder="1"/>
    <xf numFmtId="0" fontId="23" fillId="7" borderId="200" xfId="1084" applyFont="1" applyFill="1" applyBorder="1"/>
    <xf numFmtId="0" fontId="332" fillId="3" borderId="0" xfId="0" applyNumberFormat="1" applyFont="1" applyFill="1" applyBorder="1" applyAlignment="1">
      <alignment horizontal="center" wrapText="1"/>
    </xf>
    <xf numFmtId="0" fontId="332" fillId="3" borderId="0" xfId="0" applyNumberFormat="1" applyFont="1" applyFill="1" applyBorder="1" applyAlignment="1">
      <alignment horizontal="center" vertical="center" wrapText="1"/>
    </xf>
    <xf numFmtId="0" fontId="18" fillId="7" borderId="200" xfId="1084" applyFont="1" applyFill="1" applyBorder="1"/>
    <xf numFmtId="0" fontId="18" fillId="2" borderId="0" xfId="1084" applyFont="1" applyFill="1"/>
    <xf numFmtId="0" fontId="351" fillId="62" borderId="205" xfId="1086" applyFont="1" applyFill="1" applyBorder="1" applyAlignment="1">
      <alignment horizontal="center"/>
    </xf>
    <xf numFmtId="0" fontId="351" fillId="0" borderId="199" xfId="1086" applyFont="1" applyFill="1" applyBorder="1" applyAlignment="1">
      <alignment wrapText="1"/>
    </xf>
    <xf numFmtId="257" fontId="351" fillId="0" borderId="199" xfId="1086" applyNumberFormat="1" applyFont="1" applyFill="1" applyBorder="1" applyAlignment="1">
      <alignment horizontal="right" wrapText="1"/>
    </xf>
    <xf numFmtId="168" fontId="24" fillId="0" borderId="0" xfId="5" applyNumberFormat="1" applyFont="1"/>
    <xf numFmtId="168" fontId="0" fillId="0" borderId="0" xfId="5" applyNumberFormat="1" applyFont="1"/>
    <xf numFmtId="168" fontId="24" fillId="2" borderId="0" xfId="5" applyNumberFormat="1" applyFont="1" applyFill="1"/>
    <xf numFmtId="168" fontId="348" fillId="0" borderId="0" xfId="5" applyNumberFormat="1" applyFont="1"/>
    <xf numFmtId="168" fontId="351" fillId="62" borderId="205" xfId="5" applyNumberFormat="1" applyFont="1" applyFill="1" applyBorder="1" applyAlignment="1">
      <alignment horizontal="center"/>
    </xf>
    <xf numFmtId="168" fontId="351" fillId="0" borderId="199" xfId="5" applyNumberFormat="1" applyFont="1" applyFill="1" applyBorder="1" applyAlignment="1">
      <alignment horizontal="right" wrapText="1"/>
    </xf>
    <xf numFmtId="0" fontId="84" fillId="0" borderId="0" xfId="0" applyNumberFormat="1" applyFont="1" applyAlignment="1">
      <alignment horizontal="center" wrapText="1"/>
    </xf>
    <xf numFmtId="0" fontId="17" fillId="2" borderId="0" xfId="1084" applyFont="1" applyFill="1"/>
    <xf numFmtId="0" fontId="66" fillId="8" borderId="12" xfId="6" applyNumberFormat="1" applyFont="1" applyFill="1" applyBorder="1" applyAlignment="1">
      <alignment horizontal="center" vertical="center" wrapText="1"/>
    </xf>
    <xf numFmtId="0" fontId="16" fillId="2" borderId="0" xfId="1084" applyFont="1" applyFill="1"/>
    <xf numFmtId="0" fontId="353" fillId="62" borderId="205" xfId="1087" applyFont="1" applyFill="1" applyBorder="1" applyAlignment="1">
      <alignment horizontal="center"/>
    </xf>
    <xf numFmtId="0" fontId="353" fillId="0" borderId="199" xfId="1087" applyFont="1" applyFill="1" applyBorder="1" applyAlignment="1">
      <alignment wrapText="1"/>
    </xf>
    <xf numFmtId="257" fontId="353" fillId="0" borderId="199" xfId="1087" applyNumberFormat="1" applyFont="1" applyFill="1" applyBorder="1" applyAlignment="1">
      <alignment horizontal="right" wrapText="1"/>
    </xf>
    <xf numFmtId="0" fontId="33" fillId="2" borderId="0" xfId="6" applyNumberFormat="1" applyFont="1" applyFill="1" applyBorder="1" applyAlignment="1">
      <alignment horizontal="left" vertical="center"/>
    </xf>
    <xf numFmtId="0" fontId="33" fillId="2" borderId="0" xfId="0" applyNumberFormat="1" applyFont="1" applyFill="1" applyBorder="1"/>
    <xf numFmtId="0" fontId="24" fillId="7" borderId="52" xfId="1084" applyFill="1" applyBorder="1"/>
    <xf numFmtId="0" fontId="0" fillId="44" borderId="0" xfId="0" applyNumberFormat="1" applyFill="1"/>
    <xf numFmtId="219" fontId="355" fillId="0" borderId="0" xfId="2" applyFont="1" applyAlignment="1" applyProtection="1"/>
    <xf numFmtId="0" fontId="15" fillId="2" borderId="0" xfId="1084" applyFont="1" applyFill="1"/>
    <xf numFmtId="168" fontId="344" fillId="0" borderId="0" xfId="5" applyNumberFormat="1" applyFont="1" applyFill="1" applyBorder="1" applyAlignment="1" applyProtection="1">
      <alignment horizontal="left" vertical="center"/>
    </xf>
    <xf numFmtId="168" fontId="353" fillId="62" borderId="205" xfId="5" applyNumberFormat="1" applyFont="1" applyFill="1" applyBorder="1" applyAlignment="1">
      <alignment horizontal="center"/>
    </xf>
    <xf numFmtId="168" fontId="353" fillId="0" borderId="199" xfId="5" applyNumberFormat="1" applyFont="1" applyFill="1" applyBorder="1" applyAlignment="1">
      <alignment horizontal="right" wrapText="1"/>
    </xf>
    <xf numFmtId="168" fontId="354" fillId="0" borderId="0" xfId="5" applyNumberFormat="1" applyFont="1"/>
    <xf numFmtId="0" fontId="356" fillId="62" borderId="205" xfId="1089" applyFont="1" applyFill="1" applyBorder="1" applyAlignment="1">
      <alignment horizontal="center"/>
    </xf>
    <xf numFmtId="0" fontId="356" fillId="0" borderId="199" xfId="1089" applyFont="1" applyFill="1" applyBorder="1" applyAlignment="1">
      <alignment wrapText="1"/>
    </xf>
    <xf numFmtId="4" fontId="356" fillId="0" borderId="199" xfId="1089" applyNumberFormat="1" applyFont="1" applyFill="1" applyBorder="1" applyAlignment="1">
      <alignment horizontal="right" wrapText="1"/>
    </xf>
    <xf numFmtId="0" fontId="356" fillId="0" borderId="199" xfId="1089" applyFont="1" applyFill="1" applyBorder="1" applyAlignment="1">
      <alignment horizontal="right" wrapText="1"/>
    </xf>
    <xf numFmtId="257" fontId="356" fillId="0" borderId="199" xfId="1089" applyNumberFormat="1" applyFont="1" applyFill="1" applyBorder="1" applyAlignment="1">
      <alignment horizontal="right" wrapText="1"/>
    </xf>
    <xf numFmtId="0" fontId="14" fillId="2" borderId="0" xfId="1084" applyFont="1" applyFill="1"/>
    <xf numFmtId="254" fontId="0" fillId="0" borderId="0" xfId="0" applyNumberFormat="1"/>
    <xf numFmtId="256" fontId="39" fillId="0" borderId="0" xfId="0" applyNumberFormat="1" applyFont="1" applyBorder="1"/>
    <xf numFmtId="256" fontId="84" fillId="0" borderId="0" xfId="0" applyNumberFormat="1" applyFont="1"/>
    <xf numFmtId="219" fontId="92" fillId="0" borderId="0" xfId="0" applyFont="1" applyAlignment="1">
      <alignment horizontal="center" wrapText="1"/>
    </xf>
    <xf numFmtId="256" fontId="47" fillId="0" borderId="0" xfId="0" applyNumberFormat="1" applyFont="1" applyFill="1" applyBorder="1" applyAlignment="1">
      <alignment horizontal="center"/>
    </xf>
    <xf numFmtId="0" fontId="332" fillId="3" borderId="0" xfId="0" applyNumberFormat="1" applyFont="1" applyFill="1" applyBorder="1" applyAlignment="1">
      <alignment horizontal="center" vertical="top" wrapText="1"/>
    </xf>
    <xf numFmtId="256" fontId="331" fillId="3" borderId="10" xfId="0" applyNumberFormat="1" applyFont="1" applyFill="1" applyBorder="1" applyAlignment="1">
      <alignment horizontal="center"/>
    </xf>
    <xf numFmtId="256" fontId="331" fillId="3" borderId="0" xfId="0" applyNumberFormat="1" applyFont="1" applyFill="1" applyBorder="1" applyAlignment="1">
      <alignment horizontal="center" vertical="center"/>
    </xf>
    <xf numFmtId="256" fontId="331" fillId="3" borderId="0" xfId="0" applyNumberFormat="1" applyFont="1" applyFill="1" applyBorder="1" applyAlignment="1">
      <alignment horizontal="center"/>
    </xf>
    <xf numFmtId="256" fontId="332" fillId="3" borderId="10" xfId="0" applyNumberFormat="1" applyFont="1" applyFill="1" applyBorder="1" applyAlignment="1">
      <alignment horizontal="center"/>
    </xf>
    <xf numFmtId="219" fontId="300" fillId="47" borderId="206" xfId="1060" applyFont="1" applyFill="1" applyBorder="1" applyAlignment="1">
      <alignment horizontal="center" vertical="center" wrapText="1"/>
    </xf>
    <xf numFmtId="256" fontId="47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5" fillId="0" borderId="72" xfId="1059" applyNumberFormat="1" applyFont="1" applyBorder="1" applyAlignment="1">
      <alignment horizontal="left"/>
    </xf>
    <xf numFmtId="0" fontId="346" fillId="62" borderId="205" xfId="1090" applyFont="1" applyFill="1" applyBorder="1" applyAlignment="1">
      <alignment horizontal="center"/>
    </xf>
    <xf numFmtId="0" fontId="346" fillId="0" borderId="199" xfId="1090" applyFont="1" applyFill="1" applyBorder="1" applyAlignment="1">
      <alignment wrapText="1"/>
    </xf>
    <xf numFmtId="4" fontId="346" fillId="0" borderId="199" xfId="1090" applyNumberFormat="1" applyFont="1" applyFill="1" applyBorder="1" applyAlignment="1">
      <alignment horizontal="right" wrapText="1"/>
    </xf>
    <xf numFmtId="0" fontId="346" fillId="0" borderId="199" xfId="1090" applyFont="1" applyFill="1" applyBorder="1" applyAlignment="1">
      <alignment horizontal="right" wrapText="1"/>
    </xf>
    <xf numFmtId="257" fontId="346" fillId="0" borderId="199" xfId="1090" applyNumberFormat="1" applyFont="1" applyFill="1" applyBorder="1" applyAlignment="1">
      <alignment horizontal="right" wrapText="1"/>
    </xf>
    <xf numFmtId="0" fontId="13" fillId="2" borderId="0" xfId="1084" applyFont="1" applyFill="1"/>
    <xf numFmtId="251" fontId="25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5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0" fontId="358" fillId="0" borderId="0" xfId="0" applyNumberFormat="1" applyFont="1" applyAlignment="1">
      <alignment horizontal="right"/>
    </xf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2" fillId="2" borderId="0" xfId="1084" applyFont="1" applyFill="1"/>
    <xf numFmtId="0" fontId="24" fillId="2" borderId="200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3" fillId="2" borderId="0" xfId="0" applyNumberFormat="1" applyFont="1" applyFill="1" applyAlignment="1">
      <alignment horizontal="right"/>
    </xf>
    <xf numFmtId="0" fontId="53" fillId="2" borderId="0" xfId="0" applyNumberFormat="1" applyFont="1" applyFill="1" applyAlignment="1">
      <alignment horizontal="right"/>
    </xf>
    <xf numFmtId="168" fontId="33" fillId="2" borderId="0" xfId="5" applyNumberFormat="1" applyFont="1" applyFill="1" applyAlignment="1">
      <alignment horizontal="right"/>
    </xf>
    <xf numFmtId="219" fontId="97" fillId="0" borderId="0" xfId="0" quotePrefix="1" applyFont="1" applyAlignment="1">
      <alignment horizontal="right"/>
    </xf>
    <xf numFmtId="0" fontId="11" fillId="2" borderId="0" xfId="1084" applyFont="1" applyFill="1"/>
    <xf numFmtId="0" fontId="346" fillId="2" borderId="199" xfId="1090" applyFont="1" applyFill="1" applyBorder="1" applyAlignment="1">
      <alignment wrapText="1"/>
    </xf>
    <xf numFmtId="4" fontId="346" fillId="2" borderId="199" xfId="1090" applyNumberFormat="1" applyFont="1" applyFill="1" applyBorder="1" applyAlignment="1">
      <alignment horizontal="right" wrapText="1"/>
    </xf>
    <xf numFmtId="0" fontId="346" fillId="2" borderId="199" xfId="1090" applyFont="1" applyFill="1" applyBorder="1" applyAlignment="1">
      <alignment horizontal="right" wrapText="1"/>
    </xf>
    <xf numFmtId="257" fontId="346" fillId="2" borderId="199" xfId="1090" applyNumberFormat="1" applyFont="1" applyFill="1" applyBorder="1" applyAlignment="1">
      <alignment horizontal="right" wrapText="1"/>
    </xf>
    <xf numFmtId="252" fontId="0" fillId="2" borderId="200" xfId="0" applyNumberFormat="1" applyFill="1" applyBorder="1"/>
    <xf numFmtId="258" fontId="97" fillId="3" borderId="185" xfId="0" applyNumberFormat="1" applyFont="1" applyFill="1" applyBorder="1" applyAlignment="1">
      <alignment horizontal="center"/>
    </xf>
    <xf numFmtId="258" fontId="97" fillId="0" borderId="0" xfId="0" applyNumberFormat="1" applyFont="1" applyAlignment="1">
      <alignment horizontal="right"/>
    </xf>
    <xf numFmtId="0" fontId="10" fillId="2" borderId="0" xfId="1084" applyFont="1" applyFill="1"/>
    <xf numFmtId="168" fontId="0" fillId="0" borderId="200" xfId="5" applyNumberFormat="1" applyFont="1" applyBorder="1"/>
    <xf numFmtId="219" fontId="0" fillId="2" borderId="204" xfId="0" applyFill="1" applyBorder="1"/>
    <xf numFmtId="219" fontId="67" fillId="2" borderId="204" xfId="6" applyFont="1" applyFill="1" applyBorder="1" applyAlignment="1">
      <alignment horizontal="left" vertical="center"/>
    </xf>
    <xf numFmtId="0" fontId="346" fillId="2" borderId="204" xfId="1085" applyFont="1" applyFill="1" applyBorder="1" applyAlignment="1"/>
    <xf numFmtId="0" fontId="9" fillId="0" borderId="0" xfId="1084" applyFont="1"/>
    <xf numFmtId="219" fontId="248" fillId="7" borderId="0" xfId="0" applyFont="1" applyFill="1" applyBorder="1" applyAlignment="1" applyProtection="1">
      <alignment horizontal="center"/>
    </xf>
    <xf numFmtId="1" fontId="100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48" fillId="7" borderId="0" xfId="0" applyNumberFormat="1" applyFont="1" applyFill="1" applyProtection="1"/>
    <xf numFmtId="0" fontId="0" fillId="7" borderId="196" xfId="0" applyNumberFormat="1" applyFill="1" applyBorder="1" applyProtection="1"/>
    <xf numFmtId="256" fontId="97" fillId="0" borderId="0" xfId="0" applyNumberFormat="1" applyFont="1" applyAlignment="1">
      <alignment horizontal="right"/>
    </xf>
    <xf numFmtId="14" fontId="33" fillId="7" borderId="83" xfId="0" applyNumberFormat="1" applyFont="1" applyFill="1" applyBorder="1" applyAlignment="1">
      <alignment horizontal="right"/>
    </xf>
    <xf numFmtId="219" fontId="39" fillId="3" borderId="0" xfId="0" applyFont="1" applyFill="1" applyBorder="1"/>
    <xf numFmtId="219" fontId="39" fillId="3" borderId="16" xfId="0" applyFont="1" applyFill="1" applyBorder="1"/>
    <xf numFmtId="256" fontId="79" fillId="0" borderId="0" xfId="0" applyNumberFormat="1" applyFont="1" applyFill="1" applyAlignment="1">
      <alignment horizontal="right" indent="1"/>
    </xf>
    <xf numFmtId="0" fontId="8" fillId="2" borderId="0" xfId="1084" applyFont="1" applyFill="1"/>
    <xf numFmtId="0" fontId="8" fillId="0" borderId="0" xfId="1084" applyFont="1"/>
    <xf numFmtId="0" fontId="281" fillId="0" borderId="0" xfId="1060" applyNumberFormat="1" applyFont="1" applyFill="1" applyBorder="1" applyAlignment="1">
      <alignment horizontal="left" vertical="center"/>
    </xf>
    <xf numFmtId="0" fontId="281" fillId="0" borderId="0" xfId="1060" applyNumberFormat="1" applyFont="1" applyFill="1" applyBorder="1" applyAlignment="1">
      <alignment vertical="center"/>
    </xf>
    <xf numFmtId="15" fontId="281" fillId="0" borderId="0" xfId="1060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center" vertical="center"/>
    </xf>
    <xf numFmtId="41" fontId="281" fillId="0" borderId="0" xfId="1060" applyNumberFormat="1" applyFont="1" applyFill="1" applyBorder="1" applyAlignment="1">
      <alignment horizontal="right" vertical="center"/>
    </xf>
    <xf numFmtId="0" fontId="281" fillId="0" borderId="0" xfId="1060" applyNumberFormat="1" applyFont="1" applyFill="1" applyBorder="1" applyAlignment="1">
      <alignment horizontal="center" vertical="center"/>
    </xf>
    <xf numFmtId="219" fontId="53" fillId="7" borderId="0" xfId="0" applyFont="1" applyFill="1"/>
    <xf numFmtId="219" fontId="53" fillId="7" borderId="0" xfId="0" applyFont="1" applyFill="1" applyAlignment="1">
      <alignment horizontal="right"/>
    </xf>
    <xf numFmtId="219" fontId="53" fillId="7" borderId="0" xfId="0" applyFont="1" applyFill="1" applyAlignment="1">
      <alignment horizontal="center" vertical="center"/>
    </xf>
    <xf numFmtId="0" fontId="53" fillId="7" borderId="0" xfId="0" applyNumberFormat="1" applyFont="1" applyFill="1" applyAlignment="1">
      <alignment horizontal="center" vertical="center"/>
    </xf>
    <xf numFmtId="0" fontId="7" fillId="2" borderId="0" xfId="1084" applyFont="1" applyFill="1"/>
    <xf numFmtId="0" fontId="362" fillId="62" borderId="205" xfId="1091" applyFont="1" applyFill="1" applyBorder="1" applyAlignment="1">
      <alignment horizontal="center"/>
    </xf>
    <xf numFmtId="0" fontId="362" fillId="0" borderId="199" xfId="1091" applyFont="1" applyFill="1" applyBorder="1" applyAlignment="1">
      <alignment wrapText="1"/>
    </xf>
    <xf numFmtId="4" fontId="362" fillId="0" borderId="199" xfId="1091" applyNumberFormat="1" applyFont="1" applyFill="1" applyBorder="1" applyAlignment="1">
      <alignment horizontal="right" wrapText="1"/>
    </xf>
    <xf numFmtId="0" fontId="362" fillId="0" borderId="199" xfId="1091" applyFont="1" applyFill="1" applyBorder="1" applyAlignment="1">
      <alignment horizontal="right" wrapText="1"/>
    </xf>
    <xf numFmtId="257" fontId="362" fillId="0" borderId="199" xfId="1091" applyNumberFormat="1" applyFont="1" applyFill="1" applyBorder="1" applyAlignment="1">
      <alignment horizontal="right" wrapText="1"/>
    </xf>
    <xf numFmtId="0" fontId="7" fillId="7" borderId="204" xfId="1084" applyFont="1" applyFill="1" applyBorder="1"/>
    <xf numFmtId="9" fontId="0" fillId="0" borderId="43" xfId="1" applyFont="1" applyBorder="1" applyProtection="1">
      <protection locked="0"/>
    </xf>
    <xf numFmtId="0" fontId="364" fillId="62" borderId="205" xfId="1092" applyFont="1" applyFill="1" applyBorder="1" applyAlignment="1">
      <alignment horizontal="center"/>
    </xf>
    <xf numFmtId="0" fontId="364" fillId="0" borderId="199" xfId="1092" applyFont="1" applyFill="1" applyBorder="1" applyAlignment="1">
      <alignment wrapText="1"/>
    </xf>
    <xf numFmtId="4" fontId="364" fillId="0" borderId="199" xfId="1092" applyNumberFormat="1" applyFont="1" applyFill="1" applyBorder="1" applyAlignment="1">
      <alignment horizontal="right" wrapText="1"/>
    </xf>
    <xf numFmtId="0" fontId="364" fillId="0" borderId="199" xfId="1092" applyFont="1" applyFill="1" applyBorder="1" applyAlignment="1">
      <alignment horizontal="right" wrapText="1"/>
    </xf>
    <xf numFmtId="0" fontId="365" fillId="0" borderId="0" xfId="1092"/>
    <xf numFmtId="257" fontId="364" fillId="0" borderId="199" xfId="1092" applyNumberFormat="1" applyFont="1" applyFill="1" applyBorder="1" applyAlignment="1">
      <alignment horizontal="right" wrapText="1"/>
    </xf>
    <xf numFmtId="9" fontId="366" fillId="55" borderId="52" xfId="1082" applyNumberFormat="1" applyFont="1" applyFill="1" applyBorder="1" applyAlignment="1" applyProtection="1">
      <alignment vertical="center" wrapText="1"/>
    </xf>
    <xf numFmtId="0" fontId="25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5" fillId="12" borderId="52" xfId="1081" applyFill="1" applyBorder="1" applyAlignment="1" applyProtection="1">
      <alignment horizontal="center" vertical="center" wrapText="1"/>
      <protection locked="0"/>
    </xf>
    <xf numFmtId="0" fontId="25" fillId="0" borderId="185" xfId="1081" applyNumberFormat="1" applyBorder="1" applyProtection="1">
      <protection locked="0"/>
    </xf>
    <xf numFmtId="0" fontId="25" fillId="0" borderId="0" xfId="1081" applyAlignment="1" applyProtection="1">
      <alignment horizontal="center" vertical="center"/>
      <protection locked="0"/>
    </xf>
    <xf numFmtId="0" fontId="278" fillId="0" borderId="0" xfId="1081" applyFont="1" applyAlignment="1" applyProtection="1">
      <alignment horizontal="center" vertical="center"/>
      <protection locked="0"/>
    </xf>
    <xf numFmtId="0" fontId="328" fillId="0" borderId="0" xfId="1081" applyFont="1" applyAlignment="1" applyProtection="1">
      <alignment horizontal="center" vertical="center"/>
      <protection locked="0"/>
    </xf>
    <xf numFmtId="0" fontId="279" fillId="0" borderId="0" xfId="1081" applyFont="1" applyAlignment="1" applyProtection="1">
      <alignment horizontal="center" vertical="center"/>
      <protection locked="0"/>
    </xf>
    <xf numFmtId="251" fontId="342" fillId="7" borderId="52" xfId="1081" applyNumberFormat="1" applyFont="1" applyFill="1" applyBorder="1" applyAlignment="1" applyProtection="1">
      <alignment horizontal="center" vertical="center"/>
      <protection locked="0"/>
    </xf>
    <xf numFmtId="3" fontId="342" fillId="7" borderId="52" xfId="1081" applyNumberFormat="1" applyFont="1" applyFill="1" applyBorder="1" applyAlignment="1" applyProtection="1">
      <alignment horizontal="center" vertical="center"/>
      <protection locked="0"/>
    </xf>
    <xf numFmtId="251" fontId="25" fillId="0" borderId="0" xfId="1081" applyNumberFormat="1" applyFill="1" applyBorder="1" applyAlignment="1" applyProtection="1">
      <alignment horizontal="center" vertical="center"/>
      <protection locked="0"/>
    </xf>
    <xf numFmtId="251" fontId="25" fillId="7" borderId="0" xfId="1081" applyNumberFormat="1" applyFill="1" applyBorder="1" applyAlignment="1" applyProtection="1">
      <alignment horizontal="center" vertical="center"/>
      <protection locked="0"/>
    </xf>
    <xf numFmtId="251" fontId="25" fillId="7" borderId="185" xfId="1081" applyNumberFormat="1" applyFill="1" applyBorder="1" applyAlignment="1" applyProtection="1">
      <alignment horizontal="center" vertical="center"/>
      <protection locked="0"/>
    </xf>
    <xf numFmtId="251" fontId="25" fillId="7" borderId="56" xfId="1081" applyNumberFormat="1" applyFill="1" applyBorder="1" applyAlignment="1" applyProtection="1">
      <alignment horizontal="center" vertical="center"/>
      <protection locked="0"/>
    </xf>
    <xf numFmtId="0" fontId="25" fillId="7" borderId="0" xfId="1081" applyFill="1" applyBorder="1" applyAlignment="1" applyProtection="1">
      <alignment horizontal="center" vertical="center"/>
      <protection locked="0"/>
    </xf>
    <xf numFmtId="0" fontId="25" fillId="7" borderId="0" xfId="1081" applyFill="1" applyAlignment="1" applyProtection="1">
      <alignment horizontal="center" vertical="center"/>
      <protection locked="0"/>
    </xf>
    <xf numFmtId="261" fontId="25" fillId="52" borderId="52" xfId="1081" applyNumberFormat="1" applyFill="1" applyBorder="1" applyAlignment="1" applyProtection="1">
      <alignment horizontal="center" vertical="center"/>
      <protection locked="0"/>
    </xf>
    <xf numFmtId="261" fontId="361" fillId="52" borderId="52" xfId="1081" applyNumberFormat="1" applyFont="1" applyFill="1" applyBorder="1" applyAlignment="1" applyProtection="1">
      <alignment horizontal="center" vertical="center"/>
      <protection locked="0"/>
    </xf>
    <xf numFmtId="261" fontId="8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0" fontId="25" fillId="0" borderId="207" xfId="1081" applyBorder="1" applyAlignment="1" applyProtection="1">
      <alignment horizontal="right" vertical="center" indent="1"/>
      <protection locked="0"/>
    </xf>
    <xf numFmtId="0" fontId="25" fillId="7" borderId="207" xfId="1081" applyFill="1" applyBorder="1" applyAlignment="1" applyProtection="1">
      <alignment horizontal="right" vertical="center" indent="1"/>
      <protection locked="0"/>
    </xf>
    <xf numFmtId="0" fontId="130" fillId="7" borderId="207" xfId="1088" applyFont="1" applyFill="1" applyBorder="1" applyAlignment="1">
      <alignment horizontal="right" vertical="center" wrapText="1" indent="1"/>
    </xf>
    <xf numFmtId="3" fontId="25" fillId="7" borderId="207" xfId="1081" applyNumberFormat="1" applyFill="1" applyBorder="1" applyAlignment="1" applyProtection="1">
      <alignment horizontal="right" vertical="center" indent="1"/>
      <protection locked="0"/>
    </xf>
    <xf numFmtId="0" fontId="25" fillId="0" borderId="209" xfId="1081" applyBorder="1" applyAlignment="1" applyProtection="1">
      <alignment horizontal="right" vertical="center" indent="1"/>
      <protection locked="0"/>
    </xf>
    <xf numFmtId="0" fontId="25" fillId="7" borderId="208" xfId="1081" applyFill="1" applyBorder="1" applyAlignment="1" applyProtection="1">
      <alignment horizontal="right" vertical="center" indent="1"/>
      <protection locked="0"/>
    </xf>
    <xf numFmtId="0" fontId="147" fillId="7" borderId="208" xfId="1088" applyFill="1" applyBorder="1" applyAlignment="1">
      <alignment horizontal="right" vertical="center" indent="1"/>
    </xf>
    <xf numFmtId="3" fontId="25" fillId="7" borderId="208" xfId="1081" applyNumberFormat="1" applyFill="1" applyBorder="1" applyAlignment="1" applyProtection="1">
      <alignment horizontal="right" vertical="center" indent="1"/>
      <protection locked="0"/>
    </xf>
    <xf numFmtId="0" fontId="130" fillId="7" borderId="208" xfId="1088" applyFont="1" applyFill="1" applyBorder="1" applyAlignment="1">
      <alignment horizontal="right" vertical="center" wrapText="1" indent="1"/>
    </xf>
    <xf numFmtId="0" fontId="25" fillId="0" borderId="208" xfId="1081" applyBorder="1" applyAlignment="1" applyProtection="1">
      <alignment horizontal="right" vertical="center" indent="1"/>
      <protection locked="0"/>
    </xf>
    <xf numFmtId="0" fontId="279" fillId="7" borderId="208" xfId="1081" applyFont="1" applyFill="1" applyBorder="1" applyAlignment="1" applyProtection="1">
      <alignment horizontal="right" vertical="center" indent="1"/>
      <protection locked="0"/>
    </xf>
    <xf numFmtId="0" fontId="25" fillId="0" borderId="210" xfId="1081" applyBorder="1" applyAlignment="1" applyProtection="1">
      <alignment horizontal="right" vertical="center" indent="1"/>
      <protection locked="0"/>
    </xf>
    <xf numFmtId="0" fontId="25" fillId="7" borderId="210" xfId="1081" applyFill="1" applyBorder="1" applyAlignment="1" applyProtection="1">
      <alignment horizontal="right" vertical="center" indent="1"/>
      <protection locked="0"/>
    </xf>
    <xf numFmtId="3" fontId="25" fillId="7" borderId="210" xfId="1081" applyNumberFormat="1" applyFill="1" applyBorder="1" applyAlignment="1" applyProtection="1">
      <alignment horizontal="right" vertical="center" indent="1"/>
      <protection locked="0"/>
    </xf>
    <xf numFmtId="0" fontId="25" fillId="58" borderId="208" xfId="1081" applyFill="1" applyBorder="1" applyAlignment="1" applyProtection="1">
      <alignment horizontal="right" indent="1"/>
      <protection locked="0"/>
    </xf>
    <xf numFmtId="260" fontId="25" fillId="12" borderId="208" xfId="1081" applyNumberFormat="1" applyFill="1" applyBorder="1" applyAlignment="1" applyProtection="1">
      <alignment horizontal="right" indent="1"/>
      <protection locked="0"/>
    </xf>
    <xf numFmtId="259" fontId="0" fillId="0" borderId="208" xfId="1082" applyNumberFormat="1" applyFont="1" applyBorder="1" applyAlignment="1" applyProtection="1">
      <alignment horizontal="right" indent="1"/>
      <protection locked="0"/>
    </xf>
    <xf numFmtId="0" fontId="25" fillId="58" borderId="210" xfId="1081" applyFill="1" applyBorder="1" applyAlignment="1" applyProtection="1">
      <alignment horizontal="right" indent="1"/>
      <protection locked="0"/>
    </xf>
    <xf numFmtId="260" fontId="25" fillId="12" borderId="210" xfId="1081" applyNumberFormat="1" applyFill="1" applyBorder="1" applyAlignment="1" applyProtection="1">
      <alignment horizontal="right" indent="1"/>
      <protection locked="0"/>
    </xf>
    <xf numFmtId="259" fontId="0" fillId="0" borderId="210" xfId="1082" applyNumberFormat="1" applyFont="1" applyBorder="1" applyAlignment="1" applyProtection="1">
      <alignment horizontal="right" indent="1"/>
      <protection locked="0"/>
    </xf>
    <xf numFmtId="0" fontId="367" fillId="59" borderId="52" xfId="1081" applyFont="1" applyFill="1" applyBorder="1" applyAlignment="1" applyProtection="1">
      <alignment horizontal="center" vertical="center" wrapText="1"/>
      <protection locked="0"/>
    </xf>
    <xf numFmtId="0" fontId="342" fillId="0" borderId="52" xfId="1081" applyFont="1" applyFill="1" applyBorder="1" applyAlignment="1" applyProtection="1">
      <alignment horizontal="right"/>
      <protection locked="0"/>
    </xf>
    <xf numFmtId="261" fontId="25" fillId="0" borderId="208" xfId="1081" applyNumberFormat="1" applyBorder="1" applyAlignment="1" applyProtection="1">
      <alignment horizontal="right" indent="1"/>
      <protection locked="0"/>
    </xf>
    <xf numFmtId="261" fontId="25" fillId="0" borderId="210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4" xfId="0" applyNumberFormat="1" applyBorder="1" applyProtection="1"/>
    <xf numFmtId="3" fontId="248" fillId="44" borderId="0" xfId="0" applyNumberFormat="1" applyFont="1" applyFill="1" applyProtection="1"/>
    <xf numFmtId="3" fontId="54" fillId="0" borderId="13" xfId="0" applyNumberFormat="1" applyFont="1" applyFill="1" applyBorder="1"/>
    <xf numFmtId="219" fontId="53" fillId="3" borderId="41" xfId="6" applyFont="1" applyFill="1" applyBorder="1" applyAlignment="1">
      <alignment horizontal="center" vertical="center"/>
    </xf>
    <xf numFmtId="219" fontId="69" fillId="3" borderId="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indent="1"/>
    </xf>
    <xf numFmtId="219" fontId="69" fillId="3" borderId="40" xfId="6" applyFont="1" applyFill="1" applyBorder="1" applyAlignment="1">
      <alignment horizontal="left" indent="1"/>
    </xf>
    <xf numFmtId="262" fontId="66" fillId="3" borderId="163" xfId="8" applyNumberFormat="1" applyFont="1" applyFill="1" applyBorder="1" applyAlignment="1">
      <alignment horizontal="right" vertical="center" indent="1"/>
    </xf>
    <xf numFmtId="262" fontId="69" fillId="7" borderId="24" xfId="8" applyNumberFormat="1" applyFont="1" applyFill="1" applyBorder="1" applyAlignment="1">
      <alignment horizontal="right" vertical="center" indent="1"/>
    </xf>
    <xf numFmtId="262" fontId="69" fillId="0" borderId="21" xfId="8" applyNumberFormat="1" applyFont="1" applyFill="1" applyBorder="1" applyAlignment="1">
      <alignment horizontal="right" vertical="center" indent="1"/>
    </xf>
    <xf numFmtId="262" fontId="69" fillId="0" borderId="192" xfId="8" applyNumberFormat="1" applyFont="1" applyFill="1" applyBorder="1" applyAlignment="1">
      <alignment horizontal="right" vertical="center" indent="1"/>
    </xf>
    <xf numFmtId="262" fontId="69" fillId="0" borderId="193" xfId="8" applyNumberFormat="1" applyFont="1" applyFill="1" applyBorder="1" applyAlignment="1">
      <alignment horizontal="right" vertical="center" indent="1"/>
    </xf>
    <xf numFmtId="262" fontId="66" fillId="3" borderId="179" xfId="8" applyNumberFormat="1" applyFont="1" applyFill="1" applyBorder="1" applyAlignment="1">
      <alignment horizontal="right" indent="1"/>
    </xf>
    <xf numFmtId="262" fontId="69" fillId="7" borderId="24" xfId="8" applyNumberFormat="1" applyFont="1" applyFill="1" applyBorder="1" applyAlignment="1">
      <alignment horizontal="right" indent="1"/>
    </xf>
    <xf numFmtId="262" fontId="69" fillId="0" borderId="13" xfId="8" applyNumberFormat="1" applyFont="1" applyFill="1" applyBorder="1" applyAlignment="1">
      <alignment horizontal="right" indent="1"/>
    </xf>
    <xf numFmtId="262" fontId="69" fillId="0" borderId="193" xfId="8" applyNumberFormat="1" applyFont="1" applyFill="1" applyBorder="1" applyAlignment="1">
      <alignment horizontal="right" indent="1"/>
    </xf>
    <xf numFmtId="262" fontId="69" fillId="0" borderId="13" xfId="5" applyNumberFormat="1" applyFont="1" applyFill="1" applyBorder="1" applyAlignment="1">
      <alignment horizontal="right" vertical="center" indent="1"/>
    </xf>
    <xf numFmtId="262" fontId="66" fillId="3" borderId="171" xfId="8" applyNumberFormat="1" applyFont="1" applyFill="1" applyBorder="1" applyAlignment="1">
      <alignment horizontal="right" vertical="center" indent="1"/>
    </xf>
    <xf numFmtId="262" fontId="69" fillId="0" borderId="93" xfId="8" applyNumberFormat="1" applyFont="1" applyFill="1" applyBorder="1" applyAlignment="1">
      <alignment horizontal="right" vertical="center" indent="1"/>
    </xf>
    <xf numFmtId="262" fontId="69" fillId="0" borderId="146" xfId="8" applyNumberFormat="1" applyFont="1" applyFill="1" applyBorder="1" applyAlignment="1">
      <alignment horizontal="right" vertical="center" indent="1"/>
    </xf>
    <xf numFmtId="262" fontId="69" fillId="0" borderId="172" xfId="8" applyNumberFormat="1" applyFont="1" applyFill="1" applyBorder="1" applyAlignment="1">
      <alignment horizontal="right" vertical="center" indent="1"/>
    </xf>
    <xf numFmtId="3" fontId="53" fillId="63" borderId="0" xfId="0" applyNumberFormat="1" applyFont="1" applyFill="1"/>
    <xf numFmtId="263" fontId="53" fillId="7" borderId="0" xfId="0" applyNumberFormat="1" applyFont="1" applyFill="1"/>
    <xf numFmtId="3" fontId="82" fillId="0" borderId="13" xfId="0" applyNumberFormat="1" applyFont="1" applyFill="1" applyBorder="1" applyAlignment="1">
      <alignment horizontal="center"/>
    </xf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48" fillId="7" borderId="0" xfId="0" applyNumberFormat="1" applyFont="1" applyFill="1" applyAlignment="1" applyProtection="1">
      <alignment horizontal="right" vertical="center"/>
    </xf>
    <xf numFmtId="3" fontId="248" fillId="7" borderId="0" xfId="0" applyNumberFormat="1" applyFont="1" applyFill="1" applyProtection="1"/>
    <xf numFmtId="3" fontId="0" fillId="7" borderId="196" xfId="0" applyNumberFormat="1" applyFill="1" applyBorder="1" applyProtection="1"/>
    <xf numFmtId="3" fontId="248" fillId="44" borderId="0" xfId="0" applyNumberFormat="1" applyFont="1" applyFill="1" applyAlignment="1" applyProtection="1">
      <alignment horizontal="right" vertical="center"/>
    </xf>
    <xf numFmtId="169" fontId="33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3" fillId="7" borderId="0" xfId="5" applyNumberFormat="1" applyFont="1" applyFill="1"/>
    <xf numFmtId="3" fontId="0" fillId="9" borderId="0" xfId="0" applyNumberFormat="1" applyFill="1"/>
    <xf numFmtId="3" fontId="50" fillId="3" borderId="0" xfId="0" applyNumberFormat="1" applyFont="1" applyFill="1" applyBorder="1" applyAlignment="1">
      <alignment horizontal="right" vertical="center" indent="1"/>
    </xf>
    <xf numFmtId="3" fontId="257" fillId="3" borderId="0" xfId="0" applyNumberFormat="1" applyFont="1" applyFill="1" applyBorder="1" applyAlignment="1">
      <alignment horizontal="right" vertical="center" indent="1"/>
    </xf>
    <xf numFmtId="3" fontId="41" fillId="3" borderId="88" xfId="0" applyNumberFormat="1" applyFont="1" applyFill="1" applyBorder="1" applyAlignment="1">
      <alignment horizontal="right" vertical="center" indent="1"/>
    </xf>
    <xf numFmtId="9" fontId="50" fillId="3" borderId="0" xfId="0" applyNumberFormat="1" applyFont="1" applyFill="1" applyBorder="1" applyAlignment="1">
      <alignment horizontal="right" vertical="center" indent="1"/>
    </xf>
    <xf numFmtId="9" fontId="257" fillId="3" borderId="0" xfId="0" applyNumberFormat="1" applyFont="1" applyFill="1" applyBorder="1" applyAlignment="1">
      <alignment horizontal="right" vertical="center" indent="1"/>
    </xf>
    <xf numFmtId="9" fontId="41" fillId="3" borderId="88" xfId="0" applyNumberFormat="1" applyFont="1" applyFill="1" applyBorder="1" applyAlignment="1">
      <alignment horizontal="right" vertical="center" indent="1"/>
    </xf>
    <xf numFmtId="0" fontId="50" fillId="3" borderId="0" xfId="0" applyNumberFormat="1" applyFont="1" applyFill="1" applyBorder="1" applyAlignment="1">
      <alignment horizontal="right" vertical="center" indent="1"/>
    </xf>
    <xf numFmtId="0" fontId="257" fillId="3" borderId="0" xfId="0" applyNumberFormat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vertical="center" indent="1"/>
    </xf>
    <xf numFmtId="170" fontId="41" fillId="3" borderId="88" xfId="0" applyNumberFormat="1" applyFont="1" applyFill="1" applyBorder="1" applyAlignment="1">
      <alignment horizontal="right" vertical="center" indent="1"/>
    </xf>
    <xf numFmtId="170" fontId="257" fillId="3" borderId="0" xfId="0" applyNumberFormat="1" applyFont="1" applyFill="1" applyBorder="1" applyAlignment="1">
      <alignment horizontal="right" vertical="center" indent="1"/>
    </xf>
    <xf numFmtId="0" fontId="41" fillId="3" borderId="88" xfId="0" applyNumberFormat="1" applyFont="1" applyFill="1" applyBorder="1" applyAlignment="1">
      <alignment horizontal="right" vertical="center" indent="1"/>
    </xf>
    <xf numFmtId="9" fontId="41" fillId="3" borderId="88" xfId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Border="1" applyAlignment="1">
      <alignment horizontal="right" vertical="center" indent="1"/>
    </xf>
    <xf numFmtId="1" fontId="0" fillId="3" borderId="0" xfId="0" applyNumberFormat="1" applyFill="1" applyBorder="1" applyAlignment="1">
      <alignment horizontal="right" vertical="center" indent="1"/>
    </xf>
    <xf numFmtId="9" fontId="0" fillId="3" borderId="0" xfId="0" applyNumberForma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vertical="center" indent="1"/>
    </xf>
    <xf numFmtId="0" fontId="41" fillId="3" borderId="0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indent="1"/>
    </xf>
    <xf numFmtId="168" fontId="54" fillId="3" borderId="0" xfId="5" applyNumberFormat="1" applyFont="1" applyFill="1" applyBorder="1" applyAlignment="1">
      <alignment horizontal="right" vertical="center" indent="1"/>
    </xf>
    <xf numFmtId="3" fontId="330" fillId="3" borderId="0" xfId="0" applyNumberFormat="1" applyFont="1" applyFill="1" applyBorder="1" applyAlignment="1">
      <alignment horizontal="right" indent="1"/>
    </xf>
    <xf numFmtId="9" fontId="54" fillId="3" borderId="0" xfId="1" applyFont="1" applyFill="1" applyBorder="1" applyAlignment="1">
      <alignment horizontal="right" vertical="center" indent="1"/>
    </xf>
    <xf numFmtId="0" fontId="54" fillId="3" borderId="0" xfId="0" applyNumberFormat="1" applyFont="1" applyFill="1" applyBorder="1" applyAlignment="1">
      <alignment horizontal="right" vertical="center" indent="1"/>
    </xf>
    <xf numFmtId="0" fontId="330" fillId="3" borderId="0" xfId="0" applyNumberFormat="1" applyFont="1" applyFill="1" applyBorder="1" applyAlignment="1">
      <alignment horizontal="right" indent="1"/>
    </xf>
    <xf numFmtId="170" fontId="54" fillId="3" borderId="0" xfId="0" applyNumberFormat="1" applyFont="1" applyFill="1" applyBorder="1" applyAlignment="1">
      <alignment horizontal="right" vertical="center" indent="1"/>
    </xf>
    <xf numFmtId="170" fontId="330" fillId="3" borderId="0" xfId="0" applyNumberFormat="1" applyFont="1" applyFill="1" applyBorder="1" applyAlignment="1">
      <alignment horizontal="right" vertical="center" indent="1"/>
    </xf>
    <xf numFmtId="256" fontId="47" fillId="3" borderId="10" xfId="0" applyNumberFormat="1" applyFont="1" applyFill="1" applyBorder="1" applyAlignment="1">
      <alignment horizontal="center"/>
    </xf>
    <xf numFmtId="256" fontId="329" fillId="3" borderId="0" xfId="0" applyNumberFormat="1" applyFont="1" applyFill="1" applyBorder="1" applyAlignment="1">
      <alignment horizontal="center" wrapText="1"/>
    </xf>
    <xf numFmtId="0" fontId="329" fillId="3" borderId="0" xfId="0" applyNumberFormat="1" applyFont="1" applyFill="1" applyBorder="1" applyAlignment="1">
      <alignment horizontal="center" wrapText="1"/>
    </xf>
    <xf numFmtId="3" fontId="82" fillId="7" borderId="77" xfId="0" applyNumberFormat="1" applyFont="1" applyFill="1" applyBorder="1" applyAlignment="1">
      <alignment horizontal="center"/>
    </xf>
    <xf numFmtId="3" fontId="82" fillId="7" borderId="13" xfId="0" applyNumberFormat="1" applyFont="1" applyFill="1" applyBorder="1" applyAlignment="1">
      <alignment horizontal="center"/>
    </xf>
    <xf numFmtId="3" fontId="53" fillId="7" borderId="0" xfId="0" applyNumberFormat="1" applyFont="1" applyFill="1"/>
    <xf numFmtId="168" fontId="53" fillId="8" borderId="0" xfId="5" applyNumberFormat="1" applyFont="1" applyFill="1"/>
    <xf numFmtId="3" fontId="53" fillId="8" borderId="0" xfId="0" applyNumberFormat="1" applyFont="1" applyFill="1"/>
    <xf numFmtId="263" fontId="53" fillId="63" borderId="0" xfId="0" applyNumberFormat="1" applyFont="1" applyFill="1"/>
    <xf numFmtId="3" fontId="53" fillId="7" borderId="0" xfId="5" applyNumberFormat="1" applyFont="1" applyFill="1"/>
    <xf numFmtId="9" fontId="53" fillId="63" borderId="0" xfId="1" applyFont="1" applyFill="1"/>
    <xf numFmtId="3" fontId="33" fillId="63" borderId="0" xfId="5" applyNumberFormat="1" applyFont="1" applyFill="1"/>
    <xf numFmtId="263" fontId="0" fillId="0" borderId="0" xfId="0" applyNumberFormat="1"/>
    <xf numFmtId="3" fontId="330" fillId="3" borderId="0" xfId="0" applyNumberFormat="1" applyFont="1" applyFill="1" applyBorder="1" applyAlignment="1">
      <alignment horizontal="right" vertical="center" indent="1"/>
    </xf>
    <xf numFmtId="9" fontId="330" fillId="3" borderId="202" xfId="0" applyNumberFormat="1" applyFont="1" applyFill="1" applyBorder="1" applyAlignment="1">
      <alignment horizontal="right" indent="1"/>
    </xf>
    <xf numFmtId="3" fontId="330" fillId="3" borderId="201" xfId="0" applyNumberFormat="1" applyFont="1" applyFill="1" applyBorder="1" applyAlignment="1">
      <alignment horizontal="right" indent="1"/>
    </xf>
    <xf numFmtId="170" fontId="330" fillId="3" borderId="201" xfId="0" applyNumberFormat="1" applyFont="1" applyFill="1" applyBorder="1" applyAlignment="1">
      <alignment horizontal="right" indent="1"/>
    </xf>
    <xf numFmtId="3" fontId="53" fillId="43" borderId="0" xfId="0" applyNumberFormat="1" applyFont="1" applyFill="1"/>
    <xf numFmtId="263" fontId="53" fillId="43" borderId="0" xfId="0" applyNumberFormat="1" applyFont="1" applyFill="1"/>
    <xf numFmtId="9" fontId="0" fillId="0" borderId="0" xfId="0" applyNumberFormat="1" applyProtection="1"/>
    <xf numFmtId="263" fontId="0" fillId="0" borderId="0" xfId="0" applyNumberFormat="1" applyProtection="1"/>
    <xf numFmtId="263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96" xfId="0" applyNumberFormat="1" applyFill="1" applyBorder="1" applyProtection="1"/>
    <xf numFmtId="168" fontId="248" fillId="44" borderId="0" xfId="5" applyNumberFormat="1" applyFont="1" applyFill="1" applyProtection="1"/>
    <xf numFmtId="9" fontId="270" fillId="3" borderId="0" xfId="1" applyFont="1" applyFill="1" applyBorder="1" applyAlignment="1">
      <alignment horizontal="right" vertical="center" indent="1"/>
    </xf>
    <xf numFmtId="0" fontId="297" fillId="3" borderId="0" xfId="0" applyNumberFormat="1" applyFont="1" applyFill="1" applyBorder="1" applyAlignment="1">
      <alignment horizontal="right" vertical="center" indent="1"/>
    </xf>
    <xf numFmtId="0" fontId="298" fillId="3" borderId="0" xfId="0" applyNumberFormat="1" applyFont="1" applyFill="1" applyBorder="1" applyAlignment="1">
      <alignment horizontal="right" vertical="center" indent="1"/>
    </xf>
    <xf numFmtId="9" fontId="297" fillId="3" borderId="0" xfId="1" applyFont="1" applyFill="1" applyBorder="1" applyAlignment="1">
      <alignment horizontal="right" vertical="center" indent="1"/>
    </xf>
    <xf numFmtId="9" fontId="298" fillId="3" borderId="0" xfId="1" applyFont="1" applyFill="1" applyBorder="1" applyAlignment="1">
      <alignment horizontal="right" vertical="center" indent="1"/>
    </xf>
    <xf numFmtId="168" fontId="331" fillId="7" borderId="77" xfId="5" applyNumberFormat="1" applyFont="1" applyFill="1" applyBorder="1" applyAlignment="1">
      <alignment horizontal="center"/>
    </xf>
    <xf numFmtId="219" fontId="66" fillId="3" borderId="51" xfId="6" applyFont="1" applyFill="1" applyBorder="1" applyAlignment="1">
      <alignment horizontal="center" vertical="center" wrapText="1"/>
    </xf>
    <xf numFmtId="219" fontId="66" fillId="3" borderId="51" xfId="6" applyFont="1" applyFill="1" applyBorder="1" applyAlignment="1">
      <alignment horizontal="left" vertical="center" wrapText="1"/>
    </xf>
    <xf numFmtId="219" fontId="70" fillId="3" borderId="73" xfId="6" applyFont="1" applyFill="1" applyBorder="1" applyAlignment="1"/>
    <xf numFmtId="219" fontId="70" fillId="3" borderId="73" xfId="6" applyFont="1" applyFill="1" applyBorder="1" applyAlignment="1">
      <alignment vertical="center"/>
    </xf>
    <xf numFmtId="219" fontId="64" fillId="0" borderId="0" xfId="6" applyFont="1" applyFill="1" applyBorder="1" applyAlignment="1">
      <alignment horizontal="left" vertical="center" indent="1"/>
    </xf>
    <xf numFmtId="219" fontId="64" fillId="0" borderId="0" xfId="6" applyFont="1" applyFill="1" applyBorder="1" applyAlignment="1">
      <alignment horizontal="left" vertical="center"/>
    </xf>
    <xf numFmtId="169" fontId="64" fillId="0" borderId="0" xfId="5" applyNumberFormat="1" applyFont="1" applyFill="1" applyBorder="1" applyAlignment="1">
      <alignment vertical="center"/>
    </xf>
    <xf numFmtId="219" fontId="39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264" fontId="0" fillId="3" borderId="0" xfId="0" applyNumberFormat="1" applyFill="1" applyBorder="1" applyAlignment="1">
      <alignment horizontal="center" vertical="center"/>
    </xf>
    <xf numFmtId="264" fontId="53" fillId="3" borderId="0" xfId="0" applyNumberFormat="1" applyFont="1" applyFill="1" applyBorder="1" applyAlignment="1">
      <alignment horizontal="center" vertical="center"/>
    </xf>
    <xf numFmtId="264" fontId="248" fillId="3" borderId="0" xfId="0" applyNumberFormat="1" applyFont="1" applyFill="1" applyBorder="1" applyAlignment="1">
      <alignment horizontal="center"/>
    </xf>
    <xf numFmtId="264" fontId="55" fillId="3" borderId="0" xfId="0" applyNumberFormat="1" applyFont="1" applyFill="1" applyBorder="1" applyAlignment="1">
      <alignment horizontal="center"/>
    </xf>
    <xf numFmtId="3" fontId="331" fillId="7" borderId="77" xfId="0" applyNumberFormat="1" applyFont="1" applyFill="1" applyBorder="1" applyAlignment="1">
      <alignment horizontal="center"/>
    </xf>
    <xf numFmtId="3" fontId="25" fillId="58" borderId="208" xfId="1081" applyNumberFormat="1" applyFill="1" applyBorder="1" applyAlignment="1" applyProtection="1">
      <alignment horizontal="right" indent="1"/>
      <protection locked="0"/>
    </xf>
    <xf numFmtId="219" fontId="69" fillId="3" borderId="0" xfId="6" applyFont="1" applyFill="1" applyBorder="1" applyAlignment="1">
      <alignment horizontal="left" vertical="center" indent="1"/>
    </xf>
    <xf numFmtId="4" fontId="65" fillId="7" borderId="0" xfId="8" applyNumberFormat="1" applyFont="1" applyFill="1"/>
    <xf numFmtId="167" fontId="62" fillId="7" borderId="0" xfId="8" applyNumberFormat="1" applyFont="1" applyFill="1"/>
    <xf numFmtId="167" fontId="53" fillId="7" borderId="0" xfId="8" applyNumberFormat="1" applyFont="1" applyFill="1" applyBorder="1"/>
    <xf numFmtId="168" fontId="62" fillId="7" borderId="0" xfId="8" applyNumberFormat="1" applyFont="1" applyFill="1"/>
    <xf numFmtId="219" fontId="53" fillId="7" borderId="0" xfId="6" applyFont="1" applyFill="1"/>
    <xf numFmtId="167" fontId="53" fillId="7" borderId="0" xfId="8" applyNumberFormat="1" applyFont="1" applyFill="1"/>
    <xf numFmtId="168" fontId="53" fillId="7" borderId="0" xfId="8" applyNumberFormat="1" applyFont="1" applyFill="1"/>
    <xf numFmtId="219" fontId="52" fillId="7" borderId="26" xfId="6" applyFont="1" applyFill="1" applyBorder="1" applyAlignment="1">
      <alignment vertical="center"/>
    </xf>
    <xf numFmtId="219" fontId="52" fillId="7" borderId="18" xfId="6" applyFont="1" applyFill="1" applyBorder="1" applyAlignment="1">
      <alignment vertical="center"/>
    </xf>
    <xf numFmtId="219" fontId="52" fillId="7" borderId="27" xfId="6" applyFont="1" applyFill="1" applyBorder="1" applyAlignment="1">
      <alignment vertical="center"/>
    </xf>
    <xf numFmtId="219" fontId="70" fillId="7" borderId="0" xfId="6" applyFont="1" applyFill="1" applyBorder="1" applyAlignment="1"/>
    <xf numFmtId="219" fontId="53" fillId="7" borderId="0" xfId="6" applyFont="1" applyFill="1" applyBorder="1" applyAlignment="1"/>
    <xf numFmtId="168" fontId="64" fillId="7" borderId="0" xfId="6" applyNumberFormat="1" applyFont="1" applyFill="1" applyBorder="1" applyAlignment="1">
      <alignment vertical="center"/>
    </xf>
    <xf numFmtId="168" fontId="64" fillId="0" borderId="79" xfId="8" applyNumberFormat="1" applyFont="1" applyFill="1" applyBorder="1" applyAlignment="1">
      <alignment horizontal="center" vertical="center"/>
    </xf>
    <xf numFmtId="219" fontId="69" fillId="3" borderId="77" xfId="6" applyFont="1" applyFill="1" applyBorder="1" applyAlignment="1">
      <alignment horizontal="center" vertical="center" wrapText="1"/>
    </xf>
    <xf numFmtId="219" fontId="69" fillId="3" borderId="211" xfId="6" applyFont="1" applyFill="1" applyBorder="1" applyAlignment="1">
      <alignment horizontal="center" vertical="center" wrapText="1"/>
    </xf>
    <xf numFmtId="4" fontId="65" fillId="7" borderId="0" xfId="9" applyNumberFormat="1" applyFont="1" applyFill="1"/>
    <xf numFmtId="256" fontId="368" fillId="0" borderId="0" xfId="0" applyNumberFormat="1" applyFont="1" applyFill="1" applyAlignment="1">
      <alignment horizontal="right" indent="1"/>
    </xf>
    <xf numFmtId="219" fontId="0" fillId="7" borderId="73" xfId="0" applyFill="1" applyBorder="1"/>
    <xf numFmtId="219" fontId="0" fillId="7" borderId="58" xfId="0" applyFill="1" applyBorder="1"/>
    <xf numFmtId="219" fontId="0" fillId="7" borderId="120" xfId="0" applyFill="1" applyBorder="1"/>
    <xf numFmtId="219" fontId="0" fillId="7" borderId="83" xfId="0" applyFill="1" applyBorder="1"/>
    <xf numFmtId="167" fontId="69" fillId="3" borderId="94" xfId="8" applyNumberFormat="1" applyFont="1" applyFill="1" applyBorder="1" applyAlignment="1">
      <alignment horizontal="center" wrapText="1"/>
    </xf>
    <xf numFmtId="219" fontId="69" fillId="3" borderId="94" xfId="6" applyFont="1" applyFill="1" applyBorder="1" applyAlignment="1">
      <alignment horizontal="center" wrapText="1"/>
    </xf>
    <xf numFmtId="166" fontId="69" fillId="3" borderId="94" xfId="7" applyNumberFormat="1" applyFont="1" applyFill="1" applyBorder="1" applyAlignment="1">
      <alignment horizontal="center" wrapText="1"/>
    </xf>
    <xf numFmtId="168" fontId="63" fillId="7" borderId="73" xfId="5" applyNumberFormat="1" applyFont="1" applyFill="1" applyBorder="1" applyAlignment="1">
      <alignment vertical="center"/>
    </xf>
    <xf numFmtId="168" fontId="63" fillId="7" borderId="58" xfId="5" applyNumberFormat="1" applyFont="1" applyFill="1" applyBorder="1" applyAlignment="1">
      <alignment vertical="center"/>
    </xf>
    <xf numFmtId="168" fontId="63" fillId="7" borderId="51" xfId="5" applyNumberFormat="1" applyFont="1" applyFill="1" applyBorder="1" applyAlignment="1">
      <alignment vertical="center"/>
    </xf>
    <xf numFmtId="168" fontId="64" fillId="7" borderId="213" xfId="5" applyNumberFormat="1" applyFont="1" applyFill="1" applyBorder="1" applyAlignment="1">
      <alignment vertical="center"/>
    </xf>
    <xf numFmtId="9" fontId="63" fillId="0" borderId="213" xfId="7" applyNumberFormat="1" applyFont="1" applyFill="1" applyBorder="1" applyAlignment="1">
      <alignment horizontal="left" vertical="center"/>
    </xf>
    <xf numFmtId="169" fontId="63" fillId="0" borderId="213" xfId="5" applyNumberFormat="1" applyFont="1" applyFill="1" applyBorder="1" applyAlignment="1">
      <alignment horizontal="right" vertical="center"/>
    </xf>
    <xf numFmtId="9" fontId="63" fillId="7" borderId="73" xfId="1" applyFont="1" applyFill="1" applyBorder="1" applyAlignment="1">
      <alignment vertical="center"/>
    </xf>
    <xf numFmtId="9" fontId="63" fillId="7" borderId="58" xfId="1" applyFont="1" applyFill="1" applyBorder="1" applyAlignment="1">
      <alignment vertical="center"/>
    </xf>
    <xf numFmtId="9" fontId="63" fillId="7" borderId="51" xfId="1" applyFont="1" applyFill="1" applyBorder="1" applyAlignment="1">
      <alignment vertical="center"/>
    </xf>
    <xf numFmtId="2" fontId="53" fillId="0" borderId="0" xfId="7" applyNumberFormat="1" applyFont="1" applyBorder="1"/>
    <xf numFmtId="2" fontId="52" fillId="3" borderId="18" xfId="8" applyNumberFormat="1" applyFont="1" applyFill="1" applyBorder="1" applyAlignment="1">
      <alignment vertical="center"/>
    </xf>
    <xf numFmtId="2" fontId="69" fillId="3" borderId="94" xfId="8" applyNumberFormat="1" applyFont="1" applyFill="1" applyBorder="1" applyAlignment="1">
      <alignment horizontal="center" vertical="center" wrapText="1"/>
    </xf>
    <xf numFmtId="2" fontId="86" fillId="5" borderId="42" xfId="5" applyNumberFormat="1" applyFont="1" applyFill="1" applyBorder="1"/>
    <xf numFmtId="2" fontId="86" fillId="6" borderId="42" xfId="5" applyNumberFormat="1" applyFont="1" applyFill="1" applyBorder="1"/>
    <xf numFmtId="2" fontId="65" fillId="0" borderId="0" xfId="9" applyNumberFormat="1" applyFont="1"/>
    <xf numFmtId="2" fontId="69" fillId="3" borderId="35" xfId="6" applyNumberFormat="1" applyFont="1" applyFill="1" applyBorder="1" applyAlignment="1">
      <alignment horizontal="center" vertical="center" wrapText="1"/>
    </xf>
    <xf numFmtId="2" fontId="63" fillId="0" borderId="29" xfId="7" applyNumberFormat="1" applyFont="1" applyFill="1" applyBorder="1" applyAlignment="1">
      <alignment horizontal="right" vertical="center"/>
    </xf>
    <xf numFmtId="2" fontId="63" fillId="8" borderId="29" xfId="7" applyNumberFormat="1" applyFont="1" applyFill="1" applyBorder="1" applyAlignment="1">
      <alignment horizontal="right" vertical="center"/>
    </xf>
    <xf numFmtId="2" fontId="65" fillId="0" borderId="40" xfId="9" applyNumberFormat="1" applyFont="1" applyFill="1" applyBorder="1" applyAlignment="1">
      <alignment horizontal="right"/>
    </xf>
    <xf numFmtId="2" fontId="64" fillId="0" borderId="82" xfId="7" applyNumberFormat="1" applyFont="1" applyFill="1" applyBorder="1" applyAlignment="1">
      <alignment horizontal="right" vertical="center"/>
    </xf>
    <xf numFmtId="2" fontId="65" fillId="0" borderId="0" xfId="7" applyNumberFormat="1" applyFont="1"/>
    <xf numFmtId="2" fontId="86" fillId="5" borderId="42" xfId="7" applyNumberFormat="1" applyFont="1" applyFill="1" applyBorder="1" applyAlignment="1">
      <alignment horizontal="center" vertical="center"/>
    </xf>
    <xf numFmtId="2" fontId="86" fillId="6" borderId="42" xfId="7" applyNumberFormat="1" applyFont="1" applyFill="1" applyBorder="1" applyAlignment="1">
      <alignment horizontal="center" vertical="center"/>
    </xf>
    <xf numFmtId="2" fontId="296" fillId="0" borderId="0" xfId="9" applyNumberFormat="1" applyFont="1" applyAlignment="1">
      <alignment horizontal="center"/>
    </xf>
    <xf numFmtId="2" fontId="269" fillId="8" borderId="38" xfId="6" applyNumberFormat="1" applyFont="1" applyFill="1" applyBorder="1" applyAlignment="1">
      <alignment horizontal="center" vertical="center"/>
    </xf>
    <xf numFmtId="2" fontId="269" fillId="0" borderId="38" xfId="6" applyNumberFormat="1" applyFont="1" applyFill="1" applyBorder="1" applyAlignment="1">
      <alignment horizontal="center" vertical="center"/>
    </xf>
    <xf numFmtId="2" fontId="295" fillId="8" borderId="38" xfId="6" applyNumberFormat="1" applyFont="1" applyFill="1" applyBorder="1" applyAlignment="1">
      <alignment horizontal="center" vertical="center"/>
    </xf>
    <xf numFmtId="2" fontId="295" fillId="7" borderId="38" xfId="6" applyNumberFormat="1" applyFont="1" applyFill="1" applyBorder="1" applyAlignment="1">
      <alignment horizontal="center" vertical="center"/>
    </xf>
    <xf numFmtId="2" fontId="268" fillId="0" borderId="0" xfId="9" applyNumberFormat="1" applyFont="1" applyAlignment="1">
      <alignment horizontal="center"/>
    </xf>
    <xf numFmtId="2" fontId="65" fillId="0" borderId="0" xfId="9" applyNumberFormat="1" applyFont="1" applyAlignment="1">
      <alignment horizontal="center"/>
    </xf>
    <xf numFmtId="1" fontId="63" fillId="7" borderId="58" xfId="5" applyNumberFormat="1" applyFont="1" applyFill="1" applyBorder="1" applyAlignment="1">
      <alignment vertical="center"/>
    </xf>
    <xf numFmtId="1" fontId="63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9" fontId="69" fillId="3" borderId="0" xfId="1" applyFont="1" applyFill="1" applyBorder="1" applyAlignment="1">
      <alignment horizontal="center"/>
    </xf>
    <xf numFmtId="9" fontId="39" fillId="3" borderId="0" xfId="1" applyFont="1" applyFill="1" applyBorder="1" applyAlignment="1">
      <alignment horizontal="center"/>
    </xf>
    <xf numFmtId="3" fontId="85" fillId="0" borderId="13" xfId="0" applyNumberFormat="1" applyFont="1" applyFill="1" applyBorder="1"/>
    <xf numFmtId="3" fontId="46" fillId="3" borderId="0" xfId="0" applyNumberFormat="1" applyFont="1" applyFill="1" applyBorder="1" applyAlignment="1">
      <alignment horizontal="center"/>
    </xf>
    <xf numFmtId="3" fontId="41" fillId="3" borderId="0" xfId="0" applyNumberFormat="1" applyFont="1" applyFill="1" applyBorder="1"/>
    <xf numFmtId="3" fontId="85" fillId="3" borderId="0" xfId="0" applyNumberFormat="1" applyFont="1" applyFill="1" applyBorder="1"/>
    <xf numFmtId="3" fontId="0" fillId="3" borderId="0" xfId="0" applyNumberFormat="1" applyFill="1" applyBorder="1" applyAlignment="1">
      <alignment horizontal="center" vertical="center"/>
    </xf>
    <xf numFmtId="3" fontId="248" fillId="3" borderId="0" xfId="0" applyNumberFormat="1" applyFont="1" applyFill="1" applyBorder="1" applyAlignment="1">
      <alignment horizontal="center"/>
    </xf>
    <xf numFmtId="3" fontId="55" fillId="3" borderId="0" xfId="0" applyNumberFormat="1" applyFont="1" applyFill="1" applyBorder="1" applyAlignment="1">
      <alignment horizontal="center"/>
    </xf>
    <xf numFmtId="3" fontId="53" fillId="3" borderId="0" xfId="0" applyNumberFormat="1" applyFont="1" applyFill="1" applyBorder="1" applyAlignment="1">
      <alignment horizontal="center" vertical="center"/>
    </xf>
    <xf numFmtId="3" fontId="39" fillId="3" borderId="0" xfId="0" applyNumberFormat="1" applyFont="1" applyFill="1" applyBorder="1" applyAlignment="1">
      <alignment horizontal="center" vertical="center"/>
    </xf>
    <xf numFmtId="3" fontId="99" fillId="3" borderId="0" xfId="0" applyNumberFormat="1" applyFont="1" applyFill="1" applyBorder="1" applyAlignment="1">
      <alignment horizontal="center" vertical="center"/>
    </xf>
    <xf numFmtId="3" fontId="53" fillId="3" borderId="0" xfId="0" applyNumberFormat="1" applyFont="1" applyFill="1" applyBorder="1" applyAlignment="1">
      <alignment horizontal="right" vertical="center" indent="1"/>
    </xf>
    <xf numFmtId="3" fontId="0" fillId="3" borderId="0" xfId="5" applyNumberFormat="1" applyFont="1" applyFill="1" applyBorder="1" applyAlignment="1">
      <alignment horizontal="right" vertical="center" indent="1"/>
    </xf>
    <xf numFmtId="3" fontId="248" fillId="3" borderId="0" xfId="5" applyNumberFormat="1" applyFont="1" applyFill="1" applyBorder="1" applyAlignment="1">
      <alignment horizontal="right" indent="1"/>
    </xf>
    <xf numFmtId="3" fontId="55" fillId="3" borderId="0" xfId="5" applyNumberFormat="1" applyFont="1" applyFill="1" applyBorder="1" applyAlignment="1">
      <alignment horizontal="right" indent="1"/>
    </xf>
    <xf numFmtId="9" fontId="0" fillId="3" borderId="0" xfId="1" applyNumberFormat="1" applyFont="1" applyFill="1" applyBorder="1" applyAlignment="1">
      <alignment horizontal="center" vertical="center"/>
    </xf>
    <xf numFmtId="9" fontId="53" fillId="3" borderId="0" xfId="1" applyNumberFormat="1" applyFont="1" applyFill="1" applyBorder="1" applyAlignment="1">
      <alignment horizontal="center" vertical="center"/>
    </xf>
    <xf numFmtId="263" fontId="0" fillId="3" borderId="0" xfId="0" applyNumberFormat="1" applyFill="1" applyBorder="1" applyAlignment="1">
      <alignment horizontal="center" vertical="center"/>
    </xf>
    <xf numFmtId="263" fontId="53" fillId="3" borderId="0" xfId="0" applyNumberFormat="1" applyFont="1" applyFill="1" applyBorder="1" applyAlignment="1">
      <alignment horizontal="center" vertical="center"/>
    </xf>
    <xf numFmtId="1" fontId="331" fillId="7" borderId="77" xfId="0" applyNumberFormat="1" applyFont="1" applyFill="1" applyBorder="1" applyAlignment="1">
      <alignment horizontal="center"/>
    </xf>
    <xf numFmtId="9" fontId="90" fillId="11" borderId="168" xfId="1" applyFont="1" applyFill="1" applyBorder="1" applyAlignment="1">
      <alignment horizontal="right" vertical="center" wrapText="1" indent="1"/>
    </xf>
    <xf numFmtId="9" fontId="90" fillId="8" borderId="169" xfId="1" applyFont="1" applyFill="1" applyBorder="1" applyAlignment="1">
      <alignment horizontal="right" vertical="center" wrapText="1" indent="1"/>
    </xf>
    <xf numFmtId="9" fontId="90" fillId="42" borderId="178" xfId="1" applyFont="1" applyFill="1" applyBorder="1" applyAlignment="1">
      <alignment horizontal="right" vertical="center" wrapText="1" indent="1"/>
    </xf>
    <xf numFmtId="9" fontId="90" fillId="11" borderId="188" xfId="1" applyFont="1" applyFill="1" applyBorder="1" applyAlignment="1">
      <alignment horizontal="right" vertical="center" wrapText="1" indent="1"/>
    </xf>
    <xf numFmtId="9" fontId="90" fillId="8" borderId="189" xfId="1" applyFont="1" applyFill="1" applyBorder="1" applyAlignment="1">
      <alignment horizontal="right" vertical="center" wrapText="1" indent="1"/>
    </xf>
    <xf numFmtId="9" fontId="90" fillId="42" borderId="194" xfId="1" applyFont="1" applyFill="1" applyBorder="1" applyAlignment="1">
      <alignment horizontal="right" vertical="center" wrapText="1" indent="1"/>
    </xf>
    <xf numFmtId="3" fontId="54" fillId="7" borderId="13" xfId="0" applyNumberFormat="1" applyFont="1" applyFill="1" applyBorder="1"/>
    <xf numFmtId="264" fontId="0" fillId="3" borderId="0" xfId="0" applyNumberFormat="1" applyFont="1" applyFill="1" applyBorder="1" applyAlignment="1">
      <alignment horizontal="center" vertical="center"/>
    </xf>
    <xf numFmtId="219" fontId="262" fillId="0" borderId="0" xfId="0" applyFont="1"/>
    <xf numFmtId="219" fontId="370" fillId="4" borderId="0" xfId="0" quotePrefix="1" applyFont="1" applyFill="1" applyAlignment="1">
      <alignment horizontal="right"/>
    </xf>
    <xf numFmtId="258" fontId="97" fillId="3" borderId="0" xfId="0" applyNumberFormat="1" applyFont="1" applyFill="1" applyBorder="1" applyAlignment="1">
      <alignment horizontal="center"/>
    </xf>
    <xf numFmtId="258" fontId="49" fillId="3" borderId="185" xfId="0" applyNumberFormat="1" applyFont="1" applyFill="1" applyBorder="1" applyAlignment="1">
      <alignment horizontal="center"/>
    </xf>
    <xf numFmtId="219" fontId="263" fillId="3" borderId="0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vertical="center"/>
    </xf>
    <xf numFmtId="219" fontId="264" fillId="3" borderId="0" xfId="6" applyFont="1" applyFill="1" applyBorder="1" applyAlignment="1">
      <alignment horizontal="center" vertical="center"/>
    </xf>
    <xf numFmtId="219" fontId="66" fillId="3" borderId="16" xfId="6" applyFont="1" applyFill="1" applyBorder="1" applyAlignment="1">
      <alignment horizontal="left" vertical="center" wrapText="1"/>
    </xf>
    <xf numFmtId="219" fontId="89" fillId="3" borderId="39" xfId="6" applyFont="1" applyFill="1" applyBorder="1" applyAlignment="1">
      <alignment horizontal="left"/>
    </xf>
    <xf numFmtId="3" fontId="0" fillId="7" borderId="0" xfId="0" applyNumberFormat="1" applyFill="1" applyProtection="1"/>
    <xf numFmtId="219" fontId="238" fillId="55" borderId="0" xfId="0" applyFont="1" applyFill="1" applyAlignment="1">
      <alignment horizontal="right"/>
    </xf>
    <xf numFmtId="170" fontId="53" fillId="7" borderId="0" xfId="0" applyNumberFormat="1" applyFont="1" applyFill="1"/>
    <xf numFmtId="4" fontId="53" fillId="63" borderId="0" xfId="0" applyNumberFormat="1" applyFont="1" applyFill="1"/>
    <xf numFmtId="4" fontId="53" fillId="7" borderId="0" xfId="0" applyNumberFormat="1" applyFont="1" applyFill="1"/>
    <xf numFmtId="9" fontId="53" fillId="63" borderId="0" xfId="1" applyNumberFormat="1" applyFont="1" applyFill="1"/>
    <xf numFmtId="9" fontId="53" fillId="7" borderId="0" xfId="1" applyNumberFormat="1" applyFont="1" applyFill="1"/>
    <xf numFmtId="3" fontId="99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63" fillId="7" borderId="73" xfId="1" applyNumberFormat="1" applyFont="1" applyFill="1" applyBorder="1" applyAlignment="1">
      <alignment vertical="center"/>
    </xf>
    <xf numFmtId="170" fontId="63" fillId="7" borderId="58" xfId="1" applyNumberFormat="1" applyFont="1" applyFill="1" applyBorder="1" applyAlignment="1">
      <alignment vertical="center"/>
    </xf>
    <xf numFmtId="170" fontId="63" fillId="7" borderId="51" xfId="1" applyNumberFormat="1" applyFont="1" applyFill="1" applyBorder="1" applyAlignment="1">
      <alignment vertical="center"/>
    </xf>
    <xf numFmtId="170" fontId="63" fillId="7" borderId="121" xfId="1" applyNumberFormat="1" applyFont="1" applyFill="1" applyBorder="1" applyAlignment="1">
      <alignment vertical="center"/>
    </xf>
    <xf numFmtId="170" fontId="63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3" fontId="0" fillId="0" borderId="0" xfId="0" applyNumberFormat="1" applyAlignment="1" applyProtection="1">
      <alignment horizontal="center" vertical="center"/>
    </xf>
    <xf numFmtId="168" fontId="41" fillId="0" borderId="13" xfId="5" applyNumberFormat="1" applyFont="1" applyFill="1" applyBorder="1" applyAlignment="1">
      <alignment horizontal="right" indent="1"/>
    </xf>
    <xf numFmtId="168" fontId="82" fillId="0" borderId="13" xfId="5" applyNumberFormat="1" applyFont="1" applyFill="1" applyBorder="1" applyAlignment="1">
      <alignment horizontal="right" indent="1"/>
    </xf>
    <xf numFmtId="168" fontId="41" fillId="3" borderId="0" xfId="0" applyNumberFormat="1" applyFont="1" applyFill="1" applyBorder="1" applyAlignment="1">
      <alignment horizontal="right" indent="1"/>
    </xf>
    <xf numFmtId="9" fontId="41" fillId="3" borderId="0" xfId="1" applyFont="1" applyFill="1" applyBorder="1" applyAlignment="1">
      <alignment horizontal="right" indent="1"/>
    </xf>
    <xf numFmtId="219" fontId="41" fillId="3" borderId="0" xfId="0" applyFont="1" applyFill="1" applyBorder="1" applyAlignment="1">
      <alignment horizontal="right" indent="1"/>
    </xf>
    <xf numFmtId="219" fontId="82" fillId="3" borderId="0" xfId="0" applyFont="1" applyFill="1" applyBorder="1" applyAlignment="1">
      <alignment horizontal="right" indent="1"/>
    </xf>
    <xf numFmtId="1" fontId="82" fillId="0" borderId="13" xfId="0" applyNumberFormat="1" applyFont="1" applyFill="1" applyBorder="1" applyAlignment="1">
      <alignment horizontal="right" indent="1"/>
    </xf>
    <xf numFmtId="3" fontId="41" fillId="0" borderId="13" xfId="0" applyNumberFormat="1" applyFont="1" applyFill="1" applyBorder="1" applyAlignment="1">
      <alignment horizontal="right" indent="1"/>
    </xf>
    <xf numFmtId="3" fontId="82" fillId="0" borderId="13" xfId="0" applyNumberFormat="1" applyFont="1" applyFill="1" applyBorder="1" applyAlignment="1">
      <alignment horizontal="right" indent="1"/>
    </xf>
    <xf numFmtId="1" fontId="41" fillId="3" borderId="0" xfId="0" applyNumberFormat="1" applyFont="1" applyFill="1" applyBorder="1" applyAlignment="1">
      <alignment horizontal="right" indent="1"/>
    </xf>
    <xf numFmtId="1" fontId="82" fillId="3" borderId="0" xfId="0" applyNumberFormat="1" applyFont="1" applyFill="1" applyBorder="1" applyAlignment="1">
      <alignment horizontal="right" indent="1"/>
    </xf>
    <xf numFmtId="170" fontId="41" fillId="0" borderId="13" xfId="0" applyNumberFormat="1" applyFont="1" applyFill="1" applyBorder="1" applyAlignment="1">
      <alignment horizontal="right" indent="1"/>
    </xf>
    <xf numFmtId="169" fontId="41" fillId="0" borderId="13" xfId="0" applyNumberFormat="1" applyFont="1" applyFill="1" applyBorder="1" applyAlignment="1">
      <alignment horizontal="right" indent="1"/>
    </xf>
    <xf numFmtId="169" fontId="82" fillId="0" borderId="13" xfId="0" applyNumberFormat="1" applyFont="1" applyFill="1" applyBorder="1" applyAlignment="1">
      <alignment horizontal="right" indent="1"/>
    </xf>
    <xf numFmtId="210" fontId="41" fillId="0" borderId="13" xfId="0" applyNumberFormat="1" applyFont="1" applyFill="1" applyBorder="1" applyAlignment="1">
      <alignment horizontal="right" indent="1"/>
    </xf>
    <xf numFmtId="210" fontId="82" fillId="0" borderId="13" xfId="0" applyNumberFormat="1" applyFont="1" applyFill="1" applyBorder="1" applyAlignment="1">
      <alignment horizontal="right" indent="1"/>
    </xf>
    <xf numFmtId="9" fontId="41" fillId="0" borderId="74" xfId="0" applyNumberFormat="1" applyFont="1" applyFill="1" applyBorder="1" applyAlignment="1">
      <alignment horizontal="right" indent="1"/>
    </xf>
    <xf numFmtId="9" fontId="82" fillId="0" borderId="74" xfId="0" applyNumberFormat="1" applyFont="1" applyFill="1" applyBorder="1" applyAlignment="1">
      <alignment horizontal="right" indent="1"/>
    </xf>
    <xf numFmtId="210" fontId="82" fillId="0" borderId="13" xfId="5" applyNumberFormat="1" applyFont="1" applyFill="1" applyBorder="1" applyAlignment="1">
      <alignment horizontal="right" indent="1"/>
    </xf>
    <xf numFmtId="210" fontId="41" fillId="0" borderId="13" xfId="5" applyNumberFormat="1" applyFont="1" applyFill="1" applyBorder="1" applyAlignment="1">
      <alignment horizontal="right" indent="1"/>
    </xf>
    <xf numFmtId="219" fontId="259" fillId="0" borderId="215" xfId="0" applyFont="1" applyBorder="1"/>
    <xf numFmtId="166" fontId="259" fillId="0" borderId="215" xfId="0" applyNumberFormat="1" applyFont="1" applyBorder="1"/>
    <xf numFmtId="219" fontId="4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219" fontId="259" fillId="0" borderId="0" xfId="0" applyFont="1" applyFill="1" applyBorder="1"/>
    <xf numFmtId="219" fontId="371" fillId="0" borderId="0" xfId="0" applyFont="1"/>
    <xf numFmtId="258" fontId="66" fillId="3" borderId="45" xfId="0" applyNumberFormat="1" applyFont="1" applyFill="1" applyBorder="1" applyAlignment="1">
      <alignment horizontal="center"/>
    </xf>
    <xf numFmtId="219" fontId="259" fillId="3" borderId="45" xfId="0" applyFont="1" applyFill="1" applyBorder="1"/>
    <xf numFmtId="219" fontId="259" fillId="65" borderId="216" xfId="0" applyFont="1" applyFill="1" applyBorder="1"/>
    <xf numFmtId="219" fontId="248" fillId="0" borderId="56" xfId="0" applyFont="1" applyBorder="1"/>
    <xf numFmtId="3" fontId="248" fillId="0" borderId="56" xfId="0" applyNumberFormat="1" applyFont="1" applyBorder="1"/>
    <xf numFmtId="168" fontId="90" fillId="3" borderId="217" xfId="6" applyNumberFormat="1" applyFont="1" applyFill="1" applyBorder="1" applyAlignment="1">
      <alignment horizontal="right" wrapText="1"/>
    </xf>
    <xf numFmtId="41" fontId="90" fillId="0" borderId="218" xfId="6" applyNumberFormat="1" applyFont="1" applyFill="1" applyBorder="1" applyAlignment="1">
      <alignment horizontal="right" wrapText="1"/>
    </xf>
    <xf numFmtId="41" fontId="90" fillId="0" borderId="219" xfId="6" applyNumberFormat="1" applyFont="1" applyFill="1" applyBorder="1" applyAlignment="1">
      <alignment horizontal="right" wrapText="1"/>
    </xf>
    <xf numFmtId="168" fontId="90" fillId="3" borderId="220" xfId="6" applyNumberFormat="1" applyFont="1" applyFill="1" applyBorder="1" applyAlignment="1">
      <alignment horizontal="right" wrapText="1"/>
    </xf>
    <xf numFmtId="41" fontId="90" fillId="0" borderId="221" xfId="6" applyNumberFormat="1" applyFont="1" applyFill="1" applyBorder="1" applyAlignment="1">
      <alignment horizontal="right" wrapText="1"/>
    </xf>
    <xf numFmtId="41" fontId="90" fillId="0" borderId="222" xfId="6" applyNumberFormat="1" applyFont="1" applyFill="1" applyBorder="1" applyAlignment="1">
      <alignment horizontal="right" wrapText="1"/>
    </xf>
    <xf numFmtId="219" fontId="69" fillId="3" borderId="223" xfId="6" applyFont="1" applyFill="1" applyBorder="1" applyAlignment="1">
      <alignment horizontal="left" vertical="center" indent="1"/>
    </xf>
    <xf numFmtId="219" fontId="69" fillId="3" borderId="223" xfId="6" applyFont="1" applyFill="1" applyBorder="1" applyAlignment="1">
      <alignment horizontal="left"/>
    </xf>
    <xf numFmtId="219" fontId="69" fillId="3" borderId="224" xfId="6" applyFont="1" applyFill="1" applyBorder="1" applyAlignment="1">
      <alignment horizontal="left"/>
    </xf>
    <xf numFmtId="41" fontId="66" fillId="3" borderId="24" xfId="8" applyNumberFormat="1" applyFont="1" applyFill="1" applyBorder="1" applyAlignment="1">
      <alignment horizontal="right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63" fillId="7" borderId="225" xfId="1" applyNumberFormat="1" applyFont="1" applyFill="1" applyBorder="1" applyAlignment="1">
      <alignment vertical="center"/>
    </xf>
    <xf numFmtId="168" fontId="63" fillId="7" borderId="43" xfId="5" applyNumberFormat="1" applyFont="1" applyFill="1" applyBorder="1" applyAlignment="1">
      <alignment vertical="center"/>
    </xf>
    <xf numFmtId="167" fontId="69" fillId="3" borderId="212" xfId="8" applyNumberFormat="1" applyFont="1" applyFill="1" applyBorder="1" applyAlignment="1">
      <alignment horizontal="center" vertical="center" wrapText="1"/>
    </xf>
    <xf numFmtId="170" fontId="63" fillId="0" borderId="213" xfId="5" applyNumberFormat="1" applyFont="1" applyFill="1" applyBorder="1" applyAlignment="1">
      <alignment horizontal="right" vertical="center"/>
    </xf>
    <xf numFmtId="1" fontId="64" fillId="7" borderId="214" xfId="5" applyNumberFormat="1" applyFont="1" applyFill="1" applyBorder="1" applyAlignment="1">
      <alignment vertical="center"/>
    </xf>
    <xf numFmtId="1" fontId="63" fillId="7" borderId="83" xfId="5" applyNumberFormat="1" applyFont="1" applyFill="1" applyBorder="1" applyAlignment="1">
      <alignment vertical="center"/>
    </xf>
    <xf numFmtId="1" fontId="63" fillId="7" borderId="46" xfId="5" applyNumberFormat="1" applyFont="1" applyFill="1" applyBorder="1" applyAlignment="1">
      <alignment vertical="center"/>
    </xf>
    <xf numFmtId="1" fontId="63" fillId="7" borderId="51" xfId="5" applyNumberFormat="1" applyFont="1" applyFill="1" applyBorder="1" applyAlignment="1">
      <alignment vertical="center"/>
    </xf>
    <xf numFmtId="168" fontId="64" fillId="7" borderId="226" xfId="8" applyNumberFormat="1" applyFont="1" applyFill="1" applyBorder="1" applyAlignment="1">
      <alignment horizontal="center" vertical="center"/>
    </xf>
    <xf numFmtId="1" fontId="64" fillId="7" borderId="51" xfId="8" applyNumberFormat="1" applyFont="1" applyFill="1" applyBorder="1" applyAlignment="1">
      <alignment horizontal="center" vertical="center"/>
    </xf>
    <xf numFmtId="9" fontId="63" fillId="7" borderId="227" xfId="5" applyNumberFormat="1" applyFont="1" applyFill="1" applyBorder="1" applyAlignment="1">
      <alignment vertical="center"/>
    </xf>
    <xf numFmtId="9" fontId="63" fillId="7" borderId="228" xfId="5" applyNumberFormat="1" applyFont="1" applyFill="1" applyBorder="1" applyAlignment="1">
      <alignment vertical="center"/>
    </xf>
    <xf numFmtId="9" fontId="64" fillId="7" borderId="229" xfId="8" applyNumberFormat="1" applyFont="1" applyFill="1" applyBorder="1" applyAlignment="1">
      <alignment horizontal="center" vertical="center"/>
    </xf>
    <xf numFmtId="219" fontId="0" fillId="0" borderId="232" xfId="0" applyBorder="1"/>
    <xf numFmtId="15" fontId="0" fillId="0" borderId="232" xfId="0" applyNumberFormat="1" applyBorder="1"/>
    <xf numFmtId="219" fontId="0" fillId="0" borderId="234" xfId="0" applyBorder="1"/>
    <xf numFmtId="15" fontId="0" fillId="0" borderId="234" xfId="0" applyNumberFormat="1" applyBorder="1"/>
    <xf numFmtId="14" fontId="0" fillId="0" borderId="234" xfId="0" applyNumberFormat="1" applyBorder="1"/>
    <xf numFmtId="14" fontId="0" fillId="0" borderId="235" xfId="0" applyNumberFormat="1" applyBorder="1"/>
    <xf numFmtId="14" fontId="369" fillId="0" borderId="234" xfId="0" applyNumberFormat="1" applyFont="1" applyBorder="1"/>
    <xf numFmtId="14" fontId="369" fillId="0" borderId="235" xfId="0" applyNumberFormat="1" applyFont="1" applyBorder="1"/>
    <xf numFmtId="219" fontId="0" fillId="0" borderId="0" xfId="0" quotePrefix="1"/>
    <xf numFmtId="219" fontId="372" fillId="49" borderId="0" xfId="0" applyFont="1" applyFill="1"/>
    <xf numFmtId="219" fontId="0" fillId="67" borderId="0" xfId="0" applyFill="1"/>
    <xf numFmtId="0" fontId="3" fillId="0" borderId="0" xfId="1093"/>
    <xf numFmtId="0" fontId="3" fillId="42" borderId="0" xfId="1093" applyFill="1"/>
    <xf numFmtId="0" fontId="3" fillId="64" borderId="0" xfId="1093" applyFill="1"/>
    <xf numFmtId="0" fontId="3" fillId="57" borderId="0" xfId="1093" applyFill="1"/>
    <xf numFmtId="0" fontId="259" fillId="57" borderId="0" xfId="1093" applyFont="1" applyFill="1"/>
    <xf numFmtId="9" fontId="3" fillId="0" borderId="0" xfId="1093" applyNumberFormat="1"/>
    <xf numFmtId="9" fontId="3" fillId="0" borderId="43" xfId="1093" applyNumberFormat="1" applyBorder="1"/>
    <xf numFmtId="0" fontId="259" fillId="10" borderId="0" xfId="1093" applyFont="1" applyFill="1"/>
    <xf numFmtId="0" fontId="3" fillId="0" borderId="0" xfId="1093" applyAlignment="1">
      <alignment horizontal="center"/>
    </xf>
    <xf numFmtId="0" fontId="3" fillId="0" borderId="83" xfId="1093" applyBorder="1" applyAlignment="1">
      <alignment horizontal="center"/>
    </xf>
    <xf numFmtId="0" fontId="3" fillId="0" borderId="43" xfId="1093" applyBorder="1" applyAlignment="1">
      <alignment horizontal="center"/>
    </xf>
    <xf numFmtId="0" fontId="3" fillId="0" borderId="0" xfId="1093" applyBorder="1" applyAlignment="1">
      <alignment horizontal="center"/>
    </xf>
    <xf numFmtId="265" fontId="3" fillId="0" borderId="83" xfId="1093" applyNumberFormat="1" applyBorder="1"/>
    <xf numFmtId="265" fontId="3" fillId="0" borderId="43" xfId="1093" applyNumberFormat="1" applyBorder="1"/>
    <xf numFmtId="265" fontId="3" fillId="0" borderId="0" xfId="1093" applyNumberFormat="1" applyBorder="1"/>
    <xf numFmtId="265" fontId="3" fillId="0" borderId="0" xfId="1093" applyNumberFormat="1"/>
    <xf numFmtId="0" fontId="259" fillId="64" borderId="0" xfId="1093" applyFont="1" applyFill="1"/>
    <xf numFmtId="0" fontId="259" fillId="42" borderId="0" xfId="1093" applyFont="1" applyFill="1"/>
    <xf numFmtId="262" fontId="66" fillId="3" borderId="240" xfId="8" applyNumberFormat="1" applyFont="1" applyFill="1" applyBorder="1" applyAlignment="1">
      <alignment horizontal="right" indent="1"/>
    </xf>
    <xf numFmtId="168" fontId="90" fillId="3" borderId="241" xfId="6" applyNumberFormat="1" applyFont="1" applyFill="1" applyBorder="1" applyAlignment="1">
      <alignment horizontal="right" wrapText="1"/>
    </xf>
    <xf numFmtId="262" fontId="66" fillId="3" borderId="174" xfId="8" applyNumberFormat="1" applyFont="1" applyFill="1" applyBorder="1" applyAlignment="1">
      <alignment horizontal="right" vertical="center" indent="1"/>
    </xf>
    <xf numFmtId="262" fontId="66" fillId="3" borderId="173" xfId="8" applyNumberFormat="1" applyFont="1" applyFill="1" applyBorder="1" applyAlignment="1">
      <alignment horizontal="right" vertical="center" indent="1"/>
    </xf>
    <xf numFmtId="0" fontId="0" fillId="44" borderId="0" xfId="0" applyNumberFormat="1" applyFill="1" applyBorder="1" applyAlignment="1" applyProtection="1">
      <alignment horizontal="left" indent="2"/>
    </xf>
    <xf numFmtId="0" fontId="0" fillId="44" borderId="242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3" fontId="41" fillId="0" borderId="0" xfId="0" applyNumberFormat="1" applyFont="1" applyFill="1" applyBorder="1" applyAlignment="1">
      <alignment horizontal="right" indent="1"/>
    </xf>
    <xf numFmtId="3" fontId="82" fillId="0" borderId="0" xfId="0" applyNumberFormat="1" applyFont="1" applyFill="1" applyBorder="1" applyAlignment="1">
      <alignment horizontal="right" indent="1"/>
    </xf>
    <xf numFmtId="219" fontId="53" fillId="0" borderId="0" xfId="0" applyFont="1" applyFill="1" applyBorder="1"/>
    <xf numFmtId="219" fontId="54" fillId="0" borderId="0" xfId="0" applyFont="1" applyFill="1" applyBorder="1"/>
    <xf numFmtId="168" fontId="54" fillId="7" borderId="0" xfId="5" applyNumberFormat="1" applyFont="1" applyFill="1" applyBorder="1"/>
    <xf numFmtId="168" fontId="285" fillId="0" borderId="0" xfId="5" applyNumberFormat="1" applyFont="1" applyFill="1" applyBorder="1" applyAlignment="1">
      <alignment horizontal="right"/>
    </xf>
    <xf numFmtId="41" fontId="35" fillId="0" borderId="0" xfId="0" applyNumberFormat="1" applyFont="1" applyFill="1" applyBorder="1"/>
    <xf numFmtId="41" fontId="54" fillId="0" borderId="0" xfId="0" applyNumberFormat="1" applyFont="1" applyFill="1" applyBorder="1"/>
    <xf numFmtId="41" fontId="54" fillId="0" borderId="0" xfId="0" applyNumberFormat="1" applyFont="1" applyFill="1" applyBorder="1" applyAlignment="1">
      <alignment horizontal="right"/>
    </xf>
    <xf numFmtId="9" fontId="259" fillId="65" borderId="216" xfId="0" applyNumberFormat="1" applyFont="1" applyFill="1" applyBorder="1"/>
    <xf numFmtId="261" fontId="25" fillId="0" borderId="208" xfId="1081" applyNumberFormat="1" applyBorder="1" applyAlignment="1" applyProtection="1">
      <alignment horizontal="left" indent="1"/>
      <protection locked="0"/>
    </xf>
    <xf numFmtId="261" fontId="5" fillId="0" borderId="208" xfId="1081" applyNumberFormat="1" applyFont="1" applyBorder="1" applyAlignment="1" applyProtection="1">
      <alignment horizontal="left" indent="1"/>
      <protection locked="0"/>
    </xf>
    <xf numFmtId="261" fontId="5" fillId="0" borderId="210" xfId="1081" applyNumberFormat="1" applyFont="1" applyBorder="1" applyAlignment="1" applyProtection="1">
      <alignment horizontal="left" indent="1"/>
      <protection locked="0"/>
    </xf>
    <xf numFmtId="265" fontId="3" fillId="68" borderId="0" xfId="1093" applyNumberFormat="1" applyFill="1"/>
    <xf numFmtId="266" fontId="3" fillId="68" borderId="0" xfId="1093" applyNumberFormat="1" applyFill="1"/>
    <xf numFmtId="219" fontId="259" fillId="69" borderId="243" xfId="0" applyFont="1" applyFill="1" applyBorder="1"/>
    <xf numFmtId="219" fontId="0" fillId="0" borderId="0" xfId="0" applyAlignment="1">
      <alignment horizontal="left"/>
    </xf>
    <xf numFmtId="166" fontId="0" fillId="0" borderId="0" xfId="0" applyNumberFormat="1"/>
    <xf numFmtId="219" fontId="259" fillId="69" borderId="244" xfId="0" applyFont="1" applyFill="1" applyBorder="1" applyAlignment="1">
      <alignment horizontal="left"/>
    </xf>
    <xf numFmtId="166" fontId="259" fillId="69" borderId="244" xfId="0" applyNumberFormat="1" applyFont="1" applyFill="1" applyBorder="1"/>
    <xf numFmtId="3" fontId="0" fillId="0" borderId="0" xfId="0" applyNumberFormat="1" applyAlignment="1">
      <alignment horizontal="left" indent="1"/>
    </xf>
    <xf numFmtId="3" fontId="248" fillId="0" borderId="0" xfId="0" applyNumberFormat="1" applyFont="1"/>
    <xf numFmtId="219" fontId="373" fillId="0" borderId="0" xfId="0" applyFont="1"/>
    <xf numFmtId="267" fontId="0" fillId="7" borderId="0" xfId="0" applyNumberFormat="1" applyFill="1"/>
    <xf numFmtId="267" fontId="0" fillId="0" borderId="0" xfId="0" applyNumberFormat="1"/>
    <xf numFmtId="3" fontId="248" fillId="44" borderId="0" xfId="0" applyNumberFormat="1" applyFont="1" applyFill="1" applyAlignment="1" applyProtection="1">
      <alignment horizontal="center" vertical="center"/>
    </xf>
    <xf numFmtId="168" fontId="0" fillId="9" borderId="0" xfId="5" applyNumberFormat="1" applyFont="1" applyFill="1" applyAlignment="1">
      <alignment horizontal="center"/>
    </xf>
    <xf numFmtId="0" fontId="0" fillId="9" borderId="72" xfId="0" applyNumberFormat="1" applyFill="1" applyBorder="1"/>
    <xf numFmtId="1" fontId="0" fillId="9" borderId="72" xfId="0" applyNumberFormat="1" applyFill="1" applyBorder="1"/>
    <xf numFmtId="0" fontId="53" fillId="43" borderId="72" xfId="0" applyNumberFormat="1" applyFont="1" applyFill="1" applyBorder="1"/>
    <xf numFmtId="254" fontId="0" fillId="0" borderId="72" xfId="5" applyNumberFormat="1" applyFont="1" applyBorder="1"/>
    <xf numFmtId="3" fontId="0" fillId="0" borderId="72" xfId="5" applyNumberFormat="1" applyFont="1" applyBorder="1"/>
    <xf numFmtId="3" fontId="0" fillId="7" borderId="72" xfId="0" applyNumberFormat="1" applyFill="1" applyBorder="1"/>
    <xf numFmtId="3" fontId="33" fillId="7" borderId="72" xfId="5" applyNumberFormat="1" applyFont="1" applyFill="1" applyBorder="1"/>
    <xf numFmtId="0" fontId="34" fillId="9" borderId="72" xfId="0" applyNumberFormat="1" applyFont="1" applyFill="1" applyBorder="1"/>
    <xf numFmtId="3" fontId="0" fillId="0" borderId="72" xfId="0" applyNumberFormat="1" applyBorder="1"/>
    <xf numFmtId="0" fontId="0" fillId="9" borderId="0" xfId="0" applyNumberFormat="1" applyFill="1" applyBorder="1"/>
    <xf numFmtId="1" fontId="0" fillId="9" borderId="0" xfId="0" applyNumberFormat="1" applyFill="1" applyBorder="1"/>
    <xf numFmtId="168" fontId="53" fillId="43" borderId="0" xfId="5" applyNumberFormat="1" applyFont="1" applyFill="1" applyBorder="1"/>
    <xf numFmtId="254" fontId="0" fillId="0" borderId="0" xfId="5" applyNumberFormat="1" applyFont="1" applyBorder="1"/>
    <xf numFmtId="3" fontId="0" fillId="0" borderId="0" xfId="5" applyNumberFormat="1" applyFont="1" applyBorder="1"/>
    <xf numFmtId="3" fontId="0" fillId="7" borderId="0" xfId="0" applyNumberFormat="1" applyFill="1" applyBorder="1"/>
    <xf numFmtId="168" fontId="53" fillId="8" borderId="0" xfId="5" applyNumberFormat="1" applyFont="1" applyFill="1" applyBorder="1"/>
    <xf numFmtId="168" fontId="34" fillId="9" borderId="0" xfId="5" applyNumberFormat="1" applyFont="1" applyFill="1" applyBorder="1"/>
    <xf numFmtId="3" fontId="0" fillId="0" borderId="0" xfId="0" applyNumberFormat="1" applyBorder="1"/>
    <xf numFmtId="0" fontId="53" fillId="43" borderId="0" xfId="0" applyNumberFormat="1" applyFont="1" applyFill="1" applyBorder="1"/>
    <xf numFmtId="3" fontId="33" fillId="7" borderId="0" xfId="5" applyNumberFormat="1" applyFont="1" applyFill="1" applyBorder="1"/>
    <xf numFmtId="0" fontId="34" fillId="9" borderId="0" xfId="0" applyNumberFormat="1" applyFont="1" applyFill="1" applyBorder="1"/>
    <xf numFmtId="1" fontId="34" fillId="9" borderId="0" xfId="0" applyNumberFormat="1" applyFont="1" applyFill="1" applyBorder="1"/>
    <xf numFmtId="9" fontId="53" fillId="9" borderId="0" xfId="1" applyFont="1" applyFill="1" applyBorder="1"/>
    <xf numFmtId="9" fontId="53" fillId="43" borderId="0" xfId="1" applyFont="1" applyFill="1" applyBorder="1"/>
    <xf numFmtId="9" fontId="348" fillId="0" borderId="0" xfId="1" applyFont="1" applyBorder="1"/>
    <xf numFmtId="9" fontId="53" fillId="7" borderId="0" xfId="1" applyFont="1" applyFill="1" applyBorder="1"/>
    <xf numFmtId="9" fontId="33" fillId="7" borderId="0" xfId="5" applyNumberFormat="1" applyFont="1" applyFill="1" applyBorder="1"/>
    <xf numFmtId="9" fontId="99" fillId="9" borderId="0" xfId="1" applyFont="1" applyFill="1" applyBorder="1"/>
    <xf numFmtId="168" fontId="0" fillId="9" borderId="0" xfId="5" applyNumberFormat="1" applyFont="1" applyFill="1" applyBorder="1" applyAlignment="1">
      <alignment horizontal="center"/>
    </xf>
    <xf numFmtId="0" fontId="0" fillId="9" borderId="76" xfId="0" applyNumberFormat="1" applyFill="1" applyBorder="1"/>
    <xf numFmtId="169" fontId="0" fillId="9" borderId="76" xfId="5" applyNumberFormat="1" applyFont="1" applyFill="1" applyBorder="1" applyAlignment="1">
      <alignment horizontal="center"/>
    </xf>
    <xf numFmtId="170" fontId="0" fillId="9" borderId="76" xfId="0" applyNumberFormat="1" applyFill="1" applyBorder="1"/>
    <xf numFmtId="2" fontId="53" fillId="43" borderId="76" xfId="0" applyNumberFormat="1" applyFont="1" applyFill="1" applyBorder="1"/>
    <xf numFmtId="255" fontId="0" fillId="0" borderId="76" xfId="5" applyNumberFormat="1" applyFont="1" applyBorder="1"/>
    <xf numFmtId="170" fontId="0" fillId="7" borderId="76" xfId="0" applyNumberFormat="1" applyFill="1" applyBorder="1"/>
    <xf numFmtId="169" fontId="33" fillId="7" borderId="76" xfId="5" applyNumberFormat="1" applyFont="1" applyFill="1" applyBorder="1"/>
    <xf numFmtId="2" fontId="33" fillId="7" borderId="76" xfId="5" applyNumberFormat="1" applyFont="1" applyFill="1" applyBorder="1"/>
    <xf numFmtId="170" fontId="34" fillId="9" borderId="76" xfId="0" applyNumberFormat="1" applyFont="1" applyFill="1" applyBorder="1"/>
    <xf numFmtId="3" fontId="0" fillId="0" borderId="76" xfId="0" applyNumberFormat="1" applyBorder="1"/>
    <xf numFmtId="170" fontId="82" fillId="0" borderId="13" xfId="0" applyNumberFormat="1" applyFont="1" applyFill="1" applyBorder="1" applyAlignment="1">
      <alignment horizontal="right" indent="1"/>
    </xf>
    <xf numFmtId="3" fontId="0" fillId="9" borderId="0" xfId="5" applyNumberFormat="1" applyFont="1" applyFill="1" applyAlignment="1"/>
    <xf numFmtId="3" fontId="0" fillId="9" borderId="72" xfId="5" applyNumberFormat="1" applyFont="1" applyFill="1" applyBorder="1" applyAlignment="1"/>
    <xf numFmtId="3" fontId="0" fillId="9" borderId="0" xfId="5" applyNumberFormat="1" applyFont="1" applyFill="1" applyBorder="1" applyAlignment="1"/>
    <xf numFmtId="9" fontId="0" fillId="9" borderId="0" xfId="5" applyNumberFormat="1" applyFont="1" applyFill="1" applyBorder="1" applyAlignment="1"/>
    <xf numFmtId="168" fontId="54" fillId="3" borderId="0" xfId="5" applyNumberFormat="1" applyFont="1" applyFill="1" applyBorder="1" applyAlignment="1">
      <alignment vertical="center"/>
    </xf>
    <xf numFmtId="9" fontId="54" fillId="3" borderId="0" xfId="0" applyNumberFormat="1" applyFont="1" applyFill="1" applyBorder="1" applyAlignment="1">
      <alignment vertical="center"/>
    </xf>
    <xf numFmtId="0" fontId="54" fillId="3" borderId="0" xfId="0" applyNumberFormat="1" applyFont="1" applyFill="1" applyBorder="1" applyAlignment="1">
      <alignment vertical="center"/>
    </xf>
    <xf numFmtId="170" fontId="54" fillId="3" borderId="0" xfId="0" applyNumberFormat="1" applyFont="1" applyFill="1" applyBorder="1" applyAlignment="1">
      <alignment vertical="center"/>
    </xf>
    <xf numFmtId="9" fontId="54" fillId="3" borderId="0" xfId="1" applyFont="1" applyFill="1" applyBorder="1" applyAlignment="1">
      <alignment vertical="center"/>
    </xf>
    <xf numFmtId="3" fontId="54" fillId="3" borderId="0" xfId="0" applyNumberFormat="1" applyFont="1" applyFill="1" applyBorder="1" applyAlignment="1">
      <alignment vertical="center"/>
    </xf>
    <xf numFmtId="219" fontId="246" fillId="0" borderId="0" xfId="0" quotePrefix="1" applyFont="1"/>
    <xf numFmtId="219" fontId="374" fillId="0" borderId="0" xfId="0" applyFont="1" applyAlignment="1">
      <alignment horizontal="left" indent="1"/>
    </xf>
    <xf numFmtId="219" fontId="375" fillId="0" borderId="0" xfId="0" applyFont="1" applyAlignment="1">
      <alignment horizontal="left" indent="1"/>
    </xf>
    <xf numFmtId="9" fontId="0" fillId="2" borderId="0" xfId="1" applyFont="1" applyFill="1" applyAlignment="1">
      <alignment horizontal="center"/>
    </xf>
    <xf numFmtId="3" fontId="3" fillId="66" borderId="0" xfId="1093" applyNumberFormat="1" applyFill="1"/>
    <xf numFmtId="3" fontId="3" fillId="68" borderId="0" xfId="1093" applyNumberFormat="1" applyFill="1"/>
    <xf numFmtId="3" fontId="3" fillId="12" borderId="0" xfId="1093" applyNumberFormat="1" applyFill="1"/>
    <xf numFmtId="219" fontId="96" fillId="0" borderId="236" xfId="652" applyBorder="1" applyAlignment="1">
      <alignment horizontal="center" vertical="center" wrapText="1"/>
    </xf>
    <xf numFmtId="219" fontId="96" fillId="0" borderId="237" xfId="652" applyBorder="1" applyAlignment="1">
      <alignment horizontal="center" vertical="center" wrapText="1"/>
    </xf>
    <xf numFmtId="219" fontId="96" fillId="8" borderId="238" xfId="652" applyFill="1" applyBorder="1" applyAlignment="1">
      <alignment horizontal="center" vertical="center" wrapText="1"/>
    </xf>
    <xf numFmtId="219" fontId="96" fillId="12" borderId="238" xfId="652" applyFill="1" applyBorder="1" applyAlignment="1">
      <alignment horizontal="center" vertical="center" wrapText="1"/>
    </xf>
    <xf numFmtId="219" fontId="96" fillId="44" borderId="238" xfId="652" applyFill="1" applyBorder="1" applyAlignment="1">
      <alignment horizontal="center" vertical="center" wrapText="1"/>
    </xf>
    <xf numFmtId="219" fontId="96" fillId="66" borderId="230" xfId="652" applyFill="1" applyBorder="1" applyAlignment="1">
      <alignment horizontal="center" vertical="center" wrapText="1"/>
    </xf>
    <xf numFmtId="219" fontId="96" fillId="66" borderId="231" xfId="652" applyFill="1" applyBorder="1" applyAlignment="1">
      <alignment horizontal="center" vertical="center" wrapText="1"/>
    </xf>
    <xf numFmtId="219" fontId="248" fillId="12" borderId="230" xfId="0" applyFont="1" applyFill="1" applyBorder="1" applyAlignment="1">
      <alignment horizontal="center" wrapText="1"/>
    </xf>
    <xf numFmtId="219" fontId="248" fillId="12" borderId="239" xfId="0" applyFont="1" applyFill="1" applyBorder="1" applyAlignment="1">
      <alignment horizontal="center" wrapText="1"/>
    </xf>
    <xf numFmtId="219" fontId="248" fillId="52" borderId="245" xfId="0" applyFont="1" applyFill="1" applyBorder="1" applyAlignment="1">
      <alignment horizontal="centerContinuous"/>
    </xf>
    <xf numFmtId="219" fontId="248" fillId="52" borderId="246" xfId="0" applyFont="1" applyFill="1" applyBorder="1" applyAlignment="1">
      <alignment horizontal="centerContinuous"/>
    </xf>
    <xf numFmtId="219" fontId="55" fillId="44" borderId="246" xfId="0" applyFont="1" applyFill="1" applyBorder="1" applyAlignment="1">
      <alignment horizontal="centerContinuous"/>
    </xf>
    <xf numFmtId="219" fontId="248" fillId="57" borderId="246" xfId="0" applyFont="1" applyFill="1" applyBorder="1" applyAlignment="1">
      <alignment horizontal="centerContinuous"/>
    </xf>
    <xf numFmtId="219" fontId="248" fillId="57" borderId="247" xfId="0" applyFont="1" applyFill="1" applyBorder="1" applyAlignment="1">
      <alignment horizontal="centerContinuous"/>
    </xf>
    <xf numFmtId="0" fontId="0" fillId="8" borderId="248" xfId="0" applyNumberFormat="1" applyFill="1" applyBorder="1"/>
    <xf numFmtId="0" fontId="0" fillId="8" borderId="249" xfId="0" applyNumberFormat="1" applyFill="1" applyBorder="1"/>
    <xf numFmtId="9" fontId="0" fillId="8" borderId="249" xfId="1" applyNumberFormat="1" applyFont="1" applyFill="1" applyBorder="1"/>
    <xf numFmtId="168" fontId="0" fillId="12" borderId="249" xfId="5" applyNumberFormat="1" applyFont="1" applyFill="1" applyBorder="1"/>
    <xf numFmtId="0" fontId="0" fillId="44" borderId="249" xfId="0" applyNumberFormat="1" applyFill="1" applyBorder="1"/>
    <xf numFmtId="168" fontId="0" fillId="66" borderId="249" xfId="5" applyNumberFormat="1" applyFont="1" applyFill="1" applyBorder="1"/>
    <xf numFmtId="9" fontId="0" fillId="0" borderId="249" xfId="0" applyNumberFormat="1" applyBorder="1"/>
    <xf numFmtId="9" fontId="0" fillId="0" borderId="250" xfId="0" applyNumberFormat="1" applyBorder="1"/>
    <xf numFmtId="0" fontId="0" fillId="8" borderId="251" xfId="0" applyNumberFormat="1" applyFill="1" applyBorder="1"/>
    <xf numFmtId="0" fontId="0" fillId="8" borderId="252" xfId="0" applyNumberFormat="1" applyFill="1" applyBorder="1"/>
    <xf numFmtId="9" fontId="0" fillId="8" borderId="252" xfId="1" applyNumberFormat="1" applyFont="1" applyFill="1" applyBorder="1"/>
    <xf numFmtId="168" fontId="0" fillId="12" borderId="252" xfId="5" applyNumberFormat="1" applyFont="1" applyFill="1" applyBorder="1"/>
    <xf numFmtId="168" fontId="248" fillId="44" borderId="252" xfId="5" applyNumberFormat="1" applyFont="1" applyFill="1" applyBorder="1"/>
    <xf numFmtId="0" fontId="0" fillId="44" borderId="252" xfId="0" applyNumberFormat="1" applyFill="1" applyBorder="1"/>
    <xf numFmtId="168" fontId="0" fillId="66" borderId="252" xfId="5" applyNumberFormat="1" applyFont="1" applyFill="1" applyBorder="1"/>
    <xf numFmtId="9" fontId="0" fillId="0" borderId="252" xfId="0" applyNumberFormat="1" applyBorder="1"/>
    <xf numFmtId="9" fontId="0" fillId="0" borderId="253" xfId="0" applyNumberFormat="1" applyBorder="1"/>
    <xf numFmtId="219" fontId="0" fillId="0" borderId="254" xfId="0" applyBorder="1"/>
    <xf numFmtId="219" fontId="0" fillId="0" borderId="255" xfId="0" applyBorder="1"/>
    <xf numFmtId="219" fontId="0" fillId="0" borderId="250" xfId="0" applyBorder="1"/>
    <xf numFmtId="219" fontId="0" fillId="0" borderId="253" xfId="0" applyBorder="1"/>
    <xf numFmtId="219" fontId="0" fillId="0" borderId="257" xfId="0" applyBorder="1"/>
    <xf numFmtId="219" fontId="0" fillId="0" borderId="162" xfId="0" applyBorder="1"/>
    <xf numFmtId="219" fontId="0" fillId="0" borderId="258" xfId="0" applyBorder="1"/>
    <xf numFmtId="15" fontId="0" fillId="0" borderId="258" xfId="0" applyNumberFormat="1" applyBorder="1"/>
    <xf numFmtId="0" fontId="0" fillId="8" borderId="256" xfId="0" applyNumberFormat="1" applyFill="1" applyBorder="1"/>
    <xf numFmtId="0" fontId="0" fillId="8" borderId="260" xfId="0" applyNumberFormat="1" applyFill="1" applyBorder="1"/>
    <xf numFmtId="9" fontId="0" fillId="8" borderId="260" xfId="1" applyNumberFormat="1" applyFont="1" applyFill="1" applyBorder="1"/>
    <xf numFmtId="168" fontId="0" fillId="12" borderId="260" xfId="5" applyNumberFormat="1" applyFont="1" applyFill="1" applyBorder="1"/>
    <xf numFmtId="0" fontId="0" fillId="44" borderId="260" xfId="0" applyNumberFormat="1" applyFill="1" applyBorder="1"/>
    <xf numFmtId="168" fontId="0" fillId="66" borderId="260" xfId="5" applyNumberFormat="1" applyFont="1" applyFill="1" applyBorder="1"/>
    <xf numFmtId="9" fontId="0" fillId="0" borderId="260" xfId="0" applyNumberFormat="1" applyBorder="1"/>
    <xf numFmtId="9" fontId="0" fillId="0" borderId="257" xfId="0" applyNumberFormat="1" applyBorder="1"/>
    <xf numFmtId="219" fontId="369" fillId="0" borderId="262" xfId="0" applyFont="1" applyBorder="1"/>
    <xf numFmtId="219" fontId="0" fillId="0" borderId="263" xfId="0" applyBorder="1"/>
    <xf numFmtId="3" fontId="248" fillId="8" borderId="261" xfId="0" applyNumberFormat="1" applyFont="1" applyFill="1" applyBorder="1"/>
    <xf numFmtId="3" fontId="248" fillId="8" borderId="264" xfId="0" applyNumberFormat="1" applyFont="1" applyFill="1" applyBorder="1"/>
    <xf numFmtId="9" fontId="248" fillId="8" borderId="264" xfId="0" applyNumberFormat="1" applyFont="1" applyFill="1" applyBorder="1"/>
    <xf numFmtId="3" fontId="248" fillId="12" borderId="264" xfId="0" applyNumberFormat="1" applyFont="1" applyFill="1" applyBorder="1"/>
    <xf numFmtId="3" fontId="248" fillId="44" borderId="264" xfId="0" applyNumberFormat="1" applyFont="1" applyFill="1" applyBorder="1"/>
    <xf numFmtId="3" fontId="248" fillId="66" borderId="264" xfId="0" applyNumberFormat="1" applyFont="1" applyFill="1" applyBorder="1"/>
    <xf numFmtId="3" fontId="248" fillId="0" borderId="264" xfId="0" applyNumberFormat="1" applyFont="1" applyFill="1" applyBorder="1"/>
    <xf numFmtId="3" fontId="248" fillId="0" borderId="262" xfId="0" applyNumberFormat="1" applyFont="1" applyFill="1" applyBorder="1"/>
    <xf numFmtId="219" fontId="0" fillId="0" borderId="265" xfId="0" applyBorder="1"/>
    <xf numFmtId="219" fontId="0" fillId="0" borderId="266" xfId="0" applyBorder="1"/>
    <xf numFmtId="219" fontId="0" fillId="0" borderId="267" xfId="0" applyBorder="1"/>
    <xf numFmtId="219" fontId="0" fillId="0" borderId="268" xfId="0" applyBorder="1"/>
    <xf numFmtId="168" fontId="248" fillId="44" borderId="249" xfId="5" applyNumberFormat="1" applyFont="1" applyFill="1" applyBorder="1"/>
    <xf numFmtId="168" fontId="248" fillId="44" borderId="260" xfId="5" applyNumberFormat="1" applyFont="1" applyFill="1" applyBorder="1"/>
    <xf numFmtId="3" fontId="0" fillId="44" borderId="0" xfId="0" applyNumberFormat="1" applyFill="1" applyBorder="1" applyAlignment="1" applyProtection="1">
      <alignment horizontal="left" indent="1"/>
    </xf>
    <xf numFmtId="168" fontId="90" fillId="3" borderId="269" xfId="6" applyNumberFormat="1" applyFont="1" applyFill="1" applyBorder="1" applyAlignment="1">
      <alignment horizontal="right" wrapText="1"/>
    </xf>
    <xf numFmtId="168" fontId="90" fillId="3" borderId="270" xfId="6" applyNumberFormat="1" applyFont="1" applyFill="1" applyBorder="1" applyAlignment="1">
      <alignment horizontal="right" wrapText="1"/>
    </xf>
    <xf numFmtId="3" fontId="90" fillId="3" borderId="270" xfId="6" applyNumberFormat="1" applyFont="1" applyFill="1" applyBorder="1" applyAlignment="1">
      <alignment horizontal="right" wrapText="1"/>
    </xf>
    <xf numFmtId="3" fontId="90" fillId="3" borderId="220" xfId="6" applyNumberFormat="1" applyFont="1" applyFill="1" applyBorder="1" applyAlignment="1">
      <alignment horizontal="right" wrapText="1"/>
    </xf>
    <xf numFmtId="3" fontId="66" fillId="3" borderId="163" xfId="8" applyNumberFormat="1" applyFont="1" applyFill="1" applyBorder="1" applyAlignment="1">
      <alignment horizontal="right" vertical="center" indent="1"/>
    </xf>
    <xf numFmtId="14" fontId="0" fillId="0" borderId="232" xfId="0" applyNumberFormat="1" applyBorder="1"/>
    <xf numFmtId="14" fontId="0" fillId="0" borderId="233" xfId="0" applyNumberFormat="1" applyBorder="1"/>
    <xf numFmtId="3" fontId="3" fillId="70" borderId="0" xfId="1093" applyNumberFormat="1" applyFill="1"/>
    <xf numFmtId="0" fontId="2" fillId="0" borderId="0" xfId="1093" applyFont="1" applyAlignment="1">
      <alignment horizontal="center"/>
    </xf>
    <xf numFmtId="14" fontId="369" fillId="0" borderId="258" xfId="0" applyNumberFormat="1" applyFont="1" applyBorder="1"/>
    <xf numFmtId="14" fontId="369" fillId="0" borderId="259" xfId="0" applyNumberFormat="1" applyFont="1" applyBorder="1"/>
    <xf numFmtId="268" fontId="375" fillId="12" borderId="0" xfId="0" applyNumberFormat="1" applyFont="1" applyFill="1"/>
    <xf numFmtId="268" fontId="375" fillId="44" borderId="0" xfId="0" applyNumberFormat="1" applyFont="1" applyFill="1"/>
    <xf numFmtId="268" fontId="375" fillId="0" borderId="0" xfId="0" applyNumberFormat="1" applyFont="1"/>
    <xf numFmtId="268" fontId="0" fillId="0" borderId="0" xfId="0" applyNumberFormat="1" applyFont="1"/>
    <xf numFmtId="268" fontId="0" fillId="12" borderId="0" xfId="0" applyNumberFormat="1" applyFont="1" applyFill="1"/>
    <xf numFmtId="268" fontId="0" fillId="44" borderId="0" xfId="0" applyNumberFormat="1" applyFont="1" applyFill="1"/>
    <xf numFmtId="0" fontId="0" fillId="0" borderId="271" xfId="0" applyNumberFormat="1" applyBorder="1" applyProtection="1"/>
    <xf numFmtId="0" fontId="0" fillId="0" borderId="271" xfId="0" applyNumberFormat="1" applyBorder="1" applyAlignment="1" applyProtection="1">
      <alignment horizontal="center" vertical="center"/>
    </xf>
    <xf numFmtId="263" fontId="0" fillId="0" borderId="0" xfId="0" applyNumberFormat="1" applyAlignment="1" applyProtection="1">
      <alignment horizontal="right"/>
    </xf>
    <xf numFmtId="0" fontId="0" fillId="2" borderId="0" xfId="0" applyNumberFormat="1" applyFill="1" applyProtection="1"/>
    <xf numFmtId="4" fontId="0" fillId="0" borderId="0" xfId="0" applyNumberFormat="1" applyFill="1" applyBorder="1"/>
    <xf numFmtId="0" fontId="0" fillId="0" borderId="0" xfId="1093" applyFont="1" applyAlignment="1">
      <alignment horizontal="center"/>
    </xf>
    <xf numFmtId="0" fontId="0" fillId="0" borderId="0" xfId="0" applyNumberFormat="1" applyFont="1" applyFill="1" applyBorder="1" applyAlignment="1" applyProtection="1"/>
    <xf numFmtId="3" fontId="0" fillId="0" borderId="83" xfId="0" applyNumberFormat="1" applyFont="1" applyFill="1" applyBorder="1" applyAlignment="1" applyProtection="1"/>
    <xf numFmtId="3" fontId="0" fillId="0" borderId="43" xfId="0" applyNumberFormat="1" applyFont="1" applyFill="1" applyBorder="1" applyAlignment="1" applyProtection="1"/>
    <xf numFmtId="3" fontId="0" fillId="0" borderId="0" xfId="0" applyNumberFormat="1" applyFont="1" applyFill="1" applyBorder="1" applyAlignment="1" applyProtection="1"/>
    <xf numFmtId="263" fontId="0" fillId="0" borderId="0" xfId="0" applyNumberFormat="1" applyFont="1" applyFill="1" applyBorder="1" applyAlignment="1" applyProtection="1"/>
    <xf numFmtId="219" fontId="370" fillId="4" borderId="0" xfId="2" applyFont="1" applyFill="1" applyAlignment="1" applyProtection="1">
      <alignment horizontal="left" indent="3"/>
    </xf>
    <xf numFmtId="219" fontId="76" fillId="4" borderId="0" xfId="2" applyFont="1" applyFill="1" applyAlignment="1" applyProtection="1">
      <alignment horizontal="left" indent="3"/>
    </xf>
    <xf numFmtId="219" fontId="74" fillId="4" borderId="0" xfId="0" applyFont="1" applyFill="1" applyAlignment="1">
      <alignment horizontal="center"/>
    </xf>
    <xf numFmtId="0" fontId="284" fillId="3" borderId="11" xfId="0" applyNumberFormat="1" applyFont="1" applyFill="1" applyBorder="1" applyAlignment="1">
      <alignment horizontal="center" wrapText="1"/>
    </xf>
    <xf numFmtId="0" fontId="284" fillId="3" borderId="14" xfId="0" applyNumberFormat="1" applyFont="1" applyFill="1" applyBorder="1" applyAlignment="1">
      <alignment horizontal="center"/>
    </xf>
    <xf numFmtId="219" fontId="52" fillId="3" borderId="11" xfId="6" applyFont="1" applyFill="1" applyBorder="1" applyAlignment="1">
      <alignment horizontal="center" vertical="center" wrapText="1"/>
    </xf>
    <xf numFmtId="219" fontId="52" fillId="3" borderId="14" xfId="6" applyFont="1" applyFill="1" applyBorder="1" applyAlignment="1">
      <alignment horizontal="center" vertical="center" wrapText="1"/>
    </xf>
    <xf numFmtId="219" fontId="52" fillId="3" borderId="94" xfId="6" applyFont="1" applyFill="1" applyBorder="1" applyAlignment="1">
      <alignment horizontal="center" vertical="center" wrapText="1"/>
    </xf>
    <xf numFmtId="219" fontId="52" fillId="3" borderId="17" xfId="6" applyFont="1" applyFill="1" applyBorder="1" applyAlignment="1">
      <alignment horizontal="center" vertical="center" wrapText="1"/>
    </xf>
    <xf numFmtId="167" fontId="258" fillId="0" borderId="16" xfId="8" applyNumberFormat="1" applyFont="1" applyBorder="1" applyAlignment="1">
      <alignment horizontal="left"/>
    </xf>
    <xf numFmtId="219" fontId="64" fillId="3" borderId="66" xfId="6" applyFont="1" applyFill="1" applyBorder="1" applyAlignment="1">
      <alignment horizontal="center" vertical="center"/>
    </xf>
    <xf numFmtId="219" fontId="64" fillId="3" borderId="56" xfId="6" applyFont="1" applyFill="1" applyBorder="1" applyAlignment="1">
      <alignment horizontal="center" vertical="center"/>
    </xf>
    <xf numFmtId="219" fontId="64" fillId="3" borderId="71" xfId="6" applyFont="1" applyFill="1" applyBorder="1" applyAlignment="1">
      <alignment horizontal="center" vertical="center"/>
    </xf>
    <xf numFmtId="219" fontId="294" fillId="46" borderId="119" xfId="1060" applyFont="1" applyFill="1" applyBorder="1" applyAlignment="1">
      <alignment horizontal="center" vertical="center" wrapText="1"/>
    </xf>
    <xf numFmtId="219" fontId="294" fillId="46" borderId="111" xfId="1060" applyFont="1" applyFill="1" applyBorder="1" applyAlignment="1">
      <alignment horizontal="center" vertical="center" wrapText="1"/>
    </xf>
    <xf numFmtId="0" fontId="280" fillId="46" borderId="119" xfId="1060" applyNumberFormat="1" applyFont="1" applyFill="1" applyBorder="1" applyAlignment="1">
      <alignment horizontal="center" vertical="center" wrapText="1"/>
    </xf>
    <xf numFmtId="0" fontId="280" fillId="46" borderId="111" xfId="1060" applyNumberFormat="1" applyFont="1" applyFill="1" applyBorder="1" applyAlignment="1">
      <alignment horizontal="center" vertical="center" wrapText="1"/>
    </xf>
    <xf numFmtId="0" fontId="303" fillId="41" borderId="120" xfId="0" applyNumberFormat="1" applyFont="1" applyFill="1" applyBorder="1" applyAlignment="1" applyProtection="1">
      <alignment horizontal="center" vertical="center" wrapText="1"/>
    </xf>
    <xf numFmtId="0" fontId="303" fillId="41" borderId="187" xfId="0" applyNumberFormat="1" applyFont="1" applyFill="1" applyBorder="1" applyAlignment="1" applyProtection="1">
      <alignment horizontal="center" vertical="center" wrapText="1"/>
    </xf>
    <xf numFmtId="0" fontId="303" fillId="41" borderId="72" xfId="0" applyNumberFormat="1" applyFont="1" applyFill="1" applyBorder="1" applyAlignment="1" applyProtection="1">
      <alignment horizontal="left" vertical="center" wrapText="1"/>
    </xf>
    <xf numFmtId="0" fontId="303" fillId="41" borderId="198" xfId="0" applyNumberFormat="1" applyFont="1" applyFill="1" applyBorder="1" applyAlignment="1" applyProtection="1">
      <alignment horizontal="left" vertical="center" wrapText="1"/>
    </xf>
    <xf numFmtId="0" fontId="55" fillId="9" borderId="134" xfId="0" applyNumberFormat="1" applyFont="1" applyFill="1" applyBorder="1" applyAlignment="1" applyProtection="1">
      <alignment horizontal="left" vertical="center"/>
    </xf>
    <xf numFmtId="0" fontId="55" fillId="9" borderId="128" xfId="0" applyNumberFormat="1" applyFont="1" applyFill="1" applyBorder="1" applyAlignment="1" applyProtection="1">
      <alignment horizontal="left" vertical="center"/>
    </xf>
    <xf numFmtId="0" fontId="55" fillId="9" borderId="135" xfId="0" applyNumberFormat="1" applyFont="1" applyFill="1" applyBorder="1" applyAlignment="1" applyProtection="1">
      <alignment horizontal="left" vertical="center"/>
    </xf>
    <xf numFmtId="0" fontId="55" fillId="10" borderId="126" xfId="0" applyNumberFormat="1" applyFont="1" applyFill="1" applyBorder="1" applyAlignment="1" applyProtection="1">
      <alignment horizontal="center" vertical="center"/>
    </xf>
    <xf numFmtId="0" fontId="55" fillId="10" borderId="125" xfId="0" applyNumberFormat="1" applyFont="1" applyFill="1" applyBorder="1" applyAlignment="1" applyProtection="1">
      <alignment horizontal="center" vertical="center"/>
    </xf>
    <xf numFmtId="0" fontId="55" fillId="10" borderId="72" xfId="0" applyNumberFormat="1" applyFont="1" applyFill="1" applyBorder="1" applyAlignment="1" applyProtection="1">
      <alignment horizontal="left" vertical="center" wrapText="1"/>
    </xf>
    <xf numFmtId="0" fontId="55" fillId="10" borderId="197" xfId="0" applyNumberFormat="1" applyFont="1" applyFill="1" applyBorder="1" applyAlignment="1" applyProtection="1">
      <alignment horizontal="left" vertical="center" wrapText="1"/>
    </xf>
    <xf numFmtId="0" fontId="55" fillId="9" borderId="138" xfId="0" applyNumberFormat="1" applyFont="1" applyFill="1" applyBorder="1" applyAlignment="1" applyProtection="1">
      <alignment horizontal="left" vertical="center"/>
    </xf>
    <xf numFmtId="0" fontId="55" fillId="9" borderId="139" xfId="0" applyNumberFormat="1" applyFont="1" applyFill="1" applyBorder="1" applyAlignment="1" applyProtection="1">
      <alignment horizontal="left" vertical="center"/>
    </xf>
    <xf numFmtId="0" fontId="55" fillId="9" borderId="154" xfId="0" applyNumberFormat="1" applyFont="1" applyFill="1" applyBorder="1" applyAlignment="1" applyProtection="1">
      <alignment horizontal="left" vertical="center"/>
    </xf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55" xfId="0" applyNumberFormat="1" applyFont="1" applyFill="1" applyBorder="1" applyAlignment="1" applyProtection="1">
      <alignment horizontal="left"/>
    </xf>
    <xf numFmtId="0" fontId="53" fillId="12" borderId="63" xfId="0" applyNumberFormat="1" applyFont="1" applyFill="1" applyBorder="1" applyAlignment="1" applyProtection="1">
      <alignment horizontal="left"/>
    </xf>
    <xf numFmtId="0" fontId="53" fillId="12" borderId="153" xfId="0" applyNumberFormat="1" applyFont="1" applyFill="1" applyBorder="1" applyAlignment="1" applyProtection="1">
      <alignment horizontal="left"/>
    </xf>
    <xf numFmtId="0" fontId="55" fillId="12" borderId="156" xfId="0" applyNumberFormat="1" applyFont="1" applyFill="1" applyBorder="1" applyAlignment="1" applyProtection="1">
      <alignment horizontal="left"/>
    </xf>
    <xf numFmtId="0" fontId="55" fillId="12" borderId="141" xfId="0" applyNumberFormat="1" applyFont="1" applyFill="1" applyBorder="1" applyAlignment="1" applyProtection="1">
      <alignment horizontal="left"/>
    </xf>
    <xf numFmtId="0" fontId="55" fillId="12" borderId="152" xfId="0" applyNumberFormat="1" applyFont="1" applyFill="1" applyBorder="1" applyAlignment="1" applyProtection="1">
      <alignment horizontal="left"/>
    </xf>
    <xf numFmtId="0" fontId="55" fillId="9" borderId="136" xfId="0" applyNumberFormat="1" applyFont="1" applyFill="1" applyBorder="1" applyAlignment="1" applyProtection="1">
      <alignment horizontal="left" vertical="center"/>
    </xf>
    <xf numFmtId="0" fontId="55" fillId="9" borderId="130" xfId="0" applyNumberFormat="1" applyFont="1" applyFill="1" applyBorder="1" applyAlignment="1" applyProtection="1">
      <alignment horizontal="left" vertical="center"/>
    </xf>
    <xf numFmtId="0" fontId="55" fillId="9" borderId="137" xfId="0" applyNumberFormat="1" applyFont="1" applyFill="1" applyBorder="1" applyAlignment="1" applyProtection="1">
      <alignment horizontal="left" vertical="center"/>
    </xf>
    <xf numFmtId="3" fontId="1" fillId="71" borderId="0" xfId="1094" applyNumberFormat="1"/>
    <xf numFmtId="3" fontId="3" fillId="12" borderId="83" xfId="1093" applyNumberFormat="1" applyFill="1" applyBorder="1"/>
    <xf numFmtId="3" fontId="1" fillId="12" borderId="0" xfId="1094" applyNumberFormat="1" applyFill="1"/>
    <xf numFmtId="0" fontId="2" fillId="0" borderId="0" xfId="1093" applyFont="1"/>
  </cellXfs>
  <cellStyles count="1095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20% - Accent6" xfId="1094" builtinId="5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63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3" formatCode="#,##0"/>
      <fill>
        <patternFill patternType="solid">
          <fgColor indexed="64"/>
          <bgColor theme="6" tint="0.39994506668294322"/>
        </patternFill>
      </fill>
    </dxf>
    <dxf>
      <numFmt numFmtId="266" formatCode="0.0;;&quot;&quot;"/>
      <fill>
        <patternFill patternType="solid">
          <fgColor indexed="64"/>
          <bgColor theme="6" tint="0.59996337778862885"/>
        </patternFill>
      </fill>
    </dxf>
    <dxf>
      <numFmt numFmtId="265" formatCode="0;;&quot;&quot;"/>
      <fill>
        <patternFill patternType="solid">
          <fgColor indexed="64"/>
          <bgColor theme="6" tint="0.59996337778862885"/>
        </patternFill>
      </fill>
    </dxf>
    <dxf>
      <numFmt numFmtId="3" formatCode="#,##0"/>
      <fill>
        <patternFill patternType="solid">
          <fgColor indexed="64"/>
          <bgColor theme="6" tint="0.59996337778862885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  <border outline="0">
        <left style="thin">
          <color indexed="64"/>
        </left>
        <right/>
      </border>
    </dxf>
    <dxf>
      <numFmt numFmtId="13" formatCode="0%"/>
    </dxf>
    <dxf>
      <numFmt numFmtId="265" formatCode="0;;&quot;&quot;"/>
    </dxf>
    <dxf>
      <numFmt numFmtId="13" formatCode="0%"/>
      <border outline="0">
        <right style="thin">
          <color auto="1"/>
        </right>
      </border>
    </dxf>
    <dxf>
      <numFmt numFmtId="265" formatCode="0;;&quot;&quot;"/>
    </dxf>
    <dxf>
      <numFmt numFmtId="13" formatCode="0%"/>
    </dxf>
    <dxf>
      <numFmt numFmtId="265" formatCode="0;;&quot;&quot;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</dxf>
    <dxf>
      <numFmt numFmtId="265" formatCode="0;;&quot;&quot;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E3F9E4"/>
      <color rgb="FFFCFDF9"/>
      <color rgb="FFFFFF99"/>
      <color rgb="FF990000"/>
      <color rgb="FFF2F2F2"/>
      <color rgb="FF00CC99"/>
      <color rgb="FFFFFFCC"/>
      <color rgb="FF0000FF"/>
      <color rgb="FF4646FF"/>
      <color rgb="FF3F3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40.723482300000001</c:v>
                </c:pt>
                <c:pt idx="50" formatCode="#,##0">
                  <c:v>56.762080000000005</c:v>
                </c:pt>
                <c:pt idx="51" formatCode="#,##0">
                  <c:v>49.965191000000004</c:v>
                </c:pt>
                <c:pt idx="52" formatCode="#,##0">
                  <c:v>53.646550000000005</c:v>
                </c:pt>
                <c:pt idx="53" formatCode="#,##0">
                  <c:v>58.133580000000002</c:v>
                </c:pt>
                <c:pt idx="54" formatCode="#,##0">
                  <c:v>45.669309000000098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273688"/>
        <c:axId val="460274472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12"/>
                <c:pt idx="0">
                  <c:v>Jan'13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21.15946588416989</c:v>
                </c:pt>
                <c:pt idx="49" formatCode="#,##0">
                  <c:v>20.867642534235856</c:v>
                </c:pt>
                <c:pt idx="50" formatCode="#,##0">
                  <c:v>49.678550803872874</c:v>
                </c:pt>
                <c:pt idx="51" formatCode="#,##0">
                  <c:v>49.306357366960249</c:v>
                </c:pt>
                <c:pt idx="52" formatCode="#,##0">
                  <c:v>57.719167284380774</c:v>
                </c:pt>
                <c:pt idx="53" formatCode="#,##0">
                  <c:v>64.986347978287142</c:v>
                </c:pt>
                <c:pt idx="54" formatCode="#,##0">
                  <c:v>59.891902241751808</c:v>
                </c:pt>
                <c:pt idx="55" formatCode="#,##0">
                  <c:v>66.554351797741717</c:v>
                </c:pt>
                <c:pt idx="56" formatCode="#,##0">
                  <c:v>74.354220299720438</c:v>
                </c:pt>
                <c:pt idx="57" formatCode="#,##0">
                  <c:v>70.348989256097511</c:v>
                </c:pt>
                <c:pt idx="58" formatCode="#,##0">
                  <c:v>77.982438535115264</c:v>
                </c:pt>
                <c:pt idx="59" formatCode="#,##0">
                  <c:v>87.307252311144893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3688"/>
        <c:axId val="460274472"/>
      </c:lineChart>
      <c:catAx>
        <c:axId val="460273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4472"/>
        <c:crosses val="autoZero"/>
        <c:auto val="1"/>
        <c:lblAlgn val="ctr"/>
        <c:lblOffset val="100"/>
        <c:noMultiLvlLbl val="0"/>
      </c:catAx>
      <c:valAx>
        <c:axId val="460274472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273688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0270944"/>
        <c:axId val="460266632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12"/>
                <c:pt idx="0">
                  <c:v>Jan'13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267</c:v>
                </c:pt>
                <c:pt idx="5">
                  <c:v>365</c:v>
                </c:pt>
                <c:pt idx="6">
                  <c:v>457</c:v>
                </c:pt>
                <c:pt idx="7">
                  <c:v>539</c:v>
                </c:pt>
                <c:pt idx="8">
                  <c:v>622</c:v>
                </c:pt>
                <c:pt idx="9">
                  <c:v>710</c:v>
                </c:pt>
                <c:pt idx="10">
                  <c:v>776</c:v>
                </c:pt>
                <c:pt idx="1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0944"/>
        <c:axId val="460266632"/>
      </c:lineChart>
      <c:catAx>
        <c:axId val="4602709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6632"/>
        <c:crosses val="autoZero"/>
        <c:auto val="1"/>
        <c:lblAlgn val="ctr"/>
        <c:lblOffset val="100"/>
        <c:noMultiLvlLbl val="0"/>
      </c:catAx>
      <c:valAx>
        <c:axId val="460266632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270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66240"/>
        <c:axId val="460271728"/>
      </c:lineChart>
      <c:catAx>
        <c:axId val="4602662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1728"/>
        <c:crosses val="autoZero"/>
        <c:auto val="1"/>
        <c:lblAlgn val="ctr"/>
        <c:lblOffset val="100"/>
        <c:noMultiLvlLbl val="0"/>
      </c:catAx>
      <c:valAx>
        <c:axId val="460271728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62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265848"/>
        <c:axId val="460270160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65848"/>
        <c:axId val="460270160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67808"/>
        <c:axId val="460264280"/>
      </c:lineChart>
      <c:catAx>
        <c:axId val="460265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0160"/>
        <c:crosses val="autoZero"/>
        <c:auto val="1"/>
        <c:lblAlgn val="ctr"/>
        <c:lblOffset val="100"/>
        <c:noMultiLvlLbl val="0"/>
      </c:catAx>
      <c:valAx>
        <c:axId val="460270160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5848"/>
        <c:crosses val="autoZero"/>
        <c:crossBetween val="between"/>
        <c:majorUnit val="40"/>
      </c:valAx>
      <c:valAx>
        <c:axId val="460264280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7808"/>
        <c:crosses val="max"/>
        <c:crossBetween val="between"/>
        <c:majorUnit val="0.2"/>
      </c:valAx>
      <c:catAx>
        <c:axId val="460267808"/>
        <c:scaling>
          <c:orientation val="minMax"/>
        </c:scaling>
        <c:delete val="1"/>
        <c:axPos val="b"/>
        <c:majorTickMark val="out"/>
        <c:minorTickMark val="none"/>
        <c:tickLblPos val="none"/>
        <c:crossAx val="46026428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268200"/>
        <c:axId val="460265456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68200"/>
        <c:axId val="460265456"/>
      </c:lineChart>
      <c:catAx>
        <c:axId val="460268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5456"/>
        <c:crosses val="autoZero"/>
        <c:auto val="1"/>
        <c:lblAlgn val="ctr"/>
        <c:lblOffset val="100"/>
        <c:noMultiLvlLbl val="0"/>
      </c:catAx>
      <c:valAx>
        <c:axId val="46026545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8200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268984"/>
        <c:axId val="460270552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68984"/>
        <c:axId val="460270552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2120"/>
        <c:axId val="460271336"/>
      </c:lineChart>
      <c:catAx>
        <c:axId val="4602689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0552"/>
        <c:crosses val="autoZero"/>
        <c:auto val="1"/>
        <c:lblAlgn val="ctr"/>
        <c:lblOffset val="100"/>
        <c:noMultiLvlLbl val="0"/>
      </c:catAx>
      <c:valAx>
        <c:axId val="460270552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68984"/>
        <c:crosses val="autoZero"/>
        <c:crossBetween val="between"/>
        <c:majorUnit val="40"/>
      </c:valAx>
      <c:valAx>
        <c:axId val="460271336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2120"/>
        <c:crosses val="max"/>
        <c:crossBetween val="between"/>
        <c:majorUnit val="0.2"/>
      </c:valAx>
      <c:catAx>
        <c:axId val="460272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027133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0272904"/>
        <c:axId val="460273296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2904"/>
        <c:axId val="460273296"/>
      </c:lineChart>
      <c:catAx>
        <c:axId val="460272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3296"/>
        <c:crosses val="autoZero"/>
        <c:auto val="1"/>
        <c:lblAlgn val="ctr"/>
        <c:lblOffset val="100"/>
        <c:noMultiLvlLbl val="0"/>
      </c:catAx>
      <c:valAx>
        <c:axId val="46027329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0272904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188531335345237E-2"/>
          <c:y val="2.6979440069991253E-2"/>
          <c:w val="0.97514065264207839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Country!$BI$15:$CC$15</c15:sqref>
                  </c15:fullRef>
                </c:ext>
              </c:extLst>
              <c:f>(Country!$BI$15:$BO$15,Country!$BR$15:$CC$15)</c:f>
              <c:numCache>
                <c:formatCode>0.0</c:formatCode>
                <c:ptCount val="19"/>
                <c:pt idx="0">
                  <c:v>20.617766910299011</c:v>
                </c:pt>
                <c:pt idx="1">
                  <c:v>17.86276973603438</c:v>
                </c:pt>
                <c:pt idx="2">
                  <c:v>15.285836994261143</c:v>
                </c:pt>
                <c:pt idx="3">
                  <c:v>16.311434310803623</c:v>
                </c:pt>
                <c:pt idx="4">
                  <c:v>15.468998470363303</c:v>
                </c:pt>
                <c:pt idx="5">
                  <c:v>15.74960082618369</c:v>
                </c:pt>
                <c:pt idx="6">
                  <c:v>17.806666949521329</c:v>
                </c:pt>
                <c:pt idx="7">
                  <c:v>16.659052896379524</c:v>
                </c:pt>
                <c:pt idx="8">
                  <c:v>17.956530047352562</c:v>
                </c:pt>
                <c:pt idx="9">
                  <c:v>16.606547544706217</c:v>
                </c:pt>
                <c:pt idx="10">
                  <c:v>16.419142405871092</c:v>
                </c:pt>
                <c:pt idx="11">
                  <c:v>15.966205399061034</c:v>
                </c:pt>
                <c:pt idx="12">
                  <c:v>16.864276312056734</c:v>
                </c:pt>
                <c:pt idx="13">
                  <c:v>17.204343800599737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9568"/>
        <c:axId val="4602807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Plan!$U$130:$AN$130</c15:sqref>
                        </c15:fullRef>
                        <c15:formulaRef>
                          <c15:sqref>(Plan!$U$130:$AA$130,Plan!$AD$130:$AN$130)</c15:sqref>
                        </c15:formulaRef>
                      </c:ext>
                    </c:extLst>
                    <c:numCache>
                      <c:formatCode>0.0</c:formatCode>
                      <c:ptCount val="18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>
                        <c:v>14.12</c:v>
                      </c:pt>
                      <c:pt idx="11">
                        <c:v>14.12</c:v>
                      </c:pt>
                      <c:pt idx="12">
                        <c:v>14.12</c:v>
                      </c:pt>
                      <c:pt idx="13">
                        <c:v>14.12</c:v>
                      </c:pt>
                      <c:pt idx="14">
                        <c:v>14.12</c:v>
                      </c:pt>
                      <c:pt idx="15">
                        <c:v>14.12</c:v>
                      </c:pt>
                      <c:pt idx="16">
                        <c:v>14.12</c:v>
                      </c:pt>
                      <c:pt idx="17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795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80744"/>
        <c:crosses val="autoZero"/>
        <c:auto val="1"/>
        <c:lblAlgn val="ctr"/>
        <c:lblOffset val="100"/>
        <c:noMultiLvlLbl val="0"/>
      </c:catAx>
      <c:valAx>
        <c:axId val="460280744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460279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74302875506195E-2"/>
          <c:y val="1.8895997375328082E-2"/>
          <c:w val="0.97237155609586134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(Country!$BI$3:$BN$3,Country!$BV$3:$CC$3)</c:f>
              <c:strCache>
                <c:ptCount val="14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Nov</c:v>
                </c:pt>
                <c:pt idx="13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Country!$BI$19:$CC$19</c15:sqref>
                  </c15:fullRef>
                </c:ext>
              </c:extLst>
              <c:f>(Country!$BI$19:$BN$19,Country!$BV$19:$CC$19)</c:f>
              <c:numCache>
                <c:formatCode>0.0</c:formatCode>
                <c:ptCount val="14"/>
                <c:pt idx="0">
                  <c:v>7.0274576378666085</c:v>
                </c:pt>
                <c:pt idx="1">
                  <c:v>6.1681933015368315</c:v>
                </c:pt>
                <c:pt idx="2">
                  <c:v>7.9294657251837508</c:v>
                </c:pt>
                <c:pt idx="3">
                  <c:v>5.0434729422412392</c:v>
                </c:pt>
                <c:pt idx="4">
                  <c:v>4.8645088012025601</c:v>
                </c:pt>
                <c:pt idx="5">
                  <c:v>6.7544281548105847</c:v>
                </c:pt>
                <c:pt idx="6">
                  <c:v>7.5379688300893539</c:v>
                </c:pt>
                <c:pt idx="7">
                  <c:v>7.7228417018512499</c:v>
                </c:pt>
                <c:pt idx="8">
                  <c:v>5.7817343821640135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8192"/>
        <c:axId val="4602819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(Country!$BI$3:$BN$3,Country!$BV$3:$CC$3)</c15:sqref>
                        </c15:formulaRef>
                      </c:ext>
                    </c:extLst>
                    <c:strCache>
                      <c:ptCount val="14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May</c:v>
                      </c:pt>
                      <c:pt idx="7">
                        <c:v>Jun</c:v>
                      </c:pt>
                      <c:pt idx="8">
                        <c:v>Jul</c:v>
                      </c:pt>
                      <c:pt idx="9">
                        <c:v>Aug</c:v>
                      </c:pt>
                      <c:pt idx="10">
                        <c:v>Sep</c:v>
                      </c:pt>
                      <c:pt idx="11">
                        <c:v>Oct</c:v>
                      </c:pt>
                      <c:pt idx="12">
                        <c:v>Nov</c:v>
                      </c:pt>
                      <c:pt idx="13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Plan!$U$131:$AN$131</c15:sqref>
                        </c15:fullRef>
                        <c15:formulaRef>
                          <c15:sqref>(Plan!$U$131:$Z$131,Plan!$AH$131:$AN$131)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7</c:v>
                      </c:pt>
                      <c:pt idx="12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88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81920"/>
        <c:crosses val="autoZero"/>
        <c:auto val="1"/>
        <c:lblAlgn val="ctr"/>
        <c:lblOffset val="100"/>
        <c:noMultiLvlLbl val="0"/>
      </c:catAx>
      <c:valAx>
        <c:axId val="460281920"/>
        <c:scaling>
          <c:orientation val="minMax"/>
          <c:max val="20"/>
        </c:scaling>
        <c:delete val="1"/>
        <c:axPos val="l"/>
        <c:numFmt formatCode="0.0" sourceLinked="1"/>
        <c:majorTickMark val="out"/>
        <c:minorTickMark val="none"/>
        <c:tickLblPos val="none"/>
        <c:crossAx val="460288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99228291001722"/>
          <c:y val="7.6388888888888895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895040091667331E-3"/>
          <c:y val="0.16371271254393546"/>
          <c:w val="0.9723715560958609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Country!$BI$11:$CC$11</c15:sqref>
                  </c15:fullRef>
                </c:ext>
              </c:extLst>
              <c:f>(Country!$BI$11:$BO$11,Country!$BR$11:$CC$11)</c:f>
              <c:numCache>
                <c:formatCode>0%</c:formatCode>
                <c:ptCount val="19"/>
                <c:pt idx="0">
                  <c:v>0.22171894462688257</c:v>
                </c:pt>
                <c:pt idx="1">
                  <c:v>0.23105458399576045</c:v>
                </c:pt>
                <c:pt idx="2">
                  <c:v>0.30644711135919622</c:v>
                </c:pt>
                <c:pt idx="3">
                  <c:v>0.21556689155833469</c:v>
                </c:pt>
                <c:pt idx="4">
                  <c:v>0.21345358887636226</c:v>
                </c:pt>
                <c:pt idx="5">
                  <c:v>0.23630417007358953</c:v>
                </c:pt>
                <c:pt idx="6">
                  <c:v>0.18195358073724713</c:v>
                </c:pt>
                <c:pt idx="7">
                  <c:v>0.10274213836477987</c:v>
                </c:pt>
                <c:pt idx="8">
                  <c:v>0.17395233254264092</c:v>
                </c:pt>
                <c:pt idx="9">
                  <c:v>0.2576845919886106</c:v>
                </c:pt>
                <c:pt idx="10">
                  <c:v>0.24713496022650666</c:v>
                </c:pt>
                <c:pt idx="11">
                  <c:v>0.21250952413936414</c:v>
                </c:pt>
                <c:pt idx="12">
                  <c:v>0.25267944137707049</c:v>
                </c:pt>
                <c:pt idx="13">
                  <c:v>0.18679934500566822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8392"/>
        <c:axId val="4602878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Plan!$U$129:$AN$129</c15:sqref>
                        </c15:fullRef>
                        <c15:formulaRef>
                          <c15:sqref>(Plan!$U$129:$AA$129,Plan!$AD$129:$AN$129)</c15:sqref>
                        </c15:formulaRef>
                      </c:ext>
                    </c:extLst>
                    <c:numCache>
                      <c:formatCode>0%</c:formatCode>
                      <c:ptCount val="18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0.27834059854420501</c:v>
                      </c:pt>
                      <c:pt idx="11">
                        <c:v>0.27834059854420501</c:v>
                      </c:pt>
                      <c:pt idx="12">
                        <c:v>0.27834059854420501</c:v>
                      </c:pt>
                      <c:pt idx="13">
                        <c:v>0.27834059854420501</c:v>
                      </c:pt>
                      <c:pt idx="14">
                        <c:v>0.27834059854420501</c:v>
                      </c:pt>
                      <c:pt idx="15">
                        <c:v>0.27834059854420501</c:v>
                      </c:pt>
                      <c:pt idx="16">
                        <c:v>0.27834059854420501</c:v>
                      </c:pt>
                      <c:pt idx="17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78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87800"/>
        <c:crosses val="autoZero"/>
        <c:auto val="1"/>
        <c:lblAlgn val="ctr"/>
        <c:lblOffset val="100"/>
        <c:noMultiLvlLbl val="0"/>
      </c:catAx>
      <c:valAx>
        <c:axId val="4602878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460278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499451151774415E-3"/>
          <c:y val="7.662835249042145E-2"/>
          <c:w val="0.97237155609586168"/>
          <c:h val="0.72063409687425461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Country!$BI$13:$CC$13</c15:sqref>
                  </c15:fullRef>
                </c:ext>
              </c:extLst>
              <c:f>(Country!$BI$13:$BO$13,Country!$BR$13:$CC$13)</c:f>
              <c:numCache>
                <c:formatCode>0.0</c:formatCode>
                <c:ptCount val="19"/>
                <c:pt idx="0">
                  <c:v>1.5372829417773237</c:v>
                </c:pt>
                <c:pt idx="1">
                  <c:v>1.4944954128440366</c:v>
                </c:pt>
                <c:pt idx="2">
                  <c:v>1.6927747419550698</c:v>
                </c:pt>
                <c:pt idx="3">
                  <c:v>1.4343511450381679</c:v>
                </c:pt>
                <c:pt idx="4">
                  <c:v>1.4732394366197183</c:v>
                </c:pt>
                <c:pt idx="5">
                  <c:v>1.814878892733564</c:v>
                </c:pt>
                <c:pt idx="6">
                  <c:v>1.5675306957708048</c:v>
                </c:pt>
                <c:pt idx="7">
                  <c:v>1.5690499510284035</c:v>
                </c:pt>
                <c:pt idx="8">
                  <c:v>1.5084415584415585</c:v>
                </c:pt>
                <c:pt idx="9">
                  <c:v>1.7694625816172778</c:v>
                </c:pt>
                <c:pt idx="10">
                  <c:v>1.7097654118930714</c:v>
                </c:pt>
                <c:pt idx="11">
                  <c:v>2.2216427640156455</c:v>
                </c:pt>
                <c:pt idx="12">
                  <c:v>1.8123393316195373</c:v>
                </c:pt>
                <c:pt idx="13">
                  <c:v>1.7990559676331761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5056"/>
        <c:axId val="4602862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Plan!$U$132:$AN$132</c15:sqref>
                        </c15:fullRef>
                        <c15:formulaRef>
                          <c15:sqref>(Plan!$U$132:$AA$132,Plan!$AD$132:$AN$132)</c15:sqref>
                        </c15:formulaRef>
                      </c:ext>
                    </c:extLst>
                    <c:numCache>
                      <c:formatCode>0.0</c:formatCode>
                      <c:ptCount val="18"/>
                      <c:pt idx="0">
                        <c:v>1.9</c:v>
                      </c:pt>
                      <c:pt idx="1">
                        <c:v>1.9</c:v>
                      </c:pt>
                      <c:pt idx="2">
                        <c:v>1.9</c:v>
                      </c:pt>
                      <c:pt idx="3">
                        <c:v>1.9</c:v>
                      </c:pt>
                      <c:pt idx="4">
                        <c:v>1.9</c:v>
                      </c:pt>
                      <c:pt idx="5">
                        <c:v>1.9</c:v>
                      </c:pt>
                      <c:pt idx="6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 formatCode="General">
                        <c:v>1.9</c:v>
                      </c:pt>
                      <c:pt idx="11" formatCode="General">
                        <c:v>1.9</c:v>
                      </c:pt>
                      <c:pt idx="12" formatCode="General">
                        <c:v>1.9</c:v>
                      </c:pt>
                      <c:pt idx="13" formatCode="General">
                        <c:v>1.9</c:v>
                      </c:pt>
                      <c:pt idx="14" formatCode="General">
                        <c:v>1.9</c:v>
                      </c:pt>
                      <c:pt idx="15" formatCode="General">
                        <c:v>1.9</c:v>
                      </c:pt>
                      <c:pt idx="16" formatCode="General">
                        <c:v>1.9</c:v>
                      </c:pt>
                      <c:pt idx="17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85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86232"/>
        <c:crosses val="autoZero"/>
        <c:auto val="1"/>
        <c:lblAlgn val="ctr"/>
        <c:lblOffset val="100"/>
        <c:noMultiLvlLbl val="0"/>
      </c:catAx>
      <c:valAx>
        <c:axId val="460286232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460285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77739820011106E-2"/>
          <c:y val="3.0209882969428812E-2"/>
          <c:w val="0.898942750491869"/>
          <c:h val="0.8336531422898355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Charts!$A$51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5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Charts!$AO$51:$BI$51</c15:sqref>
                  </c15:fullRef>
                </c:ext>
              </c:extLst>
              <c:f>Charts!$AQ$51:$BD$51</c:f>
              <c:numCache>
                <c:formatCode>#,##0</c:formatCode>
                <c:ptCount val="14"/>
                <c:pt idx="0">
                  <c:v>41.468133600000002</c:v>
                </c:pt>
                <c:pt idx="1">
                  <c:v>29.747921000000012</c:v>
                </c:pt>
                <c:pt idx="2">
                  <c:v>31.02438900000001</c:v>
                </c:pt>
                <c:pt idx="3">
                  <c:v>48.843573000000085</c:v>
                </c:pt>
                <c:pt idx="4">
                  <c:v>39.101215000000018</c:v>
                </c:pt>
                <c:pt idx="5">
                  <c:v>50.426896000000063</c:v>
                </c:pt>
                <c:pt idx="6">
                  <c:v>94.434854000000229</c:v>
                </c:pt>
                <c:pt idx="7">
                  <c:v>27.131550000000004</c:v>
                </c:pt>
                <c:pt idx="8">
                  <c:v>40.723482300000001</c:v>
                </c:pt>
                <c:pt idx="9">
                  <c:v>56.762080000000005</c:v>
                </c:pt>
                <c:pt idx="10">
                  <c:v>49.965191000000004</c:v>
                </c:pt>
                <c:pt idx="11">
                  <c:v>53.646550000000005</c:v>
                </c:pt>
                <c:pt idx="12">
                  <c:v>58.133580000000002</c:v>
                </c:pt>
                <c:pt idx="13">
                  <c:v>45.669309000000098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60284664"/>
        <c:axId val="460281136"/>
      </c:barChart>
      <c:lineChart>
        <c:grouping val="standard"/>
        <c:varyColors val="0"/>
        <c:ser>
          <c:idx val="0"/>
          <c:order val="0"/>
          <c:tx>
            <c:strRef>
              <c:f>Charts!$A$50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5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5.2563933470892013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5.2563933470892013E-2"/>
                  <c:y val="-6.346157689980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5513901470280819E-2"/>
                  <c:y val="-5.55485062183288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5.957245793367856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5.6068195702284447E-2"/>
                  <c:y val="-5.7692342636185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2996390413830515E-3"/>
                  <c:y val="-4.3590609159195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6.3076720165070072E-2"/>
                  <c:y val="-7.50000454270414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0.11353714016285867"/>
                  <c:y val="-6.34780251524452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-5.2965524911289696E-2"/>
                  <c:y val="-6.45807084789268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1.7655174970430114E-2"/>
                  <c:y val="-0.1838066318246378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Charts!$AO$50:$BI$50</c15:sqref>
                  </c15:fullRef>
                </c:ext>
              </c:extLst>
              <c:f>Charts!$AQ$50:$BD$50</c:f>
              <c:numCache>
                <c:formatCode>#,##0</c:formatCode>
                <c:ptCount val="14"/>
                <c:pt idx="0">
                  <c:v>47</c:v>
                </c:pt>
                <c:pt idx="1">
                  <c:v>45.603000000000002</c:v>
                </c:pt>
                <c:pt idx="2">
                  <c:v>52.172121516872927</c:v>
                </c:pt>
                <c:pt idx="3">
                  <c:v>67.800203175747683</c:v>
                </c:pt>
                <c:pt idx="4">
                  <c:v>57.10653705874109</c:v>
                </c:pt>
                <c:pt idx="5">
                  <c:v>64.722593531540085</c:v>
                </c:pt>
                <c:pt idx="6">
                  <c:v>84.587779647807821</c:v>
                </c:pt>
                <c:pt idx="7">
                  <c:v>21.15946588416989</c:v>
                </c:pt>
                <c:pt idx="8">
                  <c:v>20.867642534235856</c:v>
                </c:pt>
                <c:pt idx="9">
                  <c:v>49.678550803872874</c:v>
                </c:pt>
                <c:pt idx="10">
                  <c:v>49.306357366960249</c:v>
                </c:pt>
                <c:pt idx="11">
                  <c:v>57.719167284380774</c:v>
                </c:pt>
                <c:pt idx="12">
                  <c:v>64.986347978287142</c:v>
                </c:pt>
                <c:pt idx="13">
                  <c:v>59.891902241751808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Charts!$AO$50</c15:sqref>
                  <c15:dLbl>
                    <c:idx val="-1"/>
                    <c:layout>
                      <c:manualLayout>
                        <c:x val="-5.5293211743728747E-2"/>
                        <c:y val="-8.29208198921710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  <c15:categoryFilterException>
                  <c15:sqref>Charts!$AP$50</c15:sqref>
                  <c15:dLbl>
                    <c:idx val="-1"/>
                    <c:layout>
                      <c:manualLayout>
                        <c:x val="-5.957245793367856E-2"/>
                        <c:y val="-6.92308111634228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4664"/>
        <c:axId val="460281136"/>
      </c:lineChart>
      <c:catAx>
        <c:axId val="460284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460281136"/>
        <c:crosses val="autoZero"/>
        <c:auto val="1"/>
        <c:lblAlgn val="ctr"/>
        <c:lblOffset val="100"/>
        <c:noMultiLvlLbl val="0"/>
      </c:catAx>
      <c:valAx>
        <c:axId val="460281136"/>
        <c:scaling>
          <c:orientation val="minMax"/>
          <c:max val="10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460284664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2.3257630679815667E-2"/>
          <c:y val="8.5778197317756211E-2"/>
          <c:w val="0.31403276537340202"/>
          <c:h val="0.1640184021941186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02550003349434E-2"/>
          <c:y val="0.16371271254393546"/>
          <c:w val="0.92865836690810388"/>
          <c:h val="0.67594587617515767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1"/>
              <c:layout>
                <c:manualLayout>
                  <c:x val="-7.9932778109865599E-2"/>
                  <c:y val="6.5358318718888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2304092689180651E-2"/>
                  <c:y val="0.16163086667063337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2.0816978786196812E-2"/>
                  <c:y val="6.90420939196262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7003035567557582E-2"/>
                  <c:y val="-4.05238283655506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9395659886505701E-2"/>
                  <c:y val="-1.23297784802922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7.5063293711578924E-2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8.9222757439479397E-2"/>
                  <c:y val="5.43713794323819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2.0210277372732992E-3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HN!$U$12:$Z$12</c:f>
              <c:numCache>
                <c:formatCode>0%</c:formatCode>
                <c:ptCount val="6"/>
                <c:pt idx="0">
                  <c:v>1.2307692307692308</c:v>
                </c:pt>
                <c:pt idx="1">
                  <c:v>0.53781512605042014</c:v>
                </c:pt>
                <c:pt idx="2">
                  <c:v>0.41152263374485598</c:v>
                </c:pt>
                <c:pt idx="3">
                  <c:v>0.30113636363636365</c:v>
                </c:pt>
                <c:pt idx="4">
                  <c:v>0.14780600461893764</c:v>
                </c:pt>
                <c:pt idx="5">
                  <c:v>0.18775510204081633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5840"/>
        <c:axId val="460276824"/>
      </c:lineChart>
      <c:catAx>
        <c:axId val="46028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276824"/>
        <c:crosses val="autoZero"/>
        <c:auto val="1"/>
        <c:lblAlgn val="ctr"/>
        <c:lblOffset val="100"/>
        <c:noMultiLvlLbl val="0"/>
      </c:catAx>
      <c:valAx>
        <c:axId val="46027682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460285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11652997986584E-2"/>
          <c:y val="1.8895786754480764E-2"/>
          <c:w val="0.92514933560892365"/>
          <c:h val="0.78642772843803777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3.4632034632034632E-3"/>
                  <c:y val="0.10779956984641779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1504533907352294E-2"/>
                  <c:y val="9.294923188804041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HN!$U$20:$Z$20</c:f>
              <c:numCache>
                <c:formatCode>0.0</c:formatCode>
                <c:ptCount val="6"/>
                <c:pt idx="0">
                  <c:v>21.454999999999998</c:v>
                </c:pt>
                <c:pt idx="1">
                  <c:v>10.589731092436974</c:v>
                </c:pt>
                <c:pt idx="2">
                  <c:v>7.0168312757201656</c:v>
                </c:pt>
                <c:pt idx="3">
                  <c:v>4.3289147727272734</c:v>
                </c:pt>
                <c:pt idx="4">
                  <c:v>2.8842817551963043</c:v>
                </c:pt>
                <c:pt idx="5">
                  <c:v>3.2701795918367345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3880"/>
        <c:axId val="460276432"/>
      </c:lineChart>
      <c:catAx>
        <c:axId val="46028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276432"/>
        <c:crosses val="autoZero"/>
        <c:auto val="1"/>
        <c:lblAlgn val="ctr"/>
        <c:lblOffset val="100"/>
        <c:noMultiLvlLbl val="0"/>
      </c:catAx>
      <c:valAx>
        <c:axId val="460276432"/>
        <c:scaling>
          <c:orientation val="minMax"/>
          <c:max val="22"/>
          <c:min val="0"/>
        </c:scaling>
        <c:delete val="1"/>
        <c:axPos val="l"/>
        <c:numFmt formatCode="0" sourceLinked="0"/>
        <c:majorTickMark val="out"/>
        <c:minorTickMark val="none"/>
        <c:tickLblPos val="none"/>
        <c:crossAx val="460283880"/>
        <c:crosses val="autoZero"/>
        <c:crossBetween val="between"/>
        <c:maj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28747422848834E-2"/>
          <c:y val="1.0295056700188909E-2"/>
          <c:w val="0.91503229091113758"/>
          <c:h val="0.7950583188955197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6.746537543944732E-2"/>
                  <c:y val="5.4413270343419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9275364608641634E-2"/>
                  <c:y val="5.44132703434198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0.18604651162790894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1777483409080014E-2"/>
                  <c:y val="9.61728621131667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2084921980194579E-3"/>
                  <c:y val="-2.16969918929267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1560380854850114E-2"/>
                  <c:y val="-6.880058530861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7.1560380854850114E-2"/>
                  <c:y val="6.1661144205296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6.8413125574493069E-2"/>
                  <c:y val="6.64297290707513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"/>
                  <c:y val="0.17391304347827596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5.9036660501830887E-2"/>
                  <c:y val="4.4571805573483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HN!$U$116:$Z$116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Plan!$N$110:$BO$110</c:f>
              <c:numCache>
                <c:formatCode>_(* #,##0_);_(* \(#,##0\);_(* "-"??_);_(@_)</c:formatCode>
                <c:ptCount val="54"/>
                <c:pt idx="0">
                  <c:v>1053.52</c:v>
                </c:pt>
                <c:pt idx="1">
                  <c:v>1637.6460000000002</c:v>
                </c:pt>
                <c:pt idx="2">
                  <c:v>2714.2509999999997</c:v>
                </c:pt>
                <c:pt idx="3">
                  <c:v>516.98400000000004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280352"/>
        <c:axId val="460277216"/>
      </c:lineChart>
      <c:catAx>
        <c:axId val="46028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277216"/>
        <c:crosses val="autoZero"/>
        <c:auto val="1"/>
        <c:lblAlgn val="ctr"/>
        <c:lblOffset val="100"/>
        <c:noMultiLvlLbl val="0"/>
      </c:catAx>
      <c:valAx>
        <c:axId val="460277216"/>
        <c:scaling>
          <c:orientation val="minMax"/>
          <c:min val="5"/>
        </c:scaling>
        <c:delete val="1"/>
        <c:axPos val="l"/>
        <c:numFmt formatCode="0" sourceLinked="0"/>
        <c:majorTickMark val="out"/>
        <c:minorTickMark val="none"/>
        <c:tickLblPos val="none"/>
        <c:crossAx val="460280352"/>
        <c:crosses val="autoZero"/>
        <c:crossBetween val="between"/>
        <c:min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62351209306924E-2"/>
          <c:y val="1.8895786754480764E-2"/>
          <c:w val="0.92549867554138365"/>
          <c:h val="0.81598946403480255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4"/>
              <c:layout>
                <c:manualLayout>
                  <c:x val="4.0117013219924592E-2"/>
                  <c:y val="0.1321222130470685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HN!$U$126:$Z$126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54"/>
              </c:numCache>
            </c:numRef>
          </c:cat>
          <c:val>
            <c:numRef>
              <c:f>Plan!$N$112:$BO$112</c:f>
              <c:numCache>
                <c:formatCode>_(* #,##0_);_(* \(#,##0\);_(* "-"??_);_(@_)</c:formatCode>
                <c:ptCount val="54"/>
                <c:pt idx="0">
                  <c:v>343</c:v>
                </c:pt>
                <c:pt idx="1">
                  <c:v>382</c:v>
                </c:pt>
                <c:pt idx="2">
                  <c:v>484</c:v>
                </c:pt>
                <c:pt idx="3">
                  <c:v>471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283096"/>
        <c:axId val="460283488"/>
      </c:lineChart>
      <c:catAx>
        <c:axId val="46028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/>
            </a:pPr>
            <a:endParaRPr lang="en-US"/>
          </a:p>
        </c:txPr>
        <c:crossAx val="460283488"/>
        <c:crosses val="autoZero"/>
        <c:auto val="1"/>
        <c:lblAlgn val="ctr"/>
        <c:lblOffset val="100"/>
        <c:noMultiLvlLbl val="0"/>
      </c:catAx>
      <c:valAx>
        <c:axId val="460283488"/>
        <c:scaling>
          <c:orientation val="minMax"/>
          <c:max val="3"/>
        </c:scaling>
        <c:delete val="1"/>
        <c:axPos val="l"/>
        <c:numFmt formatCode="0" sourceLinked="0"/>
        <c:majorTickMark val="out"/>
        <c:minorTickMark val="none"/>
        <c:tickLblPos val="none"/>
        <c:crossAx val="460283096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316890968178E-2"/>
          <c:y val="4.1027841873243633E-2"/>
          <c:w val="0.90820633742736356"/>
          <c:h val="0.76719668878334335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7140204271124064E-3"/>
                  <c:y val="-9.23077482178971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1142054764515406E-2"/>
                  <c:y val="5.288403649560378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Charts!$AQ$155:$BD$155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Charts!$AL$157:$BI$157</c15:sqref>
                  </c15:fullRef>
                </c:ext>
              </c:extLst>
              <c:f>Charts!$AQ$157:$BD$157</c:f>
              <c:numCache>
                <c:formatCode>0.00</c:formatCode>
                <c:ptCount val="14"/>
                <c:pt idx="0">
                  <c:v>17.1390536</c:v>
                </c:pt>
                <c:pt idx="1">
                  <c:v>14.083947000000002</c:v>
                </c:pt>
                <c:pt idx="2">
                  <c:v>13.458544</c:v>
                </c:pt>
                <c:pt idx="3">
                  <c:v>19.973662000000012</c:v>
                </c:pt>
                <c:pt idx="4">
                  <c:v>17.507514</c:v>
                </c:pt>
                <c:pt idx="5">
                  <c:v>27.275495000000021</c:v>
                </c:pt>
                <c:pt idx="6">
                  <c:v>44.739436000000019</c:v>
                </c:pt>
                <c:pt idx="7">
                  <c:v>13.201143</c:v>
                </c:pt>
                <c:pt idx="8">
                  <c:v>21.017186300000002</c:v>
                </c:pt>
                <c:pt idx="9">
                  <c:v>27.126849999999997</c:v>
                </c:pt>
                <c:pt idx="10">
                  <c:v>24.493397000000002</c:v>
                </c:pt>
                <c:pt idx="11">
                  <c:v>31.213650000000001</c:v>
                </c:pt>
                <c:pt idx="12">
                  <c:v>30.759430000000002</c:v>
                </c:pt>
                <c:pt idx="13">
                  <c:v>23.288808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60284272"/>
        <c:axId val="460286624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3"/>
              <c:layout>
                <c:manualLayout>
                  <c:x val="-4.1833333333333333E-2"/>
                  <c:y val="-3.64095286256436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Charts!$AL$156:$BI$156</c15:sqref>
                  </c15:fullRef>
                </c:ext>
              </c:extLst>
              <c:f>Charts!$AQ$156:$BD$156</c:f>
              <c:numCache>
                <c:formatCode>0.00</c:formatCode>
                <c:ptCount val="14"/>
                <c:pt idx="0">
                  <c:v>25.850000000000005</c:v>
                </c:pt>
                <c:pt idx="1">
                  <c:v>22.800999999999998</c:v>
                </c:pt>
                <c:pt idx="2">
                  <c:v>27.385954527868147</c:v>
                </c:pt>
                <c:pt idx="3">
                  <c:v>32.801442167981193</c:v>
                </c:pt>
                <c:pt idx="4">
                  <c:v>30.591790649000213</c:v>
                </c:pt>
                <c:pt idx="5">
                  <c:v>34.930105516904469</c:v>
                </c:pt>
                <c:pt idx="6">
                  <c:v>46.417645139949393</c:v>
                </c:pt>
                <c:pt idx="7">
                  <c:v>10.048466008322942</c:v>
                </c:pt>
                <c:pt idx="8">
                  <c:v>9.8299856658560376</c:v>
                </c:pt>
                <c:pt idx="9">
                  <c:v>26.330932833623116</c:v>
                </c:pt>
                <c:pt idx="10">
                  <c:v>24.764776055533034</c:v>
                </c:pt>
                <c:pt idx="11">
                  <c:v>28.629401880383874</c:v>
                </c:pt>
                <c:pt idx="12">
                  <c:v>30.70041505481208</c:v>
                </c:pt>
                <c:pt idx="13">
                  <c:v>28.962400492013472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4272"/>
        <c:axId val="460286624"/>
      </c:lineChart>
      <c:catAx>
        <c:axId val="460284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460286624"/>
        <c:crosses val="autoZero"/>
        <c:auto val="1"/>
        <c:lblAlgn val="ctr"/>
        <c:lblOffset val="100"/>
        <c:noMultiLvlLbl val="0"/>
      </c:catAx>
      <c:valAx>
        <c:axId val="460286624"/>
        <c:scaling>
          <c:orientation val="minMax"/>
          <c:max val="4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460284272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1871070745991154"/>
          <c:y val="0.91223541923522156"/>
          <c:w val="0.44498834118256481"/>
          <c:h val="8.7180395578746697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7952896262299E-2"/>
          <c:y val="7.9572939652903046E-2"/>
          <c:w val="0.89105970630757836"/>
          <c:h val="0.7268817280290597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4.0894198336862714E-3"/>
                  <c:y val="-5.769234263618573E-3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8.1788396673723868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7.4478743254439081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17994100294985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Charts!$AQ$155:$BD$155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Charts!$AL$161:$BI$161</c15:sqref>
                  </c15:fullRef>
                </c:ext>
              </c:extLst>
              <c:f>Charts!$AQ$161:$BD$161</c:f>
              <c:numCache>
                <c:formatCode>0.00</c:formatCode>
                <c:ptCount val="14"/>
                <c:pt idx="0">
                  <c:v>24.329080000000001</c:v>
                </c:pt>
                <c:pt idx="1">
                  <c:v>15.66397400000001</c:v>
                </c:pt>
                <c:pt idx="2">
                  <c:v>17.56584500000001</c:v>
                </c:pt>
                <c:pt idx="3">
                  <c:v>28.869911000000073</c:v>
                </c:pt>
                <c:pt idx="4">
                  <c:v>21.593701000000021</c:v>
                </c:pt>
                <c:pt idx="5">
                  <c:v>23.15140100000005</c:v>
                </c:pt>
                <c:pt idx="6">
                  <c:v>49.695418000000217</c:v>
                </c:pt>
                <c:pt idx="7">
                  <c:v>13.930407000000002</c:v>
                </c:pt>
                <c:pt idx="8">
                  <c:v>19.706295999999998</c:v>
                </c:pt>
                <c:pt idx="9">
                  <c:v>29.63523</c:v>
                </c:pt>
                <c:pt idx="10">
                  <c:v>25.471794000000003</c:v>
                </c:pt>
                <c:pt idx="11">
                  <c:v>22.4329</c:v>
                </c:pt>
                <c:pt idx="12">
                  <c:v>27.37415</c:v>
                </c:pt>
                <c:pt idx="13">
                  <c:v>22.380501000000098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60278000"/>
        <c:axId val="460299168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3.8502148033433672E-2"/>
                  <c:y val="-9.2441007495390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0222062524346078E-2"/>
                  <c:y val="-4.4984037595454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Charts!$AQ$49:$BD$49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Charts!$AL$160:$BI$160</c15:sqref>
                  </c15:fullRef>
                </c:ext>
              </c:extLst>
              <c:f>Charts!$AQ$160:$BD$160</c:f>
              <c:numCache>
                <c:formatCode>0.00</c:formatCode>
                <c:ptCount val="14"/>
                <c:pt idx="0">
                  <c:v>21.15</c:v>
                </c:pt>
                <c:pt idx="1">
                  <c:v>22.802</c:v>
                </c:pt>
                <c:pt idx="2">
                  <c:v>24.786166989004773</c:v>
                </c:pt>
                <c:pt idx="3">
                  <c:v>34.998761007766497</c:v>
                </c:pt>
                <c:pt idx="4">
                  <c:v>26.514746409740869</c:v>
                </c:pt>
                <c:pt idx="5">
                  <c:v>29.792488014635619</c:v>
                </c:pt>
                <c:pt idx="6">
                  <c:v>38.170134507858421</c:v>
                </c:pt>
                <c:pt idx="7">
                  <c:v>11.11099987584695</c:v>
                </c:pt>
                <c:pt idx="8">
                  <c:v>11.03765686837982</c:v>
                </c:pt>
                <c:pt idx="9">
                  <c:v>23.347617970249754</c:v>
                </c:pt>
                <c:pt idx="10">
                  <c:v>24.541581311427212</c:v>
                </c:pt>
                <c:pt idx="11">
                  <c:v>29.089765403996903</c:v>
                </c:pt>
                <c:pt idx="12">
                  <c:v>34.285932923475052</c:v>
                </c:pt>
                <c:pt idx="13">
                  <c:v>30.929501749738336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78000"/>
        <c:axId val="460299168"/>
      </c:lineChart>
      <c:catAx>
        <c:axId val="460278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460299168"/>
        <c:crosses val="autoZero"/>
        <c:auto val="1"/>
        <c:lblAlgn val="ctr"/>
        <c:lblOffset val="100"/>
        <c:noMultiLvlLbl val="0"/>
      </c:catAx>
      <c:valAx>
        <c:axId val="460299168"/>
        <c:scaling>
          <c:orientation val="minMax"/>
          <c:max val="40"/>
          <c:min val="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460278000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251257926203836"/>
          <c:y val="0.91480324620080056"/>
          <c:w val="0.44367558889849568"/>
          <c:h val="8.413759429503849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>
          <a:alpha val="98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88571044367944E-2"/>
          <c:y val="1.8895788711342603E-2"/>
          <c:w val="0.97237155609586168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34"/>
              <c:layout>
                <c:manualLayout>
                  <c:x val="-6.136811023622047E-2"/>
                  <c:y val="0.122427445505403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4.9670599242192352E-2"/>
                  <c:y val="0.143157620748449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1.5822784810126583E-2"/>
                  <c:y val="-3.19361277445109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1.2738961427289938E-2"/>
                  <c:y val="0.1520731764816823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2.7551828964417442E-2"/>
                  <c:y val="0.1975287220833922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-5.3071869201061946E-3"/>
                  <c:y val="2.570858406942746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(Country!$BF$3,Country!$BK$3:$BX$3)</c:f>
              <c:strCache>
                <c:ptCount val="15"/>
                <c:pt idx="0">
                  <c:v>Jan'16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  <c:pt idx="6">
                  <c:v>Nov</c:v>
                </c:pt>
                <c:pt idx="7">
                  <c:v>Dec</c:v>
                </c:pt>
                <c:pt idx="8">
                  <c:v>Jan'17</c:v>
                </c:pt>
                <c:pt idx="9">
                  <c:v>Feb</c:v>
                </c:pt>
                <c:pt idx="10">
                  <c:v>Mar</c:v>
                </c:pt>
                <c:pt idx="11">
                  <c:v>Apr</c:v>
                </c:pt>
                <c:pt idx="12">
                  <c:v>May</c:v>
                </c:pt>
                <c:pt idx="13">
                  <c:v>Jun</c:v>
                </c:pt>
                <c:pt idx="14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HCM!$BC$20:$BZ$20</c15:sqref>
                  </c15:fullRef>
                </c:ext>
              </c:extLst>
              <c:f>(HCM!$BC$20,HCM!$BH$20:$BU$20)</c:f>
              <c:numCache>
                <c:formatCode>0.0</c:formatCode>
                <c:ptCount val="15"/>
                <c:pt idx="0">
                  <c:v>3.1620877038571056</c:v>
                </c:pt>
                <c:pt idx="1">
                  <c:v>7.8308858084632522</c:v>
                </c:pt>
                <c:pt idx="2">
                  <c:v>6.1515136673089277</c:v>
                </c:pt>
                <c:pt idx="3">
                  <c:v>5.8013058630586309</c:v>
                </c:pt>
                <c:pt idx="4">
                  <c:v>8.0084563231850119</c:v>
                </c:pt>
                <c:pt idx="5">
                  <c:v>6.9050713944076527</c:v>
                </c:pt>
                <c:pt idx="6">
                  <c:v>9.6411875954133279</c:v>
                </c:pt>
                <c:pt idx="7">
                  <c:v>14.659708719028378</c:v>
                </c:pt>
                <c:pt idx="8">
                  <c:v>4.165880861093652</c:v>
                </c:pt>
                <c:pt idx="9">
                  <c:v>7.4190483748271099</c:v>
                </c:pt>
                <c:pt idx="10">
                  <c:v>10.942169478226756</c:v>
                </c:pt>
                <c:pt idx="11">
                  <c:v>10.095475828018927</c:v>
                </c:pt>
                <c:pt idx="12">
                  <c:v>13.208419483518792</c:v>
                </c:pt>
                <c:pt idx="13">
                  <c:v>12.683663486908868</c:v>
                </c:pt>
                <c:pt idx="14">
                  <c:v>9.5638185513160572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0152"/>
        <c:axId val="46029720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(Country!$BF$3,Country!$BK$3:$BX$3)</c15:sqref>
                        </c15:formulaRef>
                      </c:ext>
                    </c:extLst>
                    <c:strCache>
                      <c:ptCount val="15"/>
                      <c:pt idx="0">
                        <c:v>Jan'16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  <c:pt idx="5">
                        <c:v>Oct</c:v>
                      </c:pt>
                      <c:pt idx="6">
                        <c:v>Nov</c:v>
                      </c:pt>
                      <c:pt idx="7">
                        <c:v>Dec</c:v>
                      </c:pt>
                      <c:pt idx="8">
                        <c:v>Jan'17</c:v>
                      </c:pt>
                      <c:pt idx="9">
                        <c:v>Feb</c:v>
                      </c:pt>
                      <c:pt idx="10">
                        <c:v>Mar</c:v>
                      </c:pt>
                      <c:pt idx="11">
                        <c:v>Apr</c:v>
                      </c:pt>
                      <c:pt idx="12">
                        <c:v>May</c:v>
                      </c:pt>
                      <c:pt idx="13">
                        <c:v>Jun</c:v>
                      </c:pt>
                      <c:pt idx="14">
                        <c:v>Jul</c:v>
                      </c:pt>
                      <c:pt idx="15">
                        <c:v>Aug</c:v>
                      </c:pt>
                      <c:pt idx="16">
                        <c:v>Sep</c:v>
                      </c:pt>
                      <c:pt idx="17">
                        <c:v>Oct</c:v>
                      </c:pt>
                      <c:pt idx="18">
                        <c:v>Nov</c:v>
                      </c:pt>
                      <c:pt idx="19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(Plan!$Y$131,Plan!$AD$131:$AN$131)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7208"/>
        <c:crosses val="autoZero"/>
        <c:auto val="1"/>
        <c:lblAlgn val="ctr"/>
        <c:lblOffset val="100"/>
        <c:noMultiLvlLbl val="0"/>
      </c:catAx>
      <c:valAx>
        <c:axId val="46029720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460290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14523710580577E-2"/>
          <c:y val="0.15561669754223903"/>
          <c:w val="0.97237155609586112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HCM!$BC$12:$BZ$12</c15:sqref>
                  </c15:fullRef>
                </c:ext>
              </c:extLst>
              <c:f>HCM!$BH$12:$BU$12</c:f>
              <c:numCache>
                <c:formatCode>0%</c:formatCode>
                <c:ptCount val="14"/>
                <c:pt idx="0">
                  <c:v>0.25924276169265031</c:v>
                </c:pt>
                <c:pt idx="1">
                  <c:v>0.2050952686790837</c:v>
                </c:pt>
                <c:pt idx="2">
                  <c:v>0.19024190241902419</c:v>
                </c:pt>
                <c:pt idx="3">
                  <c:v>0.20725995316159251</c:v>
                </c:pt>
                <c:pt idx="4">
                  <c:v>0.17512877115526121</c:v>
                </c:pt>
                <c:pt idx="5">
                  <c:v>0.19647441382851275</c:v>
                </c:pt>
                <c:pt idx="6">
                  <c:v>0.26623481781376518</c:v>
                </c:pt>
                <c:pt idx="7">
                  <c:v>0.11313639220615965</c:v>
                </c:pt>
                <c:pt idx="8">
                  <c:v>0.18049792531120332</c:v>
                </c:pt>
                <c:pt idx="9">
                  <c:v>0.26245586504511575</c:v>
                </c:pt>
                <c:pt idx="10">
                  <c:v>0.24069121579921826</c:v>
                </c:pt>
                <c:pt idx="11">
                  <c:v>0.2532017635943733</c:v>
                </c:pt>
                <c:pt idx="12">
                  <c:v>0.26872336107164602</c:v>
                </c:pt>
                <c:pt idx="13">
                  <c:v>0.22036319118547235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3680"/>
        <c:axId val="4602940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Plan!$AD$129:$AN$129</c15:sqref>
                        </c15:formulaRef>
                      </c:ext>
                    </c:extLst>
                    <c:numCache>
                      <c:formatCode>0%</c:formatCode>
                      <c:ptCount val="11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4072"/>
        <c:crosses val="autoZero"/>
        <c:auto val="1"/>
        <c:lblAlgn val="ctr"/>
        <c:lblOffset val="100"/>
        <c:noMultiLvlLbl val="0"/>
      </c:catAx>
      <c:valAx>
        <c:axId val="46029407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460293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5087991695737E-2"/>
          <c:y val="5.2216998860655624E-2"/>
          <c:w val="0.9723715560958619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64"/>
              <c:layout>
                <c:manualLayout>
                  <c:x val="-4.3826964702813505E-2"/>
                  <c:y val="0.104376932113572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layout>
                <c:manualLayout>
                  <c:x val="-4.8955168795645404E-2"/>
                  <c:y val="0.110534770337165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layout>
                <c:manualLayout>
                  <c:x val="-1.8662519440124453E-2"/>
                  <c:y val="0.143712574850299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8"/>
              <c:layout>
                <c:manualLayout>
                  <c:x val="7.0028532592057409E-3"/>
                  <c:y val="0.1763848680591571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(Country!$BF$3:$BH$3,Country!$BK$3:$BV$3,Country!$BX$3)</c:f>
              <c:strCache>
                <c:ptCount val="16"/>
                <c:pt idx="0">
                  <c:v>Jan'16</c:v>
                </c:pt>
                <c:pt idx="1">
                  <c:v>Feb</c:v>
                </c:pt>
                <c:pt idx="2">
                  <c:v>Mar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Jan'17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HN!$BC$20:$BZ$20</c15:sqref>
                  </c15:fullRef>
                </c:ext>
              </c:extLst>
              <c:f>(HN!$BC$20:$BE$20,HN!$BH$20:$BS$20,HN!$BU$20)</c:f>
              <c:numCache>
                <c:formatCode>0.0</c:formatCode>
                <c:ptCount val="16"/>
                <c:pt idx="0">
                  <c:v>3.3165685785536154</c:v>
                </c:pt>
                <c:pt idx="1">
                  <c:v>3.2358924454649824</c:v>
                </c:pt>
                <c:pt idx="2">
                  <c:v>7.4805937571200731</c:v>
                </c:pt>
                <c:pt idx="3">
                  <c:v>8.0001837034670285</c:v>
                </c:pt>
                <c:pt idx="4">
                  <c:v>4.3518174261659794</c:v>
                </c:pt>
                <c:pt idx="5">
                  <c:v>4.3222403702385259</c:v>
                </c:pt>
                <c:pt idx="6">
                  <c:v>6.0817271147403833</c:v>
                </c:pt>
                <c:pt idx="7">
                  <c:v>4.1490422551039554</c:v>
                </c:pt>
                <c:pt idx="8">
                  <c:v>4.2527897038567586</c:v>
                </c:pt>
                <c:pt idx="9">
                  <c:v>8.137779965411557</c:v>
                </c:pt>
                <c:pt idx="10">
                  <c:v>1.9883013603730291</c:v>
                </c:pt>
                <c:pt idx="11">
                  <c:v>3.3982773695688642</c:v>
                </c:pt>
                <c:pt idx="12">
                  <c:v>5.9127526798647994</c:v>
                </c:pt>
                <c:pt idx="13">
                  <c:v>5.3986841070891405</c:v>
                </c:pt>
                <c:pt idx="14">
                  <c:v>4.7461188753359522</c:v>
                </c:pt>
                <c:pt idx="15">
                  <c:v>4.0931132185478916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HN!$BV$20</c15:sqref>
                  <c15:dLbl>
                    <c:idx val="15"/>
                    <c:layout>
                      <c:manualLayout>
                        <c:x val="-4.4625109361329837E-2"/>
                        <c:y val="0.19673991398179547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89760"/>
        <c:axId val="46029446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(Country!$BF$3:$BH$3,Country!$BK$3:$BV$3,Country!$BX$3)</c15:sqref>
                        </c15:formulaRef>
                      </c:ext>
                    </c:extLst>
                    <c:strCache>
                      <c:ptCount val="16"/>
                      <c:pt idx="0">
                        <c:v>Jan'16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Jun</c:v>
                      </c:pt>
                      <c:pt idx="4">
                        <c:v>Jul</c:v>
                      </c:pt>
                      <c:pt idx="5">
                        <c:v>Aug</c:v>
                      </c:pt>
                      <c:pt idx="6">
                        <c:v>Sep</c:v>
                      </c:pt>
                      <c:pt idx="7">
                        <c:v>Oct</c:v>
                      </c:pt>
                      <c:pt idx="8">
                        <c:v>Nov</c:v>
                      </c:pt>
                      <c:pt idx="9">
                        <c:v>Dec</c:v>
                      </c:pt>
                      <c:pt idx="10">
                        <c:v>Jan'17</c:v>
                      </c:pt>
                      <c:pt idx="11">
                        <c:v>Feb</c:v>
                      </c:pt>
                      <c:pt idx="12">
                        <c:v>Mar</c:v>
                      </c:pt>
                      <c:pt idx="13">
                        <c:v>Apr</c:v>
                      </c:pt>
                      <c:pt idx="14">
                        <c:v>May</c:v>
                      </c:pt>
                      <c:pt idx="15">
                        <c:v>Jun</c:v>
                      </c:pt>
                      <c:pt idx="16">
                        <c:v>Jul</c:v>
                      </c:pt>
                      <c:pt idx="17">
                        <c:v>Aug</c:v>
                      </c:pt>
                      <c:pt idx="18">
                        <c:v>Sep</c:v>
                      </c:pt>
                      <c:pt idx="19">
                        <c:v>Oct</c:v>
                      </c:pt>
                      <c:pt idx="20">
                        <c:v>Nov</c:v>
                      </c:pt>
                      <c:pt idx="2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(Plan!$Y$131:$AA$131,Plan!$AD$131:$AN$131)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7</c:v>
                      </c:pt>
                      <c:pt idx="1">
                        <c:v>7</c:v>
                      </c:pt>
                      <c:pt idx="2">
                        <c:v>7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  <c:pt idx="10">
                        <c:v>7</c:v>
                      </c:pt>
                      <c:pt idx="11">
                        <c:v>7</c:v>
                      </c:pt>
                      <c:pt idx="12">
                        <c:v>7</c:v>
                      </c:pt>
                      <c:pt idx="13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8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4464"/>
        <c:crosses val="autoZero"/>
        <c:auto val="1"/>
        <c:lblAlgn val="ctr"/>
        <c:lblOffset val="100"/>
        <c:noMultiLvlLbl val="0"/>
      </c:catAx>
      <c:valAx>
        <c:axId val="4602944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460289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894269401564831E-3"/>
          <c:y val="0.1553654584950491"/>
          <c:w val="0.97237155609586134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7"/>
              <c:layout>
                <c:manualLayout>
                  <c:x val="0"/>
                  <c:y val="-2.4539861494703052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9.285904168978979E-5"/>
                  <c:y val="-0.20035410055559671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2.8535003911767092E-3"/>
                  <c:y val="-0.17177903046292226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0"/>
                  <c:y val="-0.18661245684467243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2.7861264067744773E-3"/>
                  <c:y val="-0.18661245684467237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7.0129402382238734E-3"/>
                  <c:y val="-0.228455478477223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2.8535003911767092E-3"/>
                  <c:y val="-3.27198153262708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2.8535003911767092E-3"/>
                  <c:y val="-2.453986149470319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(Country!$BF$3,Country!$BI$3:$BX$3)</c:f>
              <c:strCache>
                <c:ptCount val="17"/>
                <c:pt idx="0">
                  <c:v>Jan'16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Jan'17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</c:v>
                </c:pt>
                <c:pt idx="16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HN!$BA$12:$BZ$12</c15:sqref>
                  </c15:fullRef>
                </c:ext>
              </c:extLst>
              <c:f>(HN!$BC$12,HN!$BF$12:$BU$12)</c:f>
              <c:numCache>
                <c:formatCode>0%</c:formatCode>
                <c:ptCount val="17"/>
                <c:pt idx="0">
                  <c:v>0.17864429834504647</c:v>
                </c:pt>
                <c:pt idx="1">
                  <c:v>0.23815676141257536</c:v>
                </c:pt>
                <c:pt idx="2">
                  <c:v>0.2598671355998437</c:v>
                </c:pt>
                <c:pt idx="3">
                  <c:v>0.3403099536667199</c:v>
                </c:pt>
                <c:pt idx="4">
                  <c:v>0.22210343445142322</c:v>
                </c:pt>
                <c:pt idx="5">
                  <c:v>0.22688975910763023</c:v>
                </c:pt>
                <c:pt idx="6">
                  <c:v>0.25188442211055279</c:v>
                </c:pt>
                <c:pt idx="7">
                  <c:v>0.18542798276830869</c:v>
                </c:pt>
                <c:pt idx="8">
                  <c:v>0.16615013774104684</c:v>
                </c:pt>
                <c:pt idx="9">
                  <c:v>0.26696014464271678</c:v>
                </c:pt>
                <c:pt idx="10">
                  <c:v>9.7846199393087113E-2</c:v>
                </c:pt>
                <c:pt idx="11">
                  <c:v>0.15433652071800033</c:v>
                </c:pt>
                <c:pt idx="12">
                  <c:v>0.24065668759053596</c:v>
                </c:pt>
                <c:pt idx="13">
                  <c:v>0.22019452521808883</c:v>
                </c:pt>
                <c:pt idx="14">
                  <c:v>0.17862311350010338</c:v>
                </c:pt>
                <c:pt idx="15">
                  <c:v>0.23423767672907911</c:v>
                </c:pt>
                <c:pt idx="16">
                  <c:v>0.16233943700464606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2504"/>
        <c:axId val="4603003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(Country!$BF$3,Country!$BI$3:$BX$3)</c15:sqref>
                        </c15:formulaRef>
                      </c:ext>
                    </c:extLst>
                    <c:strCache>
                      <c:ptCount val="17"/>
                      <c:pt idx="0">
                        <c:v>Jan'16</c:v>
                      </c:pt>
                      <c:pt idx="1">
                        <c:v>Apr</c:v>
                      </c:pt>
                      <c:pt idx="2">
                        <c:v>May</c:v>
                      </c:pt>
                      <c:pt idx="3">
                        <c:v>Jun</c:v>
                      </c:pt>
                      <c:pt idx="4">
                        <c:v>Jul</c:v>
                      </c:pt>
                      <c:pt idx="5">
                        <c:v>Aug</c:v>
                      </c:pt>
                      <c:pt idx="6">
                        <c:v>Sep</c:v>
                      </c:pt>
                      <c:pt idx="7">
                        <c:v>Oct</c:v>
                      </c:pt>
                      <c:pt idx="8">
                        <c:v>Nov</c:v>
                      </c:pt>
                      <c:pt idx="9">
                        <c:v>Dec</c:v>
                      </c:pt>
                      <c:pt idx="10">
                        <c:v>Jan'17</c:v>
                      </c:pt>
                      <c:pt idx="11">
                        <c:v>Feb</c:v>
                      </c:pt>
                      <c:pt idx="12">
                        <c:v>Mar</c:v>
                      </c:pt>
                      <c:pt idx="13">
                        <c:v>Apr</c:v>
                      </c:pt>
                      <c:pt idx="14">
                        <c:v>May</c:v>
                      </c:pt>
                      <c:pt idx="15">
                        <c:v>Jun</c:v>
                      </c:pt>
                      <c:pt idx="16">
                        <c:v>Jul</c:v>
                      </c:pt>
                      <c:pt idx="17">
                        <c:v>Aug</c:v>
                      </c:pt>
                      <c:pt idx="18">
                        <c:v>Sep</c:v>
                      </c:pt>
                      <c:pt idx="19">
                        <c:v>Oct</c:v>
                      </c:pt>
                      <c:pt idx="20">
                        <c:v>Nov</c:v>
                      </c:pt>
                      <c:pt idx="2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(Plan!$AA$129,Plan!$AD$129:$AN$129)</c15:sqref>
                        </c15:formulaRef>
                      </c:ext>
                    </c:extLst>
                    <c:numCache>
                      <c:formatCode>0%</c:formatCode>
                      <c:ptCount val="12"/>
                      <c:pt idx="0">
                        <c:v>0.27834059854420501</c:v>
                      </c:pt>
                      <c:pt idx="1">
                        <c:v>0.27834059854420501</c:v>
                      </c:pt>
                      <c:pt idx="2">
                        <c:v>0.27834059854420501</c:v>
                      </c:pt>
                      <c:pt idx="3">
                        <c:v>0.27834059854420501</c:v>
                      </c:pt>
                      <c:pt idx="4">
                        <c:v>0.27834059854420501</c:v>
                      </c:pt>
                      <c:pt idx="5">
                        <c:v>0.27834059854420501</c:v>
                      </c:pt>
                      <c:pt idx="6">
                        <c:v>0.27834059854420501</c:v>
                      </c:pt>
                      <c:pt idx="7">
                        <c:v>0.27834059854420501</c:v>
                      </c:pt>
                      <c:pt idx="8">
                        <c:v>0.27834059854420501</c:v>
                      </c:pt>
                      <c:pt idx="9">
                        <c:v>0.27834059854420501</c:v>
                      </c:pt>
                      <c:pt idx="10">
                        <c:v>0.27834059854420501</c:v>
                      </c:pt>
                      <c:pt idx="11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300344"/>
        <c:crosses val="autoZero"/>
        <c:auto val="1"/>
        <c:lblAlgn val="ctr"/>
        <c:lblOffset val="100"/>
        <c:noMultiLvlLbl val="0"/>
      </c:catAx>
      <c:valAx>
        <c:axId val="46030034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460292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57542807152E-2"/>
          <c:y val="1.9961872515915796E-3"/>
          <c:w val="0.97237155609586134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54"/>
              <c:layout>
                <c:manualLayout>
                  <c:x val="-4.4701443569553904E-2"/>
                  <c:y val="8.72404720852346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HCM!$BC$16:$BZ$16</c15:sqref>
                  </c15:fullRef>
                </c:ext>
              </c:extLst>
              <c:f>HCM!$BH$16:$BU$16</c:f>
              <c:numCache>
                <c:formatCode>0.0</c:formatCode>
                <c:ptCount val="14"/>
                <c:pt idx="0">
                  <c:v>17.101496731517511</c:v>
                </c:pt>
                <c:pt idx="1">
                  <c:v>18.117099836065574</c:v>
                </c:pt>
                <c:pt idx="2">
                  <c:v>18.35199092088197</c:v>
                </c:pt>
                <c:pt idx="3">
                  <c:v>18.401493363228699</c:v>
                </c:pt>
                <c:pt idx="4">
                  <c:v>22.236947926540282</c:v>
                </c:pt>
                <c:pt idx="5">
                  <c:v>21.970927893915785</c:v>
                </c:pt>
                <c:pt idx="6">
                  <c:v>23.897492434002174</c:v>
                </c:pt>
                <c:pt idx="7">
                  <c:v>19.211352028985509</c:v>
                </c:pt>
                <c:pt idx="8">
                  <c:v>24.340201815087919</c:v>
                </c:pt>
                <c:pt idx="9">
                  <c:v>20.087569319409436</c:v>
                </c:pt>
                <c:pt idx="10">
                  <c:v>20.405034511434511</c:v>
                </c:pt>
                <c:pt idx="11">
                  <c:v>16.678606044538707</c:v>
                </c:pt>
                <c:pt idx="12">
                  <c:v>19.395533829919305</c:v>
                </c:pt>
                <c:pt idx="13">
                  <c:v>20.450381640488654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8384"/>
        <c:axId val="46029877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Plan!$AD$130:$AN$130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8776"/>
        <c:crosses val="autoZero"/>
        <c:auto val="1"/>
        <c:lblAlgn val="ctr"/>
        <c:lblOffset val="100"/>
        <c:noMultiLvlLbl val="0"/>
      </c:catAx>
      <c:valAx>
        <c:axId val="460298776"/>
        <c:scaling>
          <c:orientation val="minMax"/>
          <c:max val="30"/>
          <c:min val="10"/>
        </c:scaling>
        <c:delete val="1"/>
        <c:axPos val="l"/>
        <c:numFmt formatCode="0.0" sourceLinked="1"/>
        <c:majorTickMark val="out"/>
        <c:minorTickMark val="none"/>
        <c:tickLblPos val="nextTo"/>
        <c:crossAx val="460298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19965804992E-2"/>
          <c:y val="1.9962753618453857E-3"/>
          <c:w val="0.97237155609586168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98"/>
              <c:layout>
                <c:manualLayout>
                  <c:x val="-7.6084607071174926E-2"/>
                  <c:y val="-9.46551246311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0"/>
              <c:layout>
                <c:manualLayout>
                  <c:x val="-5.0240625516216018E-2"/>
                  <c:y val="-7.59817913385827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2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4"/>
              <c:layout>
                <c:manualLayout>
                  <c:x val="-4.9182754253620876E-2"/>
                  <c:y val="-7.1151574803149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6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8"/>
              <c:layout>
                <c:manualLayout>
                  <c:x val="-6.8413167811039524E-2"/>
                  <c:y val="-9.0919939355406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0"/>
              <c:layout>
                <c:manualLayout>
                  <c:x val="-7.92096640093903E-3"/>
                  <c:y val="3.662979374541748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2"/>
              <c:layout>
                <c:manualLayout>
                  <c:x val="-1.5974692460567031E-2"/>
                  <c:y val="4.591307086614199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14"/>
              <c:layout>
                <c:manualLayout>
                  <c:x val="-3.0142159831830968E-3"/>
                  <c:y val="-0.104496503154496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Country!$BI$3:$BX$3</c:f>
              <c:strCache>
                <c:ptCount val="16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Jan'17</c:v>
                </c:pt>
                <c:pt idx="10">
                  <c:v>Feb</c:v>
                </c:pt>
                <c:pt idx="11">
                  <c:v>Mar</c:v>
                </c:pt>
                <c:pt idx="12">
                  <c:v>Apr</c:v>
                </c:pt>
                <c:pt idx="13">
                  <c:v>May</c:v>
                </c:pt>
                <c:pt idx="14">
                  <c:v>Jun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HN!$BA$16:$BZ$16</c15:sqref>
                  </c15:fullRef>
                </c:ext>
              </c:extLst>
              <c:f>HN!$BF$16:$BU$16</c:f>
              <c:numCache>
                <c:formatCode>0.0</c:formatCode>
                <c:ptCount val="16"/>
                <c:pt idx="0">
                  <c:v>18.065454022988522</c:v>
                </c:pt>
                <c:pt idx="1">
                  <c:v>15.928238244514107</c:v>
                </c:pt>
                <c:pt idx="2">
                  <c:v>14.225326647727309</c:v>
                </c:pt>
                <c:pt idx="3">
                  <c:v>14.992932688766125</c:v>
                </c:pt>
                <c:pt idx="4">
                  <c:v>13.786343527630605</c:v>
                </c:pt>
                <c:pt idx="5">
                  <c:v>14.294453100393735</c:v>
                </c:pt>
                <c:pt idx="6">
                  <c:v>15.235032049518582</c:v>
                </c:pt>
                <c:pt idx="7">
                  <c:v>15.097923349633286</c:v>
                </c:pt>
                <c:pt idx="8">
                  <c:v>16.129744303521413</c:v>
                </c:pt>
                <c:pt idx="9">
                  <c:v>14.728037105263155</c:v>
                </c:pt>
                <c:pt idx="10">
                  <c:v>15.299948187311177</c:v>
                </c:pt>
                <c:pt idx="11">
                  <c:v>15.07300689315608</c:v>
                </c:pt>
                <c:pt idx="12">
                  <c:v>15.687959382284383</c:v>
                </c:pt>
                <c:pt idx="13">
                  <c:v>15.986752785515321</c:v>
                </c:pt>
                <c:pt idx="14">
                  <c:v>15.226981101511878</c:v>
                </c:pt>
                <c:pt idx="15">
                  <c:v>15.514538604972445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9560"/>
        <c:axId val="4602885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Country!$BI$3:$BX$3</c15:sqref>
                        </c15:formulaRef>
                      </c:ext>
                    </c:extLst>
                    <c:strCache>
                      <c:ptCount val="16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Plan!$AD$130:$AN$130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14.12</c:v>
                      </c:pt>
                      <c:pt idx="1">
                        <c:v>14.12</c:v>
                      </c:pt>
                      <c:pt idx="2">
                        <c:v>14.12</c:v>
                      </c:pt>
                      <c:pt idx="3">
                        <c:v>14.12</c:v>
                      </c:pt>
                      <c:pt idx="4">
                        <c:v>14.12</c:v>
                      </c:pt>
                      <c:pt idx="5">
                        <c:v>14.12</c:v>
                      </c:pt>
                      <c:pt idx="6">
                        <c:v>14.12</c:v>
                      </c:pt>
                      <c:pt idx="7">
                        <c:v>14.12</c:v>
                      </c:pt>
                      <c:pt idx="8">
                        <c:v>14.12</c:v>
                      </c:pt>
                      <c:pt idx="9">
                        <c:v>14.12</c:v>
                      </c:pt>
                      <c:pt idx="10" formatCode="_(* #,##0.0_);_(* \(#,##0.0\);_(* &quot;-&quot;??_);_(@_)">
                        <c:v>16.352405685494023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9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88584"/>
        <c:crosses val="autoZero"/>
        <c:auto val="1"/>
        <c:lblAlgn val="ctr"/>
        <c:lblOffset val="100"/>
        <c:noMultiLvlLbl val="0"/>
      </c:catAx>
      <c:valAx>
        <c:axId val="460288584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46029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629113667434268E-3"/>
          <c:y val="2.6966109352669763E-2"/>
          <c:w val="0.9723715560958619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5"/>
              <c:layout>
                <c:manualLayout>
                  <c:x val="-9.0601825006867698E-6"/>
                  <c:y val="4.71185779443214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6.3291139240506996E-3"/>
                  <c:y val="0.1846952230788692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3.0189481795709098E-3"/>
                  <c:y val="0.1813035261901714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0"/>
                  <c:y val="3.944770724955681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0"/>
                  <c:y val="0.169041114793812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1.160324148579047E-16"/>
                  <c:y val="6.49086806416249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Country!$BK$3:$BX$3</c:f>
              <c:strCache>
                <c:ptCount val="14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HCM!$BC$14:$BZ$14</c15:sqref>
                  </c15:fullRef>
                </c:ext>
              </c:extLst>
              <c:f>HCM!$BH$14:$BU$14</c:f>
              <c:numCache>
                <c:formatCode>0.0</c:formatCode>
                <c:ptCount val="14"/>
                <c:pt idx="0">
                  <c:v>1.7663230240549828</c:v>
                </c:pt>
                <c:pt idx="1">
                  <c:v>1.6555323590814197</c:v>
                </c:pt>
                <c:pt idx="2">
                  <c:v>1.6616379310344827</c:v>
                </c:pt>
                <c:pt idx="3">
                  <c:v>2.0998116760828625</c:v>
                </c:pt>
                <c:pt idx="4">
                  <c:v>1.7731092436974789</c:v>
                </c:pt>
                <c:pt idx="5">
                  <c:v>2.2334494773519165</c:v>
                </c:pt>
                <c:pt idx="6">
                  <c:v>2.3041362530413627</c:v>
                </c:pt>
                <c:pt idx="7">
                  <c:v>1.9166666666666667</c:v>
                </c:pt>
                <c:pt idx="8">
                  <c:v>1.5940325497287522</c:v>
                </c:pt>
                <c:pt idx="9">
                  <c:v>1.9835714285714285</c:v>
                </c:pt>
                <c:pt idx="10">
                  <c:v>1.939516129032258</c:v>
                </c:pt>
                <c:pt idx="11">
                  <c:v>3.0127795527156551</c:v>
                </c:pt>
                <c:pt idx="12">
                  <c:v>2.3796159527326441</c:v>
                </c:pt>
                <c:pt idx="13">
                  <c:v>2.0464285714285713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6032"/>
        <c:axId val="46029289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Country!$BK$3:$BX$3</c15:sqref>
                        </c15:formulaRef>
                      </c:ext>
                    </c:extLst>
                    <c:strCache>
                      <c:ptCount val="14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Plan!$AD$132:$AN$132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 formatCode="General">
                        <c:v>1.9</c:v>
                      </c:pt>
                      <c:pt idx="1" formatCode="General">
                        <c:v>1.9</c:v>
                      </c:pt>
                      <c:pt idx="2" formatCode="General">
                        <c:v>1.9</c:v>
                      </c:pt>
                      <c:pt idx="3" formatCode="General">
                        <c:v>1.9</c:v>
                      </c:pt>
                      <c:pt idx="4" formatCode="General">
                        <c:v>1.9</c:v>
                      </c:pt>
                      <c:pt idx="5" formatCode="General">
                        <c:v>1.9</c:v>
                      </c:pt>
                      <c:pt idx="6" formatCode="General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6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2896"/>
        <c:crosses val="autoZero"/>
        <c:auto val="1"/>
        <c:lblAlgn val="ctr"/>
        <c:lblOffset val="100"/>
        <c:noMultiLvlLbl val="0"/>
      </c:catAx>
      <c:valAx>
        <c:axId val="460292896"/>
        <c:scaling>
          <c:orientation val="minMax"/>
          <c:max val="4"/>
        </c:scaling>
        <c:delete val="1"/>
        <c:axPos val="l"/>
        <c:numFmt formatCode="0.0" sourceLinked="1"/>
        <c:majorTickMark val="out"/>
        <c:minorTickMark val="none"/>
        <c:tickLblPos val="nextTo"/>
        <c:crossAx val="460296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11064377822339E-2"/>
          <c:y val="3.5156138405114869E-2"/>
          <c:w val="0.97237155609586212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85"/>
              <c:layout>
                <c:manualLayout>
                  <c:x val="0"/>
                  <c:y val="6.2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-2.8409090909090992E-3"/>
                  <c:y val="4.771371769383727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2.7778274874731652E-3"/>
                  <c:y val="3.976080524725662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0"/>
                  <c:y val="3.976143141153080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0"/>
                  <c:y val="4.771371769383731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5"/>
              <c:layout>
                <c:manualLayout>
                  <c:x val="-6.3081603435830426E-5"/>
                  <c:y val="3.180914512922492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7"/>
              <c:layout>
                <c:manualLayout>
                  <c:x val="2.8409838863021454E-3"/>
                  <c:y val="2.38407699037620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9"/>
              <c:layout>
                <c:manualLayout>
                  <c:x val="1.0416546333834687E-16"/>
                  <c:y val="2.385685884691847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101"/>
              <c:layout>
                <c:manualLayout>
                  <c:x val="-1.165858286012656E-16"/>
                  <c:y val="2.339181286549708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Country!$BI$3:$BX$3</c:f>
              <c:strCache>
                <c:ptCount val="16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Jan'17</c:v>
                </c:pt>
                <c:pt idx="10">
                  <c:v>Feb</c:v>
                </c:pt>
                <c:pt idx="11">
                  <c:v>Mar</c:v>
                </c:pt>
                <c:pt idx="12">
                  <c:v>Apr</c:v>
                </c:pt>
                <c:pt idx="13">
                  <c:v>May</c:v>
                </c:pt>
                <c:pt idx="14">
                  <c:v>Jun</c:v>
                </c:pt>
                <c:pt idx="15">
                  <c:v>Jul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HN!$BA$14:$BZ$14</c15:sqref>
                  </c15:fullRef>
                </c:ext>
              </c:extLst>
              <c:f>HN!$BF$14:$BU$14</c:f>
              <c:numCache>
                <c:formatCode>0.0</c:formatCode>
                <c:ptCount val="16"/>
                <c:pt idx="0">
                  <c:v>1.2585895117540686</c:v>
                </c:pt>
                <c:pt idx="1">
                  <c:v>1.4390977443609023</c:v>
                </c:pt>
                <c:pt idx="2">
                  <c:v>1.6525821596244132</c:v>
                </c:pt>
                <c:pt idx="3">
                  <c:v>1.3068592057761732</c:v>
                </c:pt>
                <c:pt idx="4">
                  <c:v>1.3817991631799162</c:v>
                </c:pt>
                <c:pt idx="5">
                  <c:v>1.6891105569409808</c:v>
                </c:pt>
                <c:pt idx="6">
                  <c:v>1.4686868686868686</c:v>
                </c:pt>
                <c:pt idx="7">
                  <c:v>1.6953367875647669</c:v>
                </c:pt>
                <c:pt idx="8">
                  <c:v>1.8898704358068317</c:v>
                </c:pt>
                <c:pt idx="9">
                  <c:v>1.3797276853252647</c:v>
                </c:pt>
                <c:pt idx="10">
                  <c:v>1.3414387031408308</c:v>
                </c:pt>
                <c:pt idx="11">
                  <c:v>1.5731990704879939</c:v>
                </c:pt>
                <c:pt idx="12">
                  <c:v>1.4146743610882111</c:v>
                </c:pt>
                <c:pt idx="13">
                  <c:v>1.5814977973568283</c:v>
                </c:pt>
                <c:pt idx="14">
                  <c:v>1.4605678233438486</c:v>
                </c:pt>
                <c:pt idx="15">
                  <c:v>1.5687973997833153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1720"/>
        <c:axId val="4602909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Country!$BI$3:$BX$3</c15:sqref>
                        </c15:formulaRef>
                      </c:ext>
                    </c:extLst>
                    <c:strCache>
                      <c:ptCount val="16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Plan!$AD$132:$AN$132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 formatCode="General">
                        <c:v>1.9</c:v>
                      </c:pt>
                      <c:pt idx="1" formatCode="General">
                        <c:v>1.9</c:v>
                      </c:pt>
                      <c:pt idx="2" formatCode="General">
                        <c:v>1.9</c:v>
                      </c:pt>
                      <c:pt idx="3" formatCode="General">
                        <c:v>1.9</c:v>
                      </c:pt>
                      <c:pt idx="4" formatCode="General">
                        <c:v>1.9</c:v>
                      </c:pt>
                      <c:pt idx="5" formatCode="General">
                        <c:v>1.9</c:v>
                      </c:pt>
                      <c:pt idx="6" formatCode="General">
                        <c:v>1.9</c:v>
                      </c:pt>
                      <c:pt idx="7" formatCode="General">
                        <c:v>1.9</c:v>
                      </c:pt>
                      <c:pt idx="8" formatCode="General">
                        <c:v>1.9</c:v>
                      </c:pt>
                      <c:pt idx="9" formatCode="General">
                        <c:v>1.9</c:v>
                      </c:pt>
                      <c:pt idx="10">
                        <c:v>1.4605826509768711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60291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460290936"/>
        <c:crosses val="autoZero"/>
        <c:auto val="1"/>
        <c:lblAlgn val="ctr"/>
        <c:lblOffset val="100"/>
        <c:noMultiLvlLbl val="0"/>
      </c:catAx>
      <c:valAx>
        <c:axId val="460290936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460291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96816"/>
        <c:axId val="460297600"/>
      </c:lineChart>
      <c:catAx>
        <c:axId val="46029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297600"/>
        <c:crosses val="autoZero"/>
        <c:auto val="1"/>
        <c:lblAlgn val="ctr"/>
        <c:lblOffset val="100"/>
        <c:noMultiLvlLbl val="0"/>
      </c:catAx>
      <c:valAx>
        <c:axId val="460297600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460296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60291328"/>
        <c:axId val="460301912"/>
      </c:barChart>
      <c:catAx>
        <c:axId val="46029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01912"/>
        <c:crosses val="autoZero"/>
        <c:auto val="1"/>
        <c:lblAlgn val="ctr"/>
        <c:lblOffset val="100"/>
        <c:noMultiLvlLbl val="0"/>
      </c:catAx>
      <c:valAx>
        <c:axId val="460301912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46029132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307400"/>
        <c:axId val="460307792"/>
      </c:lineChart>
      <c:catAx>
        <c:axId val="460307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460307792"/>
        <c:crosses val="autoZero"/>
        <c:auto val="1"/>
        <c:lblAlgn val="ctr"/>
        <c:lblOffset val="100"/>
        <c:noMultiLvlLbl val="0"/>
      </c:catAx>
      <c:valAx>
        <c:axId val="46030779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46030740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60306224"/>
        <c:axId val="460308184"/>
      </c:barChart>
      <c:catAx>
        <c:axId val="46030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08184"/>
        <c:crosses val="autoZero"/>
        <c:auto val="1"/>
        <c:lblAlgn val="ctr"/>
        <c:lblOffset val="100"/>
        <c:noMultiLvlLbl val="0"/>
      </c:catAx>
      <c:valAx>
        <c:axId val="46030818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460306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460313280"/>
        <c:axId val="460306616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305440"/>
        <c:axId val="460305832"/>
      </c:lineChart>
      <c:catAx>
        <c:axId val="46030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05832"/>
        <c:crosses val="autoZero"/>
        <c:auto val="1"/>
        <c:lblAlgn val="ctr"/>
        <c:lblOffset val="100"/>
        <c:noMultiLvlLbl val="0"/>
      </c:catAx>
      <c:valAx>
        <c:axId val="460305832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60305440"/>
        <c:crosses val="autoZero"/>
        <c:crossBetween val="between"/>
        <c:majorUnit val="0.2"/>
        <c:minorUnit val="4.0000000000000022E-2"/>
      </c:valAx>
      <c:valAx>
        <c:axId val="460306616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460313280"/>
        <c:crosses val="max"/>
        <c:crossBetween val="between"/>
      </c:valAx>
      <c:catAx>
        <c:axId val="46031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0306616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60308968"/>
        <c:axId val="460307008"/>
      </c:barChart>
      <c:catAx>
        <c:axId val="46030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07008"/>
        <c:crosses val="autoZero"/>
        <c:auto val="1"/>
        <c:lblAlgn val="ctr"/>
        <c:lblOffset val="100"/>
        <c:noMultiLvlLbl val="0"/>
      </c:catAx>
      <c:valAx>
        <c:axId val="460307008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308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460303088"/>
        <c:axId val="460303480"/>
      </c:barChart>
      <c:catAx>
        <c:axId val="46030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03480"/>
        <c:crosses val="autoZero"/>
        <c:auto val="1"/>
        <c:lblAlgn val="ctr"/>
        <c:lblOffset val="100"/>
        <c:noMultiLvlLbl val="0"/>
      </c:catAx>
      <c:valAx>
        <c:axId val="460303480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303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60304656"/>
        <c:axId val="460304264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303872"/>
        <c:axId val="460312104"/>
      </c:lineChart>
      <c:catAx>
        <c:axId val="46030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460312104"/>
        <c:crosses val="autoZero"/>
        <c:auto val="1"/>
        <c:lblAlgn val="ctr"/>
        <c:lblOffset val="100"/>
        <c:noMultiLvlLbl val="0"/>
      </c:catAx>
      <c:valAx>
        <c:axId val="46031210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60303872"/>
        <c:crosses val="autoZero"/>
        <c:crossBetween val="between"/>
      </c:valAx>
      <c:valAx>
        <c:axId val="46030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460304656"/>
        <c:crosses val="max"/>
        <c:crossBetween val="between"/>
      </c:valAx>
      <c:catAx>
        <c:axId val="460304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030426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{4549A532-F4A1-4CFA-A382-ADD5A52A1B98}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{FC3E59B5-CA5F-4CAB-B990-845C01EFABDC}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{55344A7E-A586-4551-BD84-3013EC42BF53}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{970FBFC8-E4F2-4414-9D27-F491C20BF7A9}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</c:v>
                </c:pt>
                <c:pt idx="1">
                  <c:v>0.40454545454545454</c:v>
                </c:pt>
                <c:pt idx="2">
                  <c:v>0.62338249999999995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{8791D14F-2AC8-44BB-8BF4-B1A591970A77}</c15:txfldGUID>
                      <c15:f>'BD comment'!$L$23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Shortfall 131 Active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{26A18F17-EA35-44F7-BE6E-30992A14093D}</c15:txfldGUID>
                      <c15:f>'BD comment'!$M$23</c15:f>
                      <c15:dlblFieldTableCache>
                        <c:ptCount val="1"/>
                        <c:pt idx="0">
                          <c:v>Shortfall 131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{557ACC50-3A92-4961-B3E3-4EA9259CCAE0}</c15:txfldGUID>
                      <c15:f>'BD comment'!$N$23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{2306108B-9758-4CD3-821B-621007FD85E4}</c15:txfldGUID>
                      <c15:f>'BD comment'!$N$22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</c:v>
                </c:pt>
                <c:pt idx="1">
                  <c:v>0.59545454545454546</c:v>
                </c:pt>
                <c:pt idx="2">
                  <c:v>0.37661750000000005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460309752"/>
        <c:axId val="460310144"/>
      </c:barChart>
      <c:catAx>
        <c:axId val="460309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460310144"/>
        <c:crosses val="autoZero"/>
        <c:auto val="1"/>
        <c:lblAlgn val="ctr"/>
        <c:lblOffset val="100"/>
        <c:noMultiLvlLbl val="0"/>
      </c:catAx>
      <c:valAx>
        <c:axId val="46031014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60309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100541</xdr:colOff>
      <xdr:row>57</xdr:row>
      <xdr:rowOff>85722</xdr:rowOff>
    </xdr:from>
    <xdr:to>
      <xdr:col>58</xdr:col>
      <xdr:colOff>287231</xdr:colOff>
      <xdr:row>68</xdr:row>
      <xdr:rowOff>133347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116412</xdr:colOff>
      <xdr:row>45</xdr:row>
      <xdr:rowOff>76200</xdr:rowOff>
    </xdr:from>
    <xdr:to>
      <xdr:col>58</xdr:col>
      <xdr:colOff>303102</xdr:colOff>
      <xdr:row>56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26334</xdr:colOff>
      <xdr:row>45</xdr:row>
      <xdr:rowOff>79771</xdr:rowOff>
    </xdr:from>
    <xdr:to>
      <xdr:col>65</xdr:col>
      <xdr:colOff>603549</xdr:colOff>
      <xdr:row>56</xdr:row>
      <xdr:rowOff>127396</xdr:rowOff>
    </xdr:to>
    <xdr:grpSp>
      <xdr:nvGrpSpPr>
        <xdr:cNvPr id="17" name="Group 16"/>
        <xdr:cNvGrpSpPr/>
      </xdr:nvGrpSpPr>
      <xdr:grpSpPr>
        <a:xfrm>
          <a:off x="4598334" y="6442471"/>
          <a:ext cx="4206240" cy="1828800"/>
          <a:chOff x="10951336" y="4047136"/>
          <a:chExt cx="4412860" cy="1585713"/>
        </a:xfrm>
      </xdr:grpSpPr>
      <xdr:graphicFrame macro="">
        <xdr:nvGraphicFramePr>
          <xdr:cNvPr id="10" name="Chart 9"/>
          <xdr:cNvGraphicFramePr/>
        </xdr:nvGraphicFramePr>
        <xdr:xfrm>
          <a:off x="10951336" y="4047136"/>
          <a:ext cx="4412860" cy="1585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TextBox 10"/>
          <xdr:cNvSpPr txBox="1"/>
        </xdr:nvSpPr>
        <xdr:spPr>
          <a:xfrm>
            <a:off x="11145019" y="4140885"/>
            <a:ext cx="1400193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2017 Target 12%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51609</xdr:colOff>
      <xdr:row>45</xdr:row>
      <xdr:rowOff>115547</xdr:rowOff>
    </xdr:from>
    <xdr:to>
      <xdr:col>2</xdr:col>
      <xdr:colOff>329951</xdr:colOff>
      <xdr:row>46</xdr:row>
      <xdr:rowOff>141858</xdr:rowOff>
    </xdr:to>
    <xdr:sp macro="" textlink="">
      <xdr:nvSpPr>
        <xdr:cNvPr id="14" name="TextBox 13"/>
        <xdr:cNvSpPr txBox="1"/>
      </xdr:nvSpPr>
      <xdr:spPr>
        <a:xfrm>
          <a:off x="186080" y="6278782"/>
          <a:ext cx="950695" cy="183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2017 Target 7.0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</xdr:colOff>
      <xdr:row>62</xdr:row>
      <xdr:rowOff>98074</xdr:rowOff>
    </xdr:from>
    <xdr:to>
      <xdr:col>2</xdr:col>
      <xdr:colOff>542220</xdr:colOff>
      <xdr:row>63</xdr:row>
      <xdr:rowOff>136173</xdr:rowOff>
    </xdr:to>
    <xdr:sp macro="" textlink="">
      <xdr:nvSpPr>
        <xdr:cNvPr id="15" name="TextBox 14"/>
        <xdr:cNvSpPr txBox="1"/>
      </xdr:nvSpPr>
      <xdr:spPr>
        <a:xfrm>
          <a:off x="19050" y="9051574"/>
          <a:ext cx="1332795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59</xdr:col>
      <xdr:colOff>26334</xdr:colOff>
      <xdr:row>57</xdr:row>
      <xdr:rowOff>98821</xdr:rowOff>
    </xdr:from>
    <xdr:to>
      <xdr:col>65</xdr:col>
      <xdr:colOff>603549</xdr:colOff>
      <xdr:row>68</xdr:row>
      <xdr:rowOff>146446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315515</xdr:colOff>
      <xdr:row>58</xdr:row>
      <xdr:rowOff>3571</xdr:rowOff>
    </xdr:from>
    <xdr:to>
      <xdr:col>55</xdr:col>
      <xdr:colOff>291703</xdr:colOff>
      <xdr:row>59</xdr:row>
      <xdr:rowOff>159014</xdr:rowOff>
    </xdr:to>
    <xdr:sp macro="" textlink="">
      <xdr:nvSpPr>
        <xdr:cNvPr id="20" name="TextBox 19"/>
        <xdr:cNvSpPr txBox="1"/>
      </xdr:nvSpPr>
      <xdr:spPr>
        <a:xfrm flipH="1">
          <a:off x="4071937" y="8278415"/>
          <a:ext cx="1821657" cy="31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>
              <a:solidFill>
                <a:schemeClr val="bg1"/>
              </a:solidFill>
            </a:rPr>
            <a:t>2016 Target 1.9</a:t>
          </a:r>
        </a:p>
      </xdr:txBody>
    </xdr:sp>
    <xdr:clientData/>
  </xdr:twoCellAnchor>
  <xdr:twoCellAnchor>
    <xdr:from>
      <xdr:col>59</xdr:col>
      <xdr:colOff>26334</xdr:colOff>
      <xdr:row>27</xdr:row>
      <xdr:rowOff>39491</xdr:rowOff>
    </xdr:from>
    <xdr:to>
      <xdr:col>65</xdr:col>
      <xdr:colOff>603549</xdr:colOff>
      <xdr:row>44</xdr:row>
      <xdr:rowOff>143015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0.63095</cdr:x>
      <cdr:y>2.73403E-6</cdr:y>
    </cdr:from>
    <cdr:to>
      <cdr:x>1</cdr:x>
      <cdr:y>0.13542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433109" y="5"/>
          <a:ext cx="1423147" cy="2476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APE per case (mil)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0.16249</cdr:x>
      <cdr:y>0.06346</cdr:y>
    </cdr:from>
    <cdr:to>
      <cdr:x>0.52033</cdr:x>
      <cdr:y>0.23013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634216" y="116056"/>
          <a:ext cx="1396699" cy="304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b="1" u="sng" baseline="0"/>
            <a:t>APE per agent</a:t>
          </a:r>
        </a:p>
        <a:p xmlns:a="http://schemas.openxmlformats.org/drawingml/2006/main">
          <a:pPr algn="l"/>
          <a:endParaRPr lang="en-US" sz="1200" b="1" u="sng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0.6374</cdr:x>
      <cdr:y>0.02835</cdr:y>
    </cdr:from>
    <cdr:to>
      <cdr:x>0.9918</cdr:x>
      <cdr:y>0.16437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634917" y="44008"/>
          <a:ext cx="1465037" cy="211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Cases per active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0.10877</cdr:x>
      <cdr:y>0.0017</cdr:y>
    </cdr:from>
    <cdr:to>
      <cdr:x>0.72055</cdr:x>
      <cdr:y>0.13133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3817" y="4344"/>
          <a:ext cx="1989990" cy="3313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61445</xdr:colOff>
      <xdr:row>56</xdr:row>
      <xdr:rowOff>131932</xdr:rowOff>
    </xdr:from>
    <xdr:to>
      <xdr:col>23</xdr:col>
      <xdr:colOff>521401</xdr:colOff>
      <xdr:row>66</xdr:row>
      <xdr:rowOff>47961</xdr:rowOff>
    </xdr:to>
    <xdr:grpSp>
      <xdr:nvGrpSpPr>
        <xdr:cNvPr id="12" name="Group 11"/>
        <xdr:cNvGrpSpPr/>
      </xdr:nvGrpSpPr>
      <xdr:grpSpPr>
        <a:xfrm>
          <a:off x="3873500" y="5969000"/>
          <a:ext cx="0" cy="0"/>
          <a:chOff x="4095750" y="8890996"/>
          <a:chExt cx="4052028" cy="1542201"/>
        </a:xfrm>
      </xdr:grpSpPr>
      <xdr:graphicFrame macro="">
        <xdr:nvGraphicFramePr>
          <xdr:cNvPr id="5" name="Chart 4"/>
          <xdr:cNvGraphicFramePr/>
        </xdr:nvGraphicFramePr>
        <xdr:xfrm>
          <a:off x="4095750" y="8920627"/>
          <a:ext cx="4052028" cy="15125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" name="TextBox 5"/>
          <xdr:cNvSpPr txBox="1"/>
        </xdr:nvSpPr>
        <xdr:spPr>
          <a:xfrm>
            <a:off x="7023933" y="8890996"/>
            <a:ext cx="1087777" cy="263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r"/>
            <a:r>
              <a:rPr lang="en-US" sz="1200" u="sng" baseline="0"/>
              <a:t>Activity Ratio</a:t>
            </a:r>
          </a:p>
          <a:p>
            <a:pPr algn="r"/>
            <a:endParaRPr lang="en-US" sz="1000" u="sng"/>
          </a:p>
        </xdr:txBody>
      </xdr:sp>
    </xdr:grpSp>
    <xdr:clientData/>
  </xdr:twoCellAnchor>
  <xdr:twoCellAnchor>
    <xdr:from>
      <xdr:col>1</xdr:col>
      <xdr:colOff>53788</xdr:colOff>
      <xdr:row>56</xdr:row>
      <xdr:rowOff>136152</xdr:rowOff>
    </xdr:from>
    <xdr:to>
      <xdr:col>16</xdr:col>
      <xdr:colOff>510988</xdr:colOff>
      <xdr:row>66</xdr:row>
      <xdr:rowOff>46162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27641</xdr:colOff>
      <xdr:row>66</xdr:row>
      <xdr:rowOff>168524</xdr:rowOff>
    </xdr:from>
    <xdr:to>
      <xdr:col>16</xdr:col>
      <xdr:colOff>484965</xdr:colOff>
      <xdr:row>76</xdr:row>
      <xdr:rowOff>85974</xdr:rowOff>
    </xdr:to>
    <xdr:grpSp>
      <xdr:nvGrpSpPr>
        <xdr:cNvPr id="14" name="Group 13"/>
        <xdr:cNvGrpSpPr/>
      </xdr:nvGrpSpPr>
      <xdr:grpSpPr>
        <a:xfrm>
          <a:off x="144058" y="5969000"/>
          <a:ext cx="3729442" cy="0"/>
          <a:chOff x="247650" y="10439400"/>
          <a:chExt cx="3667124" cy="1533525"/>
        </a:xfrm>
      </xdr:grpSpPr>
      <xdr:graphicFrame macro="">
        <xdr:nvGraphicFramePr>
          <xdr:cNvPr id="2" name="Chart 1"/>
          <xdr:cNvGraphicFramePr/>
        </xdr:nvGraphicFramePr>
        <xdr:xfrm>
          <a:off x="247650" y="10439400"/>
          <a:ext cx="3667124" cy="1533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TextBox 8"/>
          <xdr:cNvSpPr txBox="1"/>
        </xdr:nvSpPr>
        <xdr:spPr>
          <a:xfrm>
            <a:off x="1724025" y="10744201"/>
            <a:ext cx="1123950" cy="2000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algn="l"/>
            <a:r>
              <a:rPr lang="en-US" sz="1000" u="none" baseline="0">
                <a:solidFill>
                  <a:srgbClr val="C00000"/>
                </a:solidFill>
              </a:rPr>
              <a:t>2013 Target 14.5 mln</a:t>
            </a:r>
          </a:p>
          <a:p>
            <a:pPr algn="r"/>
            <a:endParaRPr lang="en-US" sz="1000" u="sng">
              <a:solidFill>
                <a:srgbClr val="C00000"/>
              </a:solidFill>
            </a:endParaRPr>
          </a:p>
        </xdr:txBody>
      </xdr:sp>
    </xdr:grpSp>
    <xdr:clientData/>
  </xdr:twoCellAnchor>
  <xdr:twoCellAnchor>
    <xdr:from>
      <xdr:col>17</xdr:col>
      <xdr:colOff>73958</xdr:colOff>
      <xdr:row>66</xdr:row>
      <xdr:rowOff>167192</xdr:rowOff>
    </xdr:from>
    <xdr:to>
      <xdr:col>23</xdr:col>
      <xdr:colOff>550265</xdr:colOff>
      <xdr:row>76</xdr:row>
      <xdr:rowOff>117662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73959</xdr:colOff>
      <xdr:row>78</xdr:row>
      <xdr:rowOff>9526</xdr:rowOff>
    </xdr:from>
    <xdr:to>
      <xdr:col>54</xdr:col>
      <xdr:colOff>254934</xdr:colOff>
      <xdr:row>96</xdr:row>
      <xdr:rowOff>57150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447674</xdr:colOff>
      <xdr:row>78</xdr:row>
      <xdr:rowOff>9527</xdr:rowOff>
    </xdr:from>
    <xdr:to>
      <xdr:col>61</xdr:col>
      <xdr:colOff>614081</xdr:colOff>
      <xdr:row>96</xdr:row>
      <xdr:rowOff>57150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73959</xdr:colOff>
      <xdr:row>101</xdr:row>
      <xdr:rowOff>374</xdr:rowOff>
    </xdr:from>
    <xdr:to>
      <xdr:col>54</xdr:col>
      <xdr:colOff>254934</xdr:colOff>
      <xdr:row>110</xdr:row>
      <xdr:rowOff>59392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73959</xdr:colOff>
      <xdr:row>111</xdr:row>
      <xdr:rowOff>17785</xdr:rowOff>
    </xdr:from>
    <xdr:to>
      <xdr:col>54</xdr:col>
      <xdr:colOff>254934</xdr:colOff>
      <xdr:row>121</xdr:row>
      <xdr:rowOff>10647</xdr:rowOff>
    </xdr:to>
    <xdr:grpSp>
      <xdr:nvGrpSpPr>
        <xdr:cNvPr id="21" name="Group 20"/>
        <xdr:cNvGrpSpPr/>
      </xdr:nvGrpSpPr>
      <xdr:grpSpPr>
        <a:xfrm>
          <a:off x="186018" y="11391756"/>
          <a:ext cx="4573681" cy="1561685"/>
          <a:chOff x="8243238" y="4801417"/>
          <a:chExt cx="4814501" cy="1492220"/>
        </a:xfrm>
      </xdr:grpSpPr>
      <xdr:graphicFrame macro="">
        <xdr:nvGraphicFramePr>
          <xdr:cNvPr id="22" name="Chart 21"/>
          <xdr:cNvGraphicFramePr/>
        </xdr:nvGraphicFramePr>
        <xdr:xfrm>
          <a:off x="8243238" y="4817262"/>
          <a:ext cx="4814501" cy="1476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TextBox 22"/>
          <xdr:cNvSpPr txBox="1"/>
        </xdr:nvSpPr>
        <xdr:spPr>
          <a:xfrm>
            <a:off x="8412181" y="4854744"/>
            <a:ext cx="1744859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SOUTH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9842242" y="4801417"/>
            <a:ext cx="1877286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54</xdr:col>
      <xdr:colOff>428624</xdr:colOff>
      <xdr:row>101</xdr:row>
      <xdr:rowOff>1680</xdr:rowOff>
    </xdr:from>
    <xdr:to>
      <xdr:col>61</xdr:col>
      <xdr:colOff>571499</xdr:colOff>
      <xdr:row>110</xdr:row>
      <xdr:rowOff>65290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54</xdr:col>
      <xdr:colOff>428625</xdr:colOff>
      <xdr:row>111</xdr:row>
      <xdr:rowOff>17785</xdr:rowOff>
    </xdr:from>
    <xdr:to>
      <xdr:col>61</xdr:col>
      <xdr:colOff>600075</xdr:colOff>
      <xdr:row>121</xdr:row>
      <xdr:rowOff>6020</xdr:rowOff>
    </xdr:to>
    <xdr:grpSp>
      <xdr:nvGrpSpPr>
        <xdr:cNvPr id="26" name="Group 25"/>
        <xdr:cNvGrpSpPr/>
      </xdr:nvGrpSpPr>
      <xdr:grpSpPr>
        <a:xfrm>
          <a:off x="4933390" y="11391756"/>
          <a:ext cx="4564156" cy="1557058"/>
          <a:chOff x="8311343" y="4904190"/>
          <a:chExt cx="4865224" cy="1571399"/>
        </a:xfrm>
      </xdr:grpSpPr>
      <xdr:graphicFrame macro="">
        <xdr:nvGraphicFramePr>
          <xdr:cNvPr id="27" name="Chart 26"/>
          <xdr:cNvGraphicFramePr/>
        </xdr:nvGraphicFramePr>
        <xdr:xfrm>
          <a:off x="8311343" y="4932463"/>
          <a:ext cx="4865224" cy="1543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8" name="TextBox 27"/>
          <xdr:cNvSpPr txBox="1"/>
        </xdr:nvSpPr>
        <xdr:spPr>
          <a:xfrm>
            <a:off x="10836613" y="4904190"/>
            <a:ext cx="2318952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NORTH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9226218" y="5791463"/>
            <a:ext cx="1877287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73959</xdr:colOff>
      <xdr:row>121</xdr:row>
      <xdr:rowOff>142875</xdr:rowOff>
    </xdr:from>
    <xdr:to>
      <xdr:col>54</xdr:col>
      <xdr:colOff>254934</xdr:colOff>
      <xdr:row>131</xdr:row>
      <xdr:rowOff>124944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54</xdr:col>
      <xdr:colOff>439831</xdr:colOff>
      <xdr:row>121</xdr:row>
      <xdr:rowOff>142875</xdr:rowOff>
    </xdr:from>
    <xdr:to>
      <xdr:col>62</xdr:col>
      <xdr:colOff>123265</xdr:colOff>
      <xdr:row>132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</xdr:col>
      <xdr:colOff>73959</xdr:colOff>
      <xdr:row>133</xdr:row>
      <xdr:rowOff>11209</xdr:rowOff>
    </xdr:from>
    <xdr:to>
      <xdr:col>54</xdr:col>
      <xdr:colOff>256177</xdr:colOff>
      <xdr:row>143</xdr:row>
      <xdr:rowOff>44823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54</xdr:col>
      <xdr:colOff>439831</xdr:colOff>
      <xdr:row>133</xdr:row>
      <xdr:rowOff>11209</xdr:rowOff>
    </xdr:from>
    <xdr:to>
      <xdr:col>62</xdr:col>
      <xdr:colOff>110110</xdr:colOff>
      <xdr:row>143</xdr:row>
      <xdr:rowOff>33620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161925</xdr:colOff>
      <xdr:row>105</xdr:row>
      <xdr:rowOff>38100</xdr:rowOff>
    </xdr:from>
    <xdr:to>
      <xdr:col>31</xdr:col>
      <xdr:colOff>499533</xdr:colOff>
      <xdr:row>106</xdr:row>
      <xdr:rowOff>57708</xdr:rowOff>
    </xdr:to>
    <xdr:sp macro="" textlink="">
      <xdr:nvSpPr>
        <xdr:cNvPr id="36" name="TextBox 35"/>
        <xdr:cNvSpPr txBox="1"/>
      </xdr:nvSpPr>
      <xdr:spPr>
        <a:xfrm>
          <a:off x="3486150" y="13954125"/>
          <a:ext cx="918633" cy="181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5.6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44</xdr:col>
      <xdr:colOff>295275</xdr:colOff>
      <xdr:row>126</xdr:row>
      <xdr:rowOff>92075</xdr:rowOff>
    </xdr:from>
    <xdr:to>
      <xdr:col>46</xdr:col>
      <xdr:colOff>500592</xdr:colOff>
      <xdr:row>127</xdr:row>
      <xdr:rowOff>126999</xdr:rowOff>
    </xdr:to>
    <xdr:sp macro="" textlink="">
      <xdr:nvSpPr>
        <xdr:cNvPr id="30" name="TextBox 29"/>
        <xdr:cNvSpPr txBox="1"/>
      </xdr:nvSpPr>
      <xdr:spPr>
        <a:xfrm>
          <a:off x="4200525" y="14074775"/>
          <a:ext cx="1510242" cy="196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r"/>
          <a:r>
            <a:rPr lang="en-US" sz="800" u="none" baseline="0">
              <a:solidFill>
                <a:srgbClr val="C00000"/>
              </a:solidFill>
            </a:rPr>
            <a:t>2016 Target 14.1 mln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146051</xdr:colOff>
      <xdr:row>125</xdr:row>
      <xdr:rowOff>142874</xdr:rowOff>
    </xdr:from>
    <xdr:to>
      <xdr:col>2</xdr:col>
      <xdr:colOff>1419225</xdr:colOff>
      <xdr:row>127</xdr:row>
      <xdr:rowOff>19050</xdr:rowOff>
    </xdr:to>
    <xdr:sp macro="" textlink="">
      <xdr:nvSpPr>
        <xdr:cNvPr id="32" name="TextBox 31"/>
        <xdr:cNvSpPr txBox="1"/>
      </xdr:nvSpPr>
      <xdr:spPr>
        <a:xfrm>
          <a:off x="479426" y="13963649"/>
          <a:ext cx="1273174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247650</xdr:colOff>
      <xdr:row>137</xdr:row>
      <xdr:rowOff>66675</xdr:rowOff>
    </xdr:from>
    <xdr:to>
      <xdr:col>31</xdr:col>
      <xdr:colOff>576792</xdr:colOff>
      <xdr:row>138</xdr:row>
      <xdr:rowOff>142875</xdr:rowOff>
    </xdr:to>
    <xdr:sp macro="" textlink="">
      <xdr:nvSpPr>
        <xdr:cNvPr id="39" name="TextBox 38"/>
        <xdr:cNvSpPr txBox="1"/>
      </xdr:nvSpPr>
      <xdr:spPr>
        <a:xfrm>
          <a:off x="3571875" y="19164300"/>
          <a:ext cx="910167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1.4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209550</xdr:colOff>
      <xdr:row>135</xdr:row>
      <xdr:rowOff>123825</xdr:rowOff>
    </xdr:from>
    <xdr:to>
      <xdr:col>2</xdr:col>
      <xdr:colOff>1247775</xdr:colOff>
      <xdr:row>137</xdr:row>
      <xdr:rowOff>104775</xdr:rowOff>
    </xdr:to>
    <xdr:sp macro="" textlink="">
      <xdr:nvSpPr>
        <xdr:cNvPr id="40" name="TextBox 39"/>
        <xdr:cNvSpPr txBox="1"/>
      </xdr:nvSpPr>
      <xdr:spPr>
        <a:xfrm>
          <a:off x="542925" y="15563850"/>
          <a:ext cx="10382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55907</xdr:colOff>
      <xdr:row>101</xdr:row>
      <xdr:rowOff>88347</xdr:rowOff>
    </xdr:from>
    <xdr:to>
      <xdr:col>5</xdr:col>
      <xdr:colOff>440635</xdr:colOff>
      <xdr:row>103</xdr:row>
      <xdr:rowOff>88347</xdr:rowOff>
    </xdr:to>
    <xdr:sp macro="" textlink="">
      <xdr:nvSpPr>
        <xdr:cNvPr id="41" name="TextBox 40"/>
        <xdr:cNvSpPr txBox="1"/>
      </xdr:nvSpPr>
      <xdr:spPr>
        <a:xfrm>
          <a:off x="1886364" y="10143434"/>
          <a:ext cx="1527728" cy="331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>
          <a:pPr algn="l"/>
          <a:endParaRPr lang="en-US" sz="800" u="none" baseline="0">
            <a:solidFill>
              <a:schemeClr val="bg1"/>
            </a:solidFill>
          </a:endParaRP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0.49351</cdr:x>
      <cdr:y>0</cdr:y>
    </cdr:from>
    <cdr:to>
      <cdr:x>0.99509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809750" y="0"/>
          <a:ext cx="1839369" cy="2552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u="sng" baseline="0"/>
            <a:t>APE (mil) per agent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0.44087</cdr:x>
      <cdr:y>0</cdr:y>
    </cdr:from>
    <cdr:to>
      <cdr:x>1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635769" y="0"/>
          <a:ext cx="2050406" cy="25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APE per case (mil)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0.55494</cdr:x>
      <cdr:y>0.0182</cdr:y>
    </cdr:from>
    <cdr:to>
      <cdr:x>0.98001</cdr:x>
      <cdr:y>0.18487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103767" y="28575"/>
          <a:ext cx="1611418" cy="261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Cases per active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0.00418</cdr:y>
    </cdr:from>
    <cdr:to>
      <cdr:x>0.61178</cdr:x>
      <cdr:y>0.13381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12667"/>
          <a:ext cx="2796298" cy="392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SOUTH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0.0164</cdr:y>
    </cdr:from>
    <cdr:to>
      <cdr:x>0.61178</cdr:x>
      <cdr:y>0.14603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49695"/>
          <a:ext cx="2797520" cy="3926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NORTH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0.02283</cdr:x>
      <cdr:y>0.00637</cdr:y>
    </cdr:from>
    <cdr:to>
      <cdr:x>0.41968</cdr:x>
      <cdr:y>0.19749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04360" y="9872"/>
          <a:ext cx="1813891" cy="2962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SOUTH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0.55758</cdr:x>
      <cdr:y>0.00773</cdr:y>
    </cdr:from>
    <cdr:to>
      <cdr:x>0.92899</cdr:x>
      <cdr:y>0.1744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536549" y="12016"/>
          <a:ext cx="1689653" cy="2590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NORTH</a:t>
          </a:r>
        </a:p>
        <a:p xmlns:a="http://schemas.openxmlformats.org/drawingml/2006/main">
          <a:pPr algn="l"/>
          <a:endParaRPr lang="en-US" sz="1000" u="sng"/>
        </a:p>
      </cdr:txBody>
    </cdr:sp>
  </cdr:relSizeAnchor>
  <cdr:relSizeAnchor xmlns:cdr="http://schemas.openxmlformats.org/drawingml/2006/chartDrawing">
    <cdr:from>
      <cdr:x>0.00748</cdr:x>
      <cdr:y>0.59201</cdr:y>
    </cdr:from>
    <cdr:to>
      <cdr:x>0.23392</cdr:x>
      <cdr:y>0.7924</cdr:y>
    </cdr:to>
    <cdr:sp macro="" textlink="">
      <cdr:nvSpPr>
        <cdr:cNvPr id="3" name="TextBox 40"/>
        <cdr:cNvSpPr txBox="1"/>
      </cdr:nvSpPr>
      <cdr:spPr>
        <a:xfrm xmlns:a="http://schemas.openxmlformats.org/drawingml/2006/main">
          <a:off x="38246" y="945462"/>
          <a:ext cx="1157504" cy="3200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 xmlns:a="http://schemas.openxmlformats.org/drawingml/2006/main">
          <a:pPr algn="l"/>
          <a:endParaRPr lang="en-US" sz="800" u="none" baseline="0">
            <a:solidFill>
              <a:schemeClr val="bg1"/>
            </a:solidFill>
          </a:endParaRP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0.45216</cdr:x>
      <cdr:y>0.49773</cdr:y>
    </cdr:from>
    <cdr:to>
      <cdr:x>0.97214</cdr:x>
      <cdr:y>0.68914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722730" y="783824"/>
          <a:ext cx="1981125" cy="301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0.21827</cdr:x>
      <cdr:y>0</cdr:y>
    </cdr:from>
    <cdr:to>
      <cdr:x>0.70422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996238" y="0"/>
          <a:ext cx="2217952" cy="261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0.31131</cdr:x>
      <cdr:y>0</cdr:y>
    </cdr:from>
    <cdr:to>
      <cdr:x>0.8404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423309" y="0"/>
          <a:ext cx="2419000" cy="2622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0.39479</cdr:x>
      <cdr:y>0.03203</cdr:y>
    </cdr:from>
    <cdr:to>
      <cdr:x>0.81986</cdr:x>
      <cdr:y>0.1987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016805" y="50231"/>
          <a:ext cx="2171501" cy="261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  <cdr:relSizeAnchor xmlns:cdr="http://schemas.openxmlformats.org/drawingml/2006/chartDrawing">
    <cdr:from>
      <cdr:x>0.04074</cdr:x>
      <cdr:y>0.5006</cdr:y>
    </cdr:from>
    <cdr:to>
      <cdr:x>0.3682</cdr:x>
      <cdr:y>0.68773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8138" y="785166"/>
          <a:ext cx="1672854" cy="293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219075</xdr:rowOff>
        </xdr:from>
        <xdr:to>
          <xdr:col>9</xdr:col>
          <xdr:colOff>533400</xdr:colOff>
          <xdr:row>1</xdr:row>
          <xdr:rowOff>66675</xdr:rowOff>
        </xdr:to>
        <xdr:sp macro="" textlink="">
          <xdr:nvSpPr>
            <xdr:cNvPr id="27652" name="cmbBDList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hcmddn/LOCALS~1/Temp/notesE1EF34/DOCUME~1/HCMNTH~1/LOCALS~1/Temp/notesE1EF34/Products/Thach_PremCal/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5.0%20BD/2.0%20BD%20Budget%20control/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1.0%20Agency%20Model/Agency%20Plan_SP2013%202015_hybrid_Jan%2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h Nguyen (DOM)" refreshedDate="42891.415138888886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NGUYỄN THỊ LAN ANH - HAN" u="1"/>
        <s v="TRẦN THỊ THU TIÊN" u="1"/>
        <s v="NGUYỄN CÔNG HẢI-MDRT HCM2" u="1"/>
        <s v="NGUYỄN ĐÌNH PHONG" u="1"/>
        <s v="HỒNG KHÁNH HƯNG - MDRT" u="1"/>
        <s v="  NGUYỄN THỊ HOÀNG YẾN " u="1"/>
        <s v="HỒNG KHÁNH HƯNG" u="1"/>
        <s v="PHAN THANH BÌNH" u="1"/>
        <s v="TẠ HOÀNG PHÚ" u="1"/>
        <s v="NGUYỄN VĂN VŨ - OC" u="1"/>
        <s v="LÊ QUANG CƯƠNG" u="1"/>
        <s v="NGUYỄN VĂN VŨ - TS" u="1"/>
        <s v="NGUYỄN HỮU LỘC" u="1"/>
        <s v="NGUYỄN VĂN NINH - BM" u="1"/>
        <s v="  ĐẶNG THỊ THU THỦY " u="1"/>
        <s v="NGUYỄN VĂN VŨ" u="1"/>
        <s v="NGUYỄN HỒNG VIỆT" u="1"/>
        <s v="  ĐINH THỊ KIM LIÊN " u="1"/>
        <s v="LÊ QUỐC KHÁNH" u="1"/>
        <s v="  NGUYỄN VĂN HUỆ " u="1"/>
        <s v="NGUYỄN CÔNG HẢI" u="1"/>
        <s v="NGUYỄN VĂN NINH" u="1"/>
        <s v="PHAN QUỐC HỮU TRÍ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3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152">
      <pivotArea type="origin" dataOnly="0" labelOnly="1" outline="0" fieldPosition="0"/>
    </format>
    <format dxfId="15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162">
      <pivotArea type="origin" dataOnly="0" labelOnly="1" outline="0" fieldPosition="0"/>
    </format>
    <format dxfId="161">
      <pivotArea collapsedLevelsAreSubtotals="1" fieldPosition="0">
        <references count="1">
          <reference field="3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type="origin" dataOnly="0" labelOnly="1" outline="0" fieldPosition="0"/>
    </format>
    <format dxfId="157">
      <pivotArea field="3" type="button" dataOnly="0" labelOnly="1" outline="0" axis="axisRow" fieldPosition="0"/>
    </format>
    <format dxfId="156">
      <pivotArea field="0" type="button" dataOnly="0" labelOnly="1" outline="0" axis="axisCol" fieldPosition="0"/>
    </format>
    <format dxfId="155">
      <pivotArea type="topRight" dataOnly="0" labelOnly="1" outline="0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5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172">
      <pivotArea type="origin" dataOnly="0" labelOnly="1" outline="0" fieldPosition="0"/>
    </format>
    <format dxfId="171">
      <pivotArea type="origin" dataOnly="0" labelOnly="1" outline="0" fieldPosition="0"/>
    </format>
    <format dxfId="170">
      <pivotArea field="3" type="button" dataOnly="0" labelOnly="1" outline="0" axis="axisRow" fieldPosition="0"/>
    </format>
    <format dxfId="169">
      <pivotArea field="0" type="button" dataOnly="0" labelOnly="1" outline="0" axis="axisCol" fieldPosition="0"/>
    </format>
    <format dxfId="168">
      <pivotArea type="topRight" dataOnly="0" labelOnly="1" outline="0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Col="1" outline="0" fieldPosition="0"/>
    </format>
    <format dxfId="165">
      <pivotArea outline="0" collapsedLevelsAreSubtotals="1" fieldPosition="0"/>
    </format>
    <format dxfId="164">
      <pivotArea dataOnly="0" labelOnly="1" fieldPosition="0">
        <references count="1">
          <reference field="3" count="0"/>
        </references>
      </pivotArea>
    </format>
    <format dxfId="163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0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174">
      <pivotArea type="origin" dataOnly="0" labelOnly="1" outline="0" fieldPosition="0"/>
    </format>
    <format dxfId="173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176">
      <pivotArea type="origin" dataOnly="0" labelOnly="1" outline="0" fieldPosition="0"/>
    </format>
    <format dxfId="175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1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m="1" x="97"/>
        <item m="1" x="82"/>
        <item m="1" x="83"/>
        <item m="1" x="76"/>
        <item x="69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180">
      <pivotArea type="origin" dataOnly="0" labelOnly="1" outline="0" fieldPosition="0"/>
    </format>
    <format dxfId="179">
      <pivotArea type="origin" dataOnly="0" labelOnly="1" outline="0" fieldPosition="0"/>
    </format>
    <format dxfId="178">
      <pivotArea type="origin" dataOnly="0" labelOnly="1" outline="0" fieldPosition="0"/>
    </format>
    <format dxfId="177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190">
      <pivotArea type="origin" dataOnly="0" labelOnly="1" outline="0" fieldPosition="0"/>
    </format>
    <format dxfId="189">
      <pivotArea collapsedLevelsAreSubtotals="1" fieldPosition="0">
        <references count="1">
          <reference field="3" count="0"/>
        </references>
      </pivotArea>
    </format>
    <format dxfId="188">
      <pivotArea type="origin" dataOnly="0" labelOnly="1" outline="0" fieldPosition="0"/>
    </format>
    <format dxfId="187">
      <pivotArea field="3" type="button" dataOnly="0" labelOnly="1" outline="0" axis="axisRow" fieldPosition="0"/>
    </format>
    <format dxfId="186">
      <pivotArea field="0" type="button" dataOnly="0" labelOnly="1" outline="0" axis="axisCol" fieldPosition="0"/>
    </format>
    <format dxfId="185">
      <pivotArea type="topRight" dataOnly="0" labelOnly="1" outline="0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Col="1" outline="0" fieldPosition="0"/>
    </format>
    <format dxfId="182">
      <pivotArea grandRow="1" outline="0" collapsedLevelsAreSubtotals="1" fieldPosition="0"/>
    </format>
    <format dxfId="18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200">
      <pivotArea type="origin" dataOnly="0" labelOnly="1" outline="0" fieldPosition="0"/>
    </format>
    <format dxfId="199">
      <pivotArea collapsedLevelsAreSubtotals="1" fieldPosition="0">
        <references count="1">
          <reference field="3" count="0"/>
        </references>
      </pivotArea>
    </format>
    <format dxfId="198">
      <pivotArea type="origin" dataOnly="0" labelOnly="1" outline="0" fieldPosition="0"/>
    </format>
    <format dxfId="197">
      <pivotArea field="3" type="button" dataOnly="0" labelOnly="1" outline="0" axis="axisRow" fieldPosition="0"/>
    </format>
    <format dxfId="196">
      <pivotArea field="0" type="button" dataOnly="0" labelOnly="1" outline="0" axis="axisCol" fieldPosition="0"/>
    </format>
    <format dxfId="195">
      <pivotArea type="topRight" dataOnly="0" labelOnly="1" outline="0" fieldPosition="0"/>
    </format>
    <format dxfId="194">
      <pivotArea dataOnly="0" labelOnly="1" fieldPosition="0">
        <references count="1">
          <reference field="0" count="0"/>
        </references>
      </pivotArea>
    </format>
    <format dxfId="193">
      <pivotArea dataOnly="0" labelOnly="1" grandCol="1" outline="0" fieldPosition="0"/>
    </format>
    <format dxfId="192">
      <pivotArea grandRow="1" outline="0" collapsedLevelsAreSubtotals="1" fieldPosition="0"/>
    </format>
    <format dxfId="19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207">
      <pivotArea collapsedLevelsAreSubtotals="1" fieldPosition="0">
        <references count="1">
          <reference field="3" count="0"/>
        </references>
      </pivotArea>
    </format>
    <format dxfId="206">
      <pivotArea grandRow="1" outline="0" collapsedLevelsAreSubtotals="1" fieldPosition="0"/>
    </format>
    <format dxfId="205">
      <pivotArea type="origin" dataOnly="0" labelOnly="1" outline="0" fieldPosition="0"/>
    </format>
    <format dxfId="204">
      <pivotArea field="0" type="button" dataOnly="0" labelOnly="1" outline="0" axis="axisCol" fieldPosition="0"/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7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209">
      <pivotArea type="origin" dataOnly="0" labelOnly="1" outline="0" fieldPosition="0"/>
    </format>
    <format dxfId="20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12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211">
      <pivotArea type="origin" dataOnly="0" labelOnly="1" outline="0" fieldPosition="0"/>
    </format>
    <format dxfId="21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6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219">
      <pivotArea type="origin" dataOnly="0" labelOnly="1" outline="0" fieldPosition="0"/>
    </format>
    <format dxfId="218">
      <pivotArea collapsedLevelsAreSubtotals="1" fieldPosition="0">
        <references count="1">
          <reference field="3" count="0"/>
        </references>
      </pivotArea>
    </format>
    <format dxfId="217">
      <pivotArea field="0" type="button" dataOnly="0" labelOnly="1" outline="0" axis="axisCol" fieldPosition="0"/>
    </format>
    <format dxfId="216">
      <pivotArea type="topRight" dataOnly="0" labelOnly="1" outline="0" fieldPosition="0"/>
    </format>
    <format dxfId="215">
      <pivotArea dataOnly="0" labelOnly="1" fieldPosition="0">
        <references count="1">
          <reference field="0" count="0"/>
        </references>
      </pivotArea>
    </format>
    <format dxfId="214">
      <pivotArea dataOnly="0" labelOnly="1" grandCol="1" outline="0" fieldPosition="0"/>
    </format>
    <format dxfId="213">
      <pivotArea grandRow="1" outline="0" collapsedLevelsAreSubtotals="1" fieldPosition="0"/>
    </format>
    <format dxfId="21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9" cacheId="31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221">
      <pivotArea type="origin" dataOnly="0" labelOnly="1" outline="0" fieldPosition="0"/>
    </format>
    <format dxfId="22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Table28" displayName="Table28" ref="A6:AD82" totalsRowCount="1" headerRowDxfId="248">
  <tableColumns count="30">
    <tableColumn id="1" name="Region" totalsRowDxfId="29"/>
    <tableColumn id="2" name="Zone" totalsRowDxfId="28"/>
    <tableColumn id="3" name="Team" totalsRowDxfId="27"/>
    <tableColumn id="4" name="Team Head " totalsRowDxfId="26"/>
    <tableColumn id="5" name="Start" totalsRowFunction="sum" dataDxfId="247" totalsRowDxfId="25"/>
    <tableColumn id="6" name="End" totalsRowFunction="sum" dataDxfId="246" totalsRowDxfId="24"/>
    <tableColumn id="7" name="SA" totalsRowFunction="sum" dataDxfId="245" totalsRowDxfId="23"/>
    <tableColumn id="8" name="AG" totalsRowFunction="sum" dataDxfId="244" totalsRowDxfId="22"/>
    <tableColumn id="9" name="US" totalsRowFunction="sum" dataDxfId="243" totalsRowDxfId="21"/>
    <tableColumn id="10" name="AL" totalsRowFunction="sum" dataDxfId="242" totalsRowDxfId="20"/>
    <tableColumn id="11" name="Ter" totalsRowFunction="sum" dataDxfId="241" totalsRowDxfId="19"/>
    <tableColumn id="12" name="Recruit" totalsRowFunction="sum" dataDxfId="240" totalsRowDxfId="18"/>
    <tableColumn id="13" name="New AG,US" totalsRowFunction="sum" dataDxfId="239" totalsRowDxfId="17"/>
    <tableColumn id="14" name="New AL" totalsRowFunction="sum" dataDxfId="238" totalsRowDxfId="16"/>
    <tableColumn id="15" name="Actv AL" totalsRowFunction="sum" dataDxfId="237" totalsRowDxfId="15"/>
    <tableColumn id="16" name="% Actv AL" dataDxfId="236" totalsRowDxfId="14"/>
    <tableColumn id="17" name="Actv US" totalsRowFunction="sum" dataDxfId="235" totalsRowDxfId="13"/>
    <tableColumn id="18" name="%Actv US" dataDxfId="234" totalsRowDxfId="12"/>
    <tableColumn id="19" name="Actv AG" totalsRowFunction="sum" dataDxfId="233" totalsRowDxfId="11"/>
    <tableColumn id="20" name="Actv Ratio" dataDxfId="232" totalsRowDxfId="10"/>
    <tableColumn id="21" name="Jan APE" totalsRowFunction="sum" dataDxfId="231" totalsRowDxfId="9"/>
    <tableColumn id="26" name="Feb APE" totalsRowFunction="sum" dataDxfId="230" totalsRowDxfId="8"/>
    <tableColumn id="28" name="Mar APE" totalsRowFunction="sum" dataDxfId="229" totalsRowDxfId="7"/>
    <tableColumn id="27" name="Apr APE" totalsRowFunction="sum" dataDxfId="228" totalsRowDxfId="6"/>
    <tableColumn id="29" name="May APE" dataDxfId="227" totalsRowDxfId="5"/>
    <tableColumn id="30" name="Jun APE" dataDxfId="226" totalsRowDxfId="4" dataCellStyle="Normal 15"/>
    <tableColumn id="22" name="Jul APE" totalsRowFunction="sum" dataDxfId="225" totalsRowDxfId="3"/>
    <tableColumn id="23" name="Jul Case" totalsRowFunction="sum" dataDxfId="224" totalsRowDxfId="2"/>
    <tableColumn id="24" name="CSize" totalsRowFunction="custom" dataDxfId="223" totalsRowDxfId="1">
      <totalsRowFormula>Table28[[#Totals],[Jul APE]]/Table28[[#Totals],[Jul Case]]</totalsRowFormula>
    </tableColumn>
    <tableColumn id="25" name="YTD APE" totalsRowFunction="sum" dataDxfId="222" totalsRow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3" displayName="Table3" ref="B5:F10" totalsRowShown="0">
  <autoFilter ref="B5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stomer Type"/>
    <tableColumn id="2" name="# Customer" dataDxfId="150"/>
    <tableColumn id="3" name="# Policy" dataDxfId="149"/>
    <tableColumn id="4" name="APE" dataDxfId="148"/>
    <tableColumn id="5" name="Case size" dataDxfId="1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21"/>
  <sheetViews>
    <sheetView showGridLines="0" tabSelected="1" zoomScale="85" zoomScaleNormal="85" workbookViewId="0"/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59" customFormat="1" ht="6" customHeight="1">
      <c r="B2" s="60"/>
      <c r="C2" s="60"/>
      <c r="D2" s="60"/>
      <c r="E2" s="60"/>
      <c r="F2" s="60"/>
      <c r="G2" s="60"/>
      <c r="H2" s="60"/>
      <c r="I2" s="60"/>
    </row>
    <row r="3" spans="2:10" s="59" customFormat="1" ht="20.25">
      <c r="B3" s="2386" t="s">
        <v>27</v>
      </c>
      <c r="C3" s="2386"/>
      <c r="D3" s="2386"/>
      <c r="E3" s="2386"/>
      <c r="F3" s="2386"/>
      <c r="G3" s="2386"/>
      <c r="H3" s="2386"/>
      <c r="I3" s="2386"/>
    </row>
    <row r="4" spans="2:10" s="59" customFormat="1" ht="20.25">
      <c r="B4" s="2386" t="s">
        <v>29</v>
      </c>
      <c r="C4" s="2386"/>
      <c r="D4" s="2386"/>
      <c r="E4" s="2386"/>
      <c r="F4" s="2386"/>
      <c r="G4" s="2386"/>
      <c r="H4" s="2386"/>
      <c r="I4" s="2386"/>
    </row>
    <row r="5" spans="2:10" s="59" customFormat="1" ht="20.45" customHeight="1">
      <c r="B5" s="816" t="s">
        <v>32</v>
      </c>
      <c r="C5" s="65"/>
      <c r="D5" s="65"/>
      <c r="E5" s="65"/>
      <c r="F5" s="788"/>
      <c r="G5" s="1594">
        <v>42947</v>
      </c>
      <c r="H5" s="65"/>
      <c r="I5" s="65"/>
      <c r="J5" s="59" t="s">
        <v>1417</v>
      </c>
    </row>
    <row r="6" spans="2:10" s="59" customFormat="1" ht="20.25">
      <c r="B6" s="60"/>
      <c r="C6" s="60"/>
      <c r="D6" s="60"/>
      <c r="E6" s="60"/>
      <c r="F6" s="60"/>
      <c r="G6" s="60"/>
      <c r="H6" s="60"/>
      <c r="I6" s="60"/>
    </row>
    <row r="7" spans="2:10" s="59" customFormat="1" ht="20.25">
      <c r="B7" s="61"/>
      <c r="C7" s="62" t="s">
        <v>28</v>
      </c>
      <c r="D7" s="63"/>
      <c r="E7" s="61"/>
      <c r="F7" s="61"/>
      <c r="G7" s="61"/>
      <c r="H7" s="61"/>
      <c r="I7" s="61"/>
    </row>
    <row r="8" spans="2:10" s="59" customFormat="1" ht="33.6" customHeight="1">
      <c r="B8" s="61"/>
      <c r="C8" s="61"/>
      <c r="D8" s="461" t="s">
        <v>196</v>
      </c>
      <c r="E8" s="2385" t="s">
        <v>200</v>
      </c>
      <c r="F8" s="2385"/>
      <c r="G8" s="2385"/>
      <c r="H8" s="2385"/>
      <c r="I8" s="2385"/>
    </row>
    <row r="9" spans="2:10" s="59" customFormat="1" ht="33.6" customHeight="1">
      <c r="B9" s="61"/>
      <c r="C9" s="61"/>
      <c r="D9" s="461" t="s">
        <v>474</v>
      </c>
      <c r="E9" s="2385" t="s">
        <v>376</v>
      </c>
      <c r="F9" s="2385"/>
      <c r="G9" s="2385"/>
      <c r="H9" s="2385"/>
      <c r="I9" s="2385"/>
    </row>
    <row r="10" spans="2:10" s="59" customFormat="1" ht="33.6" customHeight="1">
      <c r="B10" s="61"/>
      <c r="C10" s="61"/>
      <c r="D10" s="461" t="s">
        <v>197</v>
      </c>
      <c r="E10" s="2385" t="s">
        <v>375</v>
      </c>
      <c r="F10" s="2385"/>
      <c r="G10" s="2385"/>
      <c r="H10" s="2385"/>
      <c r="I10" s="2385"/>
    </row>
    <row r="11" spans="2:10" s="59" customFormat="1" ht="33.6" customHeight="1">
      <c r="B11" s="61"/>
      <c r="C11" s="61"/>
      <c r="D11" s="461" t="s">
        <v>475</v>
      </c>
      <c r="E11" s="2385" t="s">
        <v>377</v>
      </c>
      <c r="F11" s="2385"/>
      <c r="G11" s="2385"/>
      <c r="H11" s="2385"/>
      <c r="I11" s="2385"/>
    </row>
    <row r="12" spans="2:10" s="59" customFormat="1" ht="33.6" customHeight="1">
      <c r="B12" s="61"/>
      <c r="C12" s="61"/>
      <c r="D12" s="461" t="s">
        <v>371</v>
      </c>
      <c r="E12" s="2385" t="s">
        <v>374</v>
      </c>
      <c r="F12" s="2385"/>
      <c r="G12" s="2385"/>
      <c r="H12" s="2385"/>
      <c r="I12" s="2385"/>
    </row>
    <row r="13" spans="2:10" s="59" customFormat="1" ht="33.6" customHeight="1">
      <c r="B13" s="61"/>
      <c r="C13" s="61"/>
      <c r="D13" s="461" t="s">
        <v>378</v>
      </c>
      <c r="E13" s="2385" t="s">
        <v>620</v>
      </c>
      <c r="F13" s="2385"/>
      <c r="G13" s="2385"/>
      <c r="H13" s="2385"/>
      <c r="I13" s="2385"/>
    </row>
    <row r="14" spans="2:10" s="59" customFormat="1" ht="33.6" hidden="1" customHeight="1">
      <c r="B14" s="61"/>
      <c r="C14" s="61"/>
      <c r="D14" s="461" t="s">
        <v>450</v>
      </c>
      <c r="E14" s="2385" t="s">
        <v>621</v>
      </c>
      <c r="F14" s="2385"/>
      <c r="G14" s="2385"/>
      <c r="H14" s="2385"/>
      <c r="I14" s="2385"/>
    </row>
    <row r="15" spans="2:10" s="59" customFormat="1" ht="31.5" hidden="1" customHeight="1">
      <c r="B15" s="61"/>
      <c r="C15" s="61"/>
      <c r="D15" s="461" t="s">
        <v>946</v>
      </c>
      <c r="E15" s="2385" t="s">
        <v>947</v>
      </c>
      <c r="F15" s="2385"/>
      <c r="G15" s="2385"/>
      <c r="H15" s="2385"/>
      <c r="I15" s="2385"/>
    </row>
    <row r="16" spans="2:10" s="59" customFormat="1" ht="30" customHeight="1">
      <c r="B16" s="61"/>
      <c r="C16" s="61"/>
      <c r="D16" s="2077" t="s">
        <v>4124</v>
      </c>
      <c r="E16" s="2385" t="s">
        <v>4125</v>
      </c>
      <c r="F16" s="2385"/>
      <c r="G16" s="2385"/>
      <c r="H16" s="2385"/>
      <c r="I16" s="2385"/>
    </row>
    <row r="17" spans="1:9" ht="8.25" customHeight="1">
      <c r="A17" s="59"/>
      <c r="B17" s="61"/>
      <c r="C17" s="61"/>
      <c r="D17" s="61"/>
      <c r="E17" s="61"/>
      <c r="F17" s="61"/>
      <c r="G17" s="61"/>
      <c r="H17" s="69"/>
      <c r="I17" s="61"/>
    </row>
    <row r="18" spans="1:9" ht="18">
      <c r="B18" s="61"/>
      <c r="C18" s="61"/>
      <c r="D18" s="2077" t="s">
        <v>4171</v>
      </c>
      <c r="E18" s="2384" t="s">
        <v>4170</v>
      </c>
      <c r="F18" s="2384"/>
      <c r="G18" s="2384"/>
      <c r="H18" s="2384"/>
      <c r="I18" s="2384"/>
    </row>
    <row r="19" spans="1:9" ht="18">
      <c r="B19" s="61"/>
      <c r="C19" s="61"/>
      <c r="D19" s="61"/>
      <c r="E19" s="61"/>
      <c r="F19" s="61"/>
      <c r="G19" s="61"/>
      <c r="H19" s="61"/>
      <c r="I19" s="61"/>
    </row>
    <row r="20" spans="1:9" ht="18" hidden="1">
      <c r="B20" s="61"/>
      <c r="C20" s="61"/>
      <c r="D20" s="2077" t="s">
        <v>4229</v>
      </c>
      <c r="E20" s="2384" t="s">
        <v>4230</v>
      </c>
      <c r="F20" s="2384"/>
      <c r="G20" s="2384"/>
      <c r="H20" s="2384"/>
      <c r="I20" s="2384"/>
    </row>
    <row r="21" spans="1:9" ht="18">
      <c r="B21" s="61"/>
      <c r="C21" s="61"/>
      <c r="D21" s="61"/>
      <c r="E21" s="61"/>
      <c r="F21" s="61"/>
      <c r="G21" s="61"/>
      <c r="H21" s="61"/>
      <c r="I21" s="61"/>
    </row>
  </sheetData>
  <mergeCells count="13">
    <mergeCell ref="E20:I20"/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6.0 GA'!A1" display="GA Performance"/>
    <hyperlink ref="E18:I18" location="'7.0 Product Mix'!A1" display="Agency Product mix"/>
    <hyperlink ref="E20:I20" location="'8.0 Customer'!A1" display="Customer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topLeftCell="AG47" workbookViewId="0">
      <selection activeCell="BP136" sqref="BP136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174</v>
      </c>
      <c r="B49" s="201" t="s">
        <v>33</v>
      </c>
      <c r="C49" s="201" t="s">
        <v>34</v>
      </c>
      <c r="D49" s="201" t="s">
        <v>35</v>
      </c>
      <c r="E49" s="201" t="s">
        <v>36</v>
      </c>
      <c r="F49" s="201" t="s">
        <v>37</v>
      </c>
      <c r="G49" s="201" t="s">
        <v>38</v>
      </c>
      <c r="H49" s="201" t="s">
        <v>39</v>
      </c>
      <c r="I49" s="201" t="s">
        <v>40</v>
      </c>
      <c r="J49" s="201" t="s">
        <v>41</v>
      </c>
      <c r="K49" s="201" t="s">
        <v>42</v>
      </c>
      <c r="L49" s="201" t="s">
        <v>43</v>
      </c>
      <c r="M49" s="201" t="s">
        <v>44</v>
      </c>
      <c r="N49" s="201" t="s">
        <v>552</v>
      </c>
      <c r="O49" s="201" t="s">
        <v>34</v>
      </c>
      <c r="P49" s="201" t="s">
        <v>35</v>
      </c>
      <c r="Q49" s="201" t="s">
        <v>36</v>
      </c>
      <c r="R49" s="201" t="s">
        <v>37</v>
      </c>
      <c r="S49" s="201" t="s">
        <v>38</v>
      </c>
      <c r="T49" s="201" t="s">
        <v>39</v>
      </c>
      <c r="U49" s="201" t="s">
        <v>40</v>
      </c>
      <c r="V49" s="201" t="s">
        <v>41</v>
      </c>
      <c r="W49" s="201" t="s">
        <v>42</v>
      </c>
      <c r="X49" s="201" t="s">
        <v>43</v>
      </c>
      <c r="Y49" s="201" t="s">
        <v>44</v>
      </c>
      <c r="Z49" s="201" t="s">
        <v>1097</v>
      </c>
      <c r="AA49" s="1575" t="s">
        <v>34</v>
      </c>
      <c r="AB49" s="201" t="s">
        <v>35</v>
      </c>
      <c r="AC49" s="201" t="s">
        <v>36</v>
      </c>
      <c r="AD49" s="201" t="s">
        <v>37</v>
      </c>
      <c r="AE49" s="201" t="s">
        <v>38</v>
      </c>
      <c r="AF49" s="201" t="s">
        <v>39</v>
      </c>
      <c r="AG49" s="201" t="s">
        <v>40</v>
      </c>
      <c r="AH49" s="201" t="s">
        <v>41</v>
      </c>
      <c r="AI49" s="201" t="s">
        <v>42</v>
      </c>
      <c r="AJ49" s="201" t="s">
        <v>43</v>
      </c>
      <c r="AK49" s="201" t="s">
        <v>44</v>
      </c>
      <c r="AL49" s="201" t="s">
        <v>2552</v>
      </c>
      <c r="AM49" s="201" t="s">
        <v>34</v>
      </c>
      <c r="AN49" s="201" t="s">
        <v>35</v>
      </c>
      <c r="AO49" s="201" t="s">
        <v>36</v>
      </c>
      <c r="AP49" s="201" t="s">
        <v>37</v>
      </c>
      <c r="AQ49" s="201" t="s">
        <v>38</v>
      </c>
      <c r="AR49" s="201" t="s">
        <v>39</v>
      </c>
      <c r="AS49" s="201" t="s">
        <v>40</v>
      </c>
      <c r="AT49" s="201" t="s">
        <v>41</v>
      </c>
      <c r="AU49" s="201" t="s">
        <v>42</v>
      </c>
      <c r="AV49" s="201" t="s">
        <v>43</v>
      </c>
      <c r="AW49" s="201" t="s">
        <v>44</v>
      </c>
      <c r="AX49" s="2086" t="s">
        <v>4133</v>
      </c>
      <c r="AY49" s="201" t="s">
        <v>34</v>
      </c>
      <c r="AZ49" s="201" t="s">
        <v>35</v>
      </c>
      <c r="BA49" s="201" t="s">
        <v>36</v>
      </c>
      <c r="BB49" s="201" t="s">
        <v>37</v>
      </c>
      <c r="BC49" s="201" t="s">
        <v>38</v>
      </c>
      <c r="BD49" s="201" t="s">
        <v>39</v>
      </c>
      <c r="BE49" s="201" t="s">
        <v>40</v>
      </c>
      <c r="BF49" s="201" t="s">
        <v>41</v>
      </c>
      <c r="BG49" s="201" t="s">
        <v>42</v>
      </c>
      <c r="BH49" s="201" t="s">
        <v>43</v>
      </c>
      <c r="BI49" s="201" t="s">
        <v>44</v>
      </c>
      <c r="BJ49" s="390" t="s">
        <v>163</v>
      </c>
      <c r="BK49" s="201"/>
      <c r="BL49" s="201"/>
    </row>
    <row r="50" spans="1:65">
      <c r="A50" s="297" t="s">
        <v>4232</v>
      </c>
      <c r="B50" s="343">
        <f>Plan!E6/1000</f>
        <v>0.498</v>
      </c>
      <c r="C50" s="343">
        <f>Plan!F6/1000</f>
        <v>0.45650000000000002</v>
      </c>
      <c r="D50" s="343">
        <f>Plan!G6/1000</f>
        <v>0.70550000000000002</v>
      </c>
      <c r="E50" s="343">
        <f>Plan!H6/1000</f>
        <v>0.91300000000000003</v>
      </c>
      <c r="F50" s="343">
        <f>Plan!I6/1000</f>
        <v>1.5355000000000001</v>
      </c>
      <c r="G50" s="343">
        <f>Plan!J6/1000</f>
        <v>2.1995</v>
      </c>
      <c r="H50" s="343">
        <f>Plan!K6/1000</f>
        <v>2.2410000000000001</v>
      </c>
      <c r="I50" s="343">
        <f>Plan!L6/1000</f>
        <v>2.7389999999999999</v>
      </c>
      <c r="J50" s="343">
        <f>Plan!M6/1000</f>
        <v>3.32</v>
      </c>
      <c r="K50" s="343">
        <f>Plan!N6/1000</f>
        <v>2.6560000000000001</v>
      </c>
      <c r="L50" s="343">
        <f>Plan!O6/1000</f>
        <v>3.32</v>
      </c>
      <c r="M50" s="343">
        <f>Plan!P6/1000</f>
        <v>4.0670000000000002</v>
      </c>
      <c r="N50" s="343">
        <f>Plan!Q6/1000</f>
        <v>2.5111999999999997</v>
      </c>
      <c r="O50" s="343">
        <f>Plan!R6/1000</f>
        <v>2.5628000000000002</v>
      </c>
      <c r="P50" s="343">
        <f>Plan!S6/1000</f>
        <v>3.44</v>
      </c>
      <c r="Q50" s="343">
        <f>Plan!T6/1000</f>
        <v>4.0591999999999997</v>
      </c>
      <c r="R50" s="343">
        <f>Plan!U6/1000</f>
        <v>5.16</v>
      </c>
      <c r="S50" s="343">
        <f>Plan!V6/1000</f>
        <v>7.3357999999999999</v>
      </c>
      <c r="T50" s="343">
        <f>Plan!W6/1000</f>
        <v>7.5164000000000009</v>
      </c>
      <c r="U50" s="343">
        <f>Plan!X6/1000</f>
        <v>8.8063999999999982</v>
      </c>
      <c r="V50" s="343">
        <f>Plan!Y6/1000</f>
        <v>11.609999999999998</v>
      </c>
      <c r="W50" s="343">
        <f>Plan!Z6/1000</f>
        <v>10.853200000000001</v>
      </c>
      <c r="X50" s="343">
        <f>Plan!AA6/1000</f>
        <v>11.61</v>
      </c>
      <c r="Y50" s="343">
        <f>Plan!AB6/1000</f>
        <v>14.535</v>
      </c>
      <c r="Z50" s="343">
        <f>Plan!AC6/1000</f>
        <v>15.128</v>
      </c>
      <c r="AA50" s="343">
        <f>Plan!AD6/1000</f>
        <v>9.0630000000000006</v>
      </c>
      <c r="AB50" s="343">
        <f>Plan!AE6/1000</f>
        <v>22.466999999999999</v>
      </c>
      <c r="AC50" s="343">
        <f>Plan!AF6/1000</f>
        <v>21.745999999999999</v>
      </c>
      <c r="AD50" s="343">
        <f>Plan!AG6/1000</f>
        <v>24.899000000000001</v>
      </c>
      <c r="AE50" s="343">
        <f>Plan!AH6/1000</f>
        <v>30.062999999999999</v>
      </c>
      <c r="AF50" s="343">
        <f>Plan!AI6/1000</f>
        <v>23.417000000000002</v>
      </c>
      <c r="AG50" s="343">
        <f>Plan!AJ6/1000</f>
        <v>26.928999999999998</v>
      </c>
      <c r="AH50" s="343">
        <f>Plan!AK6/1000</f>
        <v>36.555999999999997</v>
      </c>
      <c r="AI50" s="343">
        <f>Plan!AL6/1000</f>
        <v>30.812000000000001</v>
      </c>
      <c r="AJ50" s="343">
        <f>Plan!AM6/1000</f>
        <v>39.472999999999999</v>
      </c>
      <c r="AK50" s="343">
        <f>Plan!AN6/1000</f>
        <v>60.247</v>
      </c>
      <c r="AL50" s="1980">
        <f>Plan!AO6/1000</f>
        <v>16</v>
      </c>
      <c r="AM50" s="1980">
        <f>Plan!AP6/1000</f>
        <v>12</v>
      </c>
      <c r="AN50" s="1980">
        <f>Plan!AQ6/1000</f>
        <v>32</v>
      </c>
      <c r="AO50" s="1980">
        <f>Plan!AR6/1000</f>
        <v>42</v>
      </c>
      <c r="AP50" s="1980">
        <f>Plan!AS6/1000</f>
        <v>36</v>
      </c>
      <c r="AQ50" s="1980">
        <f>Plan!AT6/1000</f>
        <v>47</v>
      </c>
      <c r="AR50" s="1980">
        <f>Plan!AU6/1000</f>
        <v>45.603000000000002</v>
      </c>
      <c r="AS50" s="1980">
        <f>Plan!AV6/1000</f>
        <v>52.172121516872927</v>
      </c>
      <c r="AT50" s="1980">
        <f>Plan!AW6/1000</f>
        <v>67.800203175747683</v>
      </c>
      <c r="AU50" s="1980">
        <f>Plan!AX6/1000</f>
        <v>57.10653705874109</v>
      </c>
      <c r="AV50" s="1980">
        <f>Plan!AY6/1000</f>
        <v>64.722593531540085</v>
      </c>
      <c r="AW50" s="1980">
        <f>Plan!AZ6/1000</f>
        <v>84.587779647807821</v>
      </c>
      <c r="AX50" s="1980">
        <f>Plan!BA6/1000</f>
        <v>21.15946588416989</v>
      </c>
      <c r="AY50" s="1980">
        <f>Plan!BB6/1000</f>
        <v>20.867642534235856</v>
      </c>
      <c r="AZ50" s="1980">
        <f>Plan!BC6/1000</f>
        <v>49.678550803872874</v>
      </c>
      <c r="BA50" s="1980">
        <f>Plan!BD6/1000</f>
        <v>49.306357366960249</v>
      </c>
      <c r="BB50" s="1980">
        <f>Plan!BE6/1000</f>
        <v>57.719167284380774</v>
      </c>
      <c r="BC50" s="1980">
        <f>Plan!BF6/1000</f>
        <v>64.986347978287142</v>
      </c>
      <c r="BD50" s="1980">
        <f>Plan!BG6/1000</f>
        <v>59.891902241751808</v>
      </c>
      <c r="BE50" s="1980">
        <f>Plan!BH6/1000</f>
        <v>66.554351797741717</v>
      </c>
      <c r="BF50" s="1980">
        <f>Plan!BI6/1000</f>
        <v>74.354220299720438</v>
      </c>
      <c r="BG50" s="1980">
        <f>Plan!BJ6/1000</f>
        <v>70.348989256097511</v>
      </c>
      <c r="BH50" s="1980">
        <f>Plan!BK6/1000</f>
        <v>77.982438535115264</v>
      </c>
      <c r="BI50" s="1980">
        <f>Plan!BL6/1000</f>
        <v>87.307252311144893</v>
      </c>
      <c r="BJ50" s="343"/>
      <c r="BK50" s="343"/>
      <c r="BL50" s="343"/>
      <c r="BM50" t="s">
        <v>258</v>
      </c>
    </row>
    <row r="51" spans="1:65">
      <c r="A51" s="344" t="s">
        <v>58</v>
      </c>
      <c r="B51" s="345">
        <f>Country!V5/1000</f>
        <v>0.417879</v>
      </c>
      <c r="C51" s="345">
        <f>Country!W5/1000</f>
        <v>0.177839</v>
      </c>
      <c r="D51" s="345">
        <f>Country!X5/1000</f>
        <v>0.63353500000000007</v>
      </c>
      <c r="E51" s="345">
        <f>Country!Y5/1000</f>
        <v>1.015684</v>
      </c>
      <c r="F51" s="345">
        <f>Country!Z5/1000</f>
        <v>1.3170990000000002</v>
      </c>
      <c r="G51" s="345">
        <f>Country!AA5/1000</f>
        <v>1.1630750000000001</v>
      </c>
      <c r="H51" s="345">
        <f>Country!AB5/1000</f>
        <v>0.95437400000000006</v>
      </c>
      <c r="I51" s="345">
        <f>Country!AC5/1000</f>
        <v>1.3192910000000002</v>
      </c>
      <c r="J51" s="345">
        <f>Country!AD5/1000</f>
        <v>2.8209949999999999</v>
      </c>
      <c r="K51" s="345">
        <f>Country!AE5/1000</f>
        <v>2.2106509999999999</v>
      </c>
      <c r="L51" s="345">
        <f>Country!AF5/1000</f>
        <v>2.3320639999999999</v>
      </c>
      <c r="M51" s="345">
        <f>Country!AG5/1000</f>
        <v>3.9344139999999999</v>
      </c>
      <c r="N51" s="345">
        <f>Country!AH5/1000</f>
        <v>1.2211920000000001</v>
      </c>
      <c r="O51" s="345">
        <f>Country!AI5/1000</f>
        <v>1.7562840000000002</v>
      </c>
      <c r="P51" s="345">
        <f>Country!AJ5/1000</f>
        <v>1.7526619999999997</v>
      </c>
      <c r="Q51" s="345">
        <f>Country!AK5/1000</f>
        <v>2.9834009999999997</v>
      </c>
      <c r="R51" s="345">
        <f>Country!AL5/1000</f>
        <v>3.7177340000000005</v>
      </c>
      <c r="S51" s="345">
        <f>Country!AM5/1000</f>
        <v>8.2758889999999994</v>
      </c>
      <c r="T51" s="345">
        <f>Country!AN5/1000</f>
        <v>7.606134</v>
      </c>
      <c r="U51" s="345">
        <f>Country!AO5/1000</f>
        <v>8.6445550000000004</v>
      </c>
      <c r="V51" s="345">
        <f>Country!AP5/1000</f>
        <v>13.309986</v>
      </c>
      <c r="W51" s="345">
        <f>Country!AQ5/1000</f>
        <v>14.702573000000001</v>
      </c>
      <c r="X51" s="345">
        <f>Country!AR5/1000</f>
        <v>15.023790999999999</v>
      </c>
      <c r="Y51" s="345">
        <f>Country!AS5/1000</f>
        <v>37.652177000000002</v>
      </c>
      <c r="Z51" s="345">
        <f>Country!AT5/1000</f>
        <v>10.123743000000001</v>
      </c>
      <c r="AA51" s="345">
        <f>Country!AU5/1000</f>
        <v>9.1016389999999987</v>
      </c>
      <c r="AB51" s="345">
        <f>Country!AV5/1000</f>
        <v>18.571496</v>
      </c>
      <c r="AC51" s="345">
        <f>Country!AW5/1000</f>
        <v>22.629835</v>
      </c>
      <c r="AD51" s="345">
        <f>Country!AX5/1000</f>
        <v>18.306072</v>
      </c>
      <c r="AE51" s="345">
        <f>Country!AY5/1000</f>
        <v>26.230601999999998</v>
      </c>
      <c r="AF51" s="345">
        <f>Country!AZ5/1000</f>
        <v>28.538014</v>
      </c>
      <c r="AG51" s="345">
        <f>Country!BA5/1000</f>
        <v>16.287662000000001</v>
      </c>
      <c r="AH51" s="345">
        <f>Country!BB5/1000</f>
        <v>37.854292000000001</v>
      </c>
      <c r="AI51" s="345">
        <f>Country!BC5/1000</f>
        <v>25.289308999999999</v>
      </c>
      <c r="AJ51" s="345">
        <f>Country!BD5/1000</f>
        <v>41.639970999999996</v>
      </c>
      <c r="AK51" s="345">
        <f>Country!BE5/1000</f>
        <v>57.736464500000004</v>
      </c>
      <c r="AL51" s="1981">
        <f>Country!BF5/1000</f>
        <v>13.641924699999999</v>
      </c>
      <c r="AM51" s="1981">
        <f>Country!BG5/1000</f>
        <v>13.892638999999999</v>
      </c>
      <c r="AN51" s="1981">
        <f>Country!BH5/1000</f>
        <v>33.141966699999998</v>
      </c>
      <c r="AO51" s="1981">
        <f>Country!BI5/1000</f>
        <v>30.639373500000001</v>
      </c>
      <c r="AP51" s="1981">
        <f>Country!BJ5/1000</f>
        <v>27.458015</v>
      </c>
      <c r="AQ51" s="1981">
        <f>Country!BK5/1000</f>
        <v>41.468133600000002</v>
      </c>
      <c r="AR51" s="1981">
        <f>Country!BL5/1000</f>
        <v>29.747921000000012</v>
      </c>
      <c r="AS51" s="1981">
        <f>Country!BM5/1000</f>
        <v>31.02438900000001</v>
      </c>
      <c r="AT51" s="1981">
        <f>Country!BN5/1000</f>
        <v>48.843573000000085</v>
      </c>
      <c r="AU51" s="1981">
        <f>Country!BO5/1000</f>
        <v>39.101215000000018</v>
      </c>
      <c r="AV51" s="1981">
        <f>Country!BP5/1000</f>
        <v>50.426896000000063</v>
      </c>
      <c r="AW51" s="1981">
        <f>Country!BQ5/1000</f>
        <v>94.434854000000229</v>
      </c>
      <c r="AX51" s="1981">
        <f>Country!BR5/1000</f>
        <v>27.131550000000004</v>
      </c>
      <c r="AY51" s="1981">
        <f>Country!BS5/1000</f>
        <v>40.723482300000001</v>
      </c>
      <c r="AZ51" s="1981">
        <f>Country!BT5/1000</f>
        <v>56.762080000000005</v>
      </c>
      <c r="BA51" s="1981">
        <f>Country!BU5/1000</f>
        <v>49.965191000000004</v>
      </c>
      <c r="BB51" s="1981">
        <f>Country!BV5/1000</f>
        <v>53.646550000000005</v>
      </c>
      <c r="BC51" s="1981">
        <f>Country!BW5/1000</f>
        <v>58.133580000000002</v>
      </c>
      <c r="BD51" s="1981">
        <f>Country!BX5/1000</f>
        <v>45.669309000000098</v>
      </c>
      <c r="BE51" s="1981">
        <f>Country!BY5/1000</f>
        <v>0</v>
      </c>
      <c r="BF51" s="1981">
        <f>Country!BZ5/1000</f>
        <v>0</v>
      </c>
      <c r="BG51" s="1981">
        <f>Country!CA5/1000</f>
        <v>0</v>
      </c>
      <c r="BH51" s="1981">
        <f>Country!CB5/1000</f>
        <v>0</v>
      </c>
      <c r="BI51" s="1981">
        <f>Country!CC5/1000</f>
        <v>0</v>
      </c>
      <c r="BJ51" s="345"/>
      <c r="BK51" s="345"/>
      <c r="BL51" s="345"/>
    </row>
    <row r="55" spans="1:65">
      <c r="A55" t="s">
        <v>296</v>
      </c>
      <c r="B55" s="201" t="s">
        <v>98</v>
      </c>
      <c r="C55" s="201" t="s">
        <v>34</v>
      </c>
      <c r="D55" s="201" t="s">
        <v>35</v>
      </c>
      <c r="E55" s="201" t="s">
        <v>36</v>
      </c>
      <c r="F55" s="201" t="s">
        <v>37</v>
      </c>
      <c r="G55" s="201" t="s">
        <v>38</v>
      </c>
      <c r="H55" s="201" t="s">
        <v>39</v>
      </c>
      <c r="I55" s="201" t="s">
        <v>40</v>
      </c>
      <c r="J55" s="201" t="s">
        <v>41</v>
      </c>
      <c r="K55" s="201" t="s">
        <v>42</v>
      </c>
      <c r="L55" s="201" t="s">
        <v>43</v>
      </c>
      <c r="M55" s="201" t="s">
        <v>44</v>
      </c>
      <c r="N55" s="201" t="s">
        <v>552</v>
      </c>
      <c r="O55" s="201" t="s">
        <v>34</v>
      </c>
      <c r="P55" s="201" t="s">
        <v>35</v>
      </c>
      <c r="Q55" s="201" t="s">
        <v>36</v>
      </c>
      <c r="R55" s="201" t="s">
        <v>37</v>
      </c>
      <c r="S55" s="201" t="s">
        <v>38</v>
      </c>
      <c r="T55" s="201" t="s">
        <v>39</v>
      </c>
      <c r="U55" s="201" t="s">
        <v>40</v>
      </c>
      <c r="V55" s="201" t="s">
        <v>41</v>
      </c>
      <c r="W55" s="201" t="s">
        <v>42</v>
      </c>
      <c r="X55" s="201" t="s">
        <v>43</v>
      </c>
      <c r="Y55" s="201" t="s">
        <v>44</v>
      </c>
      <c r="Z55" s="201" t="s">
        <v>1097</v>
      </c>
      <c r="AA55" s="201" t="s">
        <v>34</v>
      </c>
      <c r="AB55" s="201" t="s">
        <v>35</v>
      </c>
      <c r="AC55" s="201" t="s">
        <v>36</v>
      </c>
      <c r="AD55" s="201" t="s">
        <v>37</v>
      </c>
      <c r="AE55" s="201" t="s">
        <v>38</v>
      </c>
      <c r="AF55" s="201" t="s">
        <v>39</v>
      </c>
      <c r="AG55" s="201" t="s">
        <v>40</v>
      </c>
      <c r="AH55" s="201" t="s">
        <v>41</v>
      </c>
      <c r="AI55" s="201" t="s">
        <v>42</v>
      </c>
      <c r="AJ55" s="201" t="s">
        <v>43</v>
      </c>
      <c r="AK55" s="201" t="s">
        <v>44</v>
      </c>
    </row>
    <row r="56" spans="1:65">
      <c r="A56" s="184" t="s">
        <v>297</v>
      </c>
      <c r="B56" s="391">
        <f>Plan!E7</f>
        <v>87</v>
      </c>
      <c r="C56" s="391">
        <f>Plan!F7</f>
        <v>94</v>
      </c>
      <c r="D56" s="391">
        <f>Plan!G7</f>
        <v>125</v>
      </c>
      <c r="E56" s="391">
        <f>Plan!H7</f>
        <v>166</v>
      </c>
      <c r="F56" s="391">
        <f>Plan!I7</f>
        <v>267</v>
      </c>
      <c r="G56" s="391">
        <f>Plan!J7</f>
        <v>365</v>
      </c>
      <c r="H56" s="391">
        <f>Plan!K7</f>
        <v>457</v>
      </c>
      <c r="I56" s="391">
        <f>Plan!L7</f>
        <v>539</v>
      </c>
      <c r="J56" s="391">
        <f>Plan!M7</f>
        <v>622</v>
      </c>
      <c r="K56" s="391">
        <f>Plan!N7</f>
        <v>710</v>
      </c>
      <c r="L56" s="391">
        <f>Plan!O7</f>
        <v>776</v>
      </c>
      <c r="M56" s="391">
        <f>Plan!P7</f>
        <v>826</v>
      </c>
      <c r="N56" s="391">
        <f>Plan!Q7</f>
        <v>714</v>
      </c>
      <c r="O56" s="391">
        <f>Plan!R7</f>
        <v>706</v>
      </c>
      <c r="P56" s="391">
        <f>Plan!S7</f>
        <v>758</v>
      </c>
      <c r="Q56" s="391">
        <f>Plan!T7</f>
        <v>960</v>
      </c>
      <c r="R56" s="391">
        <f>Plan!U7</f>
        <v>1208</v>
      </c>
      <c r="S56" s="391">
        <f>Plan!V7</f>
        <v>1454</v>
      </c>
      <c r="T56" s="391">
        <f>Plan!W7</f>
        <v>1742</v>
      </c>
      <c r="U56" s="391">
        <f>Plan!X7</f>
        <v>2030</v>
      </c>
      <c r="V56" s="391">
        <f>Plan!Y7</f>
        <v>2286</v>
      </c>
      <c r="W56" s="391">
        <f>Plan!Z7</f>
        <v>2506</v>
      </c>
      <c r="X56" s="391">
        <f>Plan!AA7</f>
        <v>2708</v>
      </c>
      <c r="Y56" s="391">
        <f>Plan!AB7</f>
        <v>2888</v>
      </c>
      <c r="Z56" s="391">
        <f>Plan!AC7</f>
        <v>2383</v>
      </c>
      <c r="AA56" s="391">
        <f>Plan!AD7</f>
        <v>2535</v>
      </c>
      <c r="AB56" s="391">
        <f>Plan!AE7</f>
        <v>2917</v>
      </c>
      <c r="AC56" s="391">
        <f>Plan!AF7</f>
        <v>3321</v>
      </c>
      <c r="AD56" s="391">
        <f>Plan!AG7</f>
        <v>3747</v>
      </c>
      <c r="AE56" s="391">
        <f>Plan!AH7</f>
        <v>4117</v>
      </c>
      <c r="AF56" s="391">
        <f>Plan!AI7</f>
        <v>4551</v>
      </c>
      <c r="AG56" s="391"/>
      <c r="AH56" s="391"/>
      <c r="AI56" s="391"/>
      <c r="AJ56" s="391"/>
      <c r="AK56" s="391"/>
    </row>
    <row r="57" spans="1:65">
      <c r="A57" t="s">
        <v>298</v>
      </c>
      <c r="B57" s="2101">
        <f>Country!V7</f>
        <v>77</v>
      </c>
      <c r="C57" s="2101">
        <f>Country!W7</f>
        <v>74</v>
      </c>
      <c r="D57" s="2101">
        <f>Country!X7</f>
        <v>118</v>
      </c>
      <c r="E57" s="2101">
        <f>Country!Y7</f>
        <v>212</v>
      </c>
      <c r="F57" s="2101">
        <f>Country!Z7</f>
        <v>308</v>
      </c>
      <c r="G57" s="2101">
        <f>Country!AA7</f>
        <v>376</v>
      </c>
      <c r="H57" s="2101">
        <f>Country!AB7</f>
        <v>405</v>
      </c>
      <c r="I57" s="2101">
        <f>Country!AC7</f>
        <v>452</v>
      </c>
      <c r="J57" s="2101">
        <f>Country!AD7</f>
        <v>518</v>
      </c>
      <c r="K57" s="2101">
        <f>Country!AE7</f>
        <v>571</v>
      </c>
      <c r="L57" s="2101">
        <f>Country!AF7</f>
        <v>633</v>
      </c>
      <c r="M57" s="2101">
        <f>Country!AG7</f>
        <v>783</v>
      </c>
      <c r="N57" s="2101">
        <f>Country!AH7</f>
        <v>767</v>
      </c>
      <c r="O57" s="2101">
        <f>Country!AI7</f>
        <v>708</v>
      </c>
      <c r="P57" s="2101">
        <f>Country!AJ7</f>
        <v>711</v>
      </c>
      <c r="Q57" s="2101">
        <f>Country!AK7</f>
        <v>874</v>
      </c>
      <c r="R57" s="2101">
        <f>Country!AL7</f>
        <v>995</v>
      </c>
      <c r="S57" s="2101">
        <f>Country!AM7</f>
        <v>1089</v>
      </c>
    </row>
    <row r="58" spans="1:65">
      <c r="A58" t="s">
        <v>299</v>
      </c>
      <c r="B58" s="2101">
        <f>Country!V12</f>
        <v>22</v>
      </c>
      <c r="C58" s="2101">
        <f>Country!W12</f>
        <v>9</v>
      </c>
      <c r="D58" s="2101">
        <f>Country!X12</f>
        <v>36</v>
      </c>
      <c r="E58" s="2101">
        <f>Country!Y12</f>
        <v>57</v>
      </c>
      <c r="F58" s="2101">
        <f>Country!Z12</f>
        <v>81</v>
      </c>
      <c r="G58" s="2101">
        <f>Country!AA12</f>
        <v>82</v>
      </c>
      <c r="H58" s="2101">
        <f>Country!AB12</f>
        <v>55</v>
      </c>
      <c r="I58" s="2101">
        <f>Country!AC12</f>
        <v>76</v>
      </c>
      <c r="J58" s="2101">
        <f>Country!AD12</f>
        <v>117</v>
      </c>
      <c r="K58" s="2101">
        <f>Country!AE12</f>
        <v>118</v>
      </c>
      <c r="L58" s="2101">
        <f>Country!AF12</f>
        <v>104</v>
      </c>
      <c r="M58" s="2101">
        <f>Country!AG12</f>
        <v>169</v>
      </c>
      <c r="N58" s="2101">
        <f>Country!AH12</f>
        <v>78</v>
      </c>
      <c r="O58" s="2101">
        <f>Country!AI12</f>
        <v>112</v>
      </c>
      <c r="P58" s="2101">
        <f>Country!AJ12</f>
        <v>105</v>
      </c>
      <c r="Q58" s="2101">
        <f>Country!AK12</f>
        <v>149</v>
      </c>
      <c r="R58" s="2101">
        <f>Country!AL12</f>
        <v>198</v>
      </c>
      <c r="S58" s="2101">
        <f>Country!AM12</f>
        <v>345</v>
      </c>
    </row>
    <row r="59" spans="1:65">
      <c r="A59" t="s">
        <v>300</v>
      </c>
      <c r="B59" s="138">
        <f>Plan!E11</f>
        <v>29</v>
      </c>
      <c r="C59" s="138">
        <f>Plan!F11</f>
        <v>27</v>
      </c>
      <c r="D59" s="138">
        <f>Plan!G11</f>
        <v>41</v>
      </c>
      <c r="E59" s="138">
        <f>Plan!H11</f>
        <v>53</v>
      </c>
      <c r="F59" s="138">
        <f>Plan!I11</f>
        <v>90</v>
      </c>
      <c r="G59" s="138">
        <f>Plan!J11</f>
        <v>129</v>
      </c>
      <c r="H59" s="138">
        <f>Plan!K11</f>
        <v>132</v>
      </c>
      <c r="I59" s="138">
        <f>Plan!L11</f>
        <v>161</v>
      </c>
      <c r="J59" s="138">
        <f>Plan!M11</f>
        <v>195</v>
      </c>
      <c r="K59" s="138">
        <f>Plan!N11</f>
        <v>157</v>
      </c>
      <c r="L59" s="138">
        <f>Plan!O11</f>
        <v>196</v>
      </c>
      <c r="M59" s="138">
        <f>Plan!P11</f>
        <v>240</v>
      </c>
      <c r="N59" s="138">
        <f>Plan!Q11</f>
        <v>140</v>
      </c>
      <c r="O59" s="138">
        <f>Plan!R11</f>
        <v>142</v>
      </c>
      <c r="P59" s="138">
        <f>Plan!S11</f>
        <v>190</v>
      </c>
      <c r="Q59" s="138">
        <f>Plan!T11</f>
        <v>228</v>
      </c>
      <c r="R59" s="138">
        <f>Plan!U11</f>
        <v>292</v>
      </c>
      <c r="S59" s="138">
        <f>Plan!V11</f>
        <v>420</v>
      </c>
    </row>
    <row r="63" spans="1:65">
      <c r="A63" s="173" t="s">
        <v>510</v>
      </c>
    </row>
    <row r="64" spans="1:65">
      <c r="A64" s="173" t="s">
        <v>134</v>
      </c>
      <c r="B64" s="201" t="s">
        <v>33</v>
      </c>
      <c r="C64" s="201" t="s">
        <v>34</v>
      </c>
      <c r="D64" s="201" t="s">
        <v>35</v>
      </c>
      <c r="E64" s="201" t="s">
        <v>36</v>
      </c>
      <c r="F64" s="201" t="s">
        <v>37</v>
      </c>
      <c r="G64" s="201" t="s">
        <v>38</v>
      </c>
      <c r="H64" s="201" t="s">
        <v>39</v>
      </c>
      <c r="I64" s="201" t="s">
        <v>40</v>
      </c>
      <c r="J64" s="201" t="s">
        <v>41</v>
      </c>
      <c r="K64" s="201" t="s">
        <v>42</v>
      </c>
      <c r="L64" s="201" t="s">
        <v>43</v>
      </c>
      <c r="M64" s="201" t="s">
        <v>44</v>
      </c>
      <c r="N64" s="201" t="s">
        <v>33</v>
      </c>
      <c r="O64" s="201" t="s">
        <v>34</v>
      </c>
      <c r="P64" s="201" t="s">
        <v>35</v>
      </c>
      <c r="Q64" s="201" t="s">
        <v>36</v>
      </c>
      <c r="R64" s="201" t="s">
        <v>37</v>
      </c>
      <c r="S64" s="201" t="s">
        <v>38</v>
      </c>
    </row>
    <row r="65" spans="1:19">
      <c r="A65" t="s">
        <v>515</v>
      </c>
      <c r="B65" s="2101">
        <f>Plan!E30</f>
        <v>17</v>
      </c>
      <c r="C65" s="2101">
        <f>Plan!F30</f>
        <v>17</v>
      </c>
      <c r="D65" s="2101">
        <f>Plan!G30</f>
        <v>32</v>
      </c>
      <c r="E65" s="2101">
        <f>Plan!H30</f>
        <v>47</v>
      </c>
      <c r="F65" s="2101">
        <f>Plan!I30</f>
        <v>62</v>
      </c>
      <c r="G65" s="2101">
        <f>Plan!J30</f>
        <v>72</v>
      </c>
      <c r="H65" s="2101">
        <f>Plan!K30</f>
        <v>82</v>
      </c>
      <c r="I65" s="2101">
        <f>Plan!L30</f>
        <v>92</v>
      </c>
      <c r="J65" s="2101">
        <f>Plan!M30</f>
        <v>102</v>
      </c>
      <c r="K65" s="2101">
        <f>Plan!N30</f>
        <v>127</v>
      </c>
      <c r="L65" s="2101">
        <f>Plan!O30</f>
        <v>127</v>
      </c>
      <c r="M65" s="2101">
        <f>Plan!P30</f>
        <v>127</v>
      </c>
      <c r="N65" s="2101">
        <f>Plan!Q30</f>
        <v>77</v>
      </c>
      <c r="O65" s="2101">
        <f>Plan!R30</f>
        <v>75</v>
      </c>
      <c r="P65" s="2101">
        <f>Plan!S30</f>
        <v>73</v>
      </c>
      <c r="Q65" s="2101">
        <f>Plan!T30</f>
        <v>85</v>
      </c>
      <c r="R65" s="2101">
        <f>Plan!U30</f>
        <v>98</v>
      </c>
      <c r="S65" s="2101">
        <f>Plan!V30</f>
        <v>110</v>
      </c>
    </row>
    <row r="66" spans="1:19">
      <c r="A66" t="s">
        <v>512</v>
      </c>
      <c r="B66" s="2101">
        <f>HCM!S11</f>
        <v>18</v>
      </c>
      <c r="C66" s="2101">
        <f>HCM!T11</f>
        <v>16</v>
      </c>
      <c r="D66" s="2101">
        <f>HCM!U11</f>
        <v>16</v>
      </c>
      <c r="E66" s="2101">
        <f>HCM!V11</f>
        <v>31</v>
      </c>
      <c r="F66" s="2101">
        <f>HCM!W11</f>
        <v>37</v>
      </c>
      <c r="G66" s="2101">
        <f>HCM!X11</f>
        <v>36</v>
      </c>
      <c r="H66" s="2101">
        <f>HCM!Y11</f>
        <v>33</v>
      </c>
      <c r="I66" s="2101">
        <f>HCM!Z11</f>
        <v>38</v>
      </c>
      <c r="J66" s="2101">
        <f>HCM!AA11</f>
        <v>47</v>
      </c>
      <c r="K66" s="2101">
        <f>HCM!AB11</f>
        <v>51</v>
      </c>
      <c r="L66" s="2101">
        <f>HCM!AC11</f>
        <v>56</v>
      </c>
      <c r="M66" s="2101">
        <f>HCM!AD11</f>
        <v>65</v>
      </c>
      <c r="N66" s="2101">
        <f>HCM!AE11</f>
        <v>64</v>
      </c>
      <c r="O66" s="2101">
        <f>HCM!AF11</f>
        <v>59</v>
      </c>
      <c r="P66" s="2101">
        <f>HCM!AG11</f>
        <v>61</v>
      </c>
      <c r="Q66" s="2101">
        <f>HCM!AH11</f>
        <v>81</v>
      </c>
      <c r="R66" s="2101">
        <f>HCM!AI11</f>
        <v>103</v>
      </c>
      <c r="S66" s="2101">
        <f>HCM!AJ11</f>
        <v>132</v>
      </c>
    </row>
    <row r="67" spans="1:19">
      <c r="A67" t="s">
        <v>513</v>
      </c>
      <c r="B67" s="475">
        <f>HCM!S60</f>
        <v>0.26315789473684209</v>
      </c>
      <c r="C67" s="475">
        <f>HCM!T60</f>
        <v>5.8823529411764705E-2</v>
      </c>
      <c r="D67" s="475">
        <f>HCM!U60</f>
        <v>0.52941176470588236</v>
      </c>
      <c r="E67" s="475">
        <f>HCM!V60</f>
        <v>0.4358974358974359</v>
      </c>
      <c r="F67" s="475">
        <f>HCM!W60</f>
        <v>0.44444444444444442</v>
      </c>
      <c r="G67" s="475">
        <f>HCM!X60</f>
        <v>0.27272727272727271</v>
      </c>
      <c r="H67" s="475">
        <f>HCM!Y60</f>
        <v>0.30952380952380953</v>
      </c>
      <c r="I67" s="475">
        <f>HCM!Z60</f>
        <v>0.31914893617021278</v>
      </c>
      <c r="J67" s="475">
        <f>HCM!AA60</f>
        <v>0.42307692307692307</v>
      </c>
      <c r="K67" s="475">
        <f>HCM!AB60</f>
        <v>0.46296296296296297</v>
      </c>
      <c r="L67" s="475">
        <f>HCM!AC60</f>
        <v>0.2711864406779661</v>
      </c>
      <c r="M67" s="475">
        <f>HCM!AD60</f>
        <v>0.35616438356164382</v>
      </c>
      <c r="N67" s="475">
        <f>HCM!AE60</f>
        <v>0.1388888888888889</v>
      </c>
      <c r="O67" s="475">
        <f>HCM!AF60</f>
        <v>0.22388059701492538</v>
      </c>
      <c r="P67" s="475">
        <f>HCM!AG60</f>
        <v>0.30985915492957744</v>
      </c>
      <c r="Q67" s="475">
        <f>HCM!AH60</f>
        <v>0.52173913043478259</v>
      </c>
      <c r="R67" s="475">
        <f>HCM!AI60</f>
        <v>0.5178571428571429</v>
      </c>
      <c r="S67" s="475">
        <f>HCM!AJ60</f>
        <v>0.44285714285714284</v>
      </c>
    </row>
    <row r="68" spans="1:19">
      <c r="A68" t="s">
        <v>514</v>
      </c>
    </row>
    <row r="69" spans="1:19">
      <c r="A69" t="s">
        <v>516</v>
      </c>
      <c r="B69" s="2101">
        <f>Plan!E28</f>
        <v>87</v>
      </c>
      <c r="C69" s="2101">
        <f>Plan!F28</f>
        <v>94</v>
      </c>
      <c r="D69" s="2101">
        <f>Plan!G28</f>
        <v>125</v>
      </c>
      <c r="E69" s="2101">
        <f>Plan!H28</f>
        <v>166</v>
      </c>
      <c r="F69" s="2101">
        <f>Plan!I28</f>
        <v>227</v>
      </c>
      <c r="G69" s="2101">
        <f>Plan!J28</f>
        <v>280</v>
      </c>
      <c r="H69" s="2101">
        <f>Plan!K28</f>
        <v>317</v>
      </c>
      <c r="I69" s="2101">
        <f>Plan!L28</f>
        <v>349</v>
      </c>
      <c r="J69" s="2101">
        <f>Plan!M28</f>
        <v>382</v>
      </c>
      <c r="K69" s="2101">
        <f>Plan!N28</f>
        <v>410</v>
      </c>
      <c r="L69" s="2101">
        <f>Plan!O28</f>
        <v>434</v>
      </c>
      <c r="M69" s="2101">
        <f>Plan!P28</f>
        <v>457</v>
      </c>
      <c r="N69" s="2101">
        <f>Plan!Q28</f>
        <v>357</v>
      </c>
      <c r="O69" s="2101">
        <f>Plan!R28</f>
        <v>353</v>
      </c>
      <c r="P69" s="2101">
        <f>Plan!S28</f>
        <v>379</v>
      </c>
      <c r="Q69" s="2101">
        <f>Plan!T28</f>
        <v>450</v>
      </c>
      <c r="R69" s="2101">
        <f>Plan!U28</f>
        <v>529</v>
      </c>
      <c r="S69" s="2101">
        <f>Plan!V28</f>
        <v>603</v>
      </c>
    </row>
    <row r="70" spans="1:19">
      <c r="A70" t="s">
        <v>517</v>
      </c>
      <c r="B70" s="2101">
        <f>HCM!S8</f>
        <v>77</v>
      </c>
      <c r="C70" s="2101">
        <f>HCM!T8</f>
        <v>74</v>
      </c>
      <c r="D70" s="2101">
        <f>HCM!U8</f>
        <v>92</v>
      </c>
      <c r="E70" s="2101">
        <f>HCM!V8</f>
        <v>119</v>
      </c>
      <c r="F70" s="2101">
        <f>HCM!W8</f>
        <v>158</v>
      </c>
      <c r="G70" s="2101">
        <f>HCM!X8</f>
        <v>174</v>
      </c>
      <c r="H70" s="2101">
        <f>HCM!Y8</f>
        <v>174</v>
      </c>
      <c r="I70" s="2101">
        <f>HCM!Z8</f>
        <v>193</v>
      </c>
      <c r="J70" s="2101">
        <f>HCM!AA8</f>
        <v>213</v>
      </c>
      <c r="K70" s="2101">
        <f>HCM!AB8</f>
        <v>228</v>
      </c>
      <c r="L70" s="2101">
        <f>HCM!AC8</f>
        <v>251</v>
      </c>
      <c r="M70" s="2101">
        <f>HCM!AD8</f>
        <v>299</v>
      </c>
      <c r="N70" s="2101">
        <f>HCM!AE8</f>
        <v>296</v>
      </c>
      <c r="O70" s="2101">
        <f>HCM!AF8</f>
        <v>277</v>
      </c>
      <c r="P70" s="2101">
        <f>HCM!AG8</f>
        <v>323</v>
      </c>
      <c r="Q70" s="2101">
        <f>HCM!AH8</f>
        <v>427</v>
      </c>
      <c r="R70" s="2101">
        <f>HCM!AI8</f>
        <v>506</v>
      </c>
      <c r="S70" s="2101">
        <f>HCM!AJ8</f>
        <v>565</v>
      </c>
    </row>
    <row r="110" spans="1:25">
      <c r="A110" s="173" t="s">
        <v>135</v>
      </c>
      <c r="B110" s="201" t="s">
        <v>552</v>
      </c>
      <c r="C110" s="201" t="s">
        <v>34</v>
      </c>
      <c r="D110" s="201" t="s">
        <v>35</v>
      </c>
      <c r="E110" s="201" t="s">
        <v>36</v>
      </c>
      <c r="F110" s="201" t="s">
        <v>37</v>
      </c>
      <c r="G110" s="201" t="s">
        <v>38</v>
      </c>
      <c r="H110" s="201" t="s">
        <v>39</v>
      </c>
      <c r="I110" s="201" t="s">
        <v>40</v>
      </c>
      <c r="J110" s="201" t="s">
        <v>41</v>
      </c>
      <c r="K110" s="201" t="s">
        <v>42</v>
      </c>
      <c r="L110" s="201" t="s">
        <v>43</v>
      </c>
      <c r="M110" s="201" t="s">
        <v>44</v>
      </c>
      <c r="N110" s="1575" t="s">
        <v>1097</v>
      </c>
      <c r="O110" s="201" t="s">
        <v>34</v>
      </c>
      <c r="P110" s="201" t="s">
        <v>35</v>
      </c>
      <c r="Q110" s="201" t="s">
        <v>36</v>
      </c>
      <c r="R110" s="201" t="s">
        <v>37</v>
      </c>
      <c r="S110" s="201" t="s">
        <v>38</v>
      </c>
      <c r="T110" s="201" t="s">
        <v>39</v>
      </c>
      <c r="U110" s="201" t="s">
        <v>40</v>
      </c>
      <c r="V110" s="201" t="s">
        <v>41</v>
      </c>
      <c r="W110" s="201" t="s">
        <v>42</v>
      </c>
      <c r="X110" s="201" t="s">
        <v>43</v>
      </c>
      <c r="Y110" s="201" t="s">
        <v>44</v>
      </c>
    </row>
    <row r="111" spans="1:25">
      <c r="A111" t="s">
        <v>511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512</v>
      </c>
      <c r="B112">
        <f>HN!S11</f>
        <v>0</v>
      </c>
      <c r="C112">
        <f>HN!T11</f>
        <v>0</v>
      </c>
      <c r="D112">
        <f>HN!U11</f>
        <v>11</v>
      </c>
      <c r="E112">
        <f>HN!V11</f>
        <v>39</v>
      </c>
      <c r="F112">
        <f>HN!W11</f>
        <v>54</v>
      </c>
      <c r="G112">
        <f>HN!X11</f>
        <v>64</v>
      </c>
      <c r="H112">
        <f>HN!Y11</f>
        <v>63</v>
      </c>
      <c r="I112">
        <f>HN!Z11</f>
        <v>66</v>
      </c>
      <c r="J112">
        <f>HN!AA11</f>
        <v>72</v>
      </c>
      <c r="K112">
        <f>HN!AB11</f>
        <v>61</v>
      </c>
      <c r="L112">
        <f>HN!AC11</f>
        <v>64</v>
      </c>
      <c r="M112">
        <f>HN!AD11</f>
        <v>61</v>
      </c>
      <c r="N112">
        <f>HN!AE11</f>
        <v>61</v>
      </c>
      <c r="O112">
        <f>HN!AF11</f>
        <v>57</v>
      </c>
      <c r="P112">
        <f>HN!AG11</f>
        <v>56</v>
      </c>
      <c r="Q112">
        <f>HN!AH11</f>
        <v>75</v>
      </c>
      <c r="R112">
        <f>HN!AI11</f>
        <v>90</v>
      </c>
      <c r="S112">
        <f>HN!AJ11</f>
        <v>114</v>
      </c>
      <c r="T112">
        <f>HN!AK11</f>
        <v>107</v>
      </c>
    </row>
    <row r="113" spans="1:20">
      <c r="A113" t="s">
        <v>513</v>
      </c>
      <c r="B113" s="475">
        <f>HN!S60</f>
        <v>0</v>
      </c>
      <c r="C113" s="475">
        <f>HN!T60</f>
        <v>0</v>
      </c>
      <c r="D113" s="475">
        <f>HN!U60</f>
        <v>0.63636363636363635</v>
      </c>
      <c r="E113" s="475">
        <f>HN!V60</f>
        <v>0.53846153846153844</v>
      </c>
      <c r="F113" s="475">
        <f>HN!W60</f>
        <v>0.46296296296296297</v>
      </c>
      <c r="G113" s="475">
        <f>HN!X60</f>
        <v>0.390625</v>
      </c>
      <c r="H113" s="475">
        <f>HN!Y60</f>
        <v>0.39393939393939392</v>
      </c>
      <c r="I113" s="475">
        <f>HN!Z60</f>
        <v>0.352112676056338</v>
      </c>
      <c r="J113" s="475">
        <f>HN!AA60</f>
        <v>0.32051282051282054</v>
      </c>
      <c r="K113" s="475">
        <f>HN!AB60</f>
        <v>0.44927536231884058</v>
      </c>
      <c r="L113" s="475">
        <f>HN!AC60</f>
        <v>0.42666666666666669</v>
      </c>
      <c r="M113" s="475">
        <f>HN!AD60</f>
        <v>0.46575342465753422</v>
      </c>
      <c r="N113" s="475">
        <f>HN!AE60</f>
        <v>0.24705882352941178</v>
      </c>
      <c r="O113" s="475">
        <f>HN!AF60</f>
        <v>0.17857142857142858</v>
      </c>
      <c r="P113" s="475">
        <f>HN!AG60</f>
        <v>0.21428571428571427</v>
      </c>
      <c r="Q113" s="475">
        <f>HN!AH60</f>
        <v>0.39175257731958762</v>
      </c>
      <c r="R113" s="475">
        <f>HN!AI60</f>
        <v>0.35398230088495575</v>
      </c>
      <c r="S113" s="475">
        <f>HN!AJ60</f>
        <v>0.4925373134328358</v>
      </c>
      <c r="T113" s="475">
        <f>HN!AK60</f>
        <v>0.49206349206349204</v>
      </c>
    </row>
    <row r="114" spans="1:20">
      <c r="A114" t="s">
        <v>514</v>
      </c>
    </row>
    <row r="115" spans="1:20">
      <c r="A115" t="s">
        <v>516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517</v>
      </c>
      <c r="B116">
        <f>HN!S8</f>
        <v>0</v>
      </c>
      <c r="C116">
        <f>HN!T8</f>
        <v>0</v>
      </c>
      <c r="D116">
        <f>HN!U8</f>
        <v>26</v>
      </c>
      <c r="E116">
        <f>HN!V8</f>
        <v>93</v>
      </c>
      <c r="F116">
        <f>HN!W8</f>
        <v>150</v>
      </c>
      <c r="G116">
        <f>HN!X8</f>
        <v>202</v>
      </c>
      <c r="H116">
        <f>HN!Y8</f>
        <v>231</v>
      </c>
      <c r="I116">
        <f>HN!Z8</f>
        <v>259</v>
      </c>
      <c r="J116">
        <f>HN!AA8</f>
        <v>305</v>
      </c>
      <c r="K116">
        <f>HN!AB8</f>
        <v>343</v>
      </c>
      <c r="L116">
        <f>HN!AC8</f>
        <v>382</v>
      </c>
      <c r="M116">
        <f>HN!AD8</f>
        <v>484</v>
      </c>
      <c r="N116">
        <f>HN!AE8</f>
        <v>471</v>
      </c>
      <c r="O116">
        <f>HN!AF8</f>
        <v>431</v>
      </c>
      <c r="P116">
        <f>HN!AG8</f>
        <v>388</v>
      </c>
      <c r="Q116">
        <f>HN!AH8</f>
        <v>447</v>
      </c>
      <c r="R116">
        <f>HN!AI8</f>
        <v>489</v>
      </c>
      <c r="S116">
        <f>HN!AJ8</f>
        <v>519</v>
      </c>
      <c r="T116">
        <f>HN!AK8</f>
        <v>518</v>
      </c>
    </row>
    <row r="155" spans="1:61">
      <c r="A155" t="s">
        <v>134</v>
      </c>
      <c r="B155" s="201" t="s">
        <v>33</v>
      </c>
      <c r="C155" s="201" t="s">
        <v>34</v>
      </c>
      <c r="D155" s="201" t="s">
        <v>35</v>
      </c>
      <c r="E155" s="201" t="s">
        <v>36</v>
      </c>
      <c r="F155" s="201" t="s">
        <v>37</v>
      </c>
      <c r="G155" s="201" t="s">
        <v>38</v>
      </c>
      <c r="H155" s="201" t="s">
        <v>39</v>
      </c>
      <c r="I155" s="201" t="s">
        <v>40</v>
      </c>
      <c r="J155" s="201" t="s">
        <v>41</v>
      </c>
      <c r="K155" s="201" t="s">
        <v>42</v>
      </c>
      <c r="L155" s="201" t="s">
        <v>43</v>
      </c>
      <c r="M155" s="201" t="s">
        <v>44</v>
      </c>
      <c r="N155" s="1575" t="s">
        <v>552</v>
      </c>
      <c r="O155" s="201" t="s">
        <v>34</v>
      </c>
      <c r="P155" s="201" t="s">
        <v>35</v>
      </c>
      <c r="Q155" s="201" t="s">
        <v>36</v>
      </c>
      <c r="R155" s="201" t="s">
        <v>37</v>
      </c>
      <c r="S155" s="201" t="s">
        <v>38</v>
      </c>
      <c r="T155" s="201" t="s">
        <v>39</v>
      </c>
      <c r="U155" s="201" t="s">
        <v>40</v>
      </c>
      <c r="V155" s="201" t="s">
        <v>41</v>
      </c>
      <c r="W155" s="201" t="s">
        <v>42</v>
      </c>
      <c r="X155" s="201" t="s">
        <v>43</v>
      </c>
      <c r="Y155" s="201" t="s">
        <v>44</v>
      </c>
      <c r="Z155" s="1575" t="s">
        <v>1097</v>
      </c>
      <c r="AA155" s="201" t="s">
        <v>34</v>
      </c>
      <c r="AB155" s="201" t="s">
        <v>35</v>
      </c>
      <c r="AC155" s="201" t="s">
        <v>36</v>
      </c>
      <c r="AD155" s="201" t="s">
        <v>37</v>
      </c>
      <c r="AE155" s="201" t="s">
        <v>38</v>
      </c>
      <c r="AF155" s="201" t="s">
        <v>39</v>
      </c>
      <c r="AG155" s="201" t="s">
        <v>40</v>
      </c>
      <c r="AH155" s="201" t="s">
        <v>41</v>
      </c>
      <c r="AI155" s="201" t="s">
        <v>42</v>
      </c>
      <c r="AJ155" s="201" t="s">
        <v>43</v>
      </c>
      <c r="AK155" s="201" t="s">
        <v>44</v>
      </c>
      <c r="AL155" s="1575" t="s">
        <v>2552</v>
      </c>
      <c r="AM155" s="201" t="s">
        <v>34</v>
      </c>
      <c r="AN155" s="201" t="s">
        <v>35</v>
      </c>
      <c r="AO155" s="201" t="s">
        <v>36</v>
      </c>
      <c r="AP155" s="201" t="s">
        <v>37</v>
      </c>
      <c r="AQ155" s="201" t="s">
        <v>38</v>
      </c>
      <c r="AR155" s="201" t="s">
        <v>39</v>
      </c>
      <c r="AS155" s="201" t="s">
        <v>40</v>
      </c>
      <c r="AT155" s="201" t="s">
        <v>41</v>
      </c>
      <c r="AU155" s="201" t="s">
        <v>42</v>
      </c>
      <c r="AV155" s="201" t="s">
        <v>43</v>
      </c>
      <c r="AW155" s="201" t="s">
        <v>44</v>
      </c>
      <c r="AX155" s="201" t="s">
        <v>4133</v>
      </c>
      <c r="AY155" s="201" t="s">
        <v>34</v>
      </c>
      <c r="AZ155" s="1575" t="s">
        <v>35</v>
      </c>
      <c r="BA155" s="201" t="s">
        <v>36</v>
      </c>
      <c r="BB155" s="201" t="s">
        <v>37</v>
      </c>
      <c r="BC155" s="201" t="s">
        <v>38</v>
      </c>
      <c r="BD155" s="201" t="s">
        <v>39</v>
      </c>
      <c r="BE155" s="201" t="s">
        <v>40</v>
      </c>
      <c r="BF155" s="201" t="s">
        <v>41</v>
      </c>
      <c r="BG155" s="201" t="s">
        <v>42</v>
      </c>
      <c r="BH155" s="201" t="s">
        <v>43</v>
      </c>
      <c r="BI155" s="201" t="s">
        <v>44</v>
      </c>
    </row>
    <row r="156" spans="1:61">
      <c r="A156" s="297" t="s">
        <v>257</v>
      </c>
      <c r="B156" s="1574">
        <f>Plan!E27/1000</f>
        <v>0.498</v>
      </c>
      <c r="C156" s="1574">
        <f>Plan!F27/1000</f>
        <v>0.45650000000000002</v>
      </c>
      <c r="D156" s="1574">
        <f>Plan!G27/1000</f>
        <v>0.70550000000000002</v>
      </c>
      <c r="E156" s="1574">
        <f>Plan!H27/1000</f>
        <v>0.91300000000000003</v>
      </c>
      <c r="F156" s="1574">
        <f>Plan!I27/1000</f>
        <v>1.2450000000000001</v>
      </c>
      <c r="G156" s="1574">
        <f>Plan!J27/1000</f>
        <v>1.66</v>
      </c>
      <c r="H156" s="1574">
        <f>Plan!K27/1000</f>
        <v>1.411</v>
      </c>
      <c r="I156" s="1574">
        <f>Plan!L27/1000</f>
        <v>1.66</v>
      </c>
      <c r="J156" s="1574">
        <f>Plan!M27/1000</f>
        <v>2.0750000000000002</v>
      </c>
      <c r="K156" s="1574">
        <f>Plan!N27/1000</f>
        <v>1.411</v>
      </c>
      <c r="L156" s="1574">
        <f>Plan!O27/1000</f>
        <v>1.8260000000000001</v>
      </c>
      <c r="M156" s="1574">
        <f>Plan!P27/1000</f>
        <v>2.1579999999999999</v>
      </c>
      <c r="N156" s="1576">
        <f>Plan!Q27/1000</f>
        <v>1.2555999999999998</v>
      </c>
      <c r="O156" s="1574">
        <f>Plan!R27/1000</f>
        <v>1.2814000000000001</v>
      </c>
      <c r="P156" s="1574">
        <f>Plan!S27/1000</f>
        <v>1.72</v>
      </c>
      <c r="Q156" s="1574">
        <f>Plan!T27/1000</f>
        <v>1.9436</v>
      </c>
      <c r="R156" s="1574">
        <f>Plan!U27/1000</f>
        <v>2.2961999999999998</v>
      </c>
      <c r="S156" s="1574">
        <f>Plan!V27/1000</f>
        <v>3.0659000000000001</v>
      </c>
      <c r="T156" s="1574">
        <f>Plan!W27/1000</f>
        <v>2.9756</v>
      </c>
      <c r="U156" s="1574">
        <f>Plan!X27/1000</f>
        <v>3.2507999999999999</v>
      </c>
      <c r="V156" s="1574">
        <f>Plan!Y27/1000</f>
        <v>3.9731999999999998</v>
      </c>
      <c r="W156" s="1574">
        <f>Plan!Z27/1000</f>
        <v>3.5947999999999998</v>
      </c>
      <c r="X156" s="1574">
        <f>Plan!AA27/1000</f>
        <v>3.7324000000000002</v>
      </c>
      <c r="Y156" s="1574">
        <f>Plan!AB27/1000</f>
        <v>4.4548000000000005</v>
      </c>
      <c r="Z156" s="1574">
        <f>Plan!AC27/1000</f>
        <v>9.35</v>
      </c>
      <c r="AA156" s="1574">
        <f>Plan!AD27/1000</f>
        <v>5.61</v>
      </c>
      <c r="AB156" s="1574">
        <f>Plan!AE27/1000</f>
        <v>11.22</v>
      </c>
      <c r="AC156" s="1574">
        <f>Plan!AF27/1000</f>
        <v>13.090000000000002</v>
      </c>
      <c r="AD156" s="1574">
        <f>Plan!AG27/1000</f>
        <v>14.96</v>
      </c>
      <c r="AE156" s="1574">
        <f>Plan!AH27/1000</f>
        <v>16.829999999999998</v>
      </c>
      <c r="AF156" s="1574">
        <f>Plan!AI27/1000</f>
        <v>11.22</v>
      </c>
      <c r="AG156" s="1574">
        <f>Plan!AJ27/1000</f>
        <v>13.090000000000002</v>
      </c>
      <c r="AH156" s="1574">
        <f>Plan!AK27/1000</f>
        <v>18.7</v>
      </c>
      <c r="AI156" s="1574">
        <f>Plan!AL27/1000</f>
        <v>14.96</v>
      </c>
      <c r="AJ156" s="1574">
        <f>Plan!AM27/1000</f>
        <v>20.57</v>
      </c>
      <c r="AK156" s="1574">
        <f>Plan!AN27/1000</f>
        <v>37.4</v>
      </c>
      <c r="AL156" s="1574">
        <f>Plan!AO27/1000</f>
        <v>8.8000000000000007</v>
      </c>
      <c r="AM156" s="1574">
        <f>Plan!AP27/1000</f>
        <v>6.6000000000000005</v>
      </c>
      <c r="AN156" s="1574">
        <f>Plan!AQ27/1000</f>
        <v>17.600000000000001</v>
      </c>
      <c r="AO156" s="1574">
        <f>Plan!AR27/1000</f>
        <v>23.100000000000005</v>
      </c>
      <c r="AP156" s="1574">
        <f>Plan!AS27/1000</f>
        <v>19.8</v>
      </c>
      <c r="AQ156" s="1574">
        <f>Plan!AT27/1000</f>
        <v>25.850000000000005</v>
      </c>
      <c r="AR156" s="1574">
        <f>Plan!AU27/1000</f>
        <v>22.800999999999998</v>
      </c>
      <c r="AS156" s="1574">
        <f>Plan!AV27/1000</f>
        <v>27.385954527868147</v>
      </c>
      <c r="AT156" s="1574">
        <f>Plan!AW27/1000</f>
        <v>32.801442167981193</v>
      </c>
      <c r="AU156" s="1574">
        <f>Plan!AX27/1000</f>
        <v>30.591790649000213</v>
      </c>
      <c r="AV156" s="1574">
        <f>Plan!AY27/1000</f>
        <v>34.930105516904469</v>
      </c>
      <c r="AW156" s="1574">
        <f>Plan!AZ27/1000</f>
        <v>46.417645139949393</v>
      </c>
      <c r="AX156" s="1574">
        <f>Plan!BA27/1000</f>
        <v>10.048466008322942</v>
      </c>
      <c r="AY156" s="1574">
        <f>Plan!BB27/1000</f>
        <v>9.8299856658560376</v>
      </c>
      <c r="AZ156" s="1574">
        <f>Plan!BC27/1000</f>
        <v>26.330932833623116</v>
      </c>
      <c r="BA156" s="1574">
        <f>Plan!BD27/1000</f>
        <v>24.764776055533034</v>
      </c>
      <c r="BB156" s="1574">
        <f>Plan!BE27/1000</f>
        <v>28.629401880383874</v>
      </c>
      <c r="BC156" s="1574">
        <f>Plan!BF27/1000</f>
        <v>30.70041505481208</v>
      </c>
      <c r="BD156" s="1574">
        <f>Plan!BG27/1000</f>
        <v>28.962400492013472</v>
      </c>
      <c r="BE156" s="1574">
        <f>Plan!BH27/1000</f>
        <v>31.585854977271929</v>
      </c>
      <c r="BF156" s="1574">
        <f>Plan!BI27/1000</f>
        <v>33.893437700946158</v>
      </c>
      <c r="BG156" s="1574">
        <f>Plan!BJ27/1000</f>
        <v>32.930364390066281</v>
      </c>
      <c r="BH156" s="1574">
        <f>Plan!BK27/1000</f>
        <v>36.423238408592951</v>
      </c>
      <c r="BI156" s="1574">
        <f>Plan!BL27/1000</f>
        <v>39.702942964118222</v>
      </c>
    </row>
    <row r="157" spans="1:61">
      <c r="A157" s="344" t="s">
        <v>58</v>
      </c>
      <c r="B157" s="1574">
        <f>HCM!S6/1000</f>
        <v>0.417879</v>
      </c>
      <c r="C157" s="1574">
        <f>HCM!T6/1000</f>
        <v>0.177839</v>
      </c>
      <c r="D157" s="1574">
        <f>HCM!U6/1000</f>
        <v>0.35461999999999999</v>
      </c>
      <c r="E157" s="1574">
        <f>HCM!V6/1000</f>
        <v>0.42984500000000003</v>
      </c>
      <c r="F157" s="1574">
        <f>HCM!W6/1000</f>
        <v>0.52355200000000002</v>
      </c>
      <c r="G157" s="1574">
        <f>HCM!X6/1000</f>
        <v>0.435309</v>
      </c>
      <c r="H157" s="1574">
        <f>HCM!Y6/1000</f>
        <v>0.41622699999999996</v>
      </c>
      <c r="I157" s="1574">
        <f>HCM!Z6/1000</f>
        <v>0.57935099999999995</v>
      </c>
      <c r="J157" s="1574">
        <f>HCM!AA6/1000</f>
        <v>0.89490599999999998</v>
      </c>
      <c r="K157" s="1574">
        <f>HCM!AB6/1000</f>
        <v>1.2050999999999998</v>
      </c>
      <c r="L157" s="1574">
        <f>HCM!AC6/1000</f>
        <v>0.86013899999999999</v>
      </c>
      <c r="M157" s="1574">
        <f>HCM!AD6/1000</f>
        <v>1.3085499999999999</v>
      </c>
      <c r="N157" s="1576">
        <f>HCM!AE6/1000</f>
        <v>0.74424999999999997</v>
      </c>
      <c r="O157" s="1574">
        <f>HCM!AF6/1000</f>
        <v>0.845495</v>
      </c>
      <c r="P157" s="1574">
        <f>HCM!AG6/1000</f>
        <v>1.0805719999999999</v>
      </c>
      <c r="Q157" s="1574">
        <f>HCM!AH6/1000</f>
        <v>1.5666340000000001</v>
      </c>
      <c r="R157" s="1574">
        <f>HCM!AI6/1000</f>
        <v>2.1173290000000002</v>
      </c>
      <c r="S157" s="1574">
        <f>HCM!AJ6/1000</f>
        <v>4.2603119999999999</v>
      </c>
      <c r="T157" s="1574">
        <f>HCM!AK6/1000</f>
        <v>4.5916069999999998</v>
      </c>
      <c r="U157" s="1574">
        <f>HCM!AL6/1000</f>
        <v>4.8168010000000008</v>
      </c>
      <c r="V157" s="1574">
        <f>HCM!AM6/1000</f>
        <v>7.1827569999999996</v>
      </c>
      <c r="W157" s="1574">
        <f>HCM!AN6/1000</f>
        <v>8.5627430000000011</v>
      </c>
      <c r="X157" s="1574">
        <f>HCM!AO6/1000</f>
        <v>8.0414279999999998</v>
      </c>
      <c r="Y157" s="1574">
        <f>HCM!AP6/1000</f>
        <v>22.373381000000002</v>
      </c>
      <c r="Z157" s="1574">
        <f>HCM!AQ6/1000</f>
        <v>4.9792820000000004</v>
      </c>
      <c r="AA157" s="1574">
        <f>HCM!AR6/1000</f>
        <v>5.0603119999999997</v>
      </c>
      <c r="AB157" s="1574">
        <f>HCM!AS6/1000</f>
        <v>10.504348</v>
      </c>
      <c r="AC157" s="1574">
        <f>HCM!AT6/1000</f>
        <v>13.010605999999999</v>
      </c>
      <c r="AD157" s="1574">
        <f>HCM!AU6/1000</f>
        <v>11.100294</v>
      </c>
      <c r="AE157" s="1574">
        <f>HCM!AV6/1000</f>
        <v>18.006321</v>
      </c>
      <c r="AF157" s="1574">
        <f>HCM!AW6/1000</f>
        <v>16.242715</v>
      </c>
      <c r="AG157" s="1574">
        <f>HCM!AX6/1000</f>
        <v>9.7329220000000003</v>
      </c>
      <c r="AH157" s="1574">
        <f>HCM!AY6/1000</f>
        <v>21.096641999999999</v>
      </c>
      <c r="AI157" s="1574">
        <f>HCM!AZ6/1000</f>
        <v>13.604614</v>
      </c>
      <c r="AJ157" s="1574">
        <f>HCM!BA6/1000</f>
        <v>20.745175</v>
      </c>
      <c r="AK157" s="1574">
        <f>HCM!BB6/1000</f>
        <v>33.941060499999999</v>
      </c>
      <c r="AL157" s="1574">
        <f>HCM!BC6/1000</f>
        <v>6.7589367000000005</v>
      </c>
      <c r="AM157" s="1574">
        <f>HCM!BD6/1000</f>
        <v>7.0899010000000002</v>
      </c>
      <c r="AN157" s="1574">
        <f>HCM!BE6/1000</f>
        <v>17.117714700000001</v>
      </c>
      <c r="AO157" s="1574">
        <f>HCM!BF6/1000</f>
        <v>17.8516485</v>
      </c>
      <c r="AP157" s="1574">
        <f>HCM!BG6/1000</f>
        <v>13.239942999999998</v>
      </c>
      <c r="AQ157" s="1574">
        <f>HCM!BH6/1000</f>
        <v>17.1390536</v>
      </c>
      <c r="AR157" s="1574">
        <f>HCM!BI6/1000</f>
        <v>14.083947000000002</v>
      </c>
      <c r="AS157" s="1574">
        <f>HCM!BJ6/1000</f>
        <v>13.458544</v>
      </c>
      <c r="AT157" s="1574">
        <f>HCM!BK6/1000</f>
        <v>19.973662000000012</v>
      </c>
      <c r="AU157" s="1574">
        <f>HCM!BL6/1000</f>
        <v>17.507514</v>
      </c>
      <c r="AV157" s="1574">
        <f>HCM!BM6/1000</f>
        <v>27.275495000000021</v>
      </c>
      <c r="AW157" s="1574">
        <f>HCM!BN6/1000</f>
        <v>44.739436000000019</v>
      </c>
      <c r="AX157" s="1574">
        <f>HCM!BO6/1000</f>
        <v>13.201143</v>
      </c>
      <c r="AY157" s="1574">
        <f>HCM!BP6/1000</f>
        <v>21.017186300000002</v>
      </c>
      <c r="AZ157" s="1574">
        <f>HCM!BQ6/1000</f>
        <v>27.126849999999997</v>
      </c>
      <c r="BA157" s="1574">
        <f>HCM!BR6/1000</f>
        <v>24.493397000000002</v>
      </c>
      <c r="BB157" s="1574">
        <f>HCM!BS6/1000</f>
        <v>31.213650000000001</v>
      </c>
      <c r="BC157" s="1574">
        <f>HCM!BT6/1000</f>
        <v>30.759430000000002</v>
      </c>
      <c r="BD157" s="1574">
        <f>HCM!BU6/1000</f>
        <v>23.288808</v>
      </c>
      <c r="BE157" s="1574">
        <f>HCM!BV6/1000</f>
        <v>0</v>
      </c>
      <c r="BF157" s="1574">
        <f>HCM!BW6/1000</f>
        <v>0</v>
      </c>
      <c r="BG157" s="1574">
        <f>HCM!BX6/1000</f>
        <v>0</v>
      </c>
      <c r="BH157" s="1574">
        <f>HCM!BY6/1000</f>
        <v>0</v>
      </c>
      <c r="BI157" s="1574">
        <f>HCM!BZ6/1000</f>
        <v>0</v>
      </c>
    </row>
    <row r="158" spans="1:61">
      <c r="N158" s="263"/>
    </row>
    <row r="159" spans="1:61">
      <c r="A159" t="s">
        <v>113</v>
      </c>
      <c r="N159" s="263"/>
    </row>
    <row r="160" spans="1:61">
      <c r="A160" s="297" t="s">
        <v>257</v>
      </c>
      <c r="B160" s="1574">
        <f>Plan!E50/1000</f>
        <v>0</v>
      </c>
      <c r="C160" s="1574">
        <f>Plan!F50/1000</f>
        <v>0</v>
      </c>
      <c r="D160" s="1574">
        <f>Plan!G50/1000</f>
        <v>0.28643299999999994</v>
      </c>
      <c r="E160" s="1574">
        <f>Plan!H50/1000</f>
        <v>0.53916799999999987</v>
      </c>
      <c r="F160" s="1574">
        <f>Plan!I50/1000</f>
        <v>0.70133962499999991</v>
      </c>
      <c r="G160" s="1574">
        <f>Plan!J50/1000</f>
        <v>1.0783359999999997</v>
      </c>
      <c r="H160" s="1574">
        <f>Plan!K50/1000</f>
        <v>1.2468259999999998</v>
      </c>
      <c r="I160" s="1574">
        <f>Plan!L50/1000</f>
        <v>1.3647689999999999</v>
      </c>
      <c r="J160" s="1574">
        <f>Plan!M50/1000</f>
        <v>1.6225586999999999</v>
      </c>
      <c r="K160" s="1574">
        <f>Plan!N50/1000</f>
        <v>1.7969458499999993</v>
      </c>
      <c r="L160" s="1574">
        <f>Plan!O50/1000</f>
        <v>1.9763877000000001</v>
      </c>
      <c r="M160" s="1574">
        <f>Plan!P50/1000</f>
        <v>2.1987945</v>
      </c>
      <c r="N160" s="1576">
        <f>Plan!Q50/1000</f>
        <v>1.2555999999999998</v>
      </c>
      <c r="O160" s="1574">
        <f>Plan!R50/1000</f>
        <v>1.2814000000000001</v>
      </c>
      <c r="P160" s="1574">
        <f>Plan!S50/1000</f>
        <v>1.72</v>
      </c>
      <c r="Q160" s="1574">
        <f>Plan!T50/1000</f>
        <v>1.9436</v>
      </c>
      <c r="R160" s="1574">
        <f>Plan!U50/1000</f>
        <v>2.2961999999999998</v>
      </c>
      <c r="S160" s="1574">
        <f>Plan!V50/1000</f>
        <v>3.0659000000000001</v>
      </c>
      <c r="T160" s="1574">
        <f>Plan!W50/1000</f>
        <v>2.9756</v>
      </c>
      <c r="U160" s="1574">
        <f>Plan!X50/1000</f>
        <v>3.2507999999999999</v>
      </c>
      <c r="V160" s="1574">
        <f>Plan!Y50/1000</f>
        <v>3.9731999999999998</v>
      </c>
      <c r="W160" s="1574">
        <f>Plan!Z50/1000</f>
        <v>3.5947999999999998</v>
      </c>
      <c r="X160" s="1574">
        <f>Plan!AA50/1000</f>
        <v>3.7324000000000002</v>
      </c>
      <c r="Y160" s="1574">
        <f>Plan!AB50/1000</f>
        <v>4.4548000000000005</v>
      </c>
      <c r="Z160" s="1574">
        <f>Plan!AC50/1000</f>
        <v>5.7779999999999996</v>
      </c>
      <c r="AA160" s="1574">
        <f>Plan!AD50/1000</f>
        <v>3.4529999999999998</v>
      </c>
      <c r="AB160" s="1574">
        <f>Plan!AE50/1000</f>
        <v>11.247</v>
      </c>
      <c r="AC160" s="1574">
        <f>Plan!AF50/1000</f>
        <v>8.6560000000000006</v>
      </c>
      <c r="AD160" s="1574">
        <f>Plan!AG50/1000</f>
        <v>9.9390000000000001</v>
      </c>
      <c r="AE160" s="1574">
        <f>Plan!AH50/1000</f>
        <v>13.233000000000001</v>
      </c>
      <c r="AF160" s="1574">
        <f>Plan!AI50/1000</f>
        <v>12.196999999999999</v>
      </c>
      <c r="AG160" s="1574">
        <f>Plan!AJ50/1000</f>
        <v>13.839</v>
      </c>
      <c r="AH160" s="1574">
        <f>Plan!AK50/1000</f>
        <v>17.856000000000002</v>
      </c>
      <c r="AI160" s="1574">
        <f>Plan!AL50/1000</f>
        <v>15.852</v>
      </c>
      <c r="AJ160" s="1574">
        <f>Plan!AM50/1000</f>
        <v>18.902999999999999</v>
      </c>
      <c r="AK160" s="1574">
        <f>Plan!AN50/1000</f>
        <v>22.847000000000001</v>
      </c>
      <c r="AL160" s="1574">
        <f>Plan!AO50/1000</f>
        <v>7.2</v>
      </c>
      <c r="AM160" s="1574">
        <f>Plan!AP50/1000</f>
        <v>5.4</v>
      </c>
      <c r="AN160" s="1574">
        <f>Plan!AQ50/1000</f>
        <v>14.4</v>
      </c>
      <c r="AO160" s="1574">
        <f>Plan!AR50/1000</f>
        <v>18.899999999999999</v>
      </c>
      <c r="AP160" s="1574">
        <f>Plan!AS50/1000</f>
        <v>16.2</v>
      </c>
      <c r="AQ160" s="1574">
        <f>Plan!AT50/1000</f>
        <v>21.15</v>
      </c>
      <c r="AR160" s="1574">
        <f>Plan!AU50/1000</f>
        <v>22.802</v>
      </c>
      <c r="AS160" s="1574">
        <f>Plan!AV50/1000</f>
        <v>24.786166989004773</v>
      </c>
      <c r="AT160" s="1574">
        <f>Plan!AW50/1000</f>
        <v>34.998761007766497</v>
      </c>
      <c r="AU160" s="1574">
        <f>Plan!AX50/1000</f>
        <v>26.514746409740869</v>
      </c>
      <c r="AV160" s="1574">
        <f>Plan!AY50/1000</f>
        <v>29.792488014635619</v>
      </c>
      <c r="AW160" s="1574">
        <f>Plan!AZ50/1000</f>
        <v>38.170134507858421</v>
      </c>
      <c r="AX160" s="1574">
        <f>Plan!BA50/1000</f>
        <v>11.11099987584695</v>
      </c>
      <c r="AY160" s="1574">
        <f>Plan!BB50/1000</f>
        <v>11.03765686837982</v>
      </c>
      <c r="AZ160" s="1574">
        <f>Plan!BC50/1000</f>
        <v>23.347617970249754</v>
      </c>
      <c r="BA160" s="1574">
        <f>Plan!BD50/1000</f>
        <v>24.541581311427212</v>
      </c>
      <c r="BB160" s="1574">
        <f>Plan!BE50/1000</f>
        <v>29.089765403996903</v>
      </c>
      <c r="BC160" s="1574">
        <f>Plan!BF50/1000</f>
        <v>34.285932923475052</v>
      </c>
      <c r="BD160" s="1574">
        <f>Plan!BG50/1000</f>
        <v>30.929501749738336</v>
      </c>
      <c r="BE160" s="1574">
        <f>Plan!BH50/1000</f>
        <v>34.968496820469795</v>
      </c>
      <c r="BF160" s="1574">
        <f>Plan!BI50/1000</f>
        <v>40.460782598774273</v>
      </c>
      <c r="BG160" s="1574">
        <f>Plan!BJ50/1000</f>
        <v>37.418624866031237</v>
      </c>
      <c r="BH160" s="1574">
        <f>Plan!BK50/1000</f>
        <v>41.559200126522306</v>
      </c>
      <c r="BI160" s="1574">
        <f>Plan!BL50/1000</f>
        <v>47.604309347026678</v>
      </c>
    </row>
    <row r="161" spans="1:61">
      <c r="A161" s="344" t="s">
        <v>58</v>
      </c>
      <c r="B161" s="1574">
        <f>HN!S6/1000</f>
        <v>0</v>
      </c>
      <c r="C161" s="1574">
        <f>HN!T6/1000</f>
        <v>0</v>
      </c>
      <c r="D161" s="1574">
        <f>HN!U6/1000</f>
        <v>0.27891500000000002</v>
      </c>
      <c r="E161" s="1574">
        <f>HN!V6/1000</f>
        <v>0.58583900000000011</v>
      </c>
      <c r="F161" s="1574">
        <f>HN!W6/1000</f>
        <v>0.793547</v>
      </c>
      <c r="G161" s="1574">
        <f>HN!X6/1000</f>
        <v>0.72776599999999991</v>
      </c>
      <c r="H161" s="1574">
        <f>HN!Y6/1000</f>
        <v>0.53814700000000004</v>
      </c>
      <c r="I161" s="1574">
        <f>HN!Z6/1000</f>
        <v>0.73994000000000004</v>
      </c>
      <c r="J161" s="1574">
        <f>HN!AA6/1000</f>
        <v>1.9260889999999999</v>
      </c>
      <c r="K161" s="1574">
        <f>HN!AB6/1000</f>
        <v>1.0055510000000001</v>
      </c>
      <c r="L161" s="1574">
        <f>HN!AC6/1000</f>
        <v>1.4719249999999999</v>
      </c>
      <c r="M161" s="1574">
        <f>HN!AD6/1000</f>
        <v>2.625864</v>
      </c>
      <c r="N161" s="1576">
        <f>HN!AE6/1000</f>
        <v>0.47694200000000003</v>
      </c>
      <c r="O161" s="1574">
        <f>HN!AF6/1000</f>
        <v>0.91078899999999996</v>
      </c>
      <c r="P161" s="1574">
        <f>HN!AG6/1000</f>
        <v>0.67209000000000008</v>
      </c>
      <c r="Q161" s="1574">
        <f>HN!AH6/1000</f>
        <v>1.4167670000000001</v>
      </c>
      <c r="R161" s="1574">
        <f>HN!AI6/1000</f>
        <v>1.6004050000000001</v>
      </c>
      <c r="S161" s="1574">
        <f>HN!AJ6/1000</f>
        <v>3.9667880000000002</v>
      </c>
      <c r="T161" s="1574">
        <f>HN!AK6/1000</f>
        <v>2.7282120000000001</v>
      </c>
      <c r="U161" s="1574">
        <f>HN!AL6/1000</f>
        <v>3.6694270000000002</v>
      </c>
      <c r="V161" s="1574">
        <f>HN!AM6/1000</f>
        <v>5.7215210000000001</v>
      </c>
      <c r="W161" s="1574">
        <f>HN!AN6/1000</f>
        <v>5.7867690000000005</v>
      </c>
      <c r="X161" s="1574">
        <f>HN!AO6/1000</f>
        <v>6.501519</v>
      </c>
      <c r="Y161" s="1574">
        <f>HN!AP6/1000</f>
        <v>14.196213999999999</v>
      </c>
      <c r="Z161" s="1574">
        <f>HN!AQ6/1000</f>
        <v>5.1444610000000006</v>
      </c>
      <c r="AA161" s="1574">
        <f>HN!AR6/1000</f>
        <v>4.0413269999999999</v>
      </c>
      <c r="AB161" s="1574">
        <f>HN!AS6/1000</f>
        <v>8.0671479999999995</v>
      </c>
      <c r="AC161" s="1574">
        <f>HN!AT6/1000</f>
        <v>9.6192289999999989</v>
      </c>
      <c r="AD161" s="1574">
        <f>HN!AU6/1000</f>
        <v>7.2057780000000005</v>
      </c>
      <c r="AE161" s="1574">
        <f>HN!AV6/1000</f>
        <v>8.2242810000000013</v>
      </c>
      <c r="AF161" s="1574">
        <f>HN!AW6/1000</f>
        <v>12.295299000000002</v>
      </c>
      <c r="AG161" s="1574">
        <f>HN!AX6/1000</f>
        <v>6.5547399999999998</v>
      </c>
      <c r="AH161" s="1574">
        <f>HN!AY6/1000</f>
        <v>16.757650000000002</v>
      </c>
      <c r="AI161" s="1574">
        <f>HN!AZ6/1000</f>
        <v>11.684695</v>
      </c>
      <c r="AJ161" s="1574">
        <f>HN!BA6/1000</f>
        <v>20.894795999999999</v>
      </c>
      <c r="AK161" s="1574">
        <f>HN!BB6/1000</f>
        <v>23.795403999999998</v>
      </c>
      <c r="AL161" s="1574">
        <f>HN!BC6/1000</f>
        <v>6.8829880000000001</v>
      </c>
      <c r="AM161" s="1574">
        <f>HN!BD6/1000</f>
        <v>6.8027380000000006</v>
      </c>
      <c r="AN161" s="1574">
        <f>HN!BE6/1000</f>
        <v>16.024252000000001</v>
      </c>
      <c r="AO161" s="1574">
        <f>HN!BF6/1000</f>
        <v>12.787725</v>
      </c>
      <c r="AP161" s="1574">
        <f>HN!BG6/1000</f>
        <v>14.218071999999999</v>
      </c>
      <c r="AQ161" s="1574">
        <f>HN!BH6/1000</f>
        <v>24.329080000000001</v>
      </c>
      <c r="AR161" s="1574">
        <f>HN!BI6/1000</f>
        <v>15.66397400000001</v>
      </c>
      <c r="AS161" s="1574">
        <f>HN!BJ6/1000</f>
        <v>17.56584500000001</v>
      </c>
      <c r="AT161" s="1574">
        <f>HN!BK6/1000</f>
        <v>28.869911000000073</v>
      </c>
      <c r="AU161" s="1574">
        <f>HN!BL6/1000</f>
        <v>21.593701000000021</v>
      </c>
      <c r="AV161" s="1574">
        <f>HN!BM6/1000</f>
        <v>23.15140100000005</v>
      </c>
      <c r="AW161" s="1574">
        <f>HN!BN6/1000</f>
        <v>49.695418000000217</v>
      </c>
      <c r="AX161" s="1574">
        <f>HN!BO6/1000</f>
        <v>13.930407000000002</v>
      </c>
      <c r="AY161" s="1574">
        <f>HN!BP6/1000</f>
        <v>19.706295999999998</v>
      </c>
      <c r="AZ161" s="1574">
        <f>HN!BQ6/1000</f>
        <v>29.63523</v>
      </c>
      <c r="BA161" s="1574">
        <f>HN!BR6/1000</f>
        <v>25.471794000000003</v>
      </c>
      <c r="BB161" s="1574">
        <f>HN!BS6/1000</f>
        <v>22.4329</v>
      </c>
      <c r="BC161" s="1574">
        <f>HN!BT6/1000</f>
        <v>27.37415</v>
      </c>
      <c r="BD161" s="1574">
        <f>HN!BU6/1000</f>
        <v>22.380501000000098</v>
      </c>
      <c r="BE161" s="1574">
        <f>HN!BV6/1000</f>
        <v>0</v>
      </c>
      <c r="BF161" s="1574">
        <f>HN!BW6/1000</f>
        <v>0</v>
      </c>
      <c r="BG161" s="1574">
        <f>HN!BX6/1000</f>
        <v>0</v>
      </c>
      <c r="BH161" s="1574">
        <f>HN!BY6/1000</f>
        <v>0</v>
      </c>
      <c r="BI161" s="1574">
        <f>HN!BZ6/1000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CC126"/>
  <sheetViews>
    <sheetView zoomScale="90" zoomScaleNormal="90" workbookViewId="0">
      <pane xSplit="2" ySplit="3" topLeftCell="BL4" activePane="bottomRight" state="frozen"/>
      <selection activeCell="BP136" sqref="BP136"/>
      <selection pane="topRight" activeCell="BP136" sqref="BP136"/>
      <selection pane="bottomLeft" activeCell="BP136" sqref="BP136"/>
      <selection pane="bottomRight" activeCell="BT5" sqref="BT5"/>
    </sheetView>
  </sheetViews>
  <sheetFormatPr defaultColWidth="9.140625" defaultRowHeight="12.75" outlineLevelCol="1"/>
  <cols>
    <col min="1" max="1" width="26" style="212" customWidth="1"/>
    <col min="2" max="2" width="13.28515625" style="213" bestFit="1" customWidth="1"/>
    <col min="3" max="3" width="3.28515625" style="214" customWidth="1"/>
    <col min="4" max="6" width="9.140625" style="213" hidden="1" customWidth="1"/>
    <col min="7" max="10" width="0" style="213" hidden="1" customWidth="1"/>
    <col min="11" max="11" width="10.5703125" style="213" bestFit="1" customWidth="1"/>
    <col min="12" max="12" width="3.42578125" style="214" customWidth="1"/>
    <col min="13" max="14" width="10.28515625" style="216" customWidth="1" outlineLevel="1"/>
    <col min="15" max="20" width="9.28515625" style="216" customWidth="1" outlineLevel="1"/>
    <col min="21" max="21" width="9.5703125" style="216" customWidth="1" outlineLevel="1"/>
    <col min="22" max="24" width="9.28515625" style="216" customWidth="1" outlineLevel="1"/>
    <col min="25" max="29" width="9.7109375" style="216" customWidth="1" outlineLevel="1"/>
    <col min="30" max="30" width="9.85546875" style="216" customWidth="1" outlineLevel="1"/>
    <col min="31" max="31" width="9.7109375" style="216" customWidth="1" outlineLevel="1"/>
    <col min="32" max="33" width="9.5703125" style="216" customWidth="1" outlineLevel="1"/>
    <col min="34" max="35" width="9.5703125" style="217" customWidth="1" outlineLevel="1"/>
    <col min="36" max="38" width="9.140625" style="217" customWidth="1" outlineLevel="1"/>
    <col min="39" max="39" width="10.5703125" style="217" customWidth="1" outlineLevel="1"/>
    <col min="40" max="40" width="10.28515625" style="217" customWidth="1" outlineLevel="1"/>
    <col min="41" max="42" width="8.7109375" style="217" customWidth="1" outlineLevel="1"/>
    <col min="43" max="43" width="11.140625" style="217" customWidth="1" outlineLevel="1"/>
    <col min="44" max="45" width="9.140625" style="217" customWidth="1" outlineLevel="1"/>
    <col min="46" max="46" width="11.140625" style="217" customWidth="1" outlineLevel="1"/>
    <col min="47" max="47" width="10.140625" style="217" customWidth="1" outlineLevel="1"/>
    <col min="48" max="51" width="9.140625" style="217" customWidth="1" outlineLevel="1"/>
    <col min="52" max="52" width="12" style="217" customWidth="1" outlineLevel="1"/>
    <col min="53" max="54" width="8" style="217" customWidth="1" outlineLevel="1"/>
    <col min="55" max="56" width="11.42578125" style="217" customWidth="1" outlineLevel="1"/>
    <col min="57" max="57" width="11.5703125" style="217" customWidth="1" outlineLevel="1"/>
    <col min="58" max="58" width="12" style="217" customWidth="1"/>
    <col min="59" max="68" width="9.140625" style="217" customWidth="1" outlineLevel="1"/>
    <col min="69" max="16384" width="9.140625" style="217"/>
  </cols>
  <sheetData>
    <row r="1" spans="1:81">
      <c r="A1" s="251" t="s">
        <v>174</v>
      </c>
    </row>
    <row r="2" spans="1:81" s="935" customFormat="1">
      <c r="A2" s="931"/>
      <c r="B2" s="1207">
        <f>MONTH(Cover!G5)</f>
        <v>7</v>
      </c>
      <c r="C2" s="932"/>
      <c r="D2" s="933"/>
      <c r="E2" s="933"/>
      <c r="F2" s="933"/>
      <c r="G2" s="933">
        <v>3</v>
      </c>
      <c r="H2" s="933"/>
      <c r="I2" s="933"/>
      <c r="J2" s="933"/>
      <c r="K2" s="933"/>
      <c r="L2" s="932"/>
      <c r="M2" s="934">
        <v>4</v>
      </c>
      <c r="N2" s="934">
        <v>5</v>
      </c>
      <c r="O2" s="934">
        <v>6</v>
      </c>
      <c r="P2" s="934">
        <v>7</v>
      </c>
      <c r="Q2" s="934">
        <v>8</v>
      </c>
      <c r="R2" s="934">
        <v>9</v>
      </c>
      <c r="S2" s="934">
        <v>10</v>
      </c>
      <c r="T2" s="934">
        <v>11</v>
      </c>
      <c r="U2" s="934">
        <v>12</v>
      </c>
      <c r="V2" s="934">
        <v>1</v>
      </c>
      <c r="W2" s="934">
        <v>2</v>
      </c>
      <c r="X2" s="934">
        <v>3</v>
      </c>
      <c r="Y2" s="934">
        <v>4</v>
      </c>
      <c r="Z2" s="934">
        <v>5</v>
      </c>
      <c r="AA2" s="934">
        <v>6</v>
      </c>
      <c r="AB2" s="934">
        <v>7</v>
      </c>
      <c r="AC2" s="934">
        <v>8</v>
      </c>
      <c r="AD2" s="934">
        <v>9</v>
      </c>
      <c r="AE2" s="934">
        <v>10</v>
      </c>
      <c r="AF2" s="934">
        <v>11</v>
      </c>
      <c r="AG2" s="934">
        <v>12</v>
      </c>
      <c r="AH2" s="934">
        <v>1</v>
      </c>
      <c r="AI2" s="934">
        <v>2</v>
      </c>
      <c r="AJ2" s="934">
        <v>3</v>
      </c>
      <c r="AK2" s="934">
        <v>4</v>
      </c>
      <c r="AL2" s="934">
        <v>5</v>
      </c>
      <c r="AM2" s="934">
        <v>6</v>
      </c>
      <c r="AN2" s="934">
        <v>7</v>
      </c>
      <c r="AO2" s="934">
        <v>8</v>
      </c>
      <c r="AP2" s="934">
        <v>9</v>
      </c>
      <c r="AQ2" s="934">
        <v>10</v>
      </c>
      <c r="AR2" s="934">
        <v>11</v>
      </c>
      <c r="AS2" s="934">
        <v>12</v>
      </c>
      <c r="AT2" s="934">
        <v>1</v>
      </c>
      <c r="AU2" s="934">
        <v>2</v>
      </c>
      <c r="AV2" s="934">
        <v>3</v>
      </c>
      <c r="AW2" s="934">
        <v>4</v>
      </c>
      <c r="AX2" s="934">
        <v>5</v>
      </c>
      <c r="AY2" s="934">
        <v>6</v>
      </c>
      <c r="AZ2" s="934">
        <v>7</v>
      </c>
      <c r="BA2" s="934">
        <v>8</v>
      </c>
      <c r="BB2" s="934">
        <v>9</v>
      </c>
      <c r="BC2" s="934">
        <v>10</v>
      </c>
      <c r="BD2" s="934">
        <v>11</v>
      </c>
      <c r="BE2" s="934">
        <v>12</v>
      </c>
      <c r="BF2" s="934">
        <v>1</v>
      </c>
      <c r="BG2" s="934">
        <v>2</v>
      </c>
      <c r="BH2" s="934">
        <v>3</v>
      </c>
      <c r="BI2" s="934">
        <v>4</v>
      </c>
      <c r="BJ2" s="934">
        <v>5</v>
      </c>
      <c r="BK2" s="934">
        <v>6</v>
      </c>
      <c r="BL2" s="934">
        <v>7</v>
      </c>
      <c r="BM2" s="934">
        <v>8</v>
      </c>
      <c r="BN2" s="934">
        <v>9</v>
      </c>
      <c r="BO2" s="934">
        <v>10</v>
      </c>
      <c r="BP2" s="934">
        <v>11</v>
      </c>
      <c r="BQ2" s="934">
        <v>12</v>
      </c>
      <c r="BR2" s="934">
        <v>1</v>
      </c>
      <c r="BS2" s="934">
        <v>2</v>
      </c>
      <c r="BT2" s="934">
        <v>3</v>
      </c>
      <c r="BU2" s="934">
        <v>4</v>
      </c>
      <c r="BV2" s="934">
        <v>5</v>
      </c>
      <c r="BW2" s="934">
        <v>6</v>
      </c>
      <c r="BX2" s="934">
        <v>7</v>
      </c>
      <c r="BY2" s="934">
        <v>8</v>
      </c>
      <c r="BZ2" s="934">
        <v>9</v>
      </c>
      <c r="CA2" s="934">
        <v>10</v>
      </c>
      <c r="CB2" s="934">
        <v>11</v>
      </c>
      <c r="CC2" s="934">
        <v>12</v>
      </c>
    </row>
    <row r="3" spans="1:81" s="942" customFormat="1" ht="16.5" customHeight="1">
      <c r="A3" s="938" t="s">
        <v>166</v>
      </c>
      <c r="B3" s="939" t="s">
        <v>163</v>
      </c>
      <c r="C3" s="939"/>
      <c r="D3" s="940" t="s">
        <v>59</v>
      </c>
      <c r="E3" s="940" t="s">
        <v>94</v>
      </c>
      <c r="F3" s="940" t="s">
        <v>97</v>
      </c>
      <c r="G3" s="940" t="s">
        <v>150</v>
      </c>
      <c r="H3" s="940" t="s">
        <v>508</v>
      </c>
      <c r="I3" s="940" t="s">
        <v>509</v>
      </c>
      <c r="J3" s="940" t="s">
        <v>559</v>
      </c>
      <c r="K3" s="940">
        <v>2013</v>
      </c>
      <c r="L3" s="941"/>
      <c r="M3" s="211" t="s">
        <v>56</v>
      </c>
      <c r="N3" s="211" t="s">
        <v>37</v>
      </c>
      <c r="O3" s="211">
        <v>41061</v>
      </c>
      <c r="P3" s="211" t="s">
        <v>39</v>
      </c>
      <c r="Q3" s="211" t="s">
        <v>40</v>
      </c>
      <c r="R3" s="211" t="s">
        <v>41</v>
      </c>
      <c r="S3" s="211" t="s">
        <v>42</v>
      </c>
      <c r="T3" s="211" t="s">
        <v>43</v>
      </c>
      <c r="U3" s="211" t="s">
        <v>44</v>
      </c>
      <c r="V3" s="252" t="s">
        <v>98</v>
      </c>
      <c r="W3" s="211" t="s">
        <v>99</v>
      </c>
      <c r="X3" s="211" t="s">
        <v>100</v>
      </c>
      <c r="Y3" s="211" t="s">
        <v>101</v>
      </c>
      <c r="Z3" s="211" t="s">
        <v>733</v>
      </c>
      <c r="AA3" s="211" t="s">
        <v>38</v>
      </c>
      <c r="AB3" s="211" t="s">
        <v>39</v>
      </c>
      <c r="AC3" s="211" t="s">
        <v>40</v>
      </c>
      <c r="AD3" s="211" t="s">
        <v>41</v>
      </c>
      <c r="AE3" s="211" t="s">
        <v>42</v>
      </c>
      <c r="AF3" s="211" t="s">
        <v>43</v>
      </c>
      <c r="AG3" s="211" t="s">
        <v>44</v>
      </c>
      <c r="AH3" s="211" t="s">
        <v>552</v>
      </c>
      <c r="AI3" s="211" t="s">
        <v>34</v>
      </c>
      <c r="AJ3" s="211" t="s">
        <v>35</v>
      </c>
      <c r="AK3" s="211" t="s">
        <v>36</v>
      </c>
      <c r="AL3" s="211" t="s">
        <v>37</v>
      </c>
      <c r="AM3" s="211" t="s">
        <v>38</v>
      </c>
      <c r="AN3" s="211" t="s">
        <v>39</v>
      </c>
      <c r="AO3" s="211" t="s">
        <v>40</v>
      </c>
      <c r="AP3" s="211" t="s">
        <v>41</v>
      </c>
      <c r="AQ3" s="211" t="s">
        <v>42</v>
      </c>
      <c r="AR3" s="211" t="s">
        <v>43</v>
      </c>
      <c r="AS3" s="211" t="s">
        <v>44</v>
      </c>
      <c r="AT3" s="252" t="s">
        <v>1097</v>
      </c>
      <c r="AU3" s="211" t="s">
        <v>34</v>
      </c>
      <c r="AV3" s="211" t="s">
        <v>35</v>
      </c>
      <c r="AW3" s="211" t="s">
        <v>36</v>
      </c>
      <c r="AX3" s="211" t="s">
        <v>37</v>
      </c>
      <c r="AY3" s="211" t="s">
        <v>38</v>
      </c>
      <c r="AZ3" s="211" t="s">
        <v>39</v>
      </c>
      <c r="BA3" s="211" t="s">
        <v>40</v>
      </c>
      <c r="BB3" s="211" t="s">
        <v>41</v>
      </c>
      <c r="BC3" s="211" t="s">
        <v>42</v>
      </c>
      <c r="BD3" s="211" t="s">
        <v>43</v>
      </c>
      <c r="BE3" s="211" t="s">
        <v>44</v>
      </c>
      <c r="BF3" s="1978" t="s">
        <v>2552</v>
      </c>
      <c r="BG3" s="1979" t="s">
        <v>34</v>
      </c>
      <c r="BH3" s="1979" t="s">
        <v>35</v>
      </c>
      <c r="BI3" s="1979" t="s">
        <v>36</v>
      </c>
      <c r="BJ3" s="1979" t="s">
        <v>37</v>
      </c>
      <c r="BK3" s="1979" t="s">
        <v>38</v>
      </c>
      <c r="BL3" s="1979" t="s">
        <v>39</v>
      </c>
      <c r="BM3" s="1979" t="s">
        <v>40</v>
      </c>
      <c r="BN3" s="1979" t="s">
        <v>41</v>
      </c>
      <c r="BO3" s="1979" t="s">
        <v>42</v>
      </c>
      <c r="BP3" s="1979" t="s">
        <v>43</v>
      </c>
      <c r="BQ3" s="1979" t="s">
        <v>44</v>
      </c>
      <c r="BR3" s="1978" t="s">
        <v>4133</v>
      </c>
      <c r="BS3" s="1979" t="s">
        <v>34</v>
      </c>
      <c r="BT3" s="1979" t="s">
        <v>35</v>
      </c>
      <c r="BU3" s="1979" t="s">
        <v>36</v>
      </c>
      <c r="BV3" s="1978" t="s">
        <v>37</v>
      </c>
      <c r="BW3" s="1979" t="s">
        <v>38</v>
      </c>
      <c r="BX3" s="1979" t="s">
        <v>39</v>
      </c>
      <c r="BY3" s="1979" t="s">
        <v>40</v>
      </c>
      <c r="BZ3" s="1979" t="s">
        <v>41</v>
      </c>
      <c r="CA3" s="1979" t="s">
        <v>42</v>
      </c>
      <c r="CB3" s="1979" t="s">
        <v>43</v>
      </c>
      <c r="CC3" s="1979" t="s">
        <v>44</v>
      </c>
    </row>
    <row r="4" spans="1:81">
      <c r="A4" s="212" t="s">
        <v>170</v>
      </c>
      <c r="B4" s="1898">
        <f>SUM($BR$4:INDEX(BR4:CC4,$B$2))</f>
        <v>338123.87260000012</v>
      </c>
      <c r="G4" s="243">
        <f>SUM(V4:X4)</f>
        <v>1246.5990000000002</v>
      </c>
      <c r="H4" s="243">
        <f>SUM(Y4:AA4)</f>
        <v>3796.9390000000003</v>
      </c>
      <c r="I4" s="243">
        <f>SUM(AB4:AD4)</f>
        <v>5518.6399999999994</v>
      </c>
      <c r="J4" s="243"/>
      <c r="K4" s="243">
        <v>19726.835999999999</v>
      </c>
      <c r="M4" s="321">
        <f>M74</f>
        <v>292.24</v>
      </c>
      <c r="N4" s="321">
        <f t="shared" ref="N4:X4" si="0">N74</f>
        <v>343.76400000000001</v>
      </c>
      <c r="O4" s="321">
        <f t="shared" si="0"/>
        <v>816.25900000000001</v>
      </c>
      <c r="P4" s="321">
        <f t="shared" si="0"/>
        <v>234.95</v>
      </c>
      <c r="Q4" s="321">
        <f t="shared" si="0"/>
        <v>324.42099999999999</v>
      </c>
      <c r="R4" s="321">
        <f t="shared" si="0"/>
        <v>535.95699999999999</v>
      </c>
      <c r="S4" s="321">
        <f t="shared" si="0"/>
        <v>211.88800000000001</v>
      </c>
      <c r="T4" s="321">
        <f t="shared" si="0"/>
        <v>180.74700000000001</v>
      </c>
      <c r="U4" s="321">
        <f t="shared" si="0"/>
        <v>1188.4769999999999</v>
      </c>
      <c r="V4" s="321">
        <f t="shared" si="0"/>
        <v>413.94600000000003</v>
      </c>
      <c r="W4" s="321">
        <f t="shared" si="0"/>
        <v>167.935</v>
      </c>
      <c r="X4" s="321">
        <f t="shared" si="0"/>
        <v>664.71800000000007</v>
      </c>
      <c r="Y4" s="606">
        <f t="shared" ref="Y4:AD4" si="1">Y74</f>
        <v>1080.1970000000001</v>
      </c>
      <c r="Z4" s="606">
        <f t="shared" si="1"/>
        <v>1623.2910000000002</v>
      </c>
      <c r="AA4" s="606">
        <f t="shared" si="1"/>
        <v>1093.451</v>
      </c>
      <c r="AB4" s="606">
        <f t="shared" si="1"/>
        <v>1075.9879999999998</v>
      </c>
      <c r="AC4" s="606">
        <f t="shared" si="1"/>
        <v>1409</v>
      </c>
      <c r="AD4" s="606">
        <f t="shared" si="1"/>
        <v>3033.652</v>
      </c>
      <c r="AE4" s="606">
        <f t="shared" ref="AE4:AJ4" si="2">AE74</f>
        <v>2427.0319999999997</v>
      </c>
      <c r="AF4" s="606">
        <f t="shared" si="2"/>
        <v>2564.2170000000001</v>
      </c>
      <c r="AG4" s="606">
        <f t="shared" si="2"/>
        <v>4173.4090000000006</v>
      </c>
      <c r="AH4" s="606">
        <f t="shared" si="2"/>
        <v>1344.5190000000002</v>
      </c>
      <c r="AI4" s="606">
        <f t="shared" si="2"/>
        <v>1874.9910000000002</v>
      </c>
      <c r="AJ4" s="606">
        <f t="shared" si="2"/>
        <v>1826.171</v>
      </c>
      <c r="AK4" s="606">
        <f t="shared" ref="AK4:AS4" si="3">AK74</f>
        <v>3145.8280000000004</v>
      </c>
      <c r="AL4" s="606">
        <f t="shared" si="3"/>
        <v>4031.8249999999998</v>
      </c>
      <c r="AM4" s="606">
        <f t="shared" si="3"/>
        <v>8600.1650000000009</v>
      </c>
      <c r="AN4" s="606">
        <f t="shared" si="3"/>
        <v>8420.0640000000003</v>
      </c>
      <c r="AO4" s="606">
        <f t="shared" si="3"/>
        <v>9230.009</v>
      </c>
      <c r="AP4" s="606">
        <f t="shared" si="3"/>
        <v>13787.019</v>
      </c>
      <c r="AQ4" s="606">
        <f t="shared" si="3"/>
        <v>15218.944</v>
      </c>
      <c r="AR4" s="606">
        <f t="shared" si="3"/>
        <v>15883.455</v>
      </c>
      <c r="AS4" s="606">
        <f t="shared" si="3"/>
        <v>38464.165000000001</v>
      </c>
      <c r="AT4" s="606">
        <f>AT74</f>
        <v>10417.638999999999</v>
      </c>
      <c r="AU4" s="606">
        <f>AU74</f>
        <v>9049.0069999999996</v>
      </c>
      <c r="AV4" s="606">
        <f>AV74</f>
        <v>19003.816999999999</v>
      </c>
      <c r="AW4" s="606">
        <f>AW74</f>
        <v>23838.466</v>
      </c>
      <c r="AX4" s="606">
        <f t="shared" ref="AX4:BC4" si="4">AX74</f>
        <v>18586.255000000001</v>
      </c>
      <c r="AY4" s="606">
        <f t="shared" si="4"/>
        <v>27305.807000000001</v>
      </c>
      <c r="AZ4" s="606">
        <f t="shared" si="4"/>
        <v>29199.374</v>
      </c>
      <c r="BA4" s="606">
        <f t="shared" si="4"/>
        <v>16805.392</v>
      </c>
      <c r="BB4" s="606">
        <f t="shared" si="4"/>
        <v>38876.936999999998</v>
      </c>
      <c r="BC4" s="606">
        <f t="shared" si="4"/>
        <v>25749.088</v>
      </c>
      <c r="BD4" s="606">
        <f>BD74</f>
        <v>42738.082999999999</v>
      </c>
      <c r="BE4" s="606">
        <f>BE74</f>
        <v>58359.968999999997</v>
      </c>
      <c r="BF4" s="1897">
        <f>BF74</f>
        <v>13422.264399999998</v>
      </c>
      <c r="BG4" s="1897">
        <f>BG74</f>
        <v>13983.777799999969</v>
      </c>
      <c r="BH4" s="1897">
        <f>BH74</f>
        <v>34363.530299999991</v>
      </c>
      <c r="BI4" s="1897">
        <f t="shared" ref="BI4:BQ4" si="5">BI74</f>
        <v>31029.739200000011</v>
      </c>
      <c r="BJ4" s="1897">
        <f t="shared" si="5"/>
        <v>29098.451900000004</v>
      </c>
      <c r="BK4" s="1897">
        <f t="shared" si="5"/>
        <v>42616.913540000067</v>
      </c>
      <c r="BL4" s="1897">
        <f t="shared" si="5"/>
        <v>30649.18507000001</v>
      </c>
      <c r="BM4" s="1897">
        <f t="shared" si="5"/>
        <v>32361.144800000031</v>
      </c>
      <c r="BN4" s="1897">
        <f t="shared" si="5"/>
        <v>49563.993800000069</v>
      </c>
      <c r="BO4" s="1897">
        <f t="shared" si="5"/>
        <v>40919.720650000017</v>
      </c>
      <c r="BP4" s="1897">
        <f t="shared" si="5"/>
        <v>52866.932160000091</v>
      </c>
      <c r="BQ4" s="1897">
        <f t="shared" si="5"/>
        <v>97022.200140000321</v>
      </c>
      <c r="BR4" s="1897">
        <f>BR74</f>
        <v>26687.802739999999</v>
      </c>
      <c r="BS4" s="1897">
        <f t="shared" ref="BS4:BX4" si="6">BS74+BS73</f>
        <v>41713.0193</v>
      </c>
      <c r="BT4" s="1897">
        <f t="shared" si="6"/>
        <v>58504.867000000006</v>
      </c>
      <c r="BU4" s="1897">
        <f t="shared" si="6"/>
        <v>51457.592300000004</v>
      </c>
      <c r="BV4" s="1897">
        <f t="shared" si="6"/>
        <v>54412.828000000001</v>
      </c>
      <c r="BW4" s="1897">
        <f t="shared" si="6"/>
        <v>59446.573999999993</v>
      </c>
      <c r="BX4" s="1897">
        <f t="shared" si="6"/>
        <v>45901.189260000101</v>
      </c>
      <c r="BY4" s="1897">
        <f t="shared" ref="BY4:BZ4" si="7">BY74+BY73</f>
        <v>0</v>
      </c>
      <c r="BZ4" s="1897">
        <f t="shared" si="7"/>
        <v>0</v>
      </c>
    </row>
    <row r="5" spans="1:81" s="923" customFormat="1">
      <c r="A5" s="917" t="s">
        <v>171</v>
      </c>
      <c r="B5" s="1899">
        <f>SUMIF($BR$2:$CC$2, "&lt;=" &amp; $B$2,$BR$5:$CC$5)</f>
        <v>332031.74230000016</v>
      </c>
      <c r="C5" s="919"/>
      <c r="D5" s="920"/>
      <c r="E5" s="920"/>
      <c r="F5" s="920"/>
      <c r="G5" s="918">
        <f>SUM(V5:X5)</f>
        <v>1229.2530000000002</v>
      </c>
      <c r="H5" s="918">
        <f>SUM(Y5:AA5)</f>
        <v>3495.8580000000002</v>
      </c>
      <c r="I5" s="918">
        <f>SUM(AB5:AD5)</f>
        <v>5094.66</v>
      </c>
      <c r="J5" s="918"/>
      <c r="K5" s="918">
        <v>18296.900000000001</v>
      </c>
      <c r="L5" s="919"/>
      <c r="M5" s="921">
        <v>220</v>
      </c>
      <c r="N5" s="921">
        <v>214.602</v>
      </c>
      <c r="O5" s="921">
        <v>713.33</v>
      </c>
      <c r="P5" s="921">
        <v>174.649</v>
      </c>
      <c r="Q5" s="921">
        <v>286.2</v>
      </c>
      <c r="R5" s="921">
        <v>341.46699999999998</v>
      </c>
      <c r="S5" s="921">
        <v>164.99600000000001</v>
      </c>
      <c r="T5" s="921">
        <v>157.32299999999998</v>
      </c>
      <c r="U5" s="921">
        <v>1140.7040000000002</v>
      </c>
      <c r="V5" s="921">
        <v>417.87900000000002</v>
      </c>
      <c r="W5" s="921">
        <v>177.839</v>
      </c>
      <c r="X5" s="921">
        <f>HCM!U6+HN!U6</f>
        <v>633.53500000000008</v>
      </c>
      <c r="Y5" s="922">
        <f>HCM!V6+HN!V6</f>
        <v>1015.6840000000001</v>
      </c>
      <c r="Z5" s="922">
        <f>HCM!W6+HN!W6</f>
        <v>1317.0990000000002</v>
      </c>
      <c r="AA5" s="922">
        <f>HCM!X6+HN!X6</f>
        <v>1163.075</v>
      </c>
      <c r="AB5" s="922">
        <f>HCM!Y6+HN!Y6</f>
        <v>954.37400000000002</v>
      </c>
      <c r="AC5" s="922">
        <f>HCM!Z6+HN!Z6</f>
        <v>1319.2910000000002</v>
      </c>
      <c r="AD5" s="922">
        <f>HCM!AA6+HN!AA6</f>
        <v>2820.9949999999999</v>
      </c>
      <c r="AE5" s="922">
        <f>HCM!AB6+HN!AB6</f>
        <v>2210.6509999999998</v>
      </c>
      <c r="AF5" s="922">
        <f>HCM!AC6+HN!AC6</f>
        <v>2332.0639999999999</v>
      </c>
      <c r="AG5" s="922">
        <f>HCM!AD6+HN!AD6</f>
        <v>3934.4139999999998</v>
      </c>
      <c r="AH5" s="922">
        <f>HCM!AE6+HN!AE6</f>
        <v>1221.192</v>
      </c>
      <c r="AI5" s="922">
        <f>HCM!AF6+HN!AF6</f>
        <v>1756.2840000000001</v>
      </c>
      <c r="AJ5" s="922">
        <f>HCM!AG6+HN!AG6</f>
        <v>1752.6619999999998</v>
      </c>
      <c r="AK5" s="922">
        <f>HCM!AH6+HN!AH6</f>
        <v>2983.4009999999998</v>
      </c>
      <c r="AL5" s="922">
        <f>HCM!AI6+HN!AI6</f>
        <v>3717.7340000000004</v>
      </c>
      <c r="AM5" s="922">
        <v>8275.8889999999992</v>
      </c>
      <c r="AN5" s="922">
        <v>7606.134</v>
      </c>
      <c r="AO5" s="922">
        <v>8644.5550000000003</v>
      </c>
      <c r="AP5" s="922">
        <v>13309.986000000001</v>
      </c>
      <c r="AQ5" s="922">
        <v>14702.573</v>
      </c>
      <c r="AR5" s="922">
        <v>15023.790999999999</v>
      </c>
      <c r="AS5" s="922">
        <v>37652.177000000003</v>
      </c>
      <c r="AT5" s="922">
        <v>10123.743</v>
      </c>
      <c r="AU5" s="922">
        <v>9101.6389999999992</v>
      </c>
      <c r="AV5" s="922">
        <v>18571.495999999999</v>
      </c>
      <c r="AW5" s="922">
        <v>22629.834999999999</v>
      </c>
      <c r="AX5" s="922">
        <v>18306.072</v>
      </c>
      <c r="AY5" s="922">
        <v>26230.601999999999</v>
      </c>
      <c r="AZ5" s="922">
        <v>28538.013999999999</v>
      </c>
      <c r="BA5" s="922">
        <v>16287.662</v>
      </c>
      <c r="BB5" s="922">
        <v>37854.292000000001</v>
      </c>
      <c r="BC5" s="922">
        <v>25289.309000000001</v>
      </c>
      <c r="BD5" s="922">
        <v>41639.970999999998</v>
      </c>
      <c r="BE5" s="922">
        <v>57736.464500000002</v>
      </c>
      <c r="BF5" s="1900">
        <v>13641.9247</v>
      </c>
      <c r="BG5" s="1900">
        <v>13892.638999999999</v>
      </c>
      <c r="BH5" s="1900">
        <v>33141.966699999997</v>
      </c>
      <c r="BI5" s="1900">
        <v>30639.373500000002</v>
      </c>
      <c r="BJ5" s="1900">
        <v>27458.014999999999</v>
      </c>
      <c r="BK5" s="1900">
        <v>41468.133600000001</v>
      </c>
      <c r="BL5" s="1900">
        <f>+HCM!BI6+HN!BI6</f>
        <v>29747.921000000013</v>
      </c>
      <c r="BM5" s="1900">
        <f>+HCM!BJ6+HN!BJ6</f>
        <v>31024.38900000001</v>
      </c>
      <c r="BN5" s="1900">
        <f>+HCM!BK6+HN!BK6</f>
        <v>48843.573000000084</v>
      </c>
      <c r="BO5" s="1900">
        <f>+HCM!BL6+HN!BL6</f>
        <v>39101.215000000018</v>
      </c>
      <c r="BP5" s="1900">
        <f>+HCM!BM6+HN!BM6</f>
        <v>50426.896000000066</v>
      </c>
      <c r="BQ5" s="1900">
        <f>+HCM!BN6+HN!BN6</f>
        <v>94434.854000000225</v>
      </c>
      <c r="BR5" s="1900">
        <f>+HCM!BO6+HN!BO6</f>
        <v>27131.550000000003</v>
      </c>
      <c r="BS5" s="1900">
        <f>+HCM!BP6+HN!BP6</f>
        <v>40723.482300000003</v>
      </c>
      <c r="BT5" s="1900">
        <f>+HCM!BQ6+HN!BQ6</f>
        <v>56762.080000000002</v>
      </c>
      <c r="BU5" s="1900">
        <f>+HCM!BR6+HN!BR6</f>
        <v>49965.191000000006</v>
      </c>
      <c r="BV5" s="1900">
        <f>+HCM!BS6+HN!BS6</f>
        <v>53646.55</v>
      </c>
      <c r="BW5" s="1900">
        <f>+HCM!BT6+HN!BT6</f>
        <v>58133.58</v>
      </c>
      <c r="BX5" s="1900">
        <f>+HCM!BU6+HN!BU6</f>
        <v>45669.309000000096</v>
      </c>
    </row>
    <row r="6" spans="1:81" s="923" customFormat="1">
      <c r="A6" s="917" t="s">
        <v>1098</v>
      </c>
      <c r="B6" s="1899">
        <f>SUMIF($BR$2:$CC$2, "=" &amp; $B$2, $BR$6:$CC$6)</f>
        <v>8015</v>
      </c>
      <c r="C6" s="919"/>
      <c r="D6" s="920"/>
      <c r="E6" s="920"/>
      <c r="F6" s="920"/>
      <c r="G6" s="918"/>
      <c r="H6" s="918"/>
      <c r="I6" s="918"/>
      <c r="J6" s="918"/>
      <c r="K6" s="918"/>
      <c r="L6" s="919"/>
      <c r="M6" s="921"/>
      <c r="N6" s="921"/>
      <c r="O6" s="921"/>
      <c r="P6" s="921"/>
      <c r="Q6" s="921"/>
      <c r="R6" s="921"/>
      <c r="S6" s="921"/>
      <c r="T6" s="921"/>
      <c r="U6" s="921"/>
      <c r="V6" s="921"/>
      <c r="W6" s="921"/>
      <c r="X6" s="921"/>
      <c r="Y6" s="922"/>
      <c r="Z6" s="922"/>
      <c r="AA6" s="922"/>
      <c r="AB6" s="922"/>
      <c r="AC6" s="922"/>
      <c r="AD6" s="922"/>
      <c r="AE6" s="922"/>
      <c r="AF6" s="922"/>
      <c r="AG6" s="922"/>
      <c r="AH6" s="922"/>
      <c r="AI6" s="922"/>
      <c r="AJ6" s="922"/>
      <c r="AK6" s="922"/>
      <c r="AL6" s="922"/>
      <c r="AM6" s="922"/>
      <c r="AN6" s="922"/>
      <c r="AO6" s="922"/>
      <c r="AP6" s="922"/>
      <c r="AQ6" s="922"/>
      <c r="AR6" s="922"/>
      <c r="AS6" s="922"/>
      <c r="AT6" s="922">
        <v>2182</v>
      </c>
      <c r="AU6" s="922">
        <v>2496</v>
      </c>
      <c r="AV6" s="922">
        <v>2586</v>
      </c>
      <c r="AW6" s="922">
        <v>2807</v>
      </c>
      <c r="AX6" s="922">
        <f>AW7</f>
        <v>3135</v>
      </c>
      <c r="AY6" s="922">
        <f>AX7</f>
        <v>3049</v>
      </c>
      <c r="AZ6" s="922">
        <v>3101</v>
      </c>
      <c r="BA6" s="922">
        <v>3127</v>
      </c>
      <c r="BB6" s="922">
        <v>3318</v>
      </c>
      <c r="BC6" s="922">
        <v>3461</v>
      </c>
      <c r="BD6" s="922">
        <v>3651</v>
      </c>
      <c r="BE6" s="922">
        <v>4011</v>
      </c>
      <c r="BF6" s="1900">
        <v>4118</v>
      </c>
      <c r="BG6" s="1900">
        <v>4177</v>
      </c>
      <c r="BH6" s="1900">
        <v>4067</v>
      </c>
      <c r="BI6" s="1900">
        <v>4326</v>
      </c>
      <c r="BJ6" s="1900">
        <v>4505</v>
      </c>
      <c r="BK6" s="1900">
        <v>4930</v>
      </c>
      <c r="BL6" s="1900">
        <f t="shared" ref="BL6:BR6" si="8">BK7</f>
        <v>5819</v>
      </c>
      <c r="BM6" s="1900">
        <f t="shared" si="8"/>
        <v>6335</v>
      </c>
      <c r="BN6" s="1900">
        <f t="shared" si="8"/>
        <v>6970</v>
      </c>
      <c r="BO6" s="1900">
        <f t="shared" si="8"/>
        <v>7706</v>
      </c>
      <c r="BP6" s="1900">
        <f t="shared" si="8"/>
        <v>8408</v>
      </c>
      <c r="BQ6" s="1900">
        <f t="shared" si="8"/>
        <v>9051</v>
      </c>
      <c r="BR6" s="1900">
        <f t="shared" si="8"/>
        <v>9845</v>
      </c>
      <c r="BS6" s="1900">
        <f t="shared" ref="BS6:BX6" si="9">BR7</f>
        <v>10030</v>
      </c>
      <c r="BT6" s="1900">
        <f t="shared" si="9"/>
        <v>7676</v>
      </c>
      <c r="BU6" s="1900">
        <f t="shared" si="9"/>
        <v>7777</v>
      </c>
      <c r="BV6" s="1900">
        <f t="shared" si="9"/>
        <v>7057</v>
      </c>
      <c r="BW6" s="1900">
        <f t="shared" si="9"/>
        <v>7380</v>
      </c>
      <c r="BX6" s="1900">
        <f t="shared" si="9"/>
        <v>8015</v>
      </c>
    </row>
    <row r="7" spans="1:81" s="1203" customFormat="1">
      <c r="A7" s="1199" t="s">
        <v>7</v>
      </c>
      <c r="B7" s="1899">
        <f>SUMIF($BR$2:$CC$2, "=" &amp; $B$2, $BR$7:$CC$7)</f>
        <v>7863</v>
      </c>
      <c r="C7" s="1200"/>
      <c r="D7" s="1201"/>
      <c r="E7" s="1201"/>
      <c r="F7" s="1201"/>
      <c r="G7" s="918">
        <f>X7</f>
        <v>118</v>
      </c>
      <c r="H7" s="918">
        <f>AA7</f>
        <v>376</v>
      </c>
      <c r="I7" s="918">
        <f>AD7</f>
        <v>518</v>
      </c>
      <c r="J7" s="918"/>
      <c r="K7" s="918">
        <v>783</v>
      </c>
      <c r="L7" s="1200"/>
      <c r="M7" s="1202">
        <f>M35</f>
        <v>32</v>
      </c>
      <c r="N7" s="1202">
        <f t="shared" ref="N7:X7" si="10">N35</f>
        <v>40</v>
      </c>
      <c r="O7" s="1202">
        <f t="shared" si="10"/>
        <v>58</v>
      </c>
      <c r="P7" s="1202">
        <f t="shared" si="10"/>
        <v>67</v>
      </c>
      <c r="Q7" s="1202">
        <f t="shared" si="10"/>
        <v>68</v>
      </c>
      <c r="R7" s="1202">
        <f t="shared" si="10"/>
        <v>63</v>
      </c>
      <c r="S7" s="1202">
        <f t="shared" si="10"/>
        <v>62</v>
      </c>
      <c r="T7" s="1202">
        <f t="shared" si="10"/>
        <v>60</v>
      </c>
      <c r="U7" s="1202">
        <f t="shared" si="10"/>
        <v>73</v>
      </c>
      <c r="V7" s="1202">
        <f t="shared" si="10"/>
        <v>77</v>
      </c>
      <c r="W7" s="1202">
        <f>W35</f>
        <v>74</v>
      </c>
      <c r="X7" s="1202">
        <f t="shared" si="10"/>
        <v>118</v>
      </c>
      <c r="Y7" s="1202">
        <f t="shared" ref="Y7:AE7" si="11">Y35</f>
        <v>212</v>
      </c>
      <c r="Z7" s="1202">
        <f t="shared" si="11"/>
        <v>308</v>
      </c>
      <c r="AA7" s="1202">
        <f t="shared" si="11"/>
        <v>376</v>
      </c>
      <c r="AB7" s="1202">
        <f t="shared" si="11"/>
        <v>405</v>
      </c>
      <c r="AC7" s="1202">
        <f t="shared" si="11"/>
        <v>452</v>
      </c>
      <c r="AD7" s="1202">
        <f t="shared" si="11"/>
        <v>518</v>
      </c>
      <c r="AE7" s="1202">
        <f t="shared" si="11"/>
        <v>571</v>
      </c>
      <c r="AF7" s="1202">
        <f>AF35</f>
        <v>633</v>
      </c>
      <c r="AG7" s="1202">
        <f>AG35</f>
        <v>783</v>
      </c>
      <c r="AH7" s="1202">
        <f>AH35</f>
        <v>767</v>
      </c>
      <c r="AI7" s="1202">
        <f>AI35</f>
        <v>708</v>
      </c>
      <c r="AJ7" s="1202">
        <f>AJ35</f>
        <v>711</v>
      </c>
      <c r="AK7" s="1202">
        <f t="shared" ref="AK7:AS7" si="12">AK35</f>
        <v>874</v>
      </c>
      <c r="AL7" s="1202">
        <f t="shared" si="12"/>
        <v>995</v>
      </c>
      <c r="AM7" s="1203">
        <f t="shared" si="12"/>
        <v>1089</v>
      </c>
      <c r="AN7" s="1203">
        <f t="shared" si="12"/>
        <v>1143</v>
      </c>
      <c r="AO7" s="1203">
        <f t="shared" si="12"/>
        <v>1339</v>
      </c>
      <c r="AP7" s="1203">
        <f t="shared" si="12"/>
        <v>1493</v>
      </c>
      <c r="AQ7" s="1203">
        <f t="shared" si="12"/>
        <v>1633</v>
      </c>
      <c r="AR7" s="1203">
        <f t="shared" si="12"/>
        <v>1894</v>
      </c>
      <c r="AS7" s="1203">
        <f t="shared" si="12"/>
        <v>2176</v>
      </c>
      <c r="AT7" s="1203">
        <f t="shared" ref="AT7:AY7" si="13">AT35</f>
        <v>2496</v>
      </c>
      <c r="AU7" s="1203">
        <f t="shared" si="13"/>
        <v>2586</v>
      </c>
      <c r="AV7" s="1203">
        <f t="shared" si="13"/>
        <v>2807</v>
      </c>
      <c r="AW7" s="1203">
        <f t="shared" si="13"/>
        <v>3135</v>
      </c>
      <c r="AX7" s="1203">
        <f t="shared" si="13"/>
        <v>3049</v>
      </c>
      <c r="AY7" s="1203">
        <f t="shared" si="13"/>
        <v>3106</v>
      </c>
      <c r="AZ7" s="1203">
        <v>3127</v>
      </c>
      <c r="BA7" s="1203">
        <v>3315</v>
      </c>
      <c r="BB7" s="1203">
        <v>3461</v>
      </c>
      <c r="BC7" s="1203">
        <v>3650</v>
      </c>
      <c r="BD7" s="1203">
        <v>4000</v>
      </c>
      <c r="BE7" s="1203">
        <v>4117</v>
      </c>
      <c r="BF7" s="1657">
        <v>4156</v>
      </c>
      <c r="BG7" s="1657">
        <v>4067</v>
      </c>
      <c r="BH7" s="1657">
        <v>4326</v>
      </c>
      <c r="BI7" s="1657">
        <v>4505</v>
      </c>
      <c r="BJ7" s="1657">
        <v>4930</v>
      </c>
      <c r="BK7" s="1657">
        <v>5819</v>
      </c>
      <c r="BL7" s="1900">
        <f>+HCM!BI8+HN!BI8</f>
        <v>6335</v>
      </c>
      <c r="BM7" s="1900">
        <f>+HCM!BJ8+HN!BJ8</f>
        <v>6970</v>
      </c>
      <c r="BN7" s="1900">
        <f>+HCM!BK8+HN!BK8</f>
        <v>7706</v>
      </c>
      <c r="BO7" s="1900">
        <f>+HCM!BL8+HN!BL8</f>
        <v>8408</v>
      </c>
      <c r="BP7" s="1900">
        <f>+HCM!BM8+HN!BM8</f>
        <v>9051</v>
      </c>
      <c r="BQ7" s="1900">
        <f>+HCM!BN8+HN!BN8</f>
        <v>9845</v>
      </c>
      <c r="BR7" s="1900">
        <f>+HCM!BO8+HN!BO8</f>
        <v>10030</v>
      </c>
      <c r="BS7" s="1900">
        <f>+HCM!BP8+HN!BP8</f>
        <v>7676</v>
      </c>
      <c r="BT7" s="1900">
        <f>+HCM!BQ8+HN!BQ8</f>
        <v>7777</v>
      </c>
      <c r="BU7" s="1900">
        <f>+HCM!BR8+HN!BR8</f>
        <v>7057</v>
      </c>
      <c r="BV7" s="1900">
        <f>+HCM!BS8+HN!BS8</f>
        <v>7380</v>
      </c>
      <c r="BW7" s="1900">
        <f>+HCM!BT8+HN!BT8</f>
        <v>8015</v>
      </c>
      <c r="BX7" s="1900">
        <f>+HCM!BU8+HN!BU8</f>
        <v>7863</v>
      </c>
    </row>
    <row r="8" spans="1:81">
      <c r="A8" s="212" t="s">
        <v>165</v>
      </c>
      <c r="B8" s="1898">
        <f>SUMIF($BR$2:$CC$2, "&lt;=" &amp; $B$2,$BR$8:$CC$8)/$B$2</f>
        <v>8112.7142857142853</v>
      </c>
      <c r="G8" s="242">
        <f>AVERAGE(V8:X8)</f>
        <v>82.166666666666671</v>
      </c>
      <c r="H8" s="242">
        <f>AVERAGE(Y8:AA8)</f>
        <v>255.66666666666666</v>
      </c>
      <c r="I8" s="242">
        <f>AVERAGE(AB8:AD8)</f>
        <v>434.66666666666669</v>
      </c>
      <c r="J8" s="242"/>
      <c r="K8" s="242">
        <v>347.66666666666669</v>
      </c>
      <c r="M8" s="215">
        <f>AVERAGE(0, M7)</f>
        <v>16</v>
      </c>
      <c r="N8" s="215">
        <f>AVERAGE(M7,N7)</f>
        <v>36</v>
      </c>
      <c r="O8" s="215">
        <f t="shared" ref="O8:V8" si="14">AVERAGE(N7,O7)</f>
        <v>49</v>
      </c>
      <c r="P8" s="215">
        <f t="shared" si="14"/>
        <v>62.5</v>
      </c>
      <c r="Q8" s="215">
        <f t="shared" si="14"/>
        <v>67.5</v>
      </c>
      <c r="R8" s="215">
        <f t="shared" si="14"/>
        <v>65.5</v>
      </c>
      <c r="S8" s="215">
        <f t="shared" si="14"/>
        <v>62.5</v>
      </c>
      <c r="T8" s="215">
        <f t="shared" si="14"/>
        <v>61</v>
      </c>
      <c r="U8" s="215">
        <f t="shared" si="14"/>
        <v>66.5</v>
      </c>
      <c r="V8" s="215">
        <f t="shared" si="14"/>
        <v>75</v>
      </c>
      <c r="W8" s="215">
        <f t="shared" ref="W8:AG8" si="15">AVERAGE(V7,W7)</f>
        <v>75.5</v>
      </c>
      <c r="X8" s="215">
        <f t="shared" si="15"/>
        <v>96</v>
      </c>
      <c r="Y8" s="215">
        <f t="shared" si="15"/>
        <v>165</v>
      </c>
      <c r="Z8" s="215">
        <f t="shared" si="15"/>
        <v>260</v>
      </c>
      <c r="AA8" s="215">
        <f t="shared" si="15"/>
        <v>342</v>
      </c>
      <c r="AB8" s="215">
        <f t="shared" si="15"/>
        <v>390.5</v>
      </c>
      <c r="AC8" s="215">
        <f t="shared" si="15"/>
        <v>428.5</v>
      </c>
      <c r="AD8" s="215">
        <f t="shared" si="15"/>
        <v>485</v>
      </c>
      <c r="AE8" s="215">
        <f t="shared" si="15"/>
        <v>544.5</v>
      </c>
      <c r="AF8" s="215">
        <f t="shared" si="15"/>
        <v>602</v>
      </c>
      <c r="AG8" s="215">
        <f t="shared" si="15"/>
        <v>708</v>
      </c>
      <c r="AH8" s="215">
        <f t="shared" ref="AH8:AO8" si="16">AVERAGE(AG7,AH7)</f>
        <v>775</v>
      </c>
      <c r="AI8" s="215">
        <f t="shared" si="16"/>
        <v>737.5</v>
      </c>
      <c r="AJ8" s="215">
        <f t="shared" si="16"/>
        <v>709.5</v>
      </c>
      <c r="AK8" s="215">
        <f t="shared" si="16"/>
        <v>792.5</v>
      </c>
      <c r="AL8" s="215">
        <f t="shared" si="16"/>
        <v>934.5</v>
      </c>
      <c r="AM8" s="215">
        <f t="shared" si="16"/>
        <v>1042</v>
      </c>
      <c r="AN8" s="215">
        <f t="shared" si="16"/>
        <v>1116</v>
      </c>
      <c r="AO8" s="215">
        <f t="shared" si="16"/>
        <v>1241</v>
      </c>
      <c r="AP8" s="215">
        <f>AVERAGE(AO7,AP7)</f>
        <v>1416</v>
      </c>
      <c r="AQ8" s="215">
        <f>AVERAGE(AP7,AQ7)</f>
        <v>1563</v>
      </c>
      <c r="AR8" s="215">
        <f>AVERAGE(AQ7,AR7)</f>
        <v>1763.5</v>
      </c>
      <c r="AS8" s="215">
        <f>AVERAGE(AR7,AS7)</f>
        <v>2035</v>
      </c>
      <c r="AT8" s="215">
        <f t="shared" ref="AT8:BA8" si="17">AVERAGE(AT6:AT7)</f>
        <v>2339</v>
      </c>
      <c r="AU8" s="215">
        <f t="shared" si="17"/>
        <v>2541</v>
      </c>
      <c r="AV8" s="215">
        <f t="shared" si="17"/>
        <v>2696.5</v>
      </c>
      <c r="AW8" s="215">
        <f t="shared" si="17"/>
        <v>2971</v>
      </c>
      <c r="AX8" s="215">
        <f t="shared" si="17"/>
        <v>3092</v>
      </c>
      <c r="AY8" s="215">
        <f t="shared" si="17"/>
        <v>3077.5</v>
      </c>
      <c r="AZ8" s="215">
        <f t="shared" si="17"/>
        <v>3114</v>
      </c>
      <c r="BA8" s="215">
        <f t="shared" si="17"/>
        <v>3221</v>
      </c>
      <c r="BB8" s="215">
        <f t="shared" ref="BB8:BG8" si="18">AVERAGE(BB6:BB7)</f>
        <v>3389.5</v>
      </c>
      <c r="BC8" s="215">
        <f t="shared" si="18"/>
        <v>3555.5</v>
      </c>
      <c r="BD8" s="215">
        <f t="shared" si="18"/>
        <v>3825.5</v>
      </c>
      <c r="BE8" s="215">
        <f t="shared" si="18"/>
        <v>4064</v>
      </c>
      <c r="BF8" s="1656">
        <f t="shared" si="18"/>
        <v>4137</v>
      </c>
      <c r="BG8" s="1656">
        <f t="shared" si="18"/>
        <v>4122</v>
      </c>
      <c r="BH8" s="1656">
        <f t="shared" ref="BH8:BQ8" si="19">AVERAGE(BH6:BH7)</f>
        <v>4196.5</v>
      </c>
      <c r="BI8" s="1656">
        <f t="shared" si="19"/>
        <v>4415.5</v>
      </c>
      <c r="BJ8" s="1656">
        <f t="shared" si="19"/>
        <v>4717.5</v>
      </c>
      <c r="BK8" s="1656">
        <f t="shared" si="19"/>
        <v>5374.5</v>
      </c>
      <c r="BL8" s="1656">
        <f t="shared" si="19"/>
        <v>6077</v>
      </c>
      <c r="BM8" s="215">
        <f t="shared" si="19"/>
        <v>6652.5</v>
      </c>
      <c r="BN8" s="215">
        <f>AVERAGE(BN6:BN7)</f>
        <v>7338</v>
      </c>
      <c r="BO8" s="215">
        <f t="shared" si="19"/>
        <v>8057</v>
      </c>
      <c r="BP8" s="215">
        <f t="shared" si="19"/>
        <v>8729.5</v>
      </c>
      <c r="BQ8" s="1656">
        <f t="shared" si="19"/>
        <v>9448</v>
      </c>
      <c r="BR8" s="1656">
        <f t="shared" ref="BR8:BV8" si="20">AVERAGE(BR6:BR7)</f>
        <v>9937.5</v>
      </c>
      <c r="BS8" s="1656">
        <f t="shared" si="20"/>
        <v>8853</v>
      </c>
      <c r="BT8" s="1656">
        <f t="shared" si="20"/>
        <v>7726.5</v>
      </c>
      <c r="BU8" s="1656">
        <f t="shared" si="20"/>
        <v>7417</v>
      </c>
      <c r="BV8" s="1656">
        <f t="shared" si="20"/>
        <v>7218.5</v>
      </c>
      <c r="BW8" s="1656">
        <f>AVERAGE(BW6:BW7)</f>
        <v>7697.5</v>
      </c>
      <c r="BX8" s="1656">
        <f>AVERAGE(BX6:BX7)</f>
        <v>7939</v>
      </c>
    </row>
    <row r="9" spans="1:81">
      <c r="AE9" s="591"/>
      <c r="AF9" s="591"/>
      <c r="AG9" s="591"/>
      <c r="AH9" s="591"/>
      <c r="AI9" s="591"/>
      <c r="AJ9" s="591"/>
      <c r="AK9" s="591"/>
      <c r="AL9" s="591"/>
      <c r="AY9" s="1958">
        <f>SUM(AW12:AY12)/SUM(AW8,AX8,AY8)</f>
        <v>0.287292817679558</v>
      </c>
      <c r="AZ9" s="1958">
        <f>SUM(AT12:AY12)/SUM(AT8:AY8)</f>
        <v>0.25662499252258181</v>
      </c>
      <c r="BK9" s="1958">
        <f>SUM(BI12:BK12)/SUM(BI8,BJ8,BK8)</f>
        <v>0.25614337411683613</v>
      </c>
      <c r="BL9" s="1958">
        <f>SUM(BF12:BK12)/SUM(BF8:BK8)</f>
        <v>0.22575381077773246</v>
      </c>
    </row>
    <row r="10" spans="1:81" s="935" customFormat="1">
      <c r="A10" s="931" t="s">
        <v>109</v>
      </c>
      <c r="B10" s="243">
        <f>SUMIF($BR$2:$CC$2, "=" &amp; $B$2,$BR$10:$CC$10)</f>
        <v>1372</v>
      </c>
      <c r="C10" s="932"/>
      <c r="D10" s="933"/>
      <c r="E10" s="933"/>
      <c r="F10" s="933"/>
      <c r="G10" s="243">
        <f>X10</f>
        <v>27</v>
      </c>
      <c r="H10" s="243">
        <f>AA10</f>
        <v>100</v>
      </c>
      <c r="I10" s="243">
        <f>AD10</f>
        <v>119</v>
      </c>
      <c r="J10" s="243"/>
      <c r="K10" s="243">
        <v>126</v>
      </c>
      <c r="L10" s="932"/>
      <c r="M10" s="937">
        <f>SUM(M40:M42)</f>
        <v>11</v>
      </c>
      <c r="N10" s="937">
        <f t="shared" ref="N10:W10" si="21">SUM(N40:N42)</f>
        <v>12</v>
      </c>
      <c r="O10" s="937">
        <f t="shared" si="21"/>
        <v>15</v>
      </c>
      <c r="P10" s="937">
        <f t="shared" si="21"/>
        <v>16</v>
      </c>
      <c r="Q10" s="937">
        <f t="shared" si="21"/>
        <v>15</v>
      </c>
      <c r="R10" s="937">
        <f t="shared" si="21"/>
        <v>14</v>
      </c>
      <c r="S10" s="937">
        <f t="shared" si="21"/>
        <v>13</v>
      </c>
      <c r="T10" s="937">
        <f t="shared" si="21"/>
        <v>14</v>
      </c>
      <c r="U10" s="937">
        <f t="shared" si="21"/>
        <v>16</v>
      </c>
      <c r="V10" s="937">
        <f t="shared" si="21"/>
        <v>18</v>
      </c>
      <c r="W10" s="937">
        <f t="shared" si="21"/>
        <v>16</v>
      </c>
      <c r="X10" s="937">
        <f t="shared" ref="X10:AC10" si="22">SUM(X40:X42)</f>
        <v>27</v>
      </c>
      <c r="Y10" s="937">
        <f t="shared" si="22"/>
        <v>70</v>
      </c>
      <c r="Z10" s="937">
        <f t="shared" si="22"/>
        <v>91</v>
      </c>
      <c r="AA10" s="937">
        <f t="shared" si="22"/>
        <v>100</v>
      </c>
      <c r="AB10" s="937">
        <f t="shared" si="22"/>
        <v>96</v>
      </c>
      <c r="AC10" s="937">
        <f t="shared" si="22"/>
        <v>104</v>
      </c>
      <c r="AD10" s="937">
        <f t="shared" ref="AD10:AL10" si="23">SUM(AD40:AD42)</f>
        <v>119</v>
      </c>
      <c r="AE10" s="943">
        <f t="shared" si="23"/>
        <v>112</v>
      </c>
      <c r="AF10" s="943">
        <f t="shared" si="23"/>
        <v>120</v>
      </c>
      <c r="AG10" s="943">
        <f t="shared" si="23"/>
        <v>126</v>
      </c>
      <c r="AH10" s="943">
        <f t="shared" si="23"/>
        <v>125</v>
      </c>
      <c r="AI10" s="943">
        <f t="shared" si="23"/>
        <v>116</v>
      </c>
      <c r="AJ10" s="943">
        <f t="shared" si="23"/>
        <v>117</v>
      </c>
      <c r="AK10" s="943">
        <f t="shared" si="23"/>
        <v>156</v>
      </c>
      <c r="AL10" s="943">
        <f t="shared" si="23"/>
        <v>193</v>
      </c>
      <c r="AM10" s="1231">
        <f t="shared" ref="AM10:BB10" si="24">SUM(AM40:AM43)</f>
        <v>249</v>
      </c>
      <c r="AN10" s="1231">
        <f t="shared" si="24"/>
        <v>257</v>
      </c>
      <c r="AO10" s="1231">
        <f t="shared" si="24"/>
        <v>289</v>
      </c>
      <c r="AP10" s="1231">
        <f t="shared" si="24"/>
        <v>323</v>
      </c>
      <c r="AQ10" s="1231">
        <f t="shared" si="24"/>
        <v>346</v>
      </c>
      <c r="AR10" s="1231">
        <f t="shared" si="24"/>
        <v>401</v>
      </c>
      <c r="AS10" s="1231">
        <f t="shared" si="24"/>
        <v>463</v>
      </c>
      <c r="AT10" s="1231">
        <f t="shared" si="24"/>
        <v>519</v>
      </c>
      <c r="AU10" s="1231">
        <f t="shared" si="24"/>
        <v>537</v>
      </c>
      <c r="AV10" s="1231">
        <f t="shared" si="24"/>
        <v>586</v>
      </c>
      <c r="AW10" s="1231">
        <f t="shared" si="24"/>
        <v>681</v>
      </c>
      <c r="AX10" s="1231">
        <f t="shared" si="24"/>
        <v>725</v>
      </c>
      <c r="AY10" s="1231">
        <f t="shared" si="24"/>
        <v>723</v>
      </c>
      <c r="AZ10" s="1231">
        <f t="shared" si="24"/>
        <v>747</v>
      </c>
      <c r="BA10" s="1231">
        <f t="shared" si="24"/>
        <v>744</v>
      </c>
      <c r="BB10" s="1231">
        <f t="shared" si="24"/>
        <v>819</v>
      </c>
      <c r="BC10" s="1231">
        <f t="shared" ref="BC10:BH10" si="25">SUM(BC40:BC43)</f>
        <v>854</v>
      </c>
      <c r="BD10" s="1231">
        <f t="shared" si="25"/>
        <v>866</v>
      </c>
      <c r="BE10" s="1231">
        <f t="shared" si="25"/>
        <v>857</v>
      </c>
      <c r="BF10" s="1869">
        <f t="shared" si="25"/>
        <v>868</v>
      </c>
      <c r="BG10" s="1869">
        <f t="shared" si="25"/>
        <v>847</v>
      </c>
      <c r="BH10" s="1869">
        <f t="shared" si="25"/>
        <v>885</v>
      </c>
      <c r="BI10" s="1869">
        <f>SUM(BI40:BI43)</f>
        <v>936</v>
      </c>
      <c r="BJ10" s="1869">
        <f>SUM(BJ40:BJ43)</f>
        <v>1014</v>
      </c>
      <c r="BK10" s="1869">
        <f t="shared" ref="BK10:BQ10" si="26">SUM(BK40:BK43)</f>
        <v>1124</v>
      </c>
      <c r="BL10" s="1869">
        <f t="shared" si="26"/>
        <v>1126</v>
      </c>
      <c r="BM10" s="1869">
        <f t="shared" si="26"/>
        <v>1211</v>
      </c>
      <c r="BN10" s="1869">
        <f t="shared" si="26"/>
        <v>1343</v>
      </c>
      <c r="BO10" s="1869">
        <f t="shared" si="26"/>
        <v>1458</v>
      </c>
      <c r="BP10" s="1869">
        <f t="shared" si="26"/>
        <v>1500</v>
      </c>
      <c r="BQ10" s="1869">
        <f t="shared" si="26"/>
        <v>1663</v>
      </c>
      <c r="BR10" s="1869">
        <f t="shared" ref="BR10:BX10" si="27">SUM(BR40:BR43)</f>
        <v>1656</v>
      </c>
      <c r="BS10" s="1869">
        <f t="shared" si="27"/>
        <v>1744</v>
      </c>
      <c r="BT10" s="1869">
        <f t="shared" si="27"/>
        <v>1704</v>
      </c>
      <c r="BU10" s="1869">
        <f t="shared" si="27"/>
        <v>1521</v>
      </c>
      <c r="BV10" s="1869">
        <f t="shared" si="27"/>
        <v>1540</v>
      </c>
      <c r="BW10" s="1869">
        <f t="shared" si="27"/>
        <v>1505</v>
      </c>
      <c r="BX10" s="1869">
        <f t="shared" si="27"/>
        <v>1372</v>
      </c>
    </row>
    <row r="11" spans="1:81">
      <c r="A11" s="212" t="s">
        <v>172</v>
      </c>
      <c r="B11" s="250">
        <f>B12/(B8*$B$2)</f>
        <v>0.19980982232474598</v>
      </c>
      <c r="G11" s="250">
        <f>G12/(G8*$G$2)</f>
        <v>0.27180527383367142</v>
      </c>
      <c r="H11" s="250">
        <f>H12/(H8*$G$2)</f>
        <v>0.28683181225554105</v>
      </c>
      <c r="I11" s="250">
        <f>I12/(I8*$G$2)</f>
        <v>0.19018404907975461</v>
      </c>
      <c r="J11" s="250"/>
      <c r="K11" s="250">
        <v>0.22195589645254074</v>
      </c>
      <c r="M11" s="240">
        <f>M12/M8</f>
        <v>0.875</v>
      </c>
      <c r="N11" s="240">
        <f t="shared" ref="N11:W11" si="28">N12/N8</f>
        <v>0.69444444444444442</v>
      </c>
      <c r="O11" s="240">
        <f t="shared" si="28"/>
        <v>0.46938775510204084</v>
      </c>
      <c r="P11" s="240">
        <f t="shared" si="28"/>
        <v>0.20799999999999999</v>
      </c>
      <c r="Q11" s="240">
        <f t="shared" si="28"/>
        <v>0.2814814814814815</v>
      </c>
      <c r="R11" s="240">
        <f t="shared" si="28"/>
        <v>0.30534351145038169</v>
      </c>
      <c r="S11" s="240">
        <f t="shared" si="28"/>
        <v>0.16</v>
      </c>
      <c r="T11" s="240">
        <f t="shared" si="28"/>
        <v>0.11475409836065574</v>
      </c>
      <c r="U11" s="240">
        <f t="shared" si="28"/>
        <v>0.48120300751879697</v>
      </c>
      <c r="V11" s="240">
        <f t="shared" si="28"/>
        <v>0.29333333333333333</v>
      </c>
      <c r="W11" s="240">
        <f t="shared" si="28"/>
        <v>0.11920529801324503</v>
      </c>
      <c r="X11" s="240">
        <f t="shared" ref="X11:AC11" si="29">X12/X8</f>
        <v>0.375</v>
      </c>
      <c r="Y11" s="240">
        <f t="shared" si="29"/>
        <v>0.34545454545454546</v>
      </c>
      <c r="Z11" s="240">
        <f t="shared" si="29"/>
        <v>0.31153846153846154</v>
      </c>
      <c r="AA11" s="240">
        <f t="shared" si="29"/>
        <v>0.23976608187134502</v>
      </c>
      <c r="AB11" s="240">
        <f t="shared" si="29"/>
        <v>0.14084507042253522</v>
      </c>
      <c r="AC11" s="240">
        <f t="shared" si="29"/>
        <v>0.17736289381563594</v>
      </c>
      <c r="AD11" s="568">
        <f>AD12/AD8</f>
        <v>0.24123711340206186</v>
      </c>
      <c r="AE11" s="584">
        <f t="shared" ref="AE11:AJ11" si="30">AE12/AE8</f>
        <v>0.21671258034894397</v>
      </c>
      <c r="AF11" s="570">
        <f t="shared" si="30"/>
        <v>0.17275747508305647</v>
      </c>
      <c r="AG11" s="584">
        <f t="shared" si="30"/>
        <v>0.23870056497175141</v>
      </c>
      <c r="AH11" s="570">
        <f t="shared" si="30"/>
        <v>0.10064516129032258</v>
      </c>
      <c r="AI11" s="584">
        <f t="shared" si="30"/>
        <v>0.15186440677966101</v>
      </c>
      <c r="AJ11" s="584">
        <f t="shared" si="30"/>
        <v>0.14799154334038056</v>
      </c>
      <c r="AK11" s="584">
        <f t="shared" ref="AK11:AS11" si="31">AK12/AK8</f>
        <v>0.18801261829652996</v>
      </c>
      <c r="AL11" s="584">
        <f t="shared" si="31"/>
        <v>0.21187800963081863</v>
      </c>
      <c r="AM11" s="584">
        <f t="shared" si="31"/>
        <v>0.33109404990403069</v>
      </c>
      <c r="AN11" s="584">
        <f t="shared" si="31"/>
        <v>0.30017921146953402</v>
      </c>
      <c r="AO11" s="584">
        <f t="shared" si="31"/>
        <v>0.29089443996776793</v>
      </c>
      <c r="AP11" s="584">
        <f t="shared" si="31"/>
        <v>0.32556497175141241</v>
      </c>
      <c r="AQ11" s="584">
        <f t="shared" si="31"/>
        <v>0.33141394753678821</v>
      </c>
      <c r="AR11" s="584">
        <f t="shared" si="31"/>
        <v>0.31868443436348171</v>
      </c>
      <c r="AS11" s="584">
        <f t="shared" si="31"/>
        <v>0.39459459459459462</v>
      </c>
      <c r="AT11" s="584">
        <f>AT12/AT8</f>
        <v>0.23813595553655409</v>
      </c>
      <c r="AU11" s="584">
        <f>AU12/AU8</f>
        <v>0.18299881936245574</v>
      </c>
      <c r="AV11" s="584">
        <f>AV12/AV8</f>
        <v>0.23808640830706471</v>
      </c>
      <c r="AW11" s="584">
        <f>AW12/AW8</f>
        <v>0.25075732076741836</v>
      </c>
      <c r="AX11" s="584">
        <f>AX12/AX8</f>
        <v>0.2855756791720569</v>
      </c>
      <c r="AY11" s="584">
        <f t="shared" ref="AY11:BD11" si="32">AY12/AY8</f>
        <v>0.32428919577579202</v>
      </c>
      <c r="AZ11" s="584">
        <f t="shared" si="32"/>
        <v>0.32723185613359024</v>
      </c>
      <c r="BA11" s="584">
        <f t="shared" si="32"/>
        <v>0.25923626203042532</v>
      </c>
      <c r="BB11" s="584">
        <f t="shared" si="32"/>
        <v>0.40241923587549788</v>
      </c>
      <c r="BC11" s="584">
        <f t="shared" si="32"/>
        <v>0.31809872029250458</v>
      </c>
      <c r="BD11" s="584">
        <f t="shared" si="32"/>
        <v>0.35707750620833878</v>
      </c>
      <c r="BE11" s="584">
        <f>BE12/BE8</f>
        <v>0.38582677165354329</v>
      </c>
      <c r="BF11" s="584">
        <f>BF12/BF8</f>
        <v>0.15349286922890984</v>
      </c>
      <c r="BG11" s="584">
        <f>BG12/BG8</f>
        <v>0.15041242115477924</v>
      </c>
      <c r="BH11" s="584">
        <f>BH12/BH8</f>
        <v>0.2659358989634219</v>
      </c>
      <c r="BI11" s="584">
        <f t="shared" ref="BI11:BQ11" si="33">BI12/BI8</f>
        <v>0.22171894462688257</v>
      </c>
      <c r="BJ11" s="584">
        <f t="shared" si="33"/>
        <v>0.23105458399576045</v>
      </c>
      <c r="BK11" s="584">
        <f t="shared" si="33"/>
        <v>0.30644711135919622</v>
      </c>
      <c r="BL11" s="584">
        <f t="shared" si="33"/>
        <v>0.21556689155833469</v>
      </c>
      <c r="BM11" s="584">
        <f t="shared" si="33"/>
        <v>0.21345358887636226</v>
      </c>
      <c r="BN11" s="584">
        <f t="shared" si="33"/>
        <v>0.23630417007358953</v>
      </c>
      <c r="BO11" s="584">
        <f t="shared" si="33"/>
        <v>0.18195358073724713</v>
      </c>
      <c r="BP11" s="584">
        <f t="shared" si="33"/>
        <v>0.17629875708803483</v>
      </c>
      <c r="BQ11" s="584">
        <f t="shared" si="33"/>
        <v>0.26672311600338694</v>
      </c>
      <c r="BR11" s="584">
        <f t="shared" ref="BR11:BX11" si="34">BR12/BR8</f>
        <v>0.10274213836477987</v>
      </c>
      <c r="BS11" s="584">
        <f t="shared" si="34"/>
        <v>0.17395233254264092</v>
      </c>
      <c r="BT11" s="584">
        <f t="shared" si="34"/>
        <v>0.2576845919886106</v>
      </c>
      <c r="BU11" s="584">
        <f t="shared" si="34"/>
        <v>0.24713496022650666</v>
      </c>
      <c r="BV11" s="584">
        <f t="shared" si="34"/>
        <v>0.21250952413936414</v>
      </c>
      <c r="BW11" s="584">
        <f t="shared" si="34"/>
        <v>0.25267944137707049</v>
      </c>
      <c r="BX11" s="584">
        <f t="shared" si="34"/>
        <v>0.18679934500566822</v>
      </c>
    </row>
    <row r="12" spans="1:81" s="935" customFormat="1">
      <c r="A12" s="931" t="s">
        <v>60</v>
      </c>
      <c r="B12" s="243">
        <f>SUMIF($BR$2:$CC$2, "&lt;=" &amp; $B$2, $BR$12:$CC$12)</f>
        <v>11347</v>
      </c>
      <c r="C12" s="932"/>
      <c r="D12" s="933"/>
      <c r="E12" s="933"/>
      <c r="F12" s="933"/>
      <c r="G12" s="243">
        <f>SUM(V12:X12)</f>
        <v>67</v>
      </c>
      <c r="H12" s="243">
        <f>SUM(Y12:AA12)</f>
        <v>220</v>
      </c>
      <c r="I12" s="243">
        <f>SUM(AB12:AD12)</f>
        <v>248</v>
      </c>
      <c r="J12" s="243"/>
      <c r="K12" s="243">
        <v>926</v>
      </c>
      <c r="L12" s="932"/>
      <c r="M12" s="937">
        <f>M85</f>
        <v>14</v>
      </c>
      <c r="N12" s="937">
        <f t="shared" ref="N12:W12" si="35">N85</f>
        <v>25</v>
      </c>
      <c r="O12" s="937">
        <f t="shared" si="35"/>
        <v>23</v>
      </c>
      <c r="P12" s="937">
        <f t="shared" si="35"/>
        <v>13</v>
      </c>
      <c r="Q12" s="937">
        <f t="shared" si="35"/>
        <v>19</v>
      </c>
      <c r="R12" s="937">
        <f t="shared" si="35"/>
        <v>20</v>
      </c>
      <c r="S12" s="937">
        <f t="shared" si="35"/>
        <v>10</v>
      </c>
      <c r="T12" s="937">
        <f t="shared" si="35"/>
        <v>7</v>
      </c>
      <c r="U12" s="937">
        <f t="shared" si="35"/>
        <v>32</v>
      </c>
      <c r="V12" s="937">
        <f t="shared" si="35"/>
        <v>22</v>
      </c>
      <c r="W12" s="937">
        <f t="shared" si="35"/>
        <v>9</v>
      </c>
      <c r="X12" s="937">
        <f t="shared" ref="X12:AC12" si="36">X85</f>
        <v>36</v>
      </c>
      <c r="Y12" s="937">
        <f t="shared" si="36"/>
        <v>57</v>
      </c>
      <c r="Z12" s="937">
        <f t="shared" si="36"/>
        <v>81</v>
      </c>
      <c r="AA12" s="937">
        <f t="shared" si="36"/>
        <v>82</v>
      </c>
      <c r="AB12" s="937">
        <f t="shared" si="36"/>
        <v>55</v>
      </c>
      <c r="AC12" s="937">
        <f t="shared" si="36"/>
        <v>76</v>
      </c>
      <c r="AD12" s="937">
        <f t="shared" ref="AD12:AJ12" si="37">AD85</f>
        <v>117</v>
      </c>
      <c r="AE12" s="943">
        <f t="shared" si="37"/>
        <v>118</v>
      </c>
      <c r="AF12" s="943">
        <f t="shared" si="37"/>
        <v>104</v>
      </c>
      <c r="AG12" s="943">
        <f t="shared" si="37"/>
        <v>169</v>
      </c>
      <c r="AH12" s="943">
        <f t="shared" si="37"/>
        <v>78</v>
      </c>
      <c r="AI12" s="943">
        <f t="shared" si="37"/>
        <v>112</v>
      </c>
      <c r="AJ12" s="943">
        <f t="shared" si="37"/>
        <v>105</v>
      </c>
      <c r="AK12" s="943">
        <f t="shared" ref="AK12:AS12" si="38">AK85</f>
        <v>149</v>
      </c>
      <c r="AL12" s="943">
        <f t="shared" si="38"/>
        <v>198</v>
      </c>
      <c r="AM12" s="935">
        <f t="shared" si="38"/>
        <v>345</v>
      </c>
      <c r="AN12" s="935">
        <f t="shared" si="38"/>
        <v>335</v>
      </c>
      <c r="AO12" s="935">
        <f t="shared" si="38"/>
        <v>361</v>
      </c>
      <c r="AP12" s="935">
        <f t="shared" si="38"/>
        <v>461</v>
      </c>
      <c r="AQ12" s="935">
        <f t="shared" si="38"/>
        <v>518</v>
      </c>
      <c r="AR12" s="935">
        <f t="shared" si="38"/>
        <v>562</v>
      </c>
      <c r="AS12" s="935">
        <f t="shared" si="38"/>
        <v>803</v>
      </c>
      <c r="AT12" s="935">
        <f t="shared" ref="AT12:BH12" si="39">AT85</f>
        <v>557</v>
      </c>
      <c r="AU12" s="935">
        <f t="shared" si="39"/>
        <v>465</v>
      </c>
      <c r="AV12" s="935">
        <f t="shared" si="39"/>
        <v>642</v>
      </c>
      <c r="AW12" s="935">
        <f t="shared" si="39"/>
        <v>745</v>
      </c>
      <c r="AX12" s="935">
        <f t="shared" si="39"/>
        <v>883</v>
      </c>
      <c r="AY12" s="935">
        <f t="shared" si="39"/>
        <v>998</v>
      </c>
      <c r="AZ12" s="935">
        <f t="shared" si="39"/>
        <v>1019</v>
      </c>
      <c r="BA12" s="935">
        <f t="shared" si="39"/>
        <v>835</v>
      </c>
      <c r="BB12" s="935">
        <f t="shared" si="39"/>
        <v>1364</v>
      </c>
      <c r="BC12" s="935">
        <f t="shared" si="39"/>
        <v>1131</v>
      </c>
      <c r="BD12" s="935">
        <f t="shared" si="39"/>
        <v>1366</v>
      </c>
      <c r="BE12" s="1748">
        <f t="shared" si="39"/>
        <v>1568</v>
      </c>
      <c r="BF12" s="1869">
        <f t="shared" si="39"/>
        <v>635</v>
      </c>
      <c r="BG12" s="1869">
        <f t="shared" si="39"/>
        <v>620</v>
      </c>
      <c r="BH12" s="1869">
        <f t="shared" si="39"/>
        <v>1116</v>
      </c>
      <c r="BI12" s="1869">
        <f t="shared" ref="BI12:BQ12" si="40">BI85</f>
        <v>979</v>
      </c>
      <c r="BJ12" s="1869">
        <f t="shared" si="40"/>
        <v>1090</v>
      </c>
      <c r="BK12" s="1869">
        <f t="shared" si="40"/>
        <v>1647</v>
      </c>
      <c r="BL12" s="1748">
        <f t="shared" si="40"/>
        <v>1310</v>
      </c>
      <c r="BM12" s="1748">
        <f t="shared" si="40"/>
        <v>1420</v>
      </c>
      <c r="BN12" s="1748">
        <f t="shared" si="40"/>
        <v>1734</v>
      </c>
      <c r="BO12" s="1748">
        <f t="shared" si="40"/>
        <v>1466</v>
      </c>
      <c r="BP12" s="1748">
        <f t="shared" si="40"/>
        <v>1539</v>
      </c>
      <c r="BQ12" s="1748">
        <f t="shared" si="40"/>
        <v>2520</v>
      </c>
      <c r="BR12" s="1748">
        <f t="shared" ref="BR12:BX12" si="41">BR85</f>
        <v>1021</v>
      </c>
      <c r="BS12" s="1748">
        <f t="shared" si="41"/>
        <v>1540</v>
      </c>
      <c r="BT12" s="1748">
        <f t="shared" si="41"/>
        <v>1991</v>
      </c>
      <c r="BU12" s="1748">
        <f t="shared" si="41"/>
        <v>1833</v>
      </c>
      <c r="BV12" s="1748">
        <f t="shared" si="41"/>
        <v>1534</v>
      </c>
      <c r="BW12" s="1748">
        <f t="shared" si="41"/>
        <v>1945</v>
      </c>
      <c r="BX12" s="1748">
        <f t="shared" si="41"/>
        <v>1483</v>
      </c>
    </row>
    <row r="13" spans="1:81">
      <c r="A13" s="212" t="s">
        <v>61</v>
      </c>
      <c r="B13" s="242">
        <f>B14/B12</f>
        <v>1.7787080285538028</v>
      </c>
      <c r="G13" s="242">
        <f>G14/G12</f>
        <v>1.3582089552238805</v>
      </c>
      <c r="H13" s="242">
        <f>H14/H12</f>
        <v>1.3454545454545455</v>
      </c>
      <c r="I13" s="242">
        <f>I14/I12</f>
        <v>1.3387096774193548</v>
      </c>
      <c r="J13" s="242"/>
      <c r="K13" s="242">
        <v>1.4028077753779697</v>
      </c>
      <c r="M13" s="215">
        <f>M14/M12</f>
        <v>1.6428571428571428</v>
      </c>
      <c r="N13" s="215">
        <f t="shared" ref="N13:X13" si="42">N14/N12</f>
        <v>1.08</v>
      </c>
      <c r="O13" s="215">
        <f t="shared" si="42"/>
        <v>1.2608695652173914</v>
      </c>
      <c r="P13" s="215">
        <f t="shared" si="42"/>
        <v>1.3076923076923077</v>
      </c>
      <c r="Q13" s="215">
        <f t="shared" si="42"/>
        <v>1.263157894736842</v>
      </c>
      <c r="R13" s="215">
        <f t="shared" si="42"/>
        <v>1.45</v>
      </c>
      <c r="S13" s="215">
        <f t="shared" si="42"/>
        <v>1.5</v>
      </c>
      <c r="T13" s="215">
        <f t="shared" si="42"/>
        <v>2</v>
      </c>
      <c r="U13" s="215">
        <f t="shared" si="42"/>
        <v>2.28125</v>
      </c>
      <c r="V13" s="215">
        <f t="shared" si="42"/>
        <v>1.4545454545454546</v>
      </c>
      <c r="W13" s="215">
        <f t="shared" si="42"/>
        <v>1.2222222222222223</v>
      </c>
      <c r="X13" s="215">
        <f t="shared" si="42"/>
        <v>1.3333333333333333</v>
      </c>
      <c r="Y13" s="215">
        <f t="shared" ref="Y13:AD13" si="43">Y14/Y12</f>
        <v>1.4210526315789473</v>
      </c>
      <c r="Z13" s="215">
        <f t="shared" si="43"/>
        <v>1.308641975308642</v>
      </c>
      <c r="AA13" s="215">
        <f t="shared" si="43"/>
        <v>1.3292682926829269</v>
      </c>
      <c r="AB13" s="215">
        <f t="shared" si="43"/>
        <v>1.3090909090909091</v>
      </c>
      <c r="AC13" s="215">
        <f t="shared" si="43"/>
        <v>1.2763157894736843</v>
      </c>
      <c r="AD13" s="215">
        <f t="shared" si="43"/>
        <v>1.3931623931623931</v>
      </c>
      <c r="AE13" s="581">
        <f t="shared" ref="AE13:AJ13" si="44">AE14/AE12</f>
        <v>1.271186440677966</v>
      </c>
      <c r="AF13" s="581">
        <f t="shared" si="44"/>
        <v>1.4326923076923077</v>
      </c>
      <c r="AG13" s="581">
        <f t="shared" si="44"/>
        <v>1.6627218934911243</v>
      </c>
      <c r="AH13" s="581">
        <f t="shared" si="44"/>
        <v>1.0897435897435896</v>
      </c>
      <c r="AI13" s="581">
        <f t="shared" si="44"/>
        <v>1.2232142857142858</v>
      </c>
      <c r="AJ13" s="581">
        <f t="shared" si="44"/>
        <v>1.180952380952381</v>
      </c>
      <c r="AK13" s="581">
        <f t="shared" ref="AK13:AS13" si="45">AK14/AK12</f>
        <v>1.3355704697986577</v>
      </c>
      <c r="AL13" s="581">
        <f t="shared" si="45"/>
        <v>1.2323232323232323</v>
      </c>
      <c r="AM13" s="581">
        <f t="shared" si="45"/>
        <v>1.5333333333333334</v>
      </c>
      <c r="AN13" s="581">
        <f t="shared" si="45"/>
        <v>1.4597014925373135</v>
      </c>
      <c r="AO13" s="581">
        <f t="shared" si="45"/>
        <v>1.5401662049861495</v>
      </c>
      <c r="AP13" s="581">
        <f t="shared" si="45"/>
        <v>1.7440347071583515</v>
      </c>
      <c r="AQ13" s="581">
        <f t="shared" si="45"/>
        <v>1.6447876447876448</v>
      </c>
      <c r="AR13" s="581">
        <f>AR14/AR12</f>
        <v>1.6654804270462633</v>
      </c>
      <c r="AS13" s="581">
        <f t="shared" si="45"/>
        <v>2.2814445828144456</v>
      </c>
      <c r="AT13" s="581">
        <f t="shared" ref="AT13:BH13" si="46">AT14/AT12</f>
        <v>1.2836624775583483</v>
      </c>
      <c r="AU13" s="581">
        <f t="shared" si="46"/>
        <v>1.2881720430107526</v>
      </c>
      <c r="AV13" s="581">
        <f t="shared" si="46"/>
        <v>1.557632398753894</v>
      </c>
      <c r="AW13" s="581">
        <f t="shared" si="46"/>
        <v>1.5436241610738255</v>
      </c>
      <c r="AX13" s="581">
        <f t="shared" si="46"/>
        <v>1.3171007927519818</v>
      </c>
      <c r="AY13" s="581">
        <f t="shared" si="46"/>
        <v>1.3867735470941884</v>
      </c>
      <c r="AZ13" s="581">
        <f t="shared" si="46"/>
        <v>1.4828263002944062</v>
      </c>
      <c r="BA13" s="581">
        <f t="shared" si="46"/>
        <v>1.288622754491018</v>
      </c>
      <c r="BB13" s="581">
        <f t="shared" si="46"/>
        <v>1.5065982404692082</v>
      </c>
      <c r="BC13" s="581">
        <f t="shared" si="46"/>
        <v>1.3925729442970822</v>
      </c>
      <c r="BD13" s="581">
        <f t="shared" si="46"/>
        <v>1.9341142020497804</v>
      </c>
      <c r="BE13" s="581">
        <f t="shared" si="46"/>
        <v>1.9368622448979591</v>
      </c>
      <c r="BF13" s="581">
        <f t="shared" si="46"/>
        <v>1.2866141732283465</v>
      </c>
      <c r="BG13" s="581">
        <f t="shared" si="46"/>
        <v>1.3177419354838709</v>
      </c>
      <c r="BH13" s="581">
        <f t="shared" si="46"/>
        <v>1.7508960573476702</v>
      </c>
      <c r="BI13" s="581">
        <f t="shared" ref="BI13:BQ13" si="47">BI14/BI12</f>
        <v>1.5372829417773237</v>
      </c>
      <c r="BJ13" s="581">
        <f t="shared" si="47"/>
        <v>1.4944954128440366</v>
      </c>
      <c r="BK13" s="581">
        <f t="shared" si="47"/>
        <v>1.6927747419550698</v>
      </c>
      <c r="BL13" s="581">
        <f t="shared" si="47"/>
        <v>1.4343511450381679</v>
      </c>
      <c r="BM13" s="581">
        <f t="shared" si="47"/>
        <v>1.4732394366197183</v>
      </c>
      <c r="BN13" s="581">
        <f t="shared" si="47"/>
        <v>1.814878892733564</v>
      </c>
      <c r="BO13" s="581">
        <f t="shared" si="47"/>
        <v>1.5675306957708048</v>
      </c>
      <c r="BP13" s="581">
        <f>BP14/BP12</f>
        <v>1.8960363872644574</v>
      </c>
      <c r="BQ13" s="581">
        <f t="shared" si="47"/>
        <v>2.0249999999999999</v>
      </c>
      <c r="BR13" s="581">
        <f t="shared" ref="BR13:BV13" si="48">BR14/BR12</f>
        <v>1.5690499510284035</v>
      </c>
      <c r="BS13" s="581">
        <f t="shared" si="48"/>
        <v>1.5084415584415585</v>
      </c>
      <c r="BT13" s="581">
        <f t="shared" si="48"/>
        <v>1.7694625816172778</v>
      </c>
      <c r="BU13" s="581">
        <f t="shared" si="48"/>
        <v>1.7097654118930714</v>
      </c>
      <c r="BV13" s="581">
        <f t="shared" si="48"/>
        <v>2.2216427640156455</v>
      </c>
      <c r="BW13" s="581">
        <f>BW14/BW12</f>
        <v>1.8123393316195373</v>
      </c>
      <c r="BX13" s="581">
        <f>IFERROR(BX14/BX12,"-")</f>
        <v>1.7990559676331761</v>
      </c>
    </row>
    <row r="14" spans="1:81">
      <c r="A14" s="212" t="s">
        <v>3</v>
      </c>
      <c r="B14" s="1898">
        <f>SUMIF($BR$2:$CC$2, "&lt;=" &amp; $B$2,$BR$14:$CC$14)</f>
        <v>20183</v>
      </c>
      <c r="G14" s="242">
        <f>SUM(V14:X14)</f>
        <v>91</v>
      </c>
      <c r="H14" s="242">
        <f>SUM(Y14:AA14)</f>
        <v>296</v>
      </c>
      <c r="I14" s="242">
        <f>SUM(AB14:AD14)</f>
        <v>332</v>
      </c>
      <c r="J14" s="242"/>
      <c r="K14" s="242">
        <v>1299</v>
      </c>
      <c r="M14" s="1656">
        <f>M96</f>
        <v>23</v>
      </c>
      <c r="N14" s="1656">
        <f t="shared" ref="N14:W14" si="49">N96</f>
        <v>27</v>
      </c>
      <c r="O14" s="1656">
        <f t="shared" si="49"/>
        <v>29</v>
      </c>
      <c r="P14" s="1656">
        <f t="shared" si="49"/>
        <v>17</v>
      </c>
      <c r="Q14" s="1656">
        <f t="shared" si="49"/>
        <v>24</v>
      </c>
      <c r="R14" s="1656">
        <f t="shared" si="49"/>
        <v>29</v>
      </c>
      <c r="S14" s="1656">
        <f t="shared" si="49"/>
        <v>15</v>
      </c>
      <c r="T14" s="1656">
        <f t="shared" si="49"/>
        <v>14</v>
      </c>
      <c r="U14" s="1656">
        <f t="shared" si="49"/>
        <v>73</v>
      </c>
      <c r="V14" s="1656">
        <f t="shared" si="49"/>
        <v>32</v>
      </c>
      <c r="W14" s="1656">
        <f t="shared" si="49"/>
        <v>11</v>
      </c>
      <c r="X14" s="1656">
        <f t="shared" ref="X14:AC14" si="50">X96</f>
        <v>48</v>
      </c>
      <c r="Y14" s="1656">
        <f t="shared" si="50"/>
        <v>81</v>
      </c>
      <c r="Z14" s="1656">
        <f t="shared" si="50"/>
        <v>106</v>
      </c>
      <c r="AA14" s="1656">
        <f t="shared" si="50"/>
        <v>109</v>
      </c>
      <c r="AB14" s="1656">
        <f t="shared" si="50"/>
        <v>72</v>
      </c>
      <c r="AC14" s="1656">
        <f t="shared" si="50"/>
        <v>97</v>
      </c>
      <c r="AD14" s="1656">
        <f t="shared" ref="AD14:AJ14" si="51">AD96</f>
        <v>163</v>
      </c>
      <c r="AE14" s="1656">
        <f t="shared" si="51"/>
        <v>150</v>
      </c>
      <c r="AF14" s="1656">
        <f t="shared" si="51"/>
        <v>149</v>
      </c>
      <c r="AG14" s="1656">
        <f t="shared" si="51"/>
        <v>281</v>
      </c>
      <c r="AH14" s="1656">
        <f t="shared" si="51"/>
        <v>85</v>
      </c>
      <c r="AI14" s="1656">
        <f t="shared" si="51"/>
        <v>137</v>
      </c>
      <c r="AJ14" s="1656">
        <f t="shared" si="51"/>
        <v>124</v>
      </c>
      <c r="AK14" s="1656">
        <f t="shared" ref="AK14:AR14" si="52">AK96</f>
        <v>199</v>
      </c>
      <c r="AL14" s="1656">
        <f t="shared" si="52"/>
        <v>244</v>
      </c>
      <c r="AM14" s="1656">
        <f t="shared" si="52"/>
        <v>529</v>
      </c>
      <c r="AN14" s="1656">
        <f t="shared" si="52"/>
        <v>489</v>
      </c>
      <c r="AO14" s="1656">
        <f t="shared" si="52"/>
        <v>556</v>
      </c>
      <c r="AP14" s="1656">
        <f t="shared" si="52"/>
        <v>804</v>
      </c>
      <c r="AQ14" s="1656">
        <f t="shared" si="52"/>
        <v>852</v>
      </c>
      <c r="AR14" s="1656">
        <f t="shared" si="52"/>
        <v>936</v>
      </c>
      <c r="AS14" s="1656">
        <f t="shared" ref="AS14:AX14" si="53">AS96</f>
        <v>1832</v>
      </c>
      <c r="AT14" s="1656">
        <f t="shared" si="53"/>
        <v>715</v>
      </c>
      <c r="AU14" s="1656">
        <f t="shared" si="53"/>
        <v>599</v>
      </c>
      <c r="AV14" s="1656">
        <f t="shared" si="53"/>
        <v>1000</v>
      </c>
      <c r="AW14" s="1656">
        <f t="shared" si="53"/>
        <v>1150</v>
      </c>
      <c r="AX14" s="1656">
        <f t="shared" si="53"/>
        <v>1163</v>
      </c>
      <c r="AY14" s="1656">
        <f t="shared" ref="AY14:BF14" si="54">AY96</f>
        <v>1384</v>
      </c>
      <c r="AZ14" s="1656">
        <f t="shared" si="54"/>
        <v>1511</v>
      </c>
      <c r="BA14" s="1656">
        <f t="shared" si="54"/>
        <v>1076</v>
      </c>
      <c r="BB14" s="1656">
        <f t="shared" si="54"/>
        <v>2055</v>
      </c>
      <c r="BC14" s="1656">
        <f t="shared" si="54"/>
        <v>1575</v>
      </c>
      <c r="BD14" s="1656">
        <f t="shared" si="54"/>
        <v>2642</v>
      </c>
      <c r="BE14" s="1656">
        <f t="shared" si="54"/>
        <v>3037</v>
      </c>
      <c r="BF14" s="1656">
        <f t="shared" si="54"/>
        <v>817</v>
      </c>
      <c r="BG14" s="1656">
        <f t="shared" ref="BG14:BQ14" si="55">BG96</f>
        <v>817</v>
      </c>
      <c r="BH14" s="1656">
        <f t="shared" si="55"/>
        <v>1954</v>
      </c>
      <c r="BI14" s="1656">
        <f t="shared" si="55"/>
        <v>1505</v>
      </c>
      <c r="BJ14" s="1656">
        <f t="shared" si="55"/>
        <v>1629</v>
      </c>
      <c r="BK14" s="1656">
        <f t="shared" si="55"/>
        <v>2788</v>
      </c>
      <c r="BL14" s="1656">
        <f t="shared" si="55"/>
        <v>1879</v>
      </c>
      <c r="BM14" s="1656">
        <f t="shared" si="55"/>
        <v>2092</v>
      </c>
      <c r="BN14" s="1656">
        <f t="shared" si="55"/>
        <v>3147</v>
      </c>
      <c r="BO14" s="1656">
        <f t="shared" si="55"/>
        <v>2298</v>
      </c>
      <c r="BP14" s="1656">
        <f t="shared" si="55"/>
        <v>2918</v>
      </c>
      <c r="BQ14" s="1656">
        <f t="shared" si="55"/>
        <v>5103</v>
      </c>
      <c r="BR14" s="1656">
        <f>BR96</f>
        <v>1602</v>
      </c>
      <c r="BS14" s="1656">
        <f>BS96+BS95</f>
        <v>2323</v>
      </c>
      <c r="BT14" s="1656">
        <f t="shared" ref="BT14" si="56">BT96+BT95</f>
        <v>3523</v>
      </c>
      <c r="BU14" s="1656">
        <f>BU96+BU95</f>
        <v>3134</v>
      </c>
      <c r="BV14" s="1656">
        <f t="shared" ref="BV14:BX14" si="57">BV96+BV95</f>
        <v>3408</v>
      </c>
      <c r="BW14" s="1656">
        <f t="shared" si="57"/>
        <v>3525</v>
      </c>
      <c r="BX14" s="1656">
        <f t="shared" si="57"/>
        <v>2668</v>
      </c>
    </row>
    <row r="15" spans="1:81">
      <c r="A15" s="212" t="s">
        <v>62</v>
      </c>
      <c r="B15" s="242">
        <f>B4/B14</f>
        <v>16.752904553336972</v>
      </c>
      <c r="G15" s="242">
        <f>G4/G14</f>
        <v>13.698890109890112</v>
      </c>
      <c r="H15" s="242">
        <f>H4/H14</f>
        <v>12.827496621621624</v>
      </c>
      <c r="I15" s="242">
        <f>I4/I14</f>
        <v>16.622409638554217</v>
      </c>
      <c r="J15" s="242"/>
      <c r="K15" s="242">
        <v>15.18617090069284</v>
      </c>
      <c r="M15" s="215">
        <f>M4/M14</f>
        <v>12.706086956521739</v>
      </c>
      <c r="N15" s="215">
        <f t="shared" ref="N15:X15" si="58">N4/N14</f>
        <v>12.732000000000001</v>
      </c>
      <c r="O15" s="215">
        <f t="shared" si="58"/>
        <v>28.146862068965518</v>
      </c>
      <c r="P15" s="215">
        <f t="shared" si="58"/>
        <v>13.820588235294117</v>
      </c>
      <c r="Q15" s="215">
        <f t="shared" si="58"/>
        <v>13.517541666666666</v>
      </c>
      <c r="R15" s="215">
        <f t="shared" si="58"/>
        <v>18.481275862068966</v>
      </c>
      <c r="S15" s="215">
        <f t="shared" si="58"/>
        <v>14.125866666666667</v>
      </c>
      <c r="T15" s="215">
        <f t="shared" si="58"/>
        <v>12.910500000000001</v>
      </c>
      <c r="U15" s="215">
        <f t="shared" si="58"/>
        <v>16.280506849315067</v>
      </c>
      <c r="V15" s="215">
        <f t="shared" si="58"/>
        <v>12.935812500000001</v>
      </c>
      <c r="W15" s="215">
        <f t="shared" si="58"/>
        <v>15.266818181818183</v>
      </c>
      <c r="X15" s="215">
        <f t="shared" si="58"/>
        <v>13.848291666666668</v>
      </c>
      <c r="Y15" s="215">
        <f t="shared" ref="Y15:AD15" si="59">Y4/Y14</f>
        <v>13.335765432098768</v>
      </c>
      <c r="Z15" s="215">
        <f t="shared" si="59"/>
        <v>15.31406603773585</v>
      </c>
      <c r="AA15" s="215">
        <f t="shared" si="59"/>
        <v>10.031660550458716</v>
      </c>
      <c r="AB15" s="215">
        <f t="shared" si="59"/>
        <v>14.944277777777776</v>
      </c>
      <c r="AC15" s="215">
        <f t="shared" si="59"/>
        <v>14.525773195876289</v>
      </c>
      <c r="AD15" s="569">
        <f t="shared" si="59"/>
        <v>18.611361963190184</v>
      </c>
      <c r="AE15" s="581">
        <f t="shared" ref="AE15:AJ15" si="60">AE4/AE14</f>
        <v>16.180213333333331</v>
      </c>
      <c r="AF15" s="581">
        <f t="shared" si="60"/>
        <v>17.209510067114095</v>
      </c>
      <c r="AG15" s="581">
        <f t="shared" si="60"/>
        <v>14.851989323843418</v>
      </c>
      <c r="AH15" s="581">
        <f t="shared" si="60"/>
        <v>15.817870588235296</v>
      </c>
      <c r="AI15" s="581">
        <f t="shared" si="60"/>
        <v>13.686065693430658</v>
      </c>
      <c r="AJ15" s="581">
        <f t="shared" si="60"/>
        <v>14.727185483870969</v>
      </c>
      <c r="AK15" s="581">
        <f t="shared" ref="AK15:AS15" si="61">AK4/AK14</f>
        <v>15.808180904522615</v>
      </c>
      <c r="AL15" s="581">
        <f t="shared" si="61"/>
        <v>16.523872950819673</v>
      </c>
      <c r="AM15" s="581">
        <f t="shared" si="61"/>
        <v>16.257400756143667</v>
      </c>
      <c r="AN15" s="581">
        <f t="shared" si="61"/>
        <v>17.218944785276076</v>
      </c>
      <c r="AO15" s="581">
        <f t="shared" si="61"/>
        <v>16.600735611510792</v>
      </c>
      <c r="AP15" s="581">
        <f t="shared" si="61"/>
        <v>17.148033582089553</v>
      </c>
      <c r="AQ15" s="581">
        <f t="shared" si="61"/>
        <v>17.862610328638496</v>
      </c>
      <c r="AR15" s="581">
        <f t="shared" si="61"/>
        <v>16.969503205128206</v>
      </c>
      <c r="AS15" s="581">
        <f t="shared" si="61"/>
        <v>20.995723253275109</v>
      </c>
      <c r="AT15" s="581">
        <f t="shared" ref="AT15:BH15" si="62">AT4/AT14</f>
        <v>14.570124475524475</v>
      </c>
      <c r="AU15" s="581">
        <f t="shared" si="62"/>
        <v>15.106856427378965</v>
      </c>
      <c r="AV15" s="581">
        <f t="shared" si="62"/>
        <v>19.003816999999998</v>
      </c>
      <c r="AW15" s="581">
        <f t="shared" si="62"/>
        <v>20.729100869565219</v>
      </c>
      <c r="AX15" s="581">
        <f t="shared" si="62"/>
        <v>15.981302665520207</v>
      </c>
      <c r="AY15" s="581">
        <f t="shared" si="62"/>
        <v>19.729629335260118</v>
      </c>
      <c r="AZ15" s="581">
        <f t="shared" si="62"/>
        <v>19.324536068828589</v>
      </c>
      <c r="BA15" s="581">
        <f t="shared" si="62"/>
        <v>15.618394052044609</v>
      </c>
      <c r="BB15" s="581">
        <f t="shared" si="62"/>
        <v>18.918217518248174</v>
      </c>
      <c r="BC15" s="581">
        <f t="shared" si="62"/>
        <v>16.348627301587303</v>
      </c>
      <c r="BD15" s="581">
        <f t="shared" si="62"/>
        <v>16.176412944738832</v>
      </c>
      <c r="BE15" s="581">
        <f t="shared" si="62"/>
        <v>19.21632169904511</v>
      </c>
      <c r="BF15" s="581">
        <f t="shared" si="62"/>
        <v>16.42872019583843</v>
      </c>
      <c r="BG15" s="581">
        <f t="shared" si="62"/>
        <v>17.116007099143168</v>
      </c>
      <c r="BH15" s="581">
        <f t="shared" si="62"/>
        <v>17.586248874104395</v>
      </c>
      <c r="BI15" s="581">
        <f t="shared" ref="BI15:BQ15" si="63">BI4/BI14</f>
        <v>20.617766910299011</v>
      </c>
      <c r="BJ15" s="581">
        <f t="shared" si="63"/>
        <v>17.86276973603438</v>
      </c>
      <c r="BK15" s="581">
        <f t="shared" si="63"/>
        <v>15.285836994261143</v>
      </c>
      <c r="BL15" s="581">
        <f t="shared" si="63"/>
        <v>16.311434310803623</v>
      </c>
      <c r="BM15" s="581">
        <f t="shared" si="63"/>
        <v>15.468998470363303</v>
      </c>
      <c r="BN15" s="581">
        <f t="shared" si="63"/>
        <v>15.74960082618369</v>
      </c>
      <c r="BO15" s="581">
        <f t="shared" si="63"/>
        <v>17.806666949521329</v>
      </c>
      <c r="BP15" s="581">
        <f t="shared" si="63"/>
        <v>18.117523015764252</v>
      </c>
      <c r="BQ15" s="581">
        <f t="shared" si="63"/>
        <v>19.012776825396887</v>
      </c>
      <c r="BR15" s="581">
        <f t="shared" ref="BR15:BW15" si="64">BR4/BR14</f>
        <v>16.659052896379524</v>
      </c>
      <c r="BS15" s="581">
        <f t="shared" si="64"/>
        <v>17.956530047352562</v>
      </c>
      <c r="BT15" s="581">
        <f t="shared" si="64"/>
        <v>16.606547544706217</v>
      </c>
      <c r="BU15" s="581">
        <f t="shared" si="64"/>
        <v>16.419142405871092</v>
      </c>
      <c r="BV15" s="581">
        <f t="shared" si="64"/>
        <v>15.966205399061034</v>
      </c>
      <c r="BW15" s="581">
        <f t="shared" si="64"/>
        <v>16.864276312056734</v>
      </c>
      <c r="BX15" s="581">
        <f>IFERROR(BX4/BX14,"-")</f>
        <v>17.204343800599737</v>
      </c>
    </row>
    <row r="16" spans="1:81">
      <c r="A16" s="212" t="s">
        <v>112</v>
      </c>
      <c r="B16" s="243">
        <f>SUMIF($BR$2:$CC$2, "&lt;=" &amp; $B$2, $BR$16:$CC$16)</f>
        <v>7093</v>
      </c>
      <c r="G16" s="243">
        <f>SUM(V16:X16)</f>
        <v>43</v>
      </c>
      <c r="H16" s="243">
        <f>SUM(Y16:AA16)</f>
        <v>210</v>
      </c>
      <c r="I16" s="243">
        <f>SUM(AB16:AD16)</f>
        <v>216</v>
      </c>
      <c r="J16" s="243"/>
      <c r="K16" s="243">
        <v>784</v>
      </c>
      <c r="M16" s="218">
        <f>M48</f>
        <v>21</v>
      </c>
      <c r="N16" s="218">
        <f t="shared" ref="N16:X16" si="65">N48</f>
        <v>7</v>
      </c>
      <c r="O16" s="218">
        <f t="shared" si="65"/>
        <v>15</v>
      </c>
      <c r="P16" s="218">
        <f t="shared" si="65"/>
        <v>9</v>
      </c>
      <c r="Q16" s="218">
        <f t="shared" si="65"/>
        <v>4</v>
      </c>
      <c r="R16" s="218">
        <f t="shared" si="65"/>
        <v>2</v>
      </c>
      <c r="S16" s="218">
        <f t="shared" si="65"/>
        <v>6</v>
      </c>
      <c r="T16" s="218">
        <f t="shared" si="65"/>
        <v>3</v>
      </c>
      <c r="U16" s="218">
        <f t="shared" si="65"/>
        <v>12</v>
      </c>
      <c r="V16" s="218">
        <f t="shared" si="65"/>
        <v>8</v>
      </c>
      <c r="W16" s="218">
        <f t="shared" si="65"/>
        <v>1</v>
      </c>
      <c r="X16" s="218">
        <f t="shared" si="65"/>
        <v>34</v>
      </c>
      <c r="Y16" s="218">
        <f t="shared" ref="Y16:AD16" si="66">Y48</f>
        <v>66</v>
      </c>
      <c r="Z16" s="218">
        <f t="shared" si="66"/>
        <v>77</v>
      </c>
      <c r="AA16" s="218">
        <f t="shared" si="66"/>
        <v>67</v>
      </c>
      <c r="AB16" s="218">
        <f t="shared" si="66"/>
        <v>52</v>
      </c>
      <c r="AC16" s="218">
        <f t="shared" si="66"/>
        <v>68</v>
      </c>
      <c r="AD16" s="218">
        <f t="shared" si="66"/>
        <v>96</v>
      </c>
      <c r="AE16" s="218">
        <f t="shared" ref="AE16:AJ16" si="67">AE48</f>
        <v>90</v>
      </c>
      <c r="AF16" s="218">
        <f t="shared" si="67"/>
        <v>83</v>
      </c>
      <c r="AG16" s="218">
        <f t="shared" si="67"/>
        <v>142</v>
      </c>
      <c r="AH16" s="218">
        <f t="shared" si="67"/>
        <v>47</v>
      </c>
      <c r="AI16" s="218">
        <f t="shared" si="67"/>
        <v>46</v>
      </c>
      <c r="AJ16" s="218">
        <f t="shared" si="67"/>
        <v>68</v>
      </c>
      <c r="AK16" s="218">
        <f t="shared" ref="AK16:AS16" si="68">AK48</f>
        <v>138</v>
      </c>
      <c r="AL16" s="218">
        <f t="shared" si="68"/>
        <v>177</v>
      </c>
      <c r="AM16" s="218">
        <f t="shared" si="68"/>
        <v>238</v>
      </c>
      <c r="AN16" s="218">
        <f t="shared" si="68"/>
        <v>163</v>
      </c>
      <c r="AO16" s="218">
        <f t="shared" si="68"/>
        <v>252</v>
      </c>
      <c r="AP16" s="218">
        <f t="shared" si="68"/>
        <v>259</v>
      </c>
      <c r="AQ16" s="218">
        <f t="shared" si="68"/>
        <v>196</v>
      </c>
      <c r="AR16" s="218">
        <f t="shared" si="68"/>
        <v>326</v>
      </c>
      <c r="AS16" s="218">
        <f t="shared" si="68"/>
        <v>351</v>
      </c>
      <c r="AT16" s="218">
        <f t="shared" ref="AT16:BF16" si="69">AT48</f>
        <v>350</v>
      </c>
      <c r="AU16" s="218">
        <f t="shared" si="69"/>
        <v>184</v>
      </c>
      <c r="AV16" s="218">
        <f t="shared" si="69"/>
        <v>386</v>
      </c>
      <c r="AW16" s="218">
        <f t="shared" si="69"/>
        <v>477</v>
      </c>
      <c r="AX16" s="218">
        <f t="shared" si="69"/>
        <v>404</v>
      </c>
      <c r="AY16" s="218">
        <f t="shared" si="69"/>
        <v>429</v>
      </c>
      <c r="AZ16" s="218">
        <f t="shared" si="69"/>
        <v>446</v>
      </c>
      <c r="BA16" s="218">
        <f t="shared" si="69"/>
        <v>429</v>
      </c>
      <c r="BB16" s="218">
        <f t="shared" si="69"/>
        <v>473</v>
      </c>
      <c r="BC16" s="218">
        <f t="shared" si="69"/>
        <v>406</v>
      </c>
      <c r="BD16" s="218">
        <f t="shared" si="69"/>
        <v>742</v>
      </c>
      <c r="BE16" s="218">
        <f t="shared" si="69"/>
        <v>557</v>
      </c>
      <c r="BF16" s="218">
        <f t="shared" si="69"/>
        <v>192</v>
      </c>
      <c r="BG16" s="218">
        <f t="shared" ref="BG16:BQ16" si="70">BG48</f>
        <v>186</v>
      </c>
      <c r="BH16" s="218">
        <f t="shared" si="70"/>
        <v>620</v>
      </c>
      <c r="BI16" s="218">
        <f t="shared" si="70"/>
        <v>471</v>
      </c>
      <c r="BJ16" s="218">
        <f t="shared" si="70"/>
        <v>619</v>
      </c>
      <c r="BK16" s="218">
        <f>BK48</f>
        <v>1120</v>
      </c>
      <c r="BL16" s="218">
        <f t="shared" si="70"/>
        <v>826</v>
      </c>
      <c r="BM16" s="218">
        <f t="shared" si="70"/>
        <v>949</v>
      </c>
      <c r="BN16" s="218">
        <f t="shared" si="70"/>
        <v>1083</v>
      </c>
      <c r="BO16" s="218">
        <f t="shared" si="70"/>
        <v>1014</v>
      </c>
      <c r="BP16" s="218">
        <f t="shared" si="70"/>
        <v>1068</v>
      </c>
      <c r="BQ16" s="218">
        <f t="shared" si="70"/>
        <v>1354</v>
      </c>
      <c r="BR16" s="218">
        <f t="shared" ref="BR16:BX16" si="71">BR48</f>
        <v>431</v>
      </c>
      <c r="BS16" s="218">
        <f t="shared" si="71"/>
        <v>920</v>
      </c>
      <c r="BT16" s="218">
        <f t="shared" si="71"/>
        <v>1151</v>
      </c>
      <c r="BU16" s="218">
        <f t="shared" si="71"/>
        <v>905</v>
      </c>
      <c r="BV16" s="218">
        <f t="shared" si="71"/>
        <v>899</v>
      </c>
      <c r="BW16" s="218">
        <f t="shared" si="71"/>
        <v>1684</v>
      </c>
      <c r="BX16" s="218">
        <f t="shared" si="71"/>
        <v>1103</v>
      </c>
    </row>
    <row r="17" spans="1:81">
      <c r="A17" s="212" t="s">
        <v>111</v>
      </c>
      <c r="B17" s="243">
        <f>SUMIF($BR$2:$CC$2, "&lt;=" &amp; $B$2, $BR$17:$CC$17)</f>
        <v>495</v>
      </c>
      <c r="G17" s="243">
        <f>SUM(V17:X17)</f>
        <v>14</v>
      </c>
      <c r="H17" s="243">
        <f>SUM(Y17:AA17)</f>
        <v>77</v>
      </c>
      <c r="I17" s="243">
        <f>SUM(AB17:AD17)</f>
        <v>36</v>
      </c>
      <c r="J17" s="243"/>
      <c r="K17" s="243">
        <v>163</v>
      </c>
      <c r="M17" s="218">
        <f>SUM(M50:M52)</f>
        <v>1</v>
      </c>
      <c r="N17" s="218">
        <f t="shared" ref="N17:X17" si="72">SUM(N50:N52)</f>
        <v>1</v>
      </c>
      <c r="O17" s="218">
        <f t="shared" si="72"/>
        <v>3</v>
      </c>
      <c r="P17" s="218">
        <f t="shared" si="72"/>
        <v>1</v>
      </c>
      <c r="Q17" s="218">
        <f t="shared" si="72"/>
        <v>0</v>
      </c>
      <c r="R17" s="218">
        <f t="shared" si="72"/>
        <v>0</v>
      </c>
      <c r="S17" s="218">
        <f t="shared" si="72"/>
        <v>1</v>
      </c>
      <c r="T17" s="218">
        <f t="shared" si="72"/>
        <v>3</v>
      </c>
      <c r="U17" s="218">
        <f t="shared" si="72"/>
        <v>2</v>
      </c>
      <c r="V17" s="218">
        <f t="shared" si="72"/>
        <v>3</v>
      </c>
      <c r="W17" s="218">
        <f t="shared" si="72"/>
        <v>0</v>
      </c>
      <c r="X17" s="218">
        <f t="shared" si="72"/>
        <v>11</v>
      </c>
      <c r="Y17" s="218">
        <f t="shared" ref="Y17:AD17" si="73">SUM(Y50:Y52)</f>
        <v>43</v>
      </c>
      <c r="Z17" s="218">
        <f t="shared" si="73"/>
        <v>21</v>
      </c>
      <c r="AA17" s="218">
        <f t="shared" si="73"/>
        <v>13</v>
      </c>
      <c r="AB17" s="218">
        <f t="shared" si="73"/>
        <v>8</v>
      </c>
      <c r="AC17" s="218">
        <f t="shared" si="73"/>
        <v>11</v>
      </c>
      <c r="AD17" s="218">
        <f t="shared" si="73"/>
        <v>17</v>
      </c>
      <c r="AE17" s="218">
        <f t="shared" ref="AE17:AK17" si="74">SUM(AE50:AE52)</f>
        <v>8</v>
      </c>
      <c r="AF17" s="218">
        <f t="shared" si="74"/>
        <v>15</v>
      </c>
      <c r="AG17" s="218">
        <f t="shared" si="74"/>
        <v>13</v>
      </c>
      <c r="AH17" s="218">
        <f t="shared" si="74"/>
        <v>4</v>
      </c>
      <c r="AI17" s="218">
        <f t="shared" si="74"/>
        <v>2</v>
      </c>
      <c r="AJ17" s="218">
        <f t="shared" si="74"/>
        <v>15</v>
      </c>
      <c r="AK17" s="218">
        <f t="shared" si="74"/>
        <v>42</v>
      </c>
      <c r="AL17" s="218">
        <f t="shared" ref="AL17:AS17" si="75">SUM(AL50:AL53)</f>
        <v>49</v>
      </c>
      <c r="AM17" s="218">
        <f t="shared" si="75"/>
        <v>56</v>
      </c>
      <c r="AN17" s="218">
        <f t="shared" si="75"/>
        <v>27</v>
      </c>
      <c r="AO17" s="218">
        <f t="shared" si="75"/>
        <v>36</v>
      </c>
      <c r="AP17" s="218">
        <f t="shared" si="75"/>
        <v>35</v>
      </c>
      <c r="AQ17" s="218">
        <f t="shared" si="75"/>
        <v>27</v>
      </c>
      <c r="AR17" s="218">
        <f t="shared" si="75"/>
        <v>68</v>
      </c>
      <c r="AS17" s="218">
        <f t="shared" si="75"/>
        <v>67</v>
      </c>
      <c r="AT17" s="218">
        <f t="shared" ref="AT17:BA17" si="76">SUM(AT49:AT53)</f>
        <v>90</v>
      </c>
      <c r="AU17" s="218">
        <f t="shared" si="76"/>
        <v>33</v>
      </c>
      <c r="AV17" s="218">
        <f t="shared" si="76"/>
        <v>73</v>
      </c>
      <c r="AW17" s="218">
        <f t="shared" si="76"/>
        <v>114</v>
      </c>
      <c r="AX17" s="218">
        <f t="shared" si="76"/>
        <v>70</v>
      </c>
      <c r="AY17" s="218">
        <f t="shared" si="76"/>
        <v>78</v>
      </c>
      <c r="AZ17" s="218">
        <f t="shared" si="76"/>
        <v>61</v>
      </c>
      <c r="BA17" s="218">
        <f t="shared" si="76"/>
        <v>63</v>
      </c>
      <c r="BB17" s="218">
        <f>SUM(BB49:BB53)</f>
        <v>102</v>
      </c>
      <c r="BC17" s="218">
        <f>SUM(BC49:BC53)</f>
        <v>58</v>
      </c>
      <c r="BD17" s="218">
        <f>SUM(BD49:BD53)</f>
        <v>67</v>
      </c>
      <c r="BE17" s="218">
        <f>SUM(BE49:BE53)</f>
        <v>53</v>
      </c>
      <c r="BF17" s="218">
        <f>SUM(BF49:BF53)</f>
        <v>14</v>
      </c>
      <c r="BG17" s="218">
        <f t="shared" ref="BG17:BQ17" si="77">SUM(BG49:BG53)</f>
        <v>10</v>
      </c>
      <c r="BH17" s="218">
        <f t="shared" si="77"/>
        <v>65</v>
      </c>
      <c r="BI17" s="218">
        <f t="shared" si="77"/>
        <v>74</v>
      </c>
      <c r="BJ17" s="218">
        <f t="shared" si="77"/>
        <v>130</v>
      </c>
      <c r="BK17" s="218">
        <f t="shared" si="77"/>
        <v>180</v>
      </c>
      <c r="BL17" s="218">
        <f t="shared" si="77"/>
        <v>103</v>
      </c>
      <c r="BM17" s="218">
        <f t="shared" si="77"/>
        <v>112</v>
      </c>
      <c r="BN17" s="218">
        <f t="shared" si="77"/>
        <v>192</v>
      </c>
      <c r="BO17" s="218">
        <f t="shared" si="77"/>
        <v>176</v>
      </c>
      <c r="BP17" s="218">
        <f t="shared" si="77"/>
        <v>192</v>
      </c>
      <c r="BQ17" s="218">
        <f t="shared" si="77"/>
        <v>153</v>
      </c>
      <c r="BR17" s="218">
        <f t="shared" ref="BR17:BX17" si="78">SUM(BR49:BR53)</f>
        <v>78</v>
      </c>
      <c r="BS17" s="218">
        <f t="shared" si="78"/>
        <v>132</v>
      </c>
      <c r="BT17" s="218">
        <f t="shared" si="78"/>
        <v>58</v>
      </c>
      <c r="BU17" s="218">
        <f t="shared" si="78"/>
        <v>57</v>
      </c>
      <c r="BV17" s="218">
        <f t="shared" si="78"/>
        <v>54</v>
      </c>
      <c r="BW17" s="218">
        <f t="shared" si="78"/>
        <v>55</v>
      </c>
      <c r="BX17" s="218">
        <f t="shared" si="78"/>
        <v>61</v>
      </c>
    </row>
    <row r="18" spans="1:81">
      <c r="AH18" s="216"/>
      <c r="AI18" s="216"/>
      <c r="AJ18" s="216"/>
      <c r="AK18" s="216"/>
      <c r="AL18" s="216"/>
      <c r="AY18" s="1959">
        <f>SUM(AW14:AY14)/SUM(AW12:AY12)</f>
        <v>1.4078446306169079</v>
      </c>
      <c r="AZ18" s="217">
        <f>SUM(AT14:AY14)/SUM(AT12:AY12)</f>
        <v>1.4011655011655011</v>
      </c>
      <c r="BK18" s="1959">
        <f>SUM(BI14:BK14)/SUM(BI12:BK12)</f>
        <v>1.593649085037675</v>
      </c>
      <c r="BL18" s="217">
        <f>SUM(BF14:BK14)/SUM(BF12:BK12)</f>
        <v>1.5623459832429769</v>
      </c>
    </row>
    <row r="19" spans="1:81">
      <c r="A19" s="212" t="s">
        <v>63</v>
      </c>
      <c r="B19" s="242">
        <f>B4/ (B8 *$B$2)</f>
        <v>5.9540381517547436</v>
      </c>
      <c r="G19" s="242">
        <f>G4/ (G8 * 3)</f>
        <v>5.0571967545638952</v>
      </c>
      <c r="H19" s="242">
        <f>H4/ (H8 * 3)</f>
        <v>4.9503767926988269</v>
      </c>
      <c r="I19" s="242">
        <f>I4/ (I8 * 3)</f>
        <v>4.232085889570552</v>
      </c>
      <c r="J19" s="242"/>
      <c r="K19" s="242">
        <v>4.7283883029721956</v>
      </c>
      <c r="M19" s="215">
        <f>M4/ (M8 )</f>
        <v>18.265000000000001</v>
      </c>
      <c r="N19" s="215">
        <f t="shared" ref="N19:W19" si="79">N4/ (N8 )</f>
        <v>9.5489999999999995</v>
      </c>
      <c r="O19" s="215">
        <f t="shared" si="79"/>
        <v>16.658346938775509</v>
      </c>
      <c r="P19" s="215">
        <f t="shared" si="79"/>
        <v>3.7591999999999999</v>
      </c>
      <c r="Q19" s="215">
        <f t="shared" si="79"/>
        <v>4.8062370370370369</v>
      </c>
      <c r="R19" s="215">
        <f t="shared" si="79"/>
        <v>8.1825496183206106</v>
      </c>
      <c r="S19" s="215">
        <f t="shared" si="79"/>
        <v>3.3902079999999999</v>
      </c>
      <c r="T19" s="215">
        <f t="shared" si="79"/>
        <v>2.9630655737704918</v>
      </c>
      <c r="U19" s="215">
        <f t="shared" si="79"/>
        <v>17.871834586466164</v>
      </c>
      <c r="V19" s="215">
        <f t="shared" si="79"/>
        <v>5.5192800000000002</v>
      </c>
      <c r="W19" s="215">
        <f t="shared" si="79"/>
        <v>2.2243046357615897</v>
      </c>
      <c r="X19" s="215">
        <f t="shared" ref="X19:AC19" si="80">X4/ (X8 )</f>
        <v>6.9241458333333341</v>
      </c>
      <c r="Y19" s="215">
        <f t="shared" si="80"/>
        <v>6.5466484848484852</v>
      </c>
      <c r="Z19" s="215">
        <f t="shared" si="80"/>
        <v>6.2434269230769237</v>
      </c>
      <c r="AA19" s="215">
        <f t="shared" si="80"/>
        <v>3.1972251461988304</v>
      </c>
      <c r="AB19" s="215">
        <f t="shared" si="80"/>
        <v>2.7554110115236869</v>
      </c>
      <c r="AC19" s="215">
        <f t="shared" si="80"/>
        <v>3.2882147024504085</v>
      </c>
      <c r="AD19" s="215">
        <f>AD4/ (AD8 )</f>
        <v>6.254952577319588</v>
      </c>
      <c r="AE19" s="215">
        <f>AE4/ (AE8 )</f>
        <v>4.4573590449954077</v>
      </c>
      <c r="AF19" s="215">
        <f>AF4/ (AF8 )</f>
        <v>4.2594966777408638</v>
      </c>
      <c r="AG19" s="215">
        <f>AG4/ (AG8 )</f>
        <v>5.8946454802259893</v>
      </c>
      <c r="AH19" s="215">
        <f t="shared" ref="AH19:AS19" si="81">AH4/ (AH8 )</f>
        <v>1.7348632258064518</v>
      </c>
      <c r="AI19" s="215">
        <f t="shared" si="81"/>
        <v>2.5423606779661019</v>
      </c>
      <c r="AJ19" s="215">
        <f t="shared" si="81"/>
        <v>2.5738844256518676</v>
      </c>
      <c r="AK19" s="215">
        <f t="shared" si="81"/>
        <v>3.9694990536277608</v>
      </c>
      <c r="AL19" s="215">
        <f t="shared" si="81"/>
        <v>4.3144194756554306</v>
      </c>
      <c r="AM19" s="215">
        <f t="shared" si="81"/>
        <v>8.2535172744721699</v>
      </c>
      <c r="AN19" s="215">
        <f t="shared" si="81"/>
        <v>7.544860215053764</v>
      </c>
      <c r="AO19" s="215">
        <f t="shared" si="81"/>
        <v>7.437557614826753</v>
      </c>
      <c r="AP19" s="215">
        <f t="shared" si="81"/>
        <v>9.7365953389830509</v>
      </c>
      <c r="AQ19" s="215">
        <f t="shared" si="81"/>
        <v>9.7370083173384518</v>
      </c>
      <c r="AR19" s="215">
        <f t="shared" si="81"/>
        <v>9.0067791324071447</v>
      </c>
      <c r="AS19" s="215">
        <f t="shared" si="81"/>
        <v>18.901309582309583</v>
      </c>
      <c r="AT19" s="215">
        <f t="shared" ref="AT19:BH19" si="82">AT4/ (AT8 )</f>
        <v>4.45388584865327</v>
      </c>
      <c r="AU19" s="215">
        <f t="shared" si="82"/>
        <v>3.5611991341991343</v>
      </c>
      <c r="AV19" s="215">
        <f t="shared" si="82"/>
        <v>7.0475865010198406</v>
      </c>
      <c r="AW19" s="215">
        <f t="shared" si="82"/>
        <v>8.0237179400875132</v>
      </c>
      <c r="AX19" s="215">
        <f t="shared" si="82"/>
        <v>6.0110785899094443</v>
      </c>
      <c r="AY19" s="215">
        <f t="shared" si="82"/>
        <v>8.8727236393176288</v>
      </c>
      <c r="AZ19" s="215">
        <f t="shared" si="82"/>
        <v>9.3768060372511233</v>
      </c>
      <c r="BA19" s="215">
        <f t="shared" si="82"/>
        <v>5.2174455138155853</v>
      </c>
      <c r="BB19" s="215">
        <f t="shared" si="82"/>
        <v>11.469814721935387</v>
      </c>
      <c r="BC19" s="215">
        <f t="shared" si="82"/>
        <v>7.2420441569399525</v>
      </c>
      <c r="BD19" s="215">
        <f t="shared" si="82"/>
        <v>11.171894654293556</v>
      </c>
      <c r="BE19" s="215">
        <f t="shared" si="82"/>
        <v>14.360228592519684</v>
      </c>
      <c r="BF19" s="215">
        <f t="shared" si="82"/>
        <v>3.2444438965433884</v>
      </c>
      <c r="BG19" s="215">
        <f t="shared" si="82"/>
        <v>3.3924739932071732</v>
      </c>
      <c r="BH19" s="215">
        <f t="shared" si="82"/>
        <v>8.1886167758846629</v>
      </c>
      <c r="BI19" s="215">
        <f t="shared" ref="BI19:BQ19" si="83">BI4/ (BI8 )</f>
        <v>7.0274576378666085</v>
      </c>
      <c r="BJ19" s="215">
        <f>BJ4/ (BJ8 )</f>
        <v>6.1681933015368315</v>
      </c>
      <c r="BK19" s="215">
        <f t="shared" si="83"/>
        <v>7.9294657251837508</v>
      </c>
      <c r="BL19" s="215">
        <f t="shared" si="83"/>
        <v>5.0434729422412392</v>
      </c>
      <c r="BM19" s="215">
        <f t="shared" si="83"/>
        <v>4.8645088012025601</v>
      </c>
      <c r="BN19" s="215">
        <f t="shared" si="83"/>
        <v>6.7544281548105847</v>
      </c>
      <c r="BO19" s="215">
        <f t="shared" si="83"/>
        <v>5.0787787824252222</v>
      </c>
      <c r="BP19" s="215">
        <f t="shared" si="83"/>
        <v>6.0561237367546932</v>
      </c>
      <c r="BQ19" s="215">
        <f t="shared" si="83"/>
        <v>10.269072834462355</v>
      </c>
      <c r="BR19" s="215">
        <f t="shared" ref="BR19:BX19" si="84">BR4/ (BR8 )</f>
        <v>2.6855650555974844</v>
      </c>
      <c r="BS19" s="215">
        <f t="shared" si="84"/>
        <v>4.7117383146955838</v>
      </c>
      <c r="BT19" s="215">
        <f t="shared" si="84"/>
        <v>7.5719752798809301</v>
      </c>
      <c r="BU19" s="215">
        <f t="shared" si="84"/>
        <v>6.9377905217743026</v>
      </c>
      <c r="BV19" s="215">
        <f t="shared" si="84"/>
        <v>7.5379688300893539</v>
      </c>
      <c r="BW19" s="215">
        <f t="shared" si="84"/>
        <v>7.7228417018512499</v>
      </c>
      <c r="BX19" s="215">
        <f t="shared" si="84"/>
        <v>5.7817343821640135</v>
      </c>
    </row>
    <row r="20" spans="1:81">
      <c r="A20" s="212" t="s">
        <v>64</v>
      </c>
      <c r="B20" s="242">
        <f>B4/B12</f>
        <v>29.798525830616033</v>
      </c>
      <c r="G20" s="242">
        <f>G4/G12</f>
        <v>18.605955223880599</v>
      </c>
      <c r="H20" s="242">
        <f>H4/H12</f>
        <v>17.258813636363637</v>
      </c>
      <c r="I20" s="242">
        <f>I4/I12</f>
        <v>22.252580645161288</v>
      </c>
      <c r="J20" s="242"/>
      <c r="K20" s="242">
        <v>21.303278617710582</v>
      </c>
      <c r="M20" s="215">
        <f>M4/M12</f>
        <v>20.874285714285715</v>
      </c>
      <c r="N20" s="215">
        <f t="shared" ref="N20:X20" si="85">N4/N12</f>
        <v>13.75056</v>
      </c>
      <c r="O20" s="215">
        <f t="shared" si="85"/>
        <v>35.489521739130439</v>
      </c>
      <c r="P20" s="215">
        <f t="shared" si="85"/>
        <v>18.073076923076922</v>
      </c>
      <c r="Q20" s="215">
        <f t="shared" si="85"/>
        <v>17.074789473684209</v>
      </c>
      <c r="R20" s="215">
        <f t="shared" si="85"/>
        <v>26.79785</v>
      </c>
      <c r="S20" s="215">
        <f t="shared" si="85"/>
        <v>21.188800000000001</v>
      </c>
      <c r="T20" s="215">
        <f t="shared" si="85"/>
        <v>25.821000000000002</v>
      </c>
      <c r="U20" s="215">
        <f t="shared" si="85"/>
        <v>37.139906249999996</v>
      </c>
      <c r="V20" s="215">
        <f t="shared" si="85"/>
        <v>18.815727272727273</v>
      </c>
      <c r="W20" s="215">
        <f t="shared" si="85"/>
        <v>18.659444444444446</v>
      </c>
      <c r="X20" s="215">
        <f t="shared" si="85"/>
        <v>18.464388888888891</v>
      </c>
      <c r="Y20" s="215">
        <f t="shared" ref="Y20:AD20" si="86">Y4/Y12</f>
        <v>18.950824561403511</v>
      </c>
      <c r="Z20" s="215">
        <f t="shared" si="86"/>
        <v>20.040629629629631</v>
      </c>
      <c r="AA20" s="215">
        <f t="shared" si="86"/>
        <v>13.334768292682927</v>
      </c>
      <c r="AB20" s="215">
        <f t="shared" si="86"/>
        <v>19.563418181818179</v>
      </c>
      <c r="AC20" s="215">
        <f t="shared" si="86"/>
        <v>18.539473684210527</v>
      </c>
      <c r="AD20" s="215">
        <f t="shared" si="86"/>
        <v>25.928649572649572</v>
      </c>
      <c r="AE20" s="215">
        <f>AE4/AE12</f>
        <v>20.568067796610165</v>
      </c>
      <c r="AF20" s="215">
        <f>AF4/AF12</f>
        <v>24.655932692307694</v>
      </c>
      <c r="AG20" s="215">
        <f>AG4/AG12</f>
        <v>24.694727810650893</v>
      </c>
      <c r="AH20" s="215">
        <f t="shared" ref="AH20:AS20" si="87">AH4/AH12</f>
        <v>17.237423076923079</v>
      </c>
      <c r="AI20" s="215">
        <f t="shared" si="87"/>
        <v>16.740991071428574</v>
      </c>
      <c r="AJ20" s="215">
        <f t="shared" si="87"/>
        <v>17.392104761904761</v>
      </c>
      <c r="AK20" s="215">
        <f t="shared" si="87"/>
        <v>21.112939597315439</v>
      </c>
      <c r="AL20" s="215">
        <f t="shared" si="87"/>
        <v>20.362752525252525</v>
      </c>
      <c r="AM20" s="215">
        <f t="shared" si="87"/>
        <v>24.928014492753626</v>
      </c>
      <c r="AN20" s="215">
        <f t="shared" si="87"/>
        <v>25.134519402985074</v>
      </c>
      <c r="AO20" s="215">
        <f t="shared" si="87"/>
        <v>25.567891966759003</v>
      </c>
      <c r="AP20" s="215">
        <f t="shared" si="87"/>
        <v>29.90676572668113</v>
      </c>
      <c r="AQ20" s="215">
        <f t="shared" si="87"/>
        <v>29.380200772200773</v>
      </c>
      <c r="AR20" s="215">
        <f t="shared" si="87"/>
        <v>28.262375444839858</v>
      </c>
      <c r="AS20" s="215">
        <f t="shared" si="87"/>
        <v>47.900579078455792</v>
      </c>
      <c r="AT20" s="215">
        <f t="shared" ref="AT20:BH20" si="88">AT4/AT12</f>
        <v>18.703122082585278</v>
      </c>
      <c r="AU20" s="215">
        <f t="shared" si="88"/>
        <v>19.460230107526883</v>
      </c>
      <c r="AV20" s="215">
        <f t="shared" si="88"/>
        <v>29.600961059190031</v>
      </c>
      <c r="AW20" s="215">
        <f t="shared" si="88"/>
        <v>31.997940939597317</v>
      </c>
      <c r="AX20" s="215">
        <f t="shared" si="88"/>
        <v>21.048986409966027</v>
      </c>
      <c r="AY20" s="215">
        <f t="shared" si="88"/>
        <v>27.360528056112226</v>
      </c>
      <c r="AZ20" s="215">
        <f t="shared" si="88"/>
        <v>28.654930323846909</v>
      </c>
      <c r="BA20" s="215">
        <f t="shared" si="88"/>
        <v>20.126217964071856</v>
      </c>
      <c r="BB20" s="215">
        <f t="shared" si="88"/>
        <v>28.502153225806449</v>
      </c>
      <c r="BC20" s="215">
        <f t="shared" si="88"/>
        <v>22.766656056587092</v>
      </c>
      <c r="BD20" s="215">
        <f t="shared" si="88"/>
        <v>31.287030014641289</v>
      </c>
      <c r="BE20" s="215">
        <f t="shared" si="88"/>
        <v>37.219367984693875</v>
      </c>
      <c r="BF20" s="215">
        <f t="shared" si="88"/>
        <v>21.1374242519685</v>
      </c>
      <c r="BG20" s="215">
        <f t="shared" si="88"/>
        <v>22.554480322580595</v>
      </c>
      <c r="BH20" s="215">
        <f t="shared" si="88"/>
        <v>30.791693817204294</v>
      </c>
      <c r="BI20" s="215">
        <f t="shared" ref="BI20:BQ20" si="89">BI4/BI12</f>
        <v>31.695341368743627</v>
      </c>
      <c r="BJ20" s="215">
        <f t="shared" si="89"/>
        <v>26.695827431192665</v>
      </c>
      <c r="BK20" s="215">
        <f t="shared" si="89"/>
        <v>25.875478773527668</v>
      </c>
      <c r="BL20" s="215">
        <f t="shared" si="89"/>
        <v>23.396324480916039</v>
      </c>
      <c r="BM20" s="215">
        <f t="shared" si="89"/>
        <v>22.789538591549316</v>
      </c>
      <c r="BN20" s="215">
        <f t="shared" si="89"/>
        <v>28.583618108419877</v>
      </c>
      <c r="BO20" s="215">
        <f t="shared" si="89"/>
        <v>27.912497032742166</v>
      </c>
      <c r="BP20" s="215">
        <f t="shared" si="89"/>
        <v>34.351482884990311</v>
      </c>
      <c r="BQ20" s="215">
        <f t="shared" si="89"/>
        <v>38.5008730714287</v>
      </c>
      <c r="BR20" s="215">
        <f t="shared" ref="BR20:BW20" si="90">BR4/BR12</f>
        <v>26.138886131243879</v>
      </c>
      <c r="BS20" s="215">
        <f t="shared" si="90"/>
        <v>27.086376168831169</v>
      </c>
      <c r="BT20" s="215">
        <f t="shared" si="90"/>
        <v>29.384664490205928</v>
      </c>
      <c r="BU20" s="215">
        <f t="shared" si="90"/>
        <v>28.072881778505185</v>
      </c>
      <c r="BV20" s="215">
        <f>BV4/BV12</f>
        <v>35.471204693611476</v>
      </c>
      <c r="BW20" s="215">
        <f t="shared" si="90"/>
        <v>30.563791259640098</v>
      </c>
      <c r="BX20" s="215">
        <f>IFERROR(BX4/BX12,"-")</f>
        <v>30.951577383681794</v>
      </c>
    </row>
    <row r="21" spans="1:81">
      <c r="A21" s="212" t="s">
        <v>65</v>
      </c>
      <c r="B21" s="242">
        <f>B5/ (B8 *$B$2)</f>
        <v>5.8467615612178445</v>
      </c>
      <c r="G21" s="242">
        <f>G5/ (G8 *3)</f>
        <v>4.9868275862068971</v>
      </c>
      <c r="H21" s="242">
        <f>H5/ (H8 *3)</f>
        <v>4.5578331160365062</v>
      </c>
      <c r="I21" s="242">
        <f>I5/ (I8 *3)</f>
        <v>3.906947852760736</v>
      </c>
      <c r="J21" s="242"/>
      <c r="K21" s="242">
        <v>4.3856423777564721</v>
      </c>
      <c r="M21" s="215">
        <f>M5/ (M8)</f>
        <v>13.75</v>
      </c>
      <c r="N21" s="215">
        <f t="shared" ref="N21:X21" si="91">N5/ (N8)</f>
        <v>5.9611666666666672</v>
      </c>
      <c r="O21" s="215">
        <f t="shared" si="91"/>
        <v>14.557755102040817</v>
      </c>
      <c r="P21" s="215">
        <f t="shared" si="91"/>
        <v>2.794384</v>
      </c>
      <c r="Q21" s="215">
        <f t="shared" si="91"/>
        <v>4.24</v>
      </c>
      <c r="R21" s="215">
        <f t="shared" si="91"/>
        <v>5.213236641221374</v>
      </c>
      <c r="S21" s="215">
        <f t="shared" si="91"/>
        <v>2.6399360000000001</v>
      </c>
      <c r="T21" s="215">
        <f t="shared" si="91"/>
        <v>2.5790655737704915</v>
      </c>
      <c r="U21" s="215">
        <f t="shared" si="91"/>
        <v>17.15344360902256</v>
      </c>
      <c r="V21" s="215">
        <f t="shared" si="91"/>
        <v>5.57172</v>
      </c>
      <c r="W21" s="215">
        <f t="shared" si="91"/>
        <v>2.3554834437086094</v>
      </c>
      <c r="X21" s="215">
        <f t="shared" si="91"/>
        <v>6.5993229166666678</v>
      </c>
      <c r="Y21" s="215">
        <f t="shared" ref="Y21:AD21" si="92">Y5/ (Y8)</f>
        <v>6.1556606060606063</v>
      </c>
      <c r="Z21" s="215">
        <f t="shared" si="92"/>
        <v>5.0657653846153856</v>
      </c>
      <c r="AA21" s="215">
        <f t="shared" si="92"/>
        <v>3.4008040935672517</v>
      </c>
      <c r="AB21" s="215">
        <f t="shared" si="92"/>
        <v>2.4439795134443023</v>
      </c>
      <c r="AC21" s="215">
        <f t="shared" si="92"/>
        <v>3.0788588098016341</v>
      </c>
      <c r="AD21" s="215">
        <f t="shared" si="92"/>
        <v>5.8164845360824744</v>
      </c>
      <c r="AE21" s="215">
        <f t="shared" ref="AE21:AL21" si="93">AE5/ (AE8)</f>
        <v>4.0599651056014689</v>
      </c>
      <c r="AF21" s="215">
        <f t="shared" si="93"/>
        <v>3.8738604651162789</v>
      </c>
      <c r="AG21" s="215">
        <f t="shared" si="93"/>
        <v>5.5570819209039541</v>
      </c>
      <c r="AH21" s="215">
        <f t="shared" si="93"/>
        <v>1.5757316129032257</v>
      </c>
      <c r="AI21" s="215">
        <f t="shared" si="93"/>
        <v>2.3814020338983051</v>
      </c>
      <c r="AJ21" s="215">
        <f t="shared" si="93"/>
        <v>2.4702776603241716</v>
      </c>
      <c r="AK21" s="215">
        <f t="shared" si="93"/>
        <v>3.7645438485804412</v>
      </c>
      <c r="AL21" s="215">
        <f t="shared" si="93"/>
        <v>3.9783135366506155</v>
      </c>
    </row>
    <row r="22" spans="1:81" s="368" customFormat="1">
      <c r="A22" s="364" t="s">
        <v>66</v>
      </c>
      <c r="B22" s="365">
        <f>B5/B12</f>
        <v>29.261632352163581</v>
      </c>
      <c r="C22" s="366"/>
      <c r="D22" s="367"/>
      <c r="E22" s="367"/>
      <c r="F22" s="367"/>
      <c r="G22" s="365">
        <f>G5/G12</f>
        <v>18.34705970149254</v>
      </c>
      <c r="H22" s="365">
        <f>H5/H12</f>
        <v>15.890263636363636</v>
      </c>
      <c r="I22" s="365">
        <f>I5/I12</f>
        <v>20.542983870967742</v>
      </c>
      <c r="J22" s="365"/>
      <c r="K22" s="365">
        <v>19.759071274298059</v>
      </c>
      <c r="L22" s="366"/>
      <c r="M22" s="605">
        <f>M5/M12</f>
        <v>15.714285714285714</v>
      </c>
      <c r="N22" s="605">
        <f t="shared" ref="N22:X22" si="94">N5/N12</f>
        <v>8.5840800000000002</v>
      </c>
      <c r="O22" s="605">
        <f t="shared" si="94"/>
        <v>31.014347826086958</v>
      </c>
      <c r="P22" s="605">
        <f t="shared" si="94"/>
        <v>13.434538461538462</v>
      </c>
      <c r="Q22" s="605">
        <f t="shared" si="94"/>
        <v>15.063157894736841</v>
      </c>
      <c r="R22" s="605">
        <f t="shared" si="94"/>
        <v>17.073349999999998</v>
      </c>
      <c r="S22" s="605">
        <f t="shared" si="94"/>
        <v>16.499600000000001</v>
      </c>
      <c r="T22" s="605">
        <f t="shared" si="94"/>
        <v>22.474714285714281</v>
      </c>
      <c r="U22" s="605">
        <f t="shared" si="94"/>
        <v>35.647000000000006</v>
      </c>
      <c r="V22" s="605">
        <f t="shared" si="94"/>
        <v>18.994500000000002</v>
      </c>
      <c r="W22" s="605">
        <f t="shared" si="94"/>
        <v>19.759888888888888</v>
      </c>
      <c r="X22" s="605">
        <f t="shared" si="94"/>
        <v>17.598194444444445</v>
      </c>
      <c r="Y22" s="605">
        <f t="shared" ref="Y22:AD22" si="95">Y5/Y12</f>
        <v>17.819017543859651</v>
      </c>
      <c r="Z22" s="605">
        <f t="shared" si="95"/>
        <v>16.260481481481484</v>
      </c>
      <c r="AA22" s="605">
        <f t="shared" si="95"/>
        <v>14.183841463414634</v>
      </c>
      <c r="AB22" s="605">
        <f t="shared" si="95"/>
        <v>17.352254545454546</v>
      </c>
      <c r="AC22" s="605">
        <f t="shared" si="95"/>
        <v>17.359092105263159</v>
      </c>
      <c r="AD22" s="605">
        <f t="shared" si="95"/>
        <v>24.111068376068374</v>
      </c>
      <c r="AE22" s="605">
        <f t="shared" ref="AE22:AL22" si="96">AE5/AE12</f>
        <v>18.734330508474574</v>
      </c>
      <c r="AF22" s="605">
        <f t="shared" si="96"/>
        <v>22.423692307692306</v>
      </c>
      <c r="AG22" s="605">
        <f t="shared" si="96"/>
        <v>23.28055621301775</v>
      </c>
      <c r="AH22" s="605">
        <f t="shared" si="96"/>
        <v>15.656307692307692</v>
      </c>
      <c r="AI22" s="605">
        <f t="shared" si="96"/>
        <v>15.681107142857144</v>
      </c>
      <c r="AJ22" s="605">
        <f t="shared" si="96"/>
        <v>16.692019047619045</v>
      </c>
      <c r="AK22" s="605">
        <f t="shared" si="96"/>
        <v>20.022825503355705</v>
      </c>
      <c r="AL22" s="605">
        <f t="shared" si="96"/>
        <v>18.776434343434346</v>
      </c>
    </row>
    <row r="23" spans="1:81">
      <c r="A23" s="212" t="s">
        <v>67</v>
      </c>
      <c r="B23" s="242">
        <f>B14/B12</f>
        <v>1.7787080285538028</v>
      </c>
      <c r="G23" s="242">
        <f>G14/G12</f>
        <v>1.3582089552238805</v>
      </c>
      <c r="H23" s="242">
        <f>H14/H12</f>
        <v>1.3454545454545455</v>
      </c>
      <c r="I23" s="242">
        <f>I14/I12</f>
        <v>1.3387096774193548</v>
      </c>
      <c r="J23" s="242"/>
      <c r="K23" s="242">
        <v>1.4028077753779697</v>
      </c>
      <c r="M23" s="215">
        <f>M14/M12</f>
        <v>1.6428571428571428</v>
      </c>
      <c r="N23" s="215">
        <f t="shared" ref="N23:X23" si="97">N14/N12</f>
        <v>1.08</v>
      </c>
      <c r="O23" s="215">
        <f t="shared" si="97"/>
        <v>1.2608695652173914</v>
      </c>
      <c r="P23" s="215">
        <f t="shared" si="97"/>
        <v>1.3076923076923077</v>
      </c>
      <c r="Q23" s="215">
        <f t="shared" si="97"/>
        <v>1.263157894736842</v>
      </c>
      <c r="R23" s="215">
        <f t="shared" si="97"/>
        <v>1.45</v>
      </c>
      <c r="S23" s="215">
        <f t="shared" si="97"/>
        <v>1.5</v>
      </c>
      <c r="T23" s="215">
        <f t="shared" si="97"/>
        <v>2</v>
      </c>
      <c r="U23" s="215">
        <f t="shared" si="97"/>
        <v>2.28125</v>
      </c>
      <c r="V23" s="215">
        <f t="shared" si="97"/>
        <v>1.4545454545454546</v>
      </c>
      <c r="W23" s="215">
        <f t="shared" si="97"/>
        <v>1.2222222222222223</v>
      </c>
      <c r="X23" s="215">
        <f t="shared" si="97"/>
        <v>1.3333333333333333</v>
      </c>
      <c r="Y23" s="215">
        <f t="shared" ref="Y23:AD23" si="98">Y14/Y12</f>
        <v>1.4210526315789473</v>
      </c>
      <c r="Z23" s="215">
        <f t="shared" si="98"/>
        <v>1.308641975308642</v>
      </c>
      <c r="AA23" s="215">
        <f t="shared" si="98"/>
        <v>1.3292682926829269</v>
      </c>
      <c r="AB23" s="215">
        <f t="shared" si="98"/>
        <v>1.3090909090909091</v>
      </c>
      <c r="AC23" s="215">
        <f t="shared" si="98"/>
        <v>1.2763157894736843</v>
      </c>
      <c r="AD23" s="215">
        <f t="shared" si="98"/>
        <v>1.3931623931623931</v>
      </c>
      <c r="AE23" s="215">
        <f t="shared" ref="AE23:AL23" si="99">AE14/AE12</f>
        <v>1.271186440677966</v>
      </c>
      <c r="AF23" s="215">
        <f t="shared" si="99"/>
        <v>1.4326923076923077</v>
      </c>
      <c r="AG23" s="215">
        <f t="shared" si="99"/>
        <v>1.6627218934911243</v>
      </c>
      <c r="AH23" s="215">
        <f t="shared" si="99"/>
        <v>1.0897435897435896</v>
      </c>
      <c r="AI23" s="215">
        <f t="shared" si="99"/>
        <v>1.2232142857142858</v>
      </c>
      <c r="AJ23" s="215">
        <f t="shared" si="99"/>
        <v>1.180952380952381</v>
      </c>
      <c r="AK23" s="215">
        <f t="shared" si="99"/>
        <v>1.3355704697986577</v>
      </c>
      <c r="AL23" s="215">
        <f t="shared" si="99"/>
        <v>1.2323232323232323</v>
      </c>
      <c r="BE23" s="1958">
        <f>BE14/BE7</f>
        <v>0.73767306290988588</v>
      </c>
    </row>
    <row r="24" spans="1:81">
      <c r="A24" s="212" t="s">
        <v>68</v>
      </c>
      <c r="B24" s="242">
        <f>B8/(SUM(B40:B42))</f>
        <v>5.3889732397039278</v>
      </c>
      <c r="G24" s="242">
        <f>G8/(SUM(G40:G42))</f>
        <v>4.0409836065573774</v>
      </c>
      <c r="H24" s="242">
        <f>H8/(SUM(H40:H42))</f>
        <v>2.9386973180076628</v>
      </c>
      <c r="I24" s="242">
        <f>I8/(SUM(I40:I42))</f>
        <v>4.0877742946708464</v>
      </c>
      <c r="J24" s="242"/>
      <c r="K24" s="242">
        <v>4.1761761761761766</v>
      </c>
      <c r="M24" s="215">
        <f>M8/(SUM(M40:M42))</f>
        <v>1.4545454545454546</v>
      </c>
      <c r="N24" s="215">
        <f t="shared" ref="N24:W24" si="100">N8/(SUM(N40:N42))</f>
        <v>3</v>
      </c>
      <c r="O24" s="215">
        <f t="shared" si="100"/>
        <v>3.2666666666666666</v>
      </c>
      <c r="P24" s="215">
        <f t="shared" si="100"/>
        <v>3.90625</v>
      </c>
      <c r="Q24" s="215">
        <f t="shared" si="100"/>
        <v>4.5</v>
      </c>
      <c r="R24" s="215">
        <f t="shared" si="100"/>
        <v>4.6785714285714288</v>
      </c>
      <c r="S24" s="215">
        <f t="shared" si="100"/>
        <v>4.8076923076923075</v>
      </c>
      <c r="T24" s="215">
        <f t="shared" si="100"/>
        <v>4.3571428571428568</v>
      </c>
      <c r="U24" s="215">
        <f t="shared" si="100"/>
        <v>4.15625</v>
      </c>
      <c r="V24" s="215">
        <f t="shared" si="100"/>
        <v>4.166666666666667</v>
      </c>
      <c r="W24" s="215">
        <f t="shared" si="100"/>
        <v>4.71875</v>
      </c>
      <c r="X24" s="215">
        <f t="shared" ref="X24:AC24" si="101">X8/(SUM(X40:X42))</f>
        <v>3.5555555555555554</v>
      </c>
      <c r="Y24" s="215">
        <f t="shared" si="101"/>
        <v>2.3571428571428572</v>
      </c>
      <c r="Z24" s="215">
        <f t="shared" si="101"/>
        <v>2.8571428571428572</v>
      </c>
      <c r="AA24" s="215">
        <f t="shared" si="101"/>
        <v>3.42</v>
      </c>
      <c r="AB24" s="215">
        <f t="shared" si="101"/>
        <v>4.067708333333333</v>
      </c>
      <c r="AC24" s="215">
        <f t="shared" si="101"/>
        <v>4.1201923076923075</v>
      </c>
      <c r="AD24" s="215">
        <f t="shared" ref="AD24:AL24" si="102">AD8/(SUM(AD40:AD42))</f>
        <v>4.0756302521008401</v>
      </c>
      <c r="AE24" s="215">
        <f t="shared" si="102"/>
        <v>4.8616071428571432</v>
      </c>
      <c r="AF24" s="215">
        <f t="shared" si="102"/>
        <v>5.0166666666666666</v>
      </c>
      <c r="AG24" s="215">
        <f t="shared" si="102"/>
        <v>5.6190476190476186</v>
      </c>
      <c r="AH24" s="215">
        <f t="shared" si="102"/>
        <v>6.2</v>
      </c>
      <c r="AI24" s="215">
        <f t="shared" si="102"/>
        <v>6.3577586206896548</v>
      </c>
      <c r="AJ24" s="215">
        <f t="shared" si="102"/>
        <v>6.0641025641025639</v>
      </c>
      <c r="AK24" s="215">
        <f t="shared" si="102"/>
        <v>5.0801282051282053</v>
      </c>
      <c r="AL24" s="215">
        <f t="shared" si="102"/>
        <v>4.8419689119170988</v>
      </c>
    </row>
    <row r="25" spans="1:81">
      <c r="AH25" s="216"/>
      <c r="AX25" s="1959">
        <f>SUM(AW4:AY4)/SUM(AW14:AY14)</f>
        <v>18.86138166080606</v>
      </c>
      <c r="AY25" s="1959">
        <f>SUM(AT4:AY4)/SUM(AT14:AY14)</f>
        <v>18.000497587755781</v>
      </c>
      <c r="BJ25" s="1959">
        <f>SUM(BI4:BK4)/SUM(BI14:BK14)</f>
        <v>17.349730604525512</v>
      </c>
      <c r="BK25" s="1959">
        <f>SUM(BF4:BK4)/SUM(BF14:BK14)</f>
        <v>17.299124830704525</v>
      </c>
    </row>
    <row r="26" spans="1:81" s="223" customFormat="1" ht="16.5" customHeight="1">
      <c r="A26" s="219" t="s">
        <v>19</v>
      </c>
      <c r="B26" s="220"/>
      <c r="C26" s="221"/>
      <c r="D26" s="220"/>
      <c r="E26" s="220"/>
      <c r="F26" s="220"/>
      <c r="G26" s="220"/>
      <c r="H26" s="220"/>
      <c r="I26" s="220"/>
      <c r="J26" s="220"/>
      <c r="K26" s="220"/>
      <c r="L26" s="221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X26" s="1960">
        <f>SUM(AW4:AY4)/SUM(AW7:AY7)</f>
        <v>7.5059771797631871</v>
      </c>
      <c r="AY26" s="1960">
        <f>SUM(AT4:AY4)/SUM(AT7:AY7)</f>
        <v>6.2984452529250836</v>
      </c>
      <c r="BJ26" s="1960">
        <f>SUM(BI4:BK4)/SUM(BI7:BK7)</f>
        <v>6.7356171915563179</v>
      </c>
      <c r="BK26" s="1960">
        <f>SUM(BF4:BK4)/SUM(BF7:BK7)</f>
        <v>5.9171555997554233</v>
      </c>
    </row>
    <row r="27" spans="1:81" s="228" customFormat="1">
      <c r="A27" s="224" t="s">
        <v>164</v>
      </c>
      <c r="B27" s="225" t="s">
        <v>163</v>
      </c>
      <c r="C27" s="225"/>
      <c r="D27" s="226" t="s">
        <v>59</v>
      </c>
      <c r="E27" s="226" t="s">
        <v>94</v>
      </c>
      <c r="F27" s="226" t="s">
        <v>97</v>
      </c>
      <c r="G27" s="226" t="s">
        <v>150</v>
      </c>
      <c r="H27" s="226" t="s">
        <v>508</v>
      </c>
      <c r="I27" s="226" t="s">
        <v>509</v>
      </c>
      <c r="J27" s="226"/>
      <c r="K27" s="226" t="s">
        <v>163</v>
      </c>
      <c r="L27" s="225"/>
      <c r="M27" s="227">
        <v>41000</v>
      </c>
      <c r="N27" s="227">
        <v>41030</v>
      </c>
      <c r="O27" s="227">
        <v>41061</v>
      </c>
      <c r="P27" s="227">
        <v>41091</v>
      </c>
      <c r="Q27" s="227">
        <v>41122</v>
      </c>
      <c r="R27" s="227">
        <v>41153</v>
      </c>
      <c r="S27" s="227">
        <v>41183</v>
      </c>
      <c r="T27" s="227">
        <v>41214</v>
      </c>
      <c r="U27" s="227">
        <v>41244</v>
      </c>
      <c r="V27" s="227">
        <v>41275</v>
      </c>
      <c r="W27" s="227">
        <v>41306</v>
      </c>
      <c r="X27" s="227">
        <v>41334</v>
      </c>
      <c r="Y27" s="227">
        <v>41365</v>
      </c>
      <c r="Z27" s="227">
        <v>41395</v>
      </c>
      <c r="AA27" s="227">
        <v>41426</v>
      </c>
      <c r="AB27" s="227">
        <v>41456</v>
      </c>
      <c r="AC27" s="227">
        <v>41487</v>
      </c>
      <c r="AD27" s="227">
        <v>41518</v>
      </c>
      <c r="AE27" s="227">
        <v>41548</v>
      </c>
      <c r="AF27" s="227">
        <v>41579</v>
      </c>
      <c r="AG27" s="227">
        <v>41609</v>
      </c>
      <c r="AH27" s="227">
        <v>41640</v>
      </c>
      <c r="AI27" s="227">
        <v>41671</v>
      </c>
      <c r="AJ27" s="227">
        <v>41699</v>
      </c>
      <c r="AK27" s="227">
        <v>41730</v>
      </c>
      <c r="AL27" s="227">
        <v>41760</v>
      </c>
      <c r="AM27" s="227">
        <v>41791</v>
      </c>
      <c r="AN27" s="227">
        <v>41821</v>
      </c>
      <c r="AO27" s="227">
        <v>41852</v>
      </c>
      <c r="AP27" s="227">
        <v>41883</v>
      </c>
      <c r="AQ27" s="227">
        <v>41913</v>
      </c>
      <c r="AR27" s="227">
        <v>41944</v>
      </c>
      <c r="AS27" s="227">
        <v>41974</v>
      </c>
      <c r="AT27" s="252">
        <v>42005</v>
      </c>
      <c r="AU27" s="211" t="s">
        <v>34</v>
      </c>
      <c r="AV27" s="211" t="s">
        <v>35</v>
      </c>
      <c r="AW27" s="211" t="s">
        <v>36</v>
      </c>
      <c r="AX27" s="211" t="s">
        <v>37</v>
      </c>
      <c r="AY27" s="211" t="s">
        <v>38</v>
      </c>
      <c r="AZ27" s="211" t="s">
        <v>39</v>
      </c>
      <c r="BA27" s="211" t="str">
        <f>BA3</f>
        <v>Aug</v>
      </c>
      <c r="BB27" s="211" t="s">
        <v>40</v>
      </c>
      <c r="BC27" s="211" t="str">
        <f>BC3</f>
        <v>Oct</v>
      </c>
      <c r="BD27" s="211" t="str">
        <f>BD3</f>
        <v>Nov</v>
      </c>
      <c r="BE27" s="211" t="str">
        <f>BE3</f>
        <v>Dec</v>
      </c>
      <c r="BF27" s="1978" t="s">
        <v>2552</v>
      </c>
      <c r="BG27" s="1979" t="s">
        <v>34</v>
      </c>
      <c r="BH27" s="1979" t="s">
        <v>35</v>
      </c>
      <c r="BI27" s="1979" t="s">
        <v>36</v>
      </c>
      <c r="BJ27" s="1979" t="s">
        <v>37</v>
      </c>
      <c r="BK27" s="1979" t="s">
        <v>38</v>
      </c>
      <c r="BL27" s="1979" t="s">
        <v>39</v>
      </c>
      <c r="BM27" s="1979" t="s">
        <v>40</v>
      </c>
      <c r="BN27" s="1979" t="s">
        <v>41</v>
      </c>
      <c r="BO27" s="1979" t="s">
        <v>42</v>
      </c>
      <c r="BP27" s="1979" t="s">
        <v>43</v>
      </c>
      <c r="BQ27" s="1979" t="s">
        <v>44</v>
      </c>
      <c r="BR27" s="1978" t="s">
        <v>4133</v>
      </c>
      <c r="BS27" s="1979" t="s">
        <v>34</v>
      </c>
      <c r="BT27" s="1979" t="s">
        <v>35</v>
      </c>
      <c r="BU27" s="1979" t="s">
        <v>36</v>
      </c>
      <c r="BV27" s="1978" t="s">
        <v>37</v>
      </c>
      <c r="BW27" s="1979" t="s">
        <v>38</v>
      </c>
      <c r="BX27" s="1979" t="s">
        <v>39</v>
      </c>
      <c r="BY27" s="1979" t="s">
        <v>40</v>
      </c>
      <c r="BZ27" s="1979" t="s">
        <v>41</v>
      </c>
      <c r="CA27" s="1979" t="s">
        <v>42</v>
      </c>
      <c r="CB27" s="1979" t="s">
        <v>43</v>
      </c>
      <c r="CC27" s="1979" t="s">
        <v>44</v>
      </c>
    </row>
    <row r="28" spans="1:81">
      <c r="A28" s="1591" t="s">
        <v>152</v>
      </c>
      <c r="B28" s="242">
        <f>SUMIF($AH$2:$AS$2, "&lt;=" &amp; $B$2, $AH28:$AS28)/$B$2</f>
        <v>68</v>
      </c>
      <c r="G28" s="242">
        <f t="shared" ref="G28:G35" si="103">SUM(V28:X28)/3</f>
        <v>14.333333333333334</v>
      </c>
      <c r="H28" s="242">
        <f t="shared" ref="H28:H35" si="104">SUM(Y28:AA28)/3</f>
        <v>70</v>
      </c>
      <c r="I28" s="242">
        <f t="shared" ref="I28:I35" si="105">SUM(AB28:AD28)/3</f>
        <v>72</v>
      </c>
      <c r="J28" s="242"/>
      <c r="K28" s="242">
        <v>65.333333333333329</v>
      </c>
      <c r="M28" s="215">
        <v>21</v>
      </c>
      <c r="N28" s="215">
        <v>7</v>
      </c>
      <c r="O28" s="215">
        <v>15</v>
      </c>
      <c r="P28" s="215">
        <v>9</v>
      </c>
      <c r="Q28" s="215">
        <v>4</v>
      </c>
      <c r="R28" s="215">
        <v>2</v>
      </c>
      <c r="S28" s="215">
        <v>6</v>
      </c>
      <c r="T28" s="215">
        <v>3</v>
      </c>
      <c r="U28" s="215">
        <v>12</v>
      </c>
      <c r="V28" s="215">
        <v>8</v>
      </c>
      <c r="W28" s="215">
        <v>1</v>
      </c>
      <c r="X28" s="215">
        <f>HCM!U29+HN!U29</f>
        <v>34</v>
      </c>
      <c r="Y28" s="215">
        <f>HCM!V29+HN!V29</f>
        <v>66</v>
      </c>
      <c r="Z28" s="215">
        <f>HCM!W29+HN!W29</f>
        <v>77</v>
      </c>
      <c r="AA28" s="215">
        <f>HCM!X29+HN!X29</f>
        <v>67</v>
      </c>
      <c r="AB28" s="215">
        <f>HCM!Y29+HN!Y29</f>
        <v>52</v>
      </c>
      <c r="AC28" s="215">
        <f>HCM!Z29+HN!Z29</f>
        <v>68</v>
      </c>
      <c r="AD28" s="215">
        <f>HCM!AA29+HN!AA29</f>
        <v>96</v>
      </c>
      <c r="AE28" s="215">
        <f>HCM!AB29+HN!AB29</f>
        <v>90</v>
      </c>
      <c r="AF28" s="215">
        <f>HCM!AC29+HN!AC29</f>
        <v>83</v>
      </c>
      <c r="AG28" s="215">
        <f>HCM!AD29+HN!AD29</f>
        <v>142</v>
      </c>
      <c r="AH28" s="215">
        <f>HCM!AE29+HN!AE29</f>
        <v>47</v>
      </c>
      <c r="AI28" s="215">
        <f>HCM!AF29+HN!AF29</f>
        <v>46</v>
      </c>
      <c r="AJ28" s="215">
        <f>HCM!AG29+HN!AG29</f>
        <v>68</v>
      </c>
      <c r="AK28" s="215">
        <f>HCM!AH29+HN!AH29</f>
        <v>138</v>
      </c>
      <c r="AL28" s="215">
        <f>HCM!AI29+HN!AI29</f>
        <v>177</v>
      </c>
      <c r="AM28" s="215"/>
    </row>
    <row r="29" spans="1:81">
      <c r="A29" s="1591" t="s">
        <v>153</v>
      </c>
      <c r="B29" s="242">
        <f t="shared" ref="B29:B34" si="106">SUMIF($AH$2:$AS$2, "&lt;=" &amp; $B$2, $AH29:$AS29)/$B$2</f>
        <v>63.571428571428569</v>
      </c>
      <c r="G29" s="242">
        <f t="shared" si="103"/>
        <v>7.333333333333333</v>
      </c>
      <c r="H29" s="242">
        <f t="shared" si="104"/>
        <v>58.333333333333336</v>
      </c>
      <c r="I29" s="242">
        <f t="shared" si="105"/>
        <v>62.333333333333336</v>
      </c>
      <c r="J29" s="242"/>
      <c r="K29" s="242">
        <v>54.666666666666664</v>
      </c>
      <c r="M29" s="215"/>
      <c r="N29" s="215">
        <v>21</v>
      </c>
      <c r="O29" s="215">
        <v>7</v>
      </c>
      <c r="P29" s="215">
        <v>15</v>
      </c>
      <c r="Q29" s="215">
        <v>7</v>
      </c>
      <c r="R29" s="215">
        <v>4</v>
      </c>
      <c r="S29" s="215">
        <v>2</v>
      </c>
      <c r="T29" s="215">
        <v>6</v>
      </c>
      <c r="U29" s="215">
        <v>3</v>
      </c>
      <c r="V29" s="215">
        <v>12</v>
      </c>
      <c r="W29" s="215">
        <v>8</v>
      </c>
      <c r="X29" s="215">
        <f>HCM!U30+HN!U30</f>
        <v>2</v>
      </c>
      <c r="Y29" s="215">
        <f>HCM!V30+HN!V30</f>
        <v>34</v>
      </c>
      <c r="Z29" s="215">
        <f>HCM!W30+HN!W30</f>
        <v>66</v>
      </c>
      <c r="AA29" s="215">
        <f>HCM!X30+HN!X30</f>
        <v>75</v>
      </c>
      <c r="AB29" s="215">
        <f>HCM!Y30+HN!Y30</f>
        <v>67</v>
      </c>
      <c r="AC29" s="215">
        <f>HCM!Z30+HN!Z30</f>
        <v>52</v>
      </c>
      <c r="AD29" s="215">
        <f>HCM!AA30+HN!AA30</f>
        <v>68</v>
      </c>
      <c r="AE29" s="215">
        <f>HCM!AB30+HN!AB30</f>
        <v>96</v>
      </c>
      <c r="AF29" s="215">
        <f>HCM!AC30+HN!AC30</f>
        <v>90</v>
      </c>
      <c r="AG29" s="215">
        <f>HCM!AD30+HN!AD30</f>
        <v>86</v>
      </c>
      <c r="AH29" s="215">
        <f>HCM!AE30+HN!AE30</f>
        <v>141</v>
      </c>
      <c r="AI29" s="215">
        <f>HCM!AF30+HN!AF30</f>
        <v>57</v>
      </c>
      <c r="AJ29" s="215">
        <f>HCM!AG30+HN!AG30</f>
        <v>46</v>
      </c>
      <c r="AK29" s="215">
        <f>HCM!AH30+HN!AH30</f>
        <v>68</v>
      </c>
      <c r="AL29" s="215">
        <f>HCM!AI30+HN!AI30</f>
        <v>133</v>
      </c>
      <c r="AM29" s="215"/>
    </row>
    <row r="30" spans="1:81">
      <c r="A30" s="1591" t="s">
        <v>70</v>
      </c>
      <c r="B30" s="242">
        <f t="shared" si="106"/>
        <v>51.857142857142854</v>
      </c>
      <c r="G30" s="242">
        <f t="shared" si="103"/>
        <v>7.333333333333333</v>
      </c>
      <c r="H30" s="242">
        <f t="shared" si="104"/>
        <v>32.333333333333336</v>
      </c>
      <c r="I30" s="242">
        <f t="shared" si="105"/>
        <v>64.333333333333329</v>
      </c>
      <c r="J30" s="242"/>
      <c r="K30" s="242">
        <v>46.916666666666664</v>
      </c>
      <c r="M30" s="215"/>
      <c r="N30" s="215"/>
      <c r="O30" s="215">
        <v>21</v>
      </c>
      <c r="P30" s="215">
        <v>7</v>
      </c>
      <c r="Q30" s="215">
        <v>16</v>
      </c>
      <c r="R30" s="215">
        <v>8</v>
      </c>
      <c r="S30" s="215">
        <v>4</v>
      </c>
      <c r="T30" s="215">
        <v>2</v>
      </c>
      <c r="U30" s="215">
        <v>6</v>
      </c>
      <c r="V30" s="215">
        <v>3</v>
      </c>
      <c r="W30" s="215">
        <v>12</v>
      </c>
      <c r="X30" s="215">
        <f>HCM!U31+HN!U31</f>
        <v>7</v>
      </c>
      <c r="Y30" s="215">
        <f>HCM!V31+HN!V31</f>
        <v>2</v>
      </c>
      <c r="Z30" s="215">
        <f>HCM!W31+HN!W31</f>
        <v>34</v>
      </c>
      <c r="AA30" s="215">
        <f>HCM!X31+HN!X31</f>
        <v>61</v>
      </c>
      <c r="AB30" s="215">
        <f>HCM!Y31+HN!Y31</f>
        <v>74</v>
      </c>
      <c r="AC30" s="215">
        <f>HCM!Z31+HN!Z31</f>
        <v>67</v>
      </c>
      <c r="AD30" s="215">
        <f>HCM!AA31+HN!AA31</f>
        <v>52</v>
      </c>
      <c r="AE30" s="215">
        <f>HCM!AB31+HN!AB31</f>
        <v>68</v>
      </c>
      <c r="AF30" s="215">
        <f>HCM!AC31+HN!AC31</f>
        <v>96</v>
      </c>
      <c r="AG30" s="215">
        <f>HCM!AD31+HN!AD31</f>
        <v>87</v>
      </c>
      <c r="AH30" s="215">
        <f>HCM!AE31+HN!AE31</f>
        <v>83</v>
      </c>
      <c r="AI30" s="215">
        <f>HCM!AF31+HN!AF31</f>
        <v>131</v>
      </c>
      <c r="AJ30" s="215">
        <f>HCM!AG31+HN!AG31</f>
        <v>46</v>
      </c>
      <c r="AK30" s="215">
        <f>HCM!AH31+HN!AH31</f>
        <v>46</v>
      </c>
      <c r="AL30" s="215">
        <f>HCM!AI31+HN!AI31</f>
        <v>57</v>
      </c>
      <c r="AM30" s="215"/>
    </row>
    <row r="31" spans="1:81">
      <c r="A31" s="1591" t="s">
        <v>71</v>
      </c>
      <c r="B31" s="242">
        <f t="shared" si="106"/>
        <v>142.28571428571428</v>
      </c>
      <c r="G31" s="242">
        <f t="shared" si="103"/>
        <v>13</v>
      </c>
      <c r="H31" s="242">
        <f t="shared" si="104"/>
        <v>27</v>
      </c>
      <c r="I31" s="242">
        <f t="shared" si="105"/>
        <v>111.66666666666667</v>
      </c>
      <c r="J31" s="242"/>
      <c r="K31" s="242">
        <v>74.25</v>
      </c>
      <c r="M31" s="215"/>
      <c r="N31" s="215"/>
      <c r="O31" s="215"/>
      <c r="P31" s="215">
        <v>20</v>
      </c>
      <c r="Q31" s="215">
        <v>26</v>
      </c>
      <c r="R31" s="215">
        <v>35</v>
      </c>
      <c r="S31" s="215">
        <v>23</v>
      </c>
      <c r="T31" s="215">
        <v>19</v>
      </c>
      <c r="U31" s="215">
        <v>11</v>
      </c>
      <c r="V31" s="215">
        <v>12</v>
      </c>
      <c r="W31" s="215">
        <v>9</v>
      </c>
      <c r="X31" s="215">
        <f>HCM!U32+HN!U32</f>
        <v>18</v>
      </c>
      <c r="Y31" s="215">
        <f>HCM!V32+HN!V32</f>
        <v>19</v>
      </c>
      <c r="Z31" s="215">
        <f>HCM!W32+HN!W32</f>
        <v>19</v>
      </c>
      <c r="AA31" s="215">
        <f>HCM!X32+HN!X32</f>
        <v>43</v>
      </c>
      <c r="AB31" s="215">
        <f>HCM!Y32+HN!Y32</f>
        <v>80</v>
      </c>
      <c r="AC31" s="215">
        <f>HCM!Z32+HN!Z32</f>
        <v>124</v>
      </c>
      <c r="AD31" s="215">
        <f>HCM!AA32+HN!AA32</f>
        <v>131</v>
      </c>
      <c r="AE31" s="215">
        <f>HCM!AB32+HN!AB32</f>
        <v>124</v>
      </c>
      <c r="AF31" s="215">
        <f>HCM!AC32+HN!AC32</f>
        <v>128</v>
      </c>
      <c r="AG31" s="215">
        <f>HCM!AD32+HN!AD32</f>
        <v>184</v>
      </c>
      <c r="AH31" s="215">
        <f>HCM!AE32+HN!AE32</f>
        <v>191</v>
      </c>
      <c r="AI31" s="215">
        <f>HCM!AF32+HN!AF32</f>
        <v>190</v>
      </c>
      <c r="AJ31" s="215">
        <f>HCM!AG32+HN!AG32</f>
        <v>238</v>
      </c>
      <c r="AK31" s="215">
        <f>HCM!AH32+HN!AH32</f>
        <v>214</v>
      </c>
      <c r="AL31" s="215">
        <f>HCM!AI32+HN!AI32</f>
        <v>163</v>
      </c>
      <c r="AM31" s="215"/>
    </row>
    <row r="32" spans="1:81">
      <c r="A32" s="1591" t="s">
        <v>72</v>
      </c>
      <c r="B32" s="242">
        <f t="shared" si="106"/>
        <v>102.28571428571429</v>
      </c>
      <c r="G32" s="242">
        <f t="shared" si="103"/>
        <v>25</v>
      </c>
      <c r="H32" s="242">
        <f t="shared" si="104"/>
        <v>12.666666666666666</v>
      </c>
      <c r="I32" s="242">
        <f t="shared" si="105"/>
        <v>21</v>
      </c>
      <c r="J32" s="242"/>
      <c r="K32" s="242">
        <v>34.416666666666664</v>
      </c>
      <c r="M32" s="215"/>
      <c r="N32" s="215"/>
      <c r="O32" s="215"/>
      <c r="P32" s="215"/>
      <c r="Q32" s="215"/>
      <c r="R32" s="215"/>
      <c r="S32" s="215">
        <v>13</v>
      </c>
      <c r="T32" s="215">
        <v>15</v>
      </c>
      <c r="U32" s="215">
        <v>24</v>
      </c>
      <c r="V32" s="215">
        <v>23</v>
      </c>
      <c r="W32" s="215">
        <v>27</v>
      </c>
      <c r="X32" s="215">
        <f>HCM!U33+HN!U33</f>
        <v>25</v>
      </c>
      <c r="Y32" s="215">
        <f>HCM!V33+HN!V33</f>
        <v>11</v>
      </c>
      <c r="Z32" s="215">
        <f>HCM!W33+HN!W33</f>
        <v>10</v>
      </c>
      <c r="AA32" s="215">
        <f>HCM!X33+HN!X33</f>
        <v>17</v>
      </c>
      <c r="AB32" s="215">
        <f>HCM!Y33+HN!Y33</f>
        <v>16</v>
      </c>
      <c r="AC32" s="215">
        <f>HCM!Z33+HN!Z33</f>
        <v>16</v>
      </c>
      <c r="AD32" s="215">
        <f>HCM!AA33+HN!AA33</f>
        <v>31</v>
      </c>
      <c r="AE32" s="215">
        <f>HCM!AB33+HN!AB33</f>
        <v>49</v>
      </c>
      <c r="AF32" s="215">
        <f>HCM!AC33+HN!AC33</f>
        <v>79</v>
      </c>
      <c r="AG32" s="215">
        <f>HCM!AD33+HN!AD33</f>
        <v>109</v>
      </c>
      <c r="AH32" s="215">
        <f>HCM!AE33+HN!AE33</f>
        <v>124</v>
      </c>
      <c r="AI32" s="215">
        <f>HCM!AF33+HN!AF33</f>
        <v>115</v>
      </c>
      <c r="AJ32" s="215">
        <f>HCM!AG33+HN!AG33</f>
        <v>125</v>
      </c>
      <c r="AK32" s="215">
        <f>HCM!AH33+HN!AH33</f>
        <v>168</v>
      </c>
      <c r="AL32" s="215">
        <f>HCM!AI33+HN!AI33</f>
        <v>184</v>
      </c>
      <c r="AM32" s="215"/>
    </row>
    <row r="33" spans="1:81">
      <c r="A33" s="1591" t="s">
        <v>73</v>
      </c>
      <c r="B33" s="242">
        <f t="shared" si="106"/>
        <v>146.85714285714286</v>
      </c>
      <c r="G33" s="242">
        <f t="shared" si="103"/>
        <v>22.666666666666668</v>
      </c>
      <c r="H33" s="242">
        <f t="shared" si="104"/>
        <v>98.333333333333329</v>
      </c>
      <c r="I33" s="242">
        <f t="shared" si="105"/>
        <v>127</v>
      </c>
      <c r="J33" s="242"/>
      <c r="K33" s="242">
        <v>101.66666666666667</v>
      </c>
      <c r="M33" s="215">
        <v>11</v>
      </c>
      <c r="N33" s="215">
        <v>12</v>
      </c>
      <c r="O33" s="215">
        <v>15</v>
      </c>
      <c r="P33" s="215">
        <v>16</v>
      </c>
      <c r="Q33" s="215">
        <v>15</v>
      </c>
      <c r="R33" s="215">
        <v>14</v>
      </c>
      <c r="S33" s="215">
        <v>14</v>
      </c>
      <c r="T33" s="215">
        <v>15</v>
      </c>
      <c r="U33" s="215">
        <v>17</v>
      </c>
      <c r="V33" s="215">
        <v>19</v>
      </c>
      <c r="W33" s="215">
        <v>17</v>
      </c>
      <c r="X33" s="215">
        <f>HCM!U34+HN!U34</f>
        <v>32</v>
      </c>
      <c r="Y33" s="215">
        <f>HCM!V34+HN!V34</f>
        <v>80</v>
      </c>
      <c r="Z33" s="215">
        <f>HCM!W34+HN!W34</f>
        <v>102</v>
      </c>
      <c r="AA33" s="215">
        <f>HCM!X34+HN!X34</f>
        <v>113</v>
      </c>
      <c r="AB33" s="215">
        <f>HCM!Y34+HN!Y34</f>
        <v>116</v>
      </c>
      <c r="AC33" s="215">
        <f>HCM!Z34+HN!Z34</f>
        <v>125</v>
      </c>
      <c r="AD33" s="215">
        <f>HCM!AA34+HN!AA34</f>
        <v>140</v>
      </c>
      <c r="AE33" s="215">
        <f>HCM!AB34+HN!AB34</f>
        <v>144</v>
      </c>
      <c r="AF33" s="215">
        <f>HCM!AC34+HN!AC34</f>
        <v>157</v>
      </c>
      <c r="AG33" s="215">
        <f>HCM!AD34+HN!AD34</f>
        <v>175</v>
      </c>
      <c r="AH33" s="215">
        <f>HCM!AE34+HN!AE34</f>
        <v>181</v>
      </c>
      <c r="AI33" s="215">
        <f>HCM!AF34+HN!AF34</f>
        <v>167</v>
      </c>
      <c r="AJ33" s="215">
        <f>HCM!AG34+HN!AG34</f>
        <v>180</v>
      </c>
      <c r="AK33" s="215">
        <f>HCM!AH34+HN!AH34</f>
        <v>230</v>
      </c>
      <c r="AL33" s="215">
        <f>HCM!AI34+HN!AI34</f>
        <v>270</v>
      </c>
      <c r="AM33" s="215"/>
    </row>
    <row r="34" spans="1:81">
      <c r="A34" s="1591" t="s">
        <v>74</v>
      </c>
      <c r="B34" s="242">
        <f t="shared" si="106"/>
        <v>4.4285714285714288</v>
      </c>
      <c r="G34" s="242">
        <f t="shared" si="103"/>
        <v>0</v>
      </c>
      <c r="H34" s="242">
        <f t="shared" si="104"/>
        <v>0</v>
      </c>
      <c r="I34" s="242">
        <f t="shared" si="105"/>
        <v>0</v>
      </c>
      <c r="J34" s="242"/>
      <c r="K34" s="242">
        <v>0</v>
      </c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>
        <f>HCM!AF35+HN!AF35</f>
        <v>2</v>
      </c>
      <c r="AJ34" s="215">
        <f>HCM!AG35+HN!AG35</f>
        <v>8</v>
      </c>
      <c r="AK34" s="215">
        <f>HCM!AH35+HN!AH35</f>
        <v>10</v>
      </c>
      <c r="AL34" s="215">
        <f>HCM!AI35+HN!AI35</f>
        <v>11</v>
      </c>
      <c r="AM34" s="215"/>
    </row>
    <row r="35" spans="1:81" s="1784" customFormat="1">
      <c r="A35" s="1785" t="s">
        <v>49</v>
      </c>
      <c r="B35" s="1780">
        <f>SUMIF($BR$2:$CC$2, "=" &amp; $B$2, $BR$35:$CC$35)</f>
        <v>7863</v>
      </c>
      <c r="C35" s="1781"/>
      <c r="D35" s="1782"/>
      <c r="E35" s="1782"/>
      <c r="F35" s="1782"/>
      <c r="G35" s="1786">
        <f t="shared" si="103"/>
        <v>89.666666666666671</v>
      </c>
      <c r="H35" s="1786">
        <f t="shared" si="104"/>
        <v>298.66666666666669</v>
      </c>
      <c r="I35" s="1786">
        <f t="shared" si="105"/>
        <v>458.33333333333331</v>
      </c>
      <c r="J35" s="1786"/>
      <c r="K35" s="1786">
        <v>377.25</v>
      </c>
      <c r="L35" s="1781"/>
      <c r="M35" s="581">
        <f>SUM(M28:M34)</f>
        <v>32</v>
      </c>
      <c r="N35" s="581">
        <f t="shared" ref="N35:AA35" si="107">SUM(N28:N34)</f>
        <v>40</v>
      </c>
      <c r="O35" s="581">
        <f t="shared" si="107"/>
        <v>58</v>
      </c>
      <c r="P35" s="581">
        <f t="shared" si="107"/>
        <v>67</v>
      </c>
      <c r="Q35" s="581">
        <f t="shared" si="107"/>
        <v>68</v>
      </c>
      <c r="R35" s="581">
        <f t="shared" si="107"/>
        <v>63</v>
      </c>
      <c r="S35" s="581">
        <f t="shared" si="107"/>
        <v>62</v>
      </c>
      <c r="T35" s="581">
        <f t="shared" si="107"/>
        <v>60</v>
      </c>
      <c r="U35" s="581">
        <f t="shared" si="107"/>
        <v>73</v>
      </c>
      <c r="V35" s="581">
        <f t="shared" si="107"/>
        <v>77</v>
      </c>
      <c r="W35" s="581">
        <f t="shared" si="107"/>
        <v>74</v>
      </c>
      <c r="X35" s="581">
        <f>SUM(X28:X34)</f>
        <v>118</v>
      </c>
      <c r="Y35" s="581">
        <f t="shared" si="107"/>
        <v>212</v>
      </c>
      <c r="Z35" s="581">
        <f>SUM(Z28:Z34)</f>
        <v>308</v>
      </c>
      <c r="AA35" s="581">
        <f t="shared" si="107"/>
        <v>376</v>
      </c>
      <c r="AB35" s="581">
        <f t="shared" ref="AB35:AG35" si="108">SUM(AB28:AB34)</f>
        <v>405</v>
      </c>
      <c r="AC35" s="581">
        <f t="shared" si="108"/>
        <v>452</v>
      </c>
      <c r="AD35" s="581">
        <f t="shared" si="108"/>
        <v>518</v>
      </c>
      <c r="AE35" s="581">
        <f t="shared" si="108"/>
        <v>571</v>
      </c>
      <c r="AF35" s="581">
        <f t="shared" si="108"/>
        <v>633</v>
      </c>
      <c r="AG35" s="581">
        <f t="shared" si="108"/>
        <v>783</v>
      </c>
      <c r="AH35" s="581">
        <f>SUM(AH28:AH34)</f>
        <v>767</v>
      </c>
      <c r="AI35" s="581">
        <f>SUM(AI28:AI34)</f>
        <v>708</v>
      </c>
      <c r="AJ35" s="581">
        <f>SUM(AJ28:AJ34)</f>
        <v>711</v>
      </c>
      <c r="AK35" s="581">
        <f>SUM(AK28:AK34)</f>
        <v>874</v>
      </c>
      <c r="AL35" s="581">
        <f>SUM(AL28:AL34)</f>
        <v>995</v>
      </c>
      <c r="AM35" s="581">
        <v>1089</v>
      </c>
      <c r="AN35" s="581">
        <f>AN45</f>
        <v>1143</v>
      </c>
      <c r="AO35" s="581">
        <f>AO45</f>
        <v>1339</v>
      </c>
      <c r="AP35" s="581">
        <f t="shared" ref="AP35:BD35" si="109">AP45</f>
        <v>1493</v>
      </c>
      <c r="AQ35" s="581">
        <f t="shared" si="109"/>
        <v>1633</v>
      </c>
      <c r="AR35" s="581">
        <f t="shared" si="109"/>
        <v>1894</v>
      </c>
      <c r="AS35" s="581">
        <f t="shared" si="109"/>
        <v>2176</v>
      </c>
      <c r="AT35" s="581">
        <f t="shared" si="109"/>
        <v>2496</v>
      </c>
      <c r="AU35" s="581">
        <f t="shared" si="109"/>
        <v>2586</v>
      </c>
      <c r="AV35" s="581">
        <f t="shared" si="109"/>
        <v>2807</v>
      </c>
      <c r="AW35" s="581">
        <f t="shared" si="109"/>
        <v>3135</v>
      </c>
      <c r="AX35" s="581">
        <f t="shared" si="109"/>
        <v>3049</v>
      </c>
      <c r="AY35" s="581">
        <f t="shared" si="109"/>
        <v>3106</v>
      </c>
      <c r="AZ35" s="581">
        <f t="shared" si="109"/>
        <v>3135</v>
      </c>
      <c r="BA35" s="581">
        <f t="shared" si="109"/>
        <v>3323</v>
      </c>
      <c r="BB35" s="581">
        <f t="shared" si="109"/>
        <v>3466</v>
      </c>
      <c r="BC35" s="581">
        <f t="shared" si="109"/>
        <v>3654</v>
      </c>
      <c r="BD35" s="581">
        <f t="shared" si="109"/>
        <v>4000</v>
      </c>
      <c r="BE35" s="581">
        <f>BE45</f>
        <v>4120</v>
      </c>
      <c r="BF35" s="1901">
        <f>BF45</f>
        <v>4158</v>
      </c>
      <c r="BG35" s="1901">
        <f>BG45</f>
        <v>4068</v>
      </c>
      <c r="BH35" s="1901">
        <f>BH45</f>
        <v>4327</v>
      </c>
      <c r="BI35" s="1901">
        <f t="shared" ref="BI35:BZ35" si="110">BI45</f>
        <v>4506</v>
      </c>
      <c r="BJ35" s="1901">
        <f t="shared" si="110"/>
        <v>4930</v>
      </c>
      <c r="BK35" s="1901">
        <f t="shared" si="110"/>
        <v>5821</v>
      </c>
      <c r="BL35" s="1901">
        <f t="shared" si="110"/>
        <v>6335</v>
      </c>
      <c r="BM35" s="1901">
        <f t="shared" si="110"/>
        <v>6970</v>
      </c>
      <c r="BN35" s="1901">
        <f t="shared" si="110"/>
        <v>7706</v>
      </c>
      <c r="BO35" s="1901">
        <f t="shared" si="110"/>
        <v>8408</v>
      </c>
      <c r="BP35" s="1901">
        <f t="shared" si="110"/>
        <v>8627</v>
      </c>
      <c r="BQ35" s="1901">
        <f t="shared" si="110"/>
        <v>9845</v>
      </c>
      <c r="BR35" s="1901">
        <f t="shared" si="110"/>
        <v>10030</v>
      </c>
      <c r="BS35" s="1901">
        <f>BS45</f>
        <v>7676</v>
      </c>
      <c r="BT35" s="1901">
        <f t="shared" si="110"/>
        <v>7777</v>
      </c>
      <c r="BU35" s="1901">
        <f t="shared" si="110"/>
        <v>7057</v>
      </c>
      <c r="BV35" s="1901">
        <f t="shared" si="110"/>
        <v>7380</v>
      </c>
      <c r="BW35" s="1901">
        <f t="shared" si="110"/>
        <v>8015</v>
      </c>
      <c r="BX35" s="1901">
        <f t="shared" si="110"/>
        <v>7863</v>
      </c>
      <c r="BY35" s="1901">
        <f t="shared" si="110"/>
        <v>0</v>
      </c>
      <c r="BZ35" s="1901">
        <f t="shared" si="110"/>
        <v>0</v>
      </c>
    </row>
    <row r="36" spans="1:81">
      <c r="AH36" s="216"/>
    </row>
    <row r="37" spans="1:81" s="228" customFormat="1">
      <c r="A37" s="224" t="s">
        <v>167</v>
      </c>
      <c r="B37" s="225" t="s">
        <v>163</v>
      </c>
      <c r="C37" s="225"/>
      <c r="D37" s="226" t="s">
        <v>59</v>
      </c>
      <c r="E37" s="226" t="s">
        <v>94</v>
      </c>
      <c r="F37" s="226" t="s">
        <v>97</v>
      </c>
      <c r="G37" s="226" t="s">
        <v>150</v>
      </c>
      <c r="H37" s="226" t="s">
        <v>508</v>
      </c>
      <c r="I37" s="226" t="s">
        <v>509</v>
      </c>
      <c r="J37" s="226"/>
      <c r="K37" s="226" t="s">
        <v>163</v>
      </c>
      <c r="L37" s="225"/>
      <c r="M37" s="227">
        <v>41000</v>
      </c>
      <c r="N37" s="227">
        <v>41030</v>
      </c>
      <c r="O37" s="227">
        <v>41061</v>
      </c>
      <c r="P37" s="227">
        <v>41091</v>
      </c>
      <c r="Q37" s="227">
        <v>41122</v>
      </c>
      <c r="R37" s="227">
        <v>41153</v>
      </c>
      <c r="S37" s="227">
        <v>41183</v>
      </c>
      <c r="T37" s="227">
        <v>41214</v>
      </c>
      <c r="U37" s="227">
        <v>41244</v>
      </c>
      <c r="V37" s="227">
        <v>41275</v>
      </c>
      <c r="W37" s="227">
        <v>41306</v>
      </c>
      <c r="X37" s="227">
        <v>41334</v>
      </c>
      <c r="Y37" s="227">
        <v>41365</v>
      </c>
      <c r="Z37" s="227">
        <v>41395</v>
      </c>
      <c r="AA37" s="227">
        <v>41426</v>
      </c>
      <c r="AB37" s="227">
        <v>41456</v>
      </c>
      <c r="AC37" s="227">
        <v>41487</v>
      </c>
      <c r="AD37" s="227">
        <v>41518</v>
      </c>
      <c r="AE37" s="227">
        <v>41548</v>
      </c>
      <c r="AF37" s="227">
        <v>41579</v>
      </c>
      <c r="AG37" s="227">
        <v>41609</v>
      </c>
      <c r="AH37" s="227">
        <v>41640</v>
      </c>
      <c r="AI37" s="227">
        <v>41671</v>
      </c>
      <c r="AJ37" s="227">
        <v>41699</v>
      </c>
      <c r="AK37" s="227">
        <v>41730</v>
      </c>
      <c r="AL37" s="227">
        <v>41760</v>
      </c>
      <c r="AM37" s="227">
        <v>41791</v>
      </c>
      <c r="AN37" s="227">
        <v>41821</v>
      </c>
      <c r="AO37" s="227">
        <v>41852</v>
      </c>
      <c r="AP37" s="227">
        <v>41883</v>
      </c>
      <c r="AQ37" s="227">
        <v>41913</v>
      </c>
      <c r="AR37" s="227">
        <v>41944</v>
      </c>
      <c r="AS37" s="227">
        <v>41974</v>
      </c>
      <c r="AT37" s="252">
        <v>42005</v>
      </c>
      <c r="AU37" s="211" t="s">
        <v>34</v>
      </c>
      <c r="AV37" s="211" t="s">
        <v>35</v>
      </c>
      <c r="AW37" s="211" t="s">
        <v>36</v>
      </c>
      <c r="AX37" s="211" t="s">
        <v>37</v>
      </c>
      <c r="AY37" s="211" t="s">
        <v>38</v>
      </c>
      <c r="AZ37" s="211" t="s">
        <v>39</v>
      </c>
      <c r="BA37" s="211" t="str">
        <f>BA27</f>
        <v>Aug</v>
      </c>
      <c r="BB37" s="211" t="s">
        <v>41</v>
      </c>
      <c r="BC37" s="211" t="str">
        <f>BC27</f>
        <v>Oct</v>
      </c>
      <c r="BD37" s="211" t="str">
        <f>BD27</f>
        <v>Nov</v>
      </c>
      <c r="BE37" s="211" t="str">
        <f>BE27</f>
        <v>Dec</v>
      </c>
      <c r="BF37" s="1978" t="s">
        <v>2552</v>
      </c>
      <c r="BG37" s="1979" t="s">
        <v>34</v>
      </c>
      <c r="BH37" s="1979" t="s">
        <v>35</v>
      </c>
      <c r="BI37" s="1979" t="s">
        <v>36</v>
      </c>
      <c r="BJ37" s="1979" t="s">
        <v>37</v>
      </c>
      <c r="BK37" s="1979" t="s">
        <v>38</v>
      </c>
      <c r="BL37" s="1979" t="s">
        <v>39</v>
      </c>
      <c r="BM37" s="1979" t="s">
        <v>40</v>
      </c>
      <c r="BN37" s="1979" t="s">
        <v>41</v>
      </c>
      <c r="BO37" s="1979" t="s">
        <v>42</v>
      </c>
      <c r="BP37" s="1979" t="s">
        <v>43</v>
      </c>
      <c r="BQ37" s="1979" t="s">
        <v>44</v>
      </c>
      <c r="BR37" s="1978" t="s">
        <v>4133</v>
      </c>
      <c r="BS37" s="1979" t="s">
        <v>34</v>
      </c>
      <c r="BT37" s="1979" t="s">
        <v>35</v>
      </c>
      <c r="BU37" s="1979" t="s">
        <v>36</v>
      </c>
      <c r="BV37" s="1978" t="s">
        <v>37</v>
      </c>
      <c r="BW37" s="1979" t="s">
        <v>38</v>
      </c>
      <c r="BX37" s="1979" t="s">
        <v>39</v>
      </c>
      <c r="BY37" s="1979" t="s">
        <v>40</v>
      </c>
      <c r="BZ37" s="1979" t="s">
        <v>41</v>
      </c>
      <c r="CA37" s="1979" t="s">
        <v>42</v>
      </c>
      <c r="CB37" s="1979" t="s">
        <v>43</v>
      </c>
      <c r="CC37" s="1979" t="s">
        <v>44</v>
      </c>
    </row>
    <row r="38" spans="1:81" s="1203" customFormat="1">
      <c r="A38" s="1199" t="s">
        <v>154</v>
      </c>
      <c r="B38" s="918">
        <f>SUMIF($BR$2:$CC$2, "&lt;=" &amp; $B$2, $BR38:$CC38)/$B$2</f>
        <v>5979.4285714285716</v>
      </c>
      <c r="C38" s="1200"/>
      <c r="D38" s="1201"/>
      <c r="E38" s="1201"/>
      <c r="F38" s="1201"/>
      <c r="G38" s="918">
        <f t="shared" ref="G38:G45" si="111">SUM(V38:X38)/3</f>
        <v>68.333333333333329</v>
      </c>
      <c r="H38" s="918">
        <f t="shared" ref="H38:H45" si="112">SUM(Y38:AA38)/3</f>
        <v>203.66666666666666</v>
      </c>
      <c r="I38" s="918">
        <f t="shared" ref="I38:I45" si="113">SUM(AB38:AD38)/3</f>
        <v>339.66666666666669</v>
      </c>
      <c r="J38" s="918"/>
      <c r="K38" s="918">
        <v>284.91666666666669</v>
      </c>
      <c r="L38" s="1200"/>
      <c r="M38" s="1202">
        <v>21</v>
      </c>
      <c r="N38" s="1202">
        <v>28</v>
      </c>
      <c r="O38" s="1202">
        <v>43</v>
      </c>
      <c r="P38" s="1202">
        <v>51</v>
      </c>
      <c r="Q38" s="1202">
        <v>53</v>
      </c>
      <c r="R38" s="1202">
        <v>49</v>
      </c>
      <c r="S38" s="1202">
        <v>48</v>
      </c>
      <c r="T38" s="1202">
        <v>45</v>
      </c>
      <c r="U38" s="1202">
        <v>56</v>
      </c>
      <c r="V38" s="1202">
        <v>58</v>
      </c>
      <c r="W38" s="1202">
        <v>57</v>
      </c>
      <c r="X38" s="1202">
        <f>HCM!U39 + HN!U39</f>
        <v>90</v>
      </c>
      <c r="Y38" s="1202">
        <f>HCM!V39 + HN!V39</f>
        <v>134</v>
      </c>
      <c r="Z38" s="1202">
        <f>HCM!W39 + HN!W39</f>
        <v>209</v>
      </c>
      <c r="AA38" s="1202">
        <f>HCM!X39 + HN!X39</f>
        <v>268</v>
      </c>
      <c r="AB38" s="1202">
        <f>HCM!Y39 + HN!Y39</f>
        <v>297</v>
      </c>
      <c r="AC38" s="1202">
        <f>HCM!Z39 + HN!Z39</f>
        <v>334</v>
      </c>
      <c r="AD38" s="1202">
        <f>HCM!AA39 + HN!AA39</f>
        <v>388</v>
      </c>
      <c r="AE38" s="1202">
        <f>HCM!AB39 + HN!AB39</f>
        <v>448</v>
      </c>
      <c r="AF38" s="1202">
        <f>HCM!AC39 + HN!AC39</f>
        <v>499</v>
      </c>
      <c r="AG38" s="1202">
        <f>HCM!AD39 + HN!AD39</f>
        <v>637</v>
      </c>
      <c r="AH38" s="1202">
        <f>HCM!AE39 + HN!AE39</f>
        <v>610</v>
      </c>
      <c r="AI38" s="1202">
        <f>HCM!AF39 + HN!AF39</f>
        <v>557</v>
      </c>
      <c r="AJ38" s="1202">
        <f>HCM!AG39 + HN!AG39</f>
        <v>556</v>
      </c>
      <c r="AK38" s="1202">
        <f>HCM!AH39 + HN!AH39</f>
        <v>685</v>
      </c>
      <c r="AL38" s="1202">
        <f>HCM!AI39 + HN!AI39</f>
        <v>770</v>
      </c>
      <c r="AM38" s="1203">
        <v>812</v>
      </c>
      <c r="AN38" s="1203">
        <v>858</v>
      </c>
      <c r="AO38" s="1203">
        <v>1018</v>
      </c>
      <c r="AP38" s="1203">
        <v>1132</v>
      </c>
      <c r="AQ38" s="1203">
        <v>1248</v>
      </c>
      <c r="AR38" s="1203">
        <v>1441</v>
      </c>
      <c r="AS38" s="1203">
        <v>1637</v>
      </c>
      <c r="AT38" s="1203">
        <v>1870</v>
      </c>
      <c r="AU38" s="1203">
        <v>1926</v>
      </c>
      <c r="AV38" s="1203">
        <v>2085</v>
      </c>
      <c r="AW38" s="1203">
        <v>2320</v>
      </c>
      <c r="AX38" s="1203">
        <v>2186</v>
      </c>
      <c r="AY38" s="1203">
        <v>2260</v>
      </c>
      <c r="AZ38" s="1203">
        <v>2280</v>
      </c>
      <c r="BA38" s="1203">
        <v>2477</v>
      </c>
      <c r="BB38" s="1203">
        <v>2545</v>
      </c>
      <c r="BC38" s="1203">
        <v>2682</v>
      </c>
      <c r="BD38" s="1203">
        <v>3001</v>
      </c>
      <c r="BE38" s="1203">
        <v>3126</v>
      </c>
      <c r="BF38" s="1203">
        <v>3145</v>
      </c>
      <c r="BG38" s="1203">
        <v>3064</v>
      </c>
      <c r="BH38" s="1203">
        <v>3271</v>
      </c>
      <c r="BI38" s="1203">
        <v>3366</v>
      </c>
      <c r="BJ38" s="1203">
        <v>3707</v>
      </c>
      <c r="BK38" s="1203">
        <v>4496</v>
      </c>
      <c r="BL38" s="1900">
        <f>+HCM!BI39+HN!BI39</f>
        <v>5001</v>
      </c>
      <c r="BM38" s="1900">
        <f>+HCM!BJ39+HN!BJ39</f>
        <v>5521</v>
      </c>
      <c r="BN38" s="1900">
        <f>+HCM!BK39+HN!BK39</f>
        <v>6102</v>
      </c>
      <c r="BO38" s="1900">
        <f>+HCM!BL39+HN!BL39</f>
        <v>6665</v>
      </c>
      <c r="BP38" s="1900">
        <f>+HCM!BM39+HN!BM39</f>
        <v>6848</v>
      </c>
      <c r="BQ38" s="1900">
        <f>+HCM!BN39+HN!BN39</f>
        <v>7861</v>
      </c>
      <c r="BR38" s="1900">
        <f>+HCM!BO39+HN!BO39</f>
        <v>8036</v>
      </c>
      <c r="BS38" s="1900">
        <f>+HCM!BP39+HN!BP39</f>
        <v>5563</v>
      </c>
      <c r="BT38" s="1900">
        <f>+HCM!BQ39+HN!BQ39</f>
        <v>5661</v>
      </c>
      <c r="BU38" s="1900">
        <f>+HCM!BR39+HN!BR39</f>
        <v>5110</v>
      </c>
      <c r="BV38" s="1900">
        <f>+HCM!BS39+HN!BS39</f>
        <v>5381</v>
      </c>
      <c r="BW38" s="1900">
        <f>+HCM!BT39+HN!BT39</f>
        <v>6043</v>
      </c>
      <c r="BX38" s="1900">
        <f>+HCM!BU39+HN!BU39</f>
        <v>6062</v>
      </c>
      <c r="BY38" s="1900">
        <f>+HCM!BV39+HN!BV39</f>
        <v>0</v>
      </c>
      <c r="BZ38" s="1900">
        <f>+HCM!BW39+HN!BW39</f>
        <v>0</v>
      </c>
      <c r="CA38" s="1900">
        <f>+HCM!BX39+HN!BX39</f>
        <v>0</v>
      </c>
      <c r="CB38" s="1900">
        <f>+HCM!BY39+HN!BY39</f>
        <v>0</v>
      </c>
    </row>
    <row r="39" spans="1:81" s="1203" customFormat="1">
      <c r="A39" s="1199" t="s">
        <v>155</v>
      </c>
      <c r="B39" s="918">
        <f t="shared" ref="B39:B43" si="114">SUMIF($BR$2:$CC$2, "&lt;=" &amp; $B$2, $BR39:$CC39)/$B$2</f>
        <v>414.28571428571428</v>
      </c>
      <c r="C39" s="1200"/>
      <c r="D39" s="1201"/>
      <c r="E39" s="1201"/>
      <c r="F39" s="1201"/>
      <c r="G39" s="918">
        <f t="shared" si="111"/>
        <v>1</v>
      </c>
      <c r="H39" s="918">
        <f t="shared" si="112"/>
        <v>8</v>
      </c>
      <c r="I39" s="918">
        <f t="shared" si="113"/>
        <v>12.333333333333334</v>
      </c>
      <c r="J39" s="918"/>
      <c r="K39" s="918">
        <v>9.0833333333333339</v>
      </c>
      <c r="L39" s="1200"/>
      <c r="M39" s="1202"/>
      <c r="N39" s="1202"/>
      <c r="O39" s="1202"/>
      <c r="P39" s="1202"/>
      <c r="Q39" s="1202"/>
      <c r="R39" s="1202"/>
      <c r="S39" s="1202">
        <v>1</v>
      </c>
      <c r="T39" s="1202">
        <v>1</v>
      </c>
      <c r="U39" s="1202">
        <v>1</v>
      </c>
      <c r="V39" s="1202">
        <v>1</v>
      </c>
      <c r="W39" s="1202">
        <v>1</v>
      </c>
      <c r="X39" s="1202">
        <f>HCM!U40 + HN!U40</f>
        <v>1</v>
      </c>
      <c r="Y39" s="1202">
        <f>HCM!V40 + HN!V40</f>
        <v>8</v>
      </c>
      <c r="Z39" s="1202">
        <f>HCM!W40 + HN!W40</f>
        <v>8</v>
      </c>
      <c r="AA39" s="1202">
        <f>HCM!X40 + HN!X40</f>
        <v>8</v>
      </c>
      <c r="AB39" s="1202">
        <f>HCM!Y40 + HN!Y40</f>
        <v>12</v>
      </c>
      <c r="AC39" s="1202">
        <f>HCM!Z40 + HN!Z40</f>
        <v>14</v>
      </c>
      <c r="AD39" s="1202">
        <f>HCM!AA40 + HN!AA40</f>
        <v>11</v>
      </c>
      <c r="AE39" s="1202">
        <f>HCM!AB40 + HN!AB40</f>
        <v>11</v>
      </c>
      <c r="AF39" s="1202">
        <f>HCM!AC40 + HN!AC40</f>
        <v>14</v>
      </c>
      <c r="AG39" s="1202">
        <f>HCM!AD40 + HN!AD40</f>
        <v>20</v>
      </c>
      <c r="AH39" s="1202">
        <f>HCM!AE40 + HN!AE40</f>
        <v>32</v>
      </c>
      <c r="AI39" s="1202">
        <f>HCM!AF40 + HN!AF40</f>
        <v>35</v>
      </c>
      <c r="AJ39" s="1202">
        <f>HCM!AG40 + HN!AG40</f>
        <v>38</v>
      </c>
      <c r="AK39" s="1202">
        <f>HCM!AH40 + HN!AH40</f>
        <v>33</v>
      </c>
      <c r="AL39" s="1202">
        <f>HCM!AI40 + HN!AI40</f>
        <v>32</v>
      </c>
      <c r="AM39" s="1203">
        <v>28</v>
      </c>
      <c r="AN39" s="1203">
        <v>28</v>
      </c>
      <c r="AO39" s="1203">
        <v>32</v>
      </c>
      <c r="AP39" s="1203">
        <v>38</v>
      </c>
      <c r="AQ39" s="1203">
        <v>39</v>
      </c>
      <c r="AR39" s="1203">
        <v>52</v>
      </c>
      <c r="AS39" s="1203">
        <v>76</v>
      </c>
      <c r="AT39" s="1203">
        <v>107</v>
      </c>
      <c r="AU39" s="1203">
        <v>123</v>
      </c>
      <c r="AV39" s="1203">
        <v>136</v>
      </c>
      <c r="AW39" s="1203">
        <v>134</v>
      </c>
      <c r="AX39" s="1203">
        <v>138</v>
      </c>
      <c r="AY39" s="1203">
        <v>123</v>
      </c>
      <c r="AZ39" s="1203">
        <v>108</v>
      </c>
      <c r="BA39" s="1203">
        <v>102</v>
      </c>
      <c r="BB39" s="1203">
        <v>102</v>
      </c>
      <c r="BC39" s="1203">
        <v>118</v>
      </c>
      <c r="BD39" s="1203">
        <v>133</v>
      </c>
      <c r="BE39" s="1203">
        <v>137</v>
      </c>
      <c r="BF39" s="1203">
        <v>145</v>
      </c>
      <c r="BG39" s="1203">
        <v>157</v>
      </c>
      <c r="BH39" s="1203">
        <v>171</v>
      </c>
      <c r="BI39" s="1203">
        <v>204</v>
      </c>
      <c r="BJ39" s="1203">
        <v>209</v>
      </c>
      <c r="BK39" s="1203">
        <v>201</v>
      </c>
      <c r="BL39" s="1900">
        <f>+HCM!BI40+HN!BI40</f>
        <v>208</v>
      </c>
      <c r="BM39" s="1900">
        <f>+HCM!BJ40+HN!BJ40</f>
        <v>238</v>
      </c>
      <c r="BN39" s="1900">
        <f>+HCM!BK40+HN!BK40</f>
        <v>261</v>
      </c>
      <c r="BO39" s="1900">
        <f>+HCM!BL40+HN!BL40</f>
        <v>285</v>
      </c>
      <c r="BP39" s="1900">
        <f>+HCM!BM40+HN!BM40</f>
        <v>279</v>
      </c>
      <c r="BQ39" s="1900">
        <f>+HCM!BN40+HN!BN40</f>
        <v>321</v>
      </c>
      <c r="BR39" s="1900">
        <f>+HCM!BO40+HN!BO40</f>
        <v>338</v>
      </c>
      <c r="BS39" s="1900">
        <f>+HCM!BP40+HN!BP40</f>
        <v>369</v>
      </c>
      <c r="BT39" s="1900">
        <f>+HCM!BQ40+HN!BQ40</f>
        <v>412</v>
      </c>
      <c r="BU39" s="1900">
        <f>+HCM!BR40+HN!BR40</f>
        <v>426</v>
      </c>
      <c r="BV39" s="1900">
        <f>+HCM!BS40+HN!BS40</f>
        <v>459</v>
      </c>
      <c r="BW39" s="1900">
        <f>+HCM!BT40+HN!BT40</f>
        <v>467</v>
      </c>
      <c r="BX39" s="1900">
        <f>+HCM!BU40+HN!BU40</f>
        <v>429</v>
      </c>
      <c r="BY39" s="1900">
        <f>+HCM!BV40+HN!BV40</f>
        <v>0</v>
      </c>
      <c r="BZ39" s="1900">
        <f>+HCM!BW40+HN!BW40</f>
        <v>0</v>
      </c>
      <c r="CA39" s="1900">
        <f>+HCM!BX40+HN!BX40</f>
        <v>0</v>
      </c>
      <c r="CB39" s="1900">
        <f>+HCM!BY40+HN!BY40</f>
        <v>0</v>
      </c>
    </row>
    <row r="40" spans="1:81" s="1203" customFormat="1">
      <c r="A40" s="1199" t="s">
        <v>156</v>
      </c>
      <c r="B40" s="918">
        <f t="shared" si="114"/>
        <v>1005</v>
      </c>
      <c r="C40" s="1200"/>
      <c r="D40" s="1201"/>
      <c r="E40" s="1201"/>
      <c r="F40" s="1201"/>
      <c r="G40" s="918">
        <f t="shared" si="111"/>
        <v>19</v>
      </c>
      <c r="H40" s="918">
        <f t="shared" si="112"/>
        <v>58.666666666666664</v>
      </c>
      <c r="I40" s="918">
        <f t="shared" si="113"/>
        <v>71</v>
      </c>
      <c r="J40" s="918"/>
      <c r="K40" s="918">
        <v>57.75</v>
      </c>
      <c r="L40" s="1200"/>
      <c r="M40" s="1202">
        <v>11</v>
      </c>
      <c r="N40" s="1202">
        <v>12</v>
      </c>
      <c r="O40" s="1202">
        <v>15</v>
      </c>
      <c r="P40" s="1202">
        <v>16</v>
      </c>
      <c r="Q40" s="1202">
        <v>15</v>
      </c>
      <c r="R40" s="1202">
        <v>14</v>
      </c>
      <c r="S40" s="1202">
        <v>13</v>
      </c>
      <c r="T40" s="1202">
        <v>14</v>
      </c>
      <c r="U40" s="1202">
        <v>16</v>
      </c>
      <c r="V40" s="1202">
        <v>18</v>
      </c>
      <c r="W40" s="1202">
        <v>16</v>
      </c>
      <c r="X40" s="1202">
        <f>HCM!U41 + HN!U41</f>
        <v>23</v>
      </c>
      <c r="Y40" s="1202">
        <f>HCM!V41 + HN!V41</f>
        <v>46</v>
      </c>
      <c r="Z40" s="1202">
        <f>HCM!W41 + HN!W41</f>
        <v>61</v>
      </c>
      <c r="AA40" s="1202">
        <f>HCM!X41 + HN!X41</f>
        <v>69</v>
      </c>
      <c r="AB40" s="1202">
        <f>HCM!Y41 + HN!Y41</f>
        <v>62</v>
      </c>
      <c r="AC40" s="1202">
        <f>HCM!Z41 + HN!Z41</f>
        <v>69</v>
      </c>
      <c r="AD40" s="1202">
        <f>HCM!AA41 + HN!AA41</f>
        <v>82</v>
      </c>
      <c r="AE40" s="1202">
        <f>HCM!AB41 + HN!AB41</f>
        <v>78</v>
      </c>
      <c r="AF40" s="1202">
        <f>HCM!AC41 + HN!AC41</f>
        <v>82</v>
      </c>
      <c r="AG40" s="1202">
        <f>HCM!AD41 + HN!AD41</f>
        <v>87</v>
      </c>
      <c r="AH40" s="1202">
        <f>HCM!AE41 + HN!AE41</f>
        <v>86</v>
      </c>
      <c r="AI40" s="1202">
        <f>HCM!AF41 + HN!AF41</f>
        <v>79</v>
      </c>
      <c r="AJ40" s="1202">
        <f>HCM!AG41 + HN!AG41</f>
        <v>78</v>
      </c>
      <c r="AK40" s="1202">
        <f>HCM!AH41 + HN!AH41</f>
        <v>108</v>
      </c>
      <c r="AL40" s="1202">
        <f>HCM!AI41 + HN!AI41</f>
        <v>131</v>
      </c>
      <c r="AM40" s="1203">
        <v>166</v>
      </c>
      <c r="AN40" s="1203">
        <v>167</v>
      </c>
      <c r="AO40" s="1203">
        <v>188</v>
      </c>
      <c r="AP40" s="1203">
        <v>212</v>
      </c>
      <c r="AQ40" s="1203">
        <v>224</v>
      </c>
      <c r="AR40" s="1203">
        <v>259</v>
      </c>
      <c r="AS40" s="1203">
        <v>298</v>
      </c>
      <c r="AT40" s="1203">
        <v>334</v>
      </c>
      <c r="AU40" s="1203">
        <v>348</v>
      </c>
      <c r="AV40" s="1203">
        <v>378</v>
      </c>
      <c r="AW40" s="1203">
        <v>435</v>
      </c>
      <c r="AX40" s="1203">
        <v>465</v>
      </c>
      <c r="AY40" s="1203">
        <v>455</v>
      </c>
      <c r="AZ40" s="1203">
        <v>469</v>
      </c>
      <c r="BA40" s="1203">
        <v>471</v>
      </c>
      <c r="BB40" s="1203">
        <v>526</v>
      </c>
      <c r="BC40" s="1203">
        <v>552</v>
      </c>
      <c r="BD40" s="1203">
        <v>570</v>
      </c>
      <c r="BE40" s="1203">
        <v>560</v>
      </c>
      <c r="BF40" s="1203">
        <v>562</v>
      </c>
      <c r="BG40" s="1203">
        <v>542</v>
      </c>
      <c r="BH40" s="1203">
        <v>565</v>
      </c>
      <c r="BI40" s="1203">
        <v>595</v>
      </c>
      <c r="BJ40" s="1203">
        <v>652</v>
      </c>
      <c r="BK40" s="1203">
        <v>728</v>
      </c>
      <c r="BL40" s="1900">
        <f>+HCM!BI41+HN!BI41</f>
        <v>719</v>
      </c>
      <c r="BM40" s="1900">
        <f>+HCM!BJ41+HN!BJ41</f>
        <v>784</v>
      </c>
      <c r="BN40" s="1900">
        <f>+HCM!BK41+HN!BK41</f>
        <v>867</v>
      </c>
      <c r="BO40" s="1900">
        <f>+HCM!BL41+HN!BL41</f>
        <v>953</v>
      </c>
      <c r="BP40" s="1900">
        <f>+HCM!BM41+HN!BM41</f>
        <v>987</v>
      </c>
      <c r="BQ40" s="1900">
        <f>+HCM!BN41+HN!BN41</f>
        <v>1093</v>
      </c>
      <c r="BR40" s="1900">
        <f>+HCM!BO41+HN!BO41</f>
        <v>1078</v>
      </c>
      <c r="BS40" s="1900">
        <f>+HCM!BP41+HN!BP41</f>
        <v>1137</v>
      </c>
      <c r="BT40" s="1900">
        <f>+HCM!BQ41+HN!BQ41</f>
        <v>1116</v>
      </c>
      <c r="BU40" s="1900">
        <f>+HCM!BR41+HN!BR41</f>
        <v>938</v>
      </c>
      <c r="BV40" s="1900">
        <f>+HCM!BS41+HN!BS41</f>
        <v>955</v>
      </c>
      <c r="BW40" s="1900">
        <f>+HCM!BT41+HN!BT41</f>
        <v>950</v>
      </c>
      <c r="BX40" s="1900">
        <f>+HCM!BU41+HN!BU41</f>
        <v>861</v>
      </c>
      <c r="BY40" s="1900">
        <f>+HCM!BV41+HN!BV41</f>
        <v>0</v>
      </c>
      <c r="BZ40" s="1900">
        <f>+HCM!BW41+HN!BW41</f>
        <v>0</v>
      </c>
      <c r="CA40" s="1900">
        <f>+HCM!BX41+HN!BX41</f>
        <v>0</v>
      </c>
      <c r="CB40" s="1900">
        <f>+HCM!BY41+HN!BY41</f>
        <v>0</v>
      </c>
    </row>
    <row r="41" spans="1:81" s="1203" customFormat="1">
      <c r="A41" s="1199" t="s">
        <v>157</v>
      </c>
      <c r="B41" s="918">
        <f t="shared" si="114"/>
        <v>380.42857142857144</v>
      </c>
      <c r="C41" s="1200"/>
      <c r="D41" s="1201"/>
      <c r="E41" s="1201"/>
      <c r="F41" s="1201"/>
      <c r="G41" s="918">
        <f t="shared" si="111"/>
        <v>1</v>
      </c>
      <c r="H41" s="918">
        <f t="shared" si="112"/>
        <v>16.666666666666668</v>
      </c>
      <c r="I41" s="918">
        <f t="shared" si="113"/>
        <v>22.333333333333332</v>
      </c>
      <c r="J41" s="918"/>
      <c r="K41" s="918">
        <v>15.25</v>
      </c>
      <c r="L41" s="1200"/>
      <c r="M41" s="1202"/>
      <c r="N41" s="1202"/>
      <c r="O41" s="1202"/>
      <c r="P41" s="1202"/>
      <c r="Q41" s="1202"/>
      <c r="R41" s="1202"/>
      <c r="S41" s="1202"/>
      <c r="T41" s="1202"/>
      <c r="U41" s="1202"/>
      <c r="V41" s="1202"/>
      <c r="W41" s="1202"/>
      <c r="X41" s="1202">
        <f>HCM!U42 + HN!U42</f>
        <v>3</v>
      </c>
      <c r="Y41" s="1202">
        <f>HCM!V42 + HN!V42</f>
        <v>13</v>
      </c>
      <c r="Z41" s="1202">
        <f>HCM!W42 + HN!W42</f>
        <v>18</v>
      </c>
      <c r="AA41" s="1202">
        <f>HCM!X42 + HN!X42</f>
        <v>19</v>
      </c>
      <c r="AB41" s="1202">
        <f>HCM!Y42 + HN!Y42</f>
        <v>22</v>
      </c>
      <c r="AC41" s="1202">
        <f>HCM!Z42 + HN!Z42</f>
        <v>22</v>
      </c>
      <c r="AD41" s="1202">
        <f>HCM!AA42 + HN!AA42</f>
        <v>23</v>
      </c>
      <c r="AE41" s="1202">
        <f>HCM!AB42 + HN!AB42</f>
        <v>19</v>
      </c>
      <c r="AF41" s="1202">
        <f>HCM!AC42 + HN!AC42</f>
        <v>22</v>
      </c>
      <c r="AG41" s="1202">
        <f>HCM!AD42 + HN!AD42</f>
        <v>22</v>
      </c>
      <c r="AH41" s="1202">
        <f>HCM!AE42 + HN!AE42</f>
        <v>22</v>
      </c>
      <c r="AI41" s="1202">
        <f>HCM!AF42 + HN!AF42</f>
        <v>20</v>
      </c>
      <c r="AJ41" s="1202">
        <f>HCM!AG42 + HN!AG42</f>
        <v>19</v>
      </c>
      <c r="AK41" s="1202">
        <f>HCM!AH42 + HN!AH42</f>
        <v>28</v>
      </c>
      <c r="AL41" s="1202">
        <f>HCM!AI42 + HN!AI42</f>
        <v>34</v>
      </c>
      <c r="AM41" s="1203">
        <v>44</v>
      </c>
      <c r="AN41" s="1203">
        <v>51</v>
      </c>
      <c r="AO41" s="1203">
        <v>59</v>
      </c>
      <c r="AP41" s="1203">
        <v>66</v>
      </c>
      <c r="AQ41" s="1203">
        <v>73</v>
      </c>
      <c r="AR41" s="1203">
        <v>86</v>
      </c>
      <c r="AS41" s="1203">
        <v>97</v>
      </c>
      <c r="AT41" s="1203">
        <v>111</v>
      </c>
      <c r="AU41" s="1203">
        <v>113</v>
      </c>
      <c r="AV41" s="1203">
        <v>125</v>
      </c>
      <c r="AW41" s="1203">
        <v>152</v>
      </c>
      <c r="AX41" s="1203">
        <v>162</v>
      </c>
      <c r="AY41" s="1203">
        <v>170</v>
      </c>
      <c r="AZ41" s="1203">
        <v>178</v>
      </c>
      <c r="BA41" s="1203">
        <v>175</v>
      </c>
      <c r="BB41" s="1203">
        <v>191</v>
      </c>
      <c r="BC41" s="1203">
        <v>200</v>
      </c>
      <c r="BD41" s="1203">
        <v>198</v>
      </c>
      <c r="BE41" s="1203">
        <v>198</v>
      </c>
      <c r="BF41" s="1203">
        <v>204</v>
      </c>
      <c r="BG41" s="1203">
        <v>205</v>
      </c>
      <c r="BH41" s="1203">
        <v>216</v>
      </c>
      <c r="BI41" s="1203">
        <v>235</v>
      </c>
      <c r="BJ41" s="1203">
        <v>255</v>
      </c>
      <c r="BK41" s="1203">
        <v>276</v>
      </c>
      <c r="BL41" s="1900">
        <f>+HCM!BI42+HN!BI42</f>
        <v>282</v>
      </c>
      <c r="BM41" s="1900">
        <f>+HCM!BJ42+HN!BJ42</f>
        <v>297</v>
      </c>
      <c r="BN41" s="1900">
        <f>+HCM!BK42+HN!BK42</f>
        <v>326</v>
      </c>
      <c r="BO41" s="1900">
        <f>+HCM!BL42+HN!BL42</f>
        <v>340</v>
      </c>
      <c r="BP41" s="1900">
        <f>+HCM!BM42+HN!BM42</f>
        <v>346</v>
      </c>
      <c r="BQ41" s="1900">
        <f>+HCM!BN42+HN!BN42</f>
        <v>393</v>
      </c>
      <c r="BR41" s="1900">
        <f>+HCM!BO42+HN!BO42</f>
        <v>398</v>
      </c>
      <c r="BS41" s="1900">
        <f>+HCM!BP42+HN!BP42</f>
        <v>410</v>
      </c>
      <c r="BT41" s="1900">
        <f>+HCM!BQ42+HN!BQ42</f>
        <v>393</v>
      </c>
      <c r="BU41" s="1900">
        <f>+HCM!BR42+HN!BR42</f>
        <v>385</v>
      </c>
      <c r="BV41" s="1900">
        <f>+HCM!BS42+HN!BS42</f>
        <v>385</v>
      </c>
      <c r="BW41" s="1900">
        <f>+HCM!BT42+HN!BT42</f>
        <v>359</v>
      </c>
      <c r="BX41" s="1900">
        <f>+HCM!BU42+HN!BU42</f>
        <v>333</v>
      </c>
      <c r="BY41" s="1900">
        <f>+HCM!BV42+HN!BV42</f>
        <v>0</v>
      </c>
      <c r="BZ41" s="1900">
        <f>+HCM!BW42+HN!BW42</f>
        <v>0</v>
      </c>
      <c r="CA41" s="1900">
        <f>+HCM!BX42+HN!BX42</f>
        <v>0</v>
      </c>
      <c r="CB41" s="1900">
        <f>+HCM!BY42+HN!BY42</f>
        <v>0</v>
      </c>
    </row>
    <row r="42" spans="1:81" s="1203" customFormat="1">
      <c r="A42" s="1199" t="s">
        <v>158</v>
      </c>
      <c r="B42" s="918">
        <f t="shared" si="114"/>
        <v>120</v>
      </c>
      <c r="C42" s="1200"/>
      <c r="D42" s="1201"/>
      <c r="E42" s="1201"/>
      <c r="F42" s="1201"/>
      <c r="G42" s="918">
        <f t="shared" si="111"/>
        <v>0.33333333333333331</v>
      </c>
      <c r="H42" s="918">
        <f t="shared" si="112"/>
        <v>11.666666666666666</v>
      </c>
      <c r="I42" s="918">
        <f t="shared" si="113"/>
        <v>13</v>
      </c>
      <c r="J42" s="918"/>
      <c r="K42" s="918">
        <v>10.25</v>
      </c>
      <c r="L42" s="1200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/>
      <c r="W42" s="1202"/>
      <c r="X42" s="1202">
        <f>HCM!U43 + HN!U43</f>
        <v>1</v>
      </c>
      <c r="Y42" s="1202">
        <f>HCM!V43 + HN!V43</f>
        <v>11</v>
      </c>
      <c r="Z42" s="1202">
        <f>HCM!W43 + HN!W43</f>
        <v>12</v>
      </c>
      <c r="AA42" s="1202">
        <f>HCM!X43 + HN!X43</f>
        <v>12</v>
      </c>
      <c r="AB42" s="1202">
        <f>HCM!Y43 + HN!Y43</f>
        <v>12</v>
      </c>
      <c r="AC42" s="1202">
        <f>HCM!Z43 + HN!Z43</f>
        <v>13</v>
      </c>
      <c r="AD42" s="1202">
        <f>HCM!AA43 + HN!AA43</f>
        <v>14</v>
      </c>
      <c r="AE42" s="1202">
        <f>HCM!AB43 + HN!AB43</f>
        <v>15</v>
      </c>
      <c r="AF42" s="1202">
        <f>HCM!AC43 + HN!AC43</f>
        <v>16</v>
      </c>
      <c r="AG42" s="1202">
        <f>HCM!AD43 + HN!AD43</f>
        <v>17</v>
      </c>
      <c r="AH42" s="1202">
        <f>HCM!AE43 + HN!AE43</f>
        <v>17</v>
      </c>
      <c r="AI42" s="1202">
        <f>HCM!AF43 + HN!AF43</f>
        <v>17</v>
      </c>
      <c r="AJ42" s="1202">
        <f>HCM!AG43 + HN!AG43</f>
        <v>20</v>
      </c>
      <c r="AK42" s="1202">
        <f>HCM!AH43 + HN!AH43</f>
        <v>20</v>
      </c>
      <c r="AL42" s="1202">
        <f>HCM!AI43 + HN!AI43</f>
        <v>28</v>
      </c>
      <c r="AM42" s="1203">
        <v>35</v>
      </c>
      <c r="AN42" s="1203">
        <v>35</v>
      </c>
      <c r="AO42" s="1203">
        <v>37</v>
      </c>
      <c r="AP42" s="1203">
        <v>38</v>
      </c>
      <c r="AQ42" s="1203">
        <v>41</v>
      </c>
      <c r="AR42" s="1203">
        <v>47</v>
      </c>
      <c r="AS42" s="1203">
        <v>58</v>
      </c>
      <c r="AT42" s="1203">
        <v>63</v>
      </c>
      <c r="AU42" s="1203">
        <v>64</v>
      </c>
      <c r="AV42" s="1203">
        <v>70</v>
      </c>
      <c r="AW42" s="1203">
        <v>76</v>
      </c>
      <c r="AX42" s="1203">
        <v>77</v>
      </c>
      <c r="AY42" s="1203">
        <v>76</v>
      </c>
      <c r="AZ42" s="1203">
        <v>75</v>
      </c>
      <c r="BA42" s="1203">
        <v>71</v>
      </c>
      <c r="BB42" s="1203">
        <v>72</v>
      </c>
      <c r="BC42" s="1203">
        <v>72</v>
      </c>
      <c r="BD42" s="1203">
        <v>68</v>
      </c>
      <c r="BE42" s="1203">
        <v>68</v>
      </c>
      <c r="BF42" s="1203">
        <v>70</v>
      </c>
      <c r="BG42" s="1203">
        <v>67</v>
      </c>
      <c r="BH42" s="1203">
        <v>68</v>
      </c>
      <c r="BI42" s="1203">
        <v>68</v>
      </c>
      <c r="BJ42" s="1203">
        <v>69</v>
      </c>
      <c r="BK42" s="1203">
        <v>76</v>
      </c>
      <c r="BL42" s="1900">
        <f>+HCM!BI43+HN!BI43</f>
        <v>78</v>
      </c>
      <c r="BM42" s="1900">
        <f>+HCM!BJ43+HN!BJ43</f>
        <v>80</v>
      </c>
      <c r="BN42" s="1900">
        <f>+HCM!BK43+HN!BK43</f>
        <v>94</v>
      </c>
      <c r="BO42" s="1900">
        <f>+HCM!BL43+HN!BL43</f>
        <v>105</v>
      </c>
      <c r="BP42" s="1900">
        <f>+HCM!BM43+HN!BM43</f>
        <v>106</v>
      </c>
      <c r="BQ42" s="1900">
        <f>+HCM!BN43+HN!BN43</f>
        <v>109</v>
      </c>
      <c r="BR42" s="1900">
        <f>+HCM!BO43+HN!BO43</f>
        <v>111</v>
      </c>
      <c r="BS42" s="1900">
        <f>+HCM!BP43+HN!BP43</f>
        <v>123</v>
      </c>
      <c r="BT42" s="1900">
        <f>+HCM!BQ43+HN!BQ43</f>
        <v>122</v>
      </c>
      <c r="BU42" s="1900">
        <f>+HCM!BR43+HN!BR43</f>
        <v>124</v>
      </c>
      <c r="BV42" s="1900">
        <f>+HCM!BS43+HN!BS43</f>
        <v>124</v>
      </c>
      <c r="BW42" s="1900">
        <f>+HCM!BT43+HN!BT43</f>
        <v>122</v>
      </c>
      <c r="BX42" s="1900">
        <f>+HCM!BU43+HN!BU43</f>
        <v>114</v>
      </c>
      <c r="BY42" s="1900">
        <f>+HCM!BV43+HN!BV43</f>
        <v>0</v>
      </c>
      <c r="BZ42" s="1900">
        <f>+HCM!BW43+HN!BW43</f>
        <v>0</v>
      </c>
      <c r="CA42" s="1900">
        <f>+HCM!BX43+HN!BX43</f>
        <v>0</v>
      </c>
      <c r="CB42" s="1900">
        <f>+HCM!BY43+HN!BY43</f>
        <v>0</v>
      </c>
    </row>
    <row r="43" spans="1:81" s="1203" customFormat="1">
      <c r="A43" s="1199" t="s">
        <v>739</v>
      </c>
      <c r="B43" s="918">
        <f t="shared" si="114"/>
        <v>72</v>
      </c>
      <c r="C43" s="1200"/>
      <c r="D43" s="1201"/>
      <c r="E43" s="1201"/>
      <c r="F43" s="1201"/>
      <c r="G43" s="918"/>
      <c r="H43" s="918"/>
      <c r="I43" s="918"/>
      <c r="J43" s="918"/>
      <c r="K43" s="918"/>
      <c r="L43" s="1200"/>
      <c r="M43" s="1202"/>
      <c r="N43" s="1202"/>
      <c r="O43" s="1202"/>
      <c r="P43" s="1202"/>
      <c r="Q43" s="1202"/>
      <c r="R43" s="1202"/>
      <c r="S43" s="1202"/>
      <c r="T43" s="1202"/>
      <c r="U43" s="1202"/>
      <c r="V43" s="1202"/>
      <c r="W43" s="1202"/>
      <c r="X43" s="1202"/>
      <c r="Y43" s="1202"/>
      <c r="Z43" s="1202"/>
      <c r="AA43" s="1202"/>
      <c r="AB43" s="1202"/>
      <c r="AC43" s="1202"/>
      <c r="AD43" s="1202"/>
      <c r="AE43" s="1202"/>
      <c r="AF43" s="1202"/>
      <c r="AG43" s="1202"/>
      <c r="AH43" s="1202"/>
      <c r="AI43" s="1202"/>
      <c r="AJ43" s="1202"/>
      <c r="AK43" s="1202"/>
      <c r="AL43" s="1202">
        <v>2</v>
      </c>
      <c r="AM43" s="1203">
        <v>4</v>
      </c>
      <c r="AN43" s="1203">
        <v>4</v>
      </c>
      <c r="AO43" s="1203">
        <v>5</v>
      </c>
      <c r="AP43" s="1203">
        <v>7</v>
      </c>
      <c r="AQ43" s="1203">
        <v>8</v>
      </c>
      <c r="AR43" s="1203">
        <v>9</v>
      </c>
      <c r="AS43" s="1203">
        <v>10</v>
      </c>
      <c r="AT43" s="1203">
        <v>11</v>
      </c>
      <c r="AU43" s="1203">
        <v>12</v>
      </c>
      <c r="AV43" s="1203">
        <v>13</v>
      </c>
      <c r="AW43" s="1203">
        <v>18</v>
      </c>
      <c r="AX43" s="1203">
        <v>21</v>
      </c>
      <c r="AY43" s="1203">
        <v>22</v>
      </c>
      <c r="AZ43" s="1203">
        <v>25</v>
      </c>
      <c r="BA43" s="1203">
        <v>27</v>
      </c>
      <c r="BB43" s="1203">
        <v>30</v>
      </c>
      <c r="BC43" s="1203">
        <v>30</v>
      </c>
      <c r="BD43" s="1203">
        <v>30</v>
      </c>
      <c r="BE43" s="1203">
        <v>31</v>
      </c>
      <c r="BF43" s="1203">
        <v>32</v>
      </c>
      <c r="BG43" s="1203">
        <v>33</v>
      </c>
      <c r="BH43" s="1203">
        <v>36</v>
      </c>
      <c r="BI43" s="1203">
        <v>38</v>
      </c>
      <c r="BJ43" s="1203">
        <v>38</v>
      </c>
      <c r="BK43" s="1203">
        <v>44</v>
      </c>
      <c r="BL43" s="1900">
        <f>+HCM!BI44+HN!BI44</f>
        <v>47</v>
      </c>
      <c r="BM43" s="1900">
        <f>+HCM!BJ44+HN!BJ44</f>
        <v>50</v>
      </c>
      <c r="BN43" s="1900">
        <f>+HCM!BK44+HN!BK44</f>
        <v>56</v>
      </c>
      <c r="BO43" s="1900">
        <f>+HCM!BL44+HN!BL44</f>
        <v>60</v>
      </c>
      <c r="BP43" s="1900">
        <f>+HCM!BM44+HN!BM44</f>
        <v>61</v>
      </c>
      <c r="BQ43" s="1900">
        <f>+HCM!BN44+HN!BN44</f>
        <v>68</v>
      </c>
      <c r="BR43" s="1900">
        <f>+HCM!BO44+HN!BO44</f>
        <v>69</v>
      </c>
      <c r="BS43" s="1900">
        <f>+HCM!BP44+HN!BP44</f>
        <v>74</v>
      </c>
      <c r="BT43" s="1900">
        <f>+HCM!BQ44+HN!BQ44</f>
        <v>73</v>
      </c>
      <c r="BU43" s="1900">
        <f>+HCM!BR44+HN!BR44</f>
        <v>74</v>
      </c>
      <c r="BV43" s="1900">
        <f>+HCM!BS44+HN!BS44</f>
        <v>76</v>
      </c>
      <c r="BW43" s="1900">
        <f>+HCM!BT44+HN!BT44</f>
        <v>74</v>
      </c>
      <c r="BX43" s="1900">
        <f>+HCM!BU44+HN!BU44</f>
        <v>64</v>
      </c>
      <c r="BY43" s="1900">
        <f>+HCM!BV44+HN!BV44</f>
        <v>0</v>
      </c>
      <c r="BZ43" s="1900">
        <f>+HCM!BW44+HN!BW44</f>
        <v>0</v>
      </c>
      <c r="CA43" s="1900">
        <f>+HCM!BX44+HN!BX44</f>
        <v>0</v>
      </c>
      <c r="CB43" s="1900">
        <f>+HCM!BY44+HN!BY44</f>
        <v>0</v>
      </c>
    </row>
    <row r="44" spans="1:81" s="1203" customFormat="1">
      <c r="A44" s="2197" t="s">
        <v>4197</v>
      </c>
      <c r="B44" s="918"/>
      <c r="C44" s="1200"/>
      <c r="D44" s="1201"/>
      <c r="E44" s="1201"/>
      <c r="F44" s="1201"/>
      <c r="G44" s="918"/>
      <c r="H44" s="918"/>
      <c r="I44" s="918"/>
      <c r="J44" s="918"/>
      <c r="K44" s="918"/>
      <c r="L44" s="1200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/>
      <c r="W44" s="1202"/>
      <c r="X44" s="1202"/>
      <c r="Y44" s="1202"/>
      <c r="Z44" s="1202"/>
      <c r="AA44" s="1202"/>
      <c r="AB44" s="1202"/>
      <c r="AC44" s="1202"/>
      <c r="AD44" s="1202"/>
      <c r="AE44" s="1202"/>
      <c r="AF44" s="1202"/>
      <c r="AG44" s="1202"/>
      <c r="AH44" s="1202"/>
      <c r="AI44" s="1202"/>
      <c r="AJ44" s="1202"/>
      <c r="AK44" s="1202"/>
      <c r="AL44" s="1202"/>
      <c r="BL44" s="1900"/>
      <c r="BM44" s="1900"/>
      <c r="BN44" s="1900"/>
      <c r="BO44" s="1900"/>
      <c r="BP44" s="1900"/>
      <c r="BQ44" s="1900"/>
      <c r="BR44" s="1900"/>
      <c r="BS44" s="1900">
        <f>+HCM!BP45+HN!BP45</f>
        <v>2354</v>
      </c>
      <c r="BT44" s="1900">
        <f>+HCM!BQ45+HN!BQ45</f>
        <v>2611</v>
      </c>
      <c r="BU44" s="1900">
        <f>+HCM!BR45+HN!BR45</f>
        <v>3496</v>
      </c>
      <c r="BV44" s="1900">
        <f>+HCM!BS45+HN!BS45</f>
        <v>4041</v>
      </c>
      <c r="BW44" s="1900">
        <f>+HCM!BT45+HN!BT45</f>
        <v>4849</v>
      </c>
      <c r="BX44" s="1900">
        <f>+HCM!BU45+HN!BU45</f>
        <v>5854</v>
      </c>
      <c r="BY44" s="1900">
        <f>+HCM!BV45+HN!BV45</f>
        <v>0</v>
      </c>
      <c r="BZ44" s="1900">
        <f>+HCM!BW45+HN!BW45</f>
        <v>0</v>
      </c>
      <c r="CA44" s="1900">
        <f>+HCM!BX45+HN!BX45</f>
        <v>0</v>
      </c>
      <c r="CB44" s="1900">
        <f>+HCM!BY45+HN!BY45</f>
        <v>0</v>
      </c>
    </row>
    <row r="45" spans="1:81" s="1784" customFormat="1">
      <c r="A45" s="1313" t="s">
        <v>4208</v>
      </c>
      <c r="B45" s="1780">
        <f>SUMIF($BR$2:$CC$2, "=" &amp; $B$2, $BR$45:$CC$45)</f>
        <v>7863</v>
      </c>
      <c r="C45" s="1781"/>
      <c r="D45" s="1782"/>
      <c r="E45" s="1782"/>
      <c r="F45" s="1782"/>
      <c r="G45" s="1314">
        <f t="shared" si="111"/>
        <v>89.666666666666671</v>
      </c>
      <c r="H45" s="1314">
        <f t="shared" si="112"/>
        <v>298.66666666666669</v>
      </c>
      <c r="I45" s="1314">
        <f t="shared" si="113"/>
        <v>458.33333333333331</v>
      </c>
      <c r="J45" s="1314"/>
      <c r="K45" s="1314">
        <v>377.25</v>
      </c>
      <c r="L45" s="1781"/>
      <c r="M45" s="1783">
        <f>SUM(M38:M42)</f>
        <v>32</v>
      </c>
      <c r="N45" s="1783">
        <f t="shared" ref="N45:AA45" si="115">SUM(N38:N42)</f>
        <v>40</v>
      </c>
      <c r="O45" s="1783">
        <f t="shared" si="115"/>
        <v>58</v>
      </c>
      <c r="P45" s="1783">
        <f t="shared" si="115"/>
        <v>67</v>
      </c>
      <c r="Q45" s="1783">
        <f t="shared" si="115"/>
        <v>68</v>
      </c>
      <c r="R45" s="1783">
        <f t="shared" si="115"/>
        <v>63</v>
      </c>
      <c r="S45" s="1783">
        <f t="shared" si="115"/>
        <v>62</v>
      </c>
      <c r="T45" s="1783">
        <f t="shared" si="115"/>
        <v>60</v>
      </c>
      <c r="U45" s="1783">
        <f t="shared" si="115"/>
        <v>73</v>
      </c>
      <c r="V45" s="1783">
        <f t="shared" si="115"/>
        <v>77</v>
      </c>
      <c r="W45" s="1783">
        <f t="shared" si="115"/>
        <v>74</v>
      </c>
      <c r="X45" s="1783">
        <f t="shared" si="115"/>
        <v>118</v>
      </c>
      <c r="Y45" s="1783">
        <f t="shared" si="115"/>
        <v>212</v>
      </c>
      <c r="Z45" s="1783">
        <f>SUM(Z38:Z42)</f>
        <v>308</v>
      </c>
      <c r="AA45" s="1783">
        <f t="shared" si="115"/>
        <v>376</v>
      </c>
      <c r="AB45" s="1783">
        <f t="shared" ref="AB45:AG45" si="116">SUM(AB38:AB42)</f>
        <v>405</v>
      </c>
      <c r="AC45" s="1783">
        <f t="shared" si="116"/>
        <v>452</v>
      </c>
      <c r="AD45" s="1783">
        <f t="shared" si="116"/>
        <v>518</v>
      </c>
      <c r="AE45" s="1783">
        <f t="shared" si="116"/>
        <v>571</v>
      </c>
      <c r="AF45" s="1783">
        <f t="shared" si="116"/>
        <v>633</v>
      </c>
      <c r="AG45" s="1783">
        <f t="shared" si="116"/>
        <v>783</v>
      </c>
      <c r="AH45" s="1783">
        <f>SUM(AH38:AH42)</f>
        <v>767</v>
      </c>
      <c r="AI45" s="1783">
        <f>SUM(AI38:AI42)</f>
        <v>708</v>
      </c>
      <c r="AJ45" s="1783">
        <f>SUM(AJ38:AJ42)</f>
        <v>711</v>
      </c>
      <c r="AK45" s="1783">
        <f>SUM(AK38:AK42)</f>
        <v>874</v>
      </c>
      <c r="AL45" s="1783">
        <f>SUM(AL38:AL42)</f>
        <v>995</v>
      </c>
      <c r="AM45" s="1783">
        <v>1089</v>
      </c>
      <c r="AN45" s="1783">
        <v>1143</v>
      </c>
      <c r="AO45" s="1783">
        <v>1339</v>
      </c>
      <c r="AP45" s="1783">
        <v>1493</v>
      </c>
      <c r="AQ45" s="1783">
        <v>1633</v>
      </c>
      <c r="AR45" s="1783">
        <v>1894</v>
      </c>
      <c r="AS45" s="1783">
        <v>2176</v>
      </c>
      <c r="AT45" s="1783">
        <v>2496</v>
      </c>
      <c r="AU45" s="1783">
        <v>2586</v>
      </c>
      <c r="AV45" s="1783">
        <v>2807</v>
      </c>
      <c r="AW45" s="1783">
        <v>3135</v>
      </c>
      <c r="AX45" s="1783">
        <v>3049</v>
      </c>
      <c r="AY45" s="1783">
        <v>3106</v>
      </c>
      <c r="AZ45" s="1783">
        <v>3135</v>
      </c>
      <c r="BA45" s="1783">
        <v>3323</v>
      </c>
      <c r="BB45" s="1783">
        <f t="shared" ref="BB45:BG45" si="117">SUM(BB38:BB43)</f>
        <v>3466</v>
      </c>
      <c r="BC45" s="1783">
        <f t="shared" si="117"/>
        <v>3654</v>
      </c>
      <c r="BD45" s="1783">
        <f t="shared" si="117"/>
        <v>4000</v>
      </c>
      <c r="BE45" s="1783">
        <f t="shared" si="117"/>
        <v>4120</v>
      </c>
      <c r="BF45" s="1783">
        <f t="shared" si="117"/>
        <v>4158</v>
      </c>
      <c r="BG45" s="1783">
        <f t="shared" si="117"/>
        <v>4068</v>
      </c>
      <c r="BH45" s="1783">
        <f>SUM(BH38:BH43)</f>
        <v>4327</v>
      </c>
      <c r="BI45" s="1783">
        <f t="shared" ref="BI45:BR45" si="118">SUM(BI38:BI43)</f>
        <v>4506</v>
      </c>
      <c r="BJ45" s="1783">
        <f t="shared" si="118"/>
        <v>4930</v>
      </c>
      <c r="BK45" s="1783">
        <f t="shared" si="118"/>
        <v>5821</v>
      </c>
      <c r="BL45" s="1901">
        <f t="shared" si="118"/>
        <v>6335</v>
      </c>
      <c r="BM45" s="1783">
        <f t="shared" si="118"/>
        <v>6970</v>
      </c>
      <c r="BN45" s="1783">
        <f t="shared" si="118"/>
        <v>7706</v>
      </c>
      <c r="BO45" s="1783">
        <f t="shared" si="118"/>
        <v>8408</v>
      </c>
      <c r="BP45" s="1783">
        <f t="shared" si="118"/>
        <v>8627</v>
      </c>
      <c r="BQ45" s="1783">
        <f t="shared" si="118"/>
        <v>9845</v>
      </c>
      <c r="BR45" s="1783">
        <f t="shared" si="118"/>
        <v>10030</v>
      </c>
      <c r="BS45" s="1783">
        <f>SUM(BS38:BS43)</f>
        <v>7676</v>
      </c>
      <c r="BT45" s="1783">
        <f>SUM(BT38:BT43)</f>
        <v>7777</v>
      </c>
      <c r="BU45" s="1783">
        <f>SUM(BU38:BU43)</f>
        <v>7057</v>
      </c>
      <c r="BV45" s="1783">
        <f>SUM(BV38:BV43)</f>
        <v>7380</v>
      </c>
      <c r="BW45" s="1783">
        <f>SUM(BW38:BW43)</f>
        <v>8015</v>
      </c>
      <c r="BX45" s="1783">
        <f t="shared" ref="BX45:CB45" si="119">SUM(BX38:BX43)</f>
        <v>7863</v>
      </c>
      <c r="BY45" s="1783">
        <f t="shared" si="119"/>
        <v>0</v>
      </c>
      <c r="BZ45" s="1783">
        <f t="shared" si="119"/>
        <v>0</v>
      </c>
      <c r="CA45" s="1783">
        <f t="shared" si="119"/>
        <v>0</v>
      </c>
      <c r="CB45" s="1783">
        <f t="shared" si="119"/>
        <v>0</v>
      </c>
    </row>
    <row r="46" spans="1:81">
      <c r="AH46" s="216"/>
    </row>
    <row r="47" spans="1:81" s="228" customFormat="1">
      <c r="A47" s="224" t="s">
        <v>168</v>
      </c>
      <c r="B47" s="225" t="s">
        <v>163</v>
      </c>
      <c r="C47" s="225"/>
      <c r="D47" s="226" t="s">
        <v>59</v>
      </c>
      <c r="E47" s="226" t="s">
        <v>94</v>
      </c>
      <c r="F47" s="226" t="s">
        <v>97</v>
      </c>
      <c r="G47" s="226" t="s">
        <v>150</v>
      </c>
      <c r="H47" s="226" t="s">
        <v>508</v>
      </c>
      <c r="I47" s="226" t="s">
        <v>509</v>
      </c>
      <c r="J47" s="226"/>
      <c r="K47" s="226" t="s">
        <v>163</v>
      </c>
      <c r="L47" s="225"/>
      <c r="M47" s="227">
        <v>41000</v>
      </c>
      <c r="N47" s="227">
        <v>41030</v>
      </c>
      <c r="O47" s="227">
        <v>41061</v>
      </c>
      <c r="P47" s="227">
        <v>41091</v>
      </c>
      <c r="Q47" s="227">
        <v>41122</v>
      </c>
      <c r="R47" s="227">
        <v>41153</v>
      </c>
      <c r="S47" s="227">
        <v>41183</v>
      </c>
      <c r="T47" s="227">
        <v>41214</v>
      </c>
      <c r="U47" s="227">
        <v>41244</v>
      </c>
      <c r="V47" s="227">
        <v>41275</v>
      </c>
      <c r="W47" s="227">
        <v>41306</v>
      </c>
      <c r="X47" s="227">
        <v>41334</v>
      </c>
      <c r="Y47" s="227">
        <v>41365</v>
      </c>
      <c r="Z47" s="227">
        <v>41395</v>
      </c>
      <c r="AA47" s="227">
        <v>41426</v>
      </c>
      <c r="AB47" s="227">
        <v>41456</v>
      </c>
      <c r="AC47" s="227">
        <v>41487</v>
      </c>
      <c r="AD47" s="227">
        <v>41518</v>
      </c>
      <c r="AE47" s="227">
        <v>41548</v>
      </c>
      <c r="AF47" s="227">
        <v>41579</v>
      </c>
      <c r="AG47" s="227">
        <v>41609</v>
      </c>
      <c r="AH47" s="227">
        <v>41640</v>
      </c>
      <c r="AI47" s="227">
        <v>41671</v>
      </c>
      <c r="AJ47" s="227">
        <v>41699</v>
      </c>
      <c r="AK47" s="227">
        <v>41730</v>
      </c>
      <c r="AL47" s="227">
        <v>41760</v>
      </c>
      <c r="AM47" s="227">
        <v>41791</v>
      </c>
      <c r="AN47" s="227">
        <v>41821</v>
      </c>
      <c r="AO47" s="227">
        <v>41852</v>
      </c>
      <c r="AP47" s="227">
        <v>41883</v>
      </c>
      <c r="AQ47" s="227">
        <v>41913</v>
      </c>
      <c r="AR47" s="227">
        <v>41944</v>
      </c>
      <c r="AS47" s="227">
        <v>41974</v>
      </c>
      <c r="AT47" s="252">
        <v>42005</v>
      </c>
      <c r="AU47" s="211" t="s">
        <v>34</v>
      </c>
      <c r="AV47" s="211" t="s">
        <v>35</v>
      </c>
      <c r="AW47" s="211" t="s">
        <v>36</v>
      </c>
      <c r="AX47" s="211" t="s">
        <v>37</v>
      </c>
      <c r="AY47" s="211" t="s">
        <v>38</v>
      </c>
      <c r="AZ47" s="211" t="s">
        <v>39</v>
      </c>
      <c r="BA47" s="211" t="str">
        <f>BA37</f>
        <v>Aug</v>
      </c>
      <c r="BB47" s="211" t="str">
        <f>BB37</f>
        <v>Sep</v>
      </c>
      <c r="BC47" s="211" t="str">
        <f>BC37</f>
        <v>Oct</v>
      </c>
      <c r="BD47" s="211" t="str">
        <f>BD37</f>
        <v>Nov</v>
      </c>
      <c r="BE47" s="211" t="str">
        <f>BE37</f>
        <v>Dec</v>
      </c>
      <c r="BF47" s="1978" t="s">
        <v>2552</v>
      </c>
      <c r="BG47" s="1979" t="s">
        <v>34</v>
      </c>
      <c r="BH47" s="1979" t="s">
        <v>35</v>
      </c>
      <c r="BI47" s="1979" t="s">
        <v>36</v>
      </c>
      <c r="BJ47" s="1979" t="s">
        <v>37</v>
      </c>
      <c r="BK47" s="1979" t="s">
        <v>38</v>
      </c>
      <c r="BL47" s="1979" t="s">
        <v>39</v>
      </c>
      <c r="BM47" s="1979" t="s">
        <v>40</v>
      </c>
      <c r="BN47" s="1979" t="s">
        <v>41</v>
      </c>
      <c r="BO47" s="1979" t="s">
        <v>42</v>
      </c>
      <c r="BP47" s="1979" t="s">
        <v>43</v>
      </c>
      <c r="BQ47" s="1979" t="s">
        <v>44</v>
      </c>
      <c r="BR47" s="1978" t="s">
        <v>4133</v>
      </c>
      <c r="BS47" s="1979" t="s">
        <v>34</v>
      </c>
      <c r="BT47" s="1979" t="s">
        <v>35</v>
      </c>
      <c r="BU47" s="1979" t="s">
        <v>36</v>
      </c>
      <c r="BV47" s="1978" t="s">
        <v>37</v>
      </c>
      <c r="BW47" s="1979" t="s">
        <v>38</v>
      </c>
      <c r="BX47" s="1979" t="s">
        <v>39</v>
      </c>
      <c r="BY47" s="1979" t="s">
        <v>40</v>
      </c>
      <c r="BZ47" s="1979" t="s">
        <v>41</v>
      </c>
      <c r="CA47" s="1979" t="s">
        <v>42</v>
      </c>
      <c r="CB47" s="1979" t="s">
        <v>43</v>
      </c>
      <c r="CC47" s="1979" t="s">
        <v>44</v>
      </c>
    </row>
    <row r="48" spans="1:81" s="1203" customFormat="1">
      <c r="A48" s="1199" t="s">
        <v>154</v>
      </c>
      <c r="B48" s="918">
        <f>SUMIF($BR$2:$CC$2, "&lt;=" &amp; $B$2, $BR48:$CC48)</f>
        <v>7093</v>
      </c>
      <c r="C48" s="1200"/>
      <c r="D48" s="1201"/>
      <c r="E48" s="1201"/>
      <c r="F48" s="1201"/>
      <c r="G48" s="918">
        <f>SUM(V48:X48)</f>
        <v>43</v>
      </c>
      <c r="H48" s="918">
        <f>SUM(Y48:AA48)</f>
        <v>210</v>
      </c>
      <c r="I48" s="918">
        <f>SUM(AB48:AD48)</f>
        <v>216</v>
      </c>
      <c r="J48" s="918"/>
      <c r="K48" s="918">
        <v>784</v>
      </c>
      <c r="L48" s="1200"/>
      <c r="M48" s="1202">
        <v>21</v>
      </c>
      <c r="N48" s="1202">
        <v>7</v>
      </c>
      <c r="O48" s="1202">
        <v>15</v>
      </c>
      <c r="P48" s="1202">
        <v>9</v>
      </c>
      <c r="Q48" s="1202">
        <v>4</v>
      </c>
      <c r="R48" s="1202">
        <v>2</v>
      </c>
      <c r="S48" s="1202">
        <v>6</v>
      </c>
      <c r="T48" s="1202">
        <v>3</v>
      </c>
      <c r="U48" s="1202">
        <v>12</v>
      </c>
      <c r="V48" s="1202">
        <v>8</v>
      </c>
      <c r="W48" s="1202">
        <v>1</v>
      </c>
      <c r="X48" s="1202">
        <f>HCM!U49+HN!U49</f>
        <v>34</v>
      </c>
      <c r="Y48" s="1202">
        <f>HCM!V49+HN!V49</f>
        <v>66</v>
      </c>
      <c r="Z48" s="1202">
        <f>HCM!W49+HN!W49</f>
        <v>77</v>
      </c>
      <c r="AA48" s="1202">
        <f>HCM!X49+HN!X49</f>
        <v>67</v>
      </c>
      <c r="AB48" s="1202">
        <f>HCM!Y49+HN!Y49</f>
        <v>52</v>
      </c>
      <c r="AC48" s="1202">
        <f>HCM!Z49+HN!Z49</f>
        <v>68</v>
      </c>
      <c r="AD48" s="1202">
        <f>HCM!AA49+HN!AA49</f>
        <v>96</v>
      </c>
      <c r="AE48" s="1202">
        <f>HCM!AB49+HN!AB49</f>
        <v>90</v>
      </c>
      <c r="AF48" s="1202">
        <f>HCM!AC49+HN!AC49</f>
        <v>83</v>
      </c>
      <c r="AG48" s="1202">
        <f>HCM!AD49+HN!AD49</f>
        <v>142</v>
      </c>
      <c r="AH48" s="1202">
        <f>HCM!AE49+HN!AE49</f>
        <v>47</v>
      </c>
      <c r="AI48" s="1202">
        <f>HCM!AF49+HN!AF49</f>
        <v>46</v>
      </c>
      <c r="AJ48" s="1202">
        <f>HCM!AG49+HN!AG49</f>
        <v>68</v>
      </c>
      <c r="AK48" s="1202">
        <f>HCM!AH49+HN!AH49</f>
        <v>138</v>
      </c>
      <c r="AL48" s="1202">
        <f>HCM!AI49+HN!AI49</f>
        <v>177</v>
      </c>
      <c r="AM48" s="1203">
        <v>238</v>
      </c>
      <c r="AN48" s="1203">
        <v>163</v>
      </c>
      <c r="AO48" s="1203">
        <v>252</v>
      </c>
      <c r="AP48" s="1203">
        <v>259</v>
      </c>
      <c r="AQ48" s="1203">
        <v>196</v>
      </c>
      <c r="AR48" s="1203">
        <v>326</v>
      </c>
      <c r="AS48" s="1203">
        <v>351</v>
      </c>
      <c r="AT48" s="1203">
        <v>350</v>
      </c>
      <c r="AU48" s="1203">
        <v>184</v>
      </c>
      <c r="AV48" s="1203">
        <v>386</v>
      </c>
      <c r="AW48" s="1203">
        <v>477</v>
      </c>
      <c r="AX48" s="1203">
        <v>404</v>
      </c>
      <c r="AY48" s="1203">
        <v>429</v>
      </c>
      <c r="AZ48" s="1203">
        <v>446</v>
      </c>
      <c r="BA48" s="1203">
        <v>429</v>
      </c>
      <c r="BB48" s="1203">
        <v>473</v>
      </c>
      <c r="BC48" s="1203">
        <v>406</v>
      </c>
      <c r="BD48" s="1203">
        <v>742</v>
      </c>
      <c r="BE48" s="1203">
        <v>557</v>
      </c>
      <c r="BF48" s="1203">
        <v>192</v>
      </c>
      <c r="BG48" s="1203">
        <v>186</v>
      </c>
      <c r="BH48" s="1203">
        <v>620</v>
      </c>
      <c r="BI48" s="1203">
        <v>471</v>
      </c>
      <c r="BJ48" s="1203">
        <v>619</v>
      </c>
      <c r="BK48" s="1203">
        <v>1120</v>
      </c>
      <c r="BL48" s="922">
        <f>+HCM!BI49+HN!BI49</f>
        <v>826</v>
      </c>
      <c r="BM48" s="922">
        <f>+HCM!BJ49+HN!BJ49</f>
        <v>949</v>
      </c>
      <c r="BN48" s="922">
        <f>+HCM!BK49+HN!BK49</f>
        <v>1083</v>
      </c>
      <c r="BO48" s="922">
        <f>+HCM!BL49+HN!BL49</f>
        <v>1014</v>
      </c>
      <c r="BP48" s="922">
        <f>+HCM!BM49+HN!BM49</f>
        <v>1068</v>
      </c>
      <c r="BQ48" s="922">
        <f>+HCM!BN49+HN!BN49</f>
        <v>1354</v>
      </c>
      <c r="BR48" s="922">
        <f>+HCM!BO49+HN!BO49</f>
        <v>431</v>
      </c>
      <c r="BS48" s="922">
        <f>+HCM!BP49+HN!BP49</f>
        <v>920</v>
      </c>
      <c r="BT48" s="922">
        <f>+HCM!BQ49+HN!BQ49</f>
        <v>1151</v>
      </c>
      <c r="BU48" s="922">
        <f>+HCM!BR49+HN!BR49</f>
        <v>905</v>
      </c>
      <c r="BV48" s="922">
        <f>+HCM!BS49+HN!BS49</f>
        <v>899</v>
      </c>
      <c r="BW48" s="922">
        <f>+HCM!BT49+HN!BT49</f>
        <v>1684</v>
      </c>
      <c r="BX48" s="922">
        <f>+HCM!BU49+HN!BU49</f>
        <v>1103</v>
      </c>
      <c r="BY48" s="922">
        <f>+HCM!BV49+HN!BV49</f>
        <v>0</v>
      </c>
      <c r="BZ48" s="922">
        <f>+HCM!BW49+HN!BW49</f>
        <v>0</v>
      </c>
      <c r="CA48" s="922">
        <f>+HCM!BX49+HN!BX49</f>
        <v>0</v>
      </c>
      <c r="CB48" s="922">
        <f>+HCM!BY49+HN!BY49</f>
        <v>0</v>
      </c>
      <c r="CC48" s="922">
        <f>+HCM!BZ49+HN!BZ49</f>
        <v>0</v>
      </c>
    </row>
    <row r="49" spans="1:81" s="1203" customFormat="1">
      <c r="A49" s="1199" t="s">
        <v>155</v>
      </c>
      <c r="B49" s="918">
        <f t="shared" ref="B49:B53" si="120">SUMIF($BR$2:$CC$2, "&lt;=" &amp; $B$2, $BR49:$CC49)</f>
        <v>3</v>
      </c>
      <c r="C49" s="1200"/>
      <c r="D49" s="1201"/>
      <c r="E49" s="1201"/>
      <c r="F49" s="1201"/>
      <c r="G49" s="918"/>
      <c r="H49" s="918"/>
      <c r="I49" s="918"/>
      <c r="J49" s="918"/>
      <c r="K49" s="918"/>
      <c r="L49" s="1200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F49" s="1202"/>
      <c r="AG49" s="1202"/>
      <c r="AH49" s="1202"/>
      <c r="AI49" s="1202"/>
      <c r="AJ49" s="1202"/>
      <c r="AK49" s="1202"/>
      <c r="AL49" s="1202"/>
      <c r="AR49" s="1203">
        <v>5</v>
      </c>
      <c r="AS49" s="1203">
        <v>6</v>
      </c>
      <c r="AT49" s="1203">
        <v>19</v>
      </c>
      <c r="AU49" s="1203">
        <v>8</v>
      </c>
      <c r="AV49" s="1203">
        <v>16</v>
      </c>
      <c r="AW49" s="1203">
        <v>6</v>
      </c>
      <c r="AX49" s="1203">
        <v>4</v>
      </c>
      <c r="AY49" s="1203">
        <v>2</v>
      </c>
      <c r="BH49" s="1203">
        <v>0</v>
      </c>
      <c r="BL49" s="922">
        <f>+HCM!BI50+HN!BI50</f>
        <v>0</v>
      </c>
      <c r="BM49" s="922">
        <f>+HCM!BJ50+HN!BJ50</f>
        <v>0</v>
      </c>
      <c r="BN49" s="922">
        <f>+HCM!BK50+HN!BK50</f>
        <v>0</v>
      </c>
      <c r="BO49" s="922">
        <f>+HCM!BL50+HN!BL50</f>
        <v>0</v>
      </c>
      <c r="BP49" s="922">
        <f>+HCM!BM50+HN!BM50</f>
        <v>0</v>
      </c>
      <c r="BQ49" s="922">
        <f>+HCM!BN50+HN!BN50</f>
        <v>0</v>
      </c>
      <c r="BR49" s="922">
        <f>+HCM!BO50+HN!BO50</f>
        <v>0</v>
      </c>
      <c r="BS49" s="922">
        <f>+HCM!BP50+HN!BP50</f>
        <v>1</v>
      </c>
      <c r="BT49" s="922">
        <f>+HCM!BQ50+HN!BQ50</f>
        <v>0</v>
      </c>
      <c r="BU49" s="922">
        <f>+HCM!BR50+HN!BR50</f>
        <v>0</v>
      </c>
      <c r="BV49" s="922">
        <f>+HCM!BS50+HN!BS50</f>
        <v>0</v>
      </c>
      <c r="BW49" s="922">
        <f>+HCM!BT50+HN!BT50</f>
        <v>2</v>
      </c>
      <c r="BX49" s="922">
        <f>+HCM!BU50+HN!BU50</f>
        <v>0</v>
      </c>
      <c r="BY49" s="922">
        <f>+HCM!BV50+HN!BV50</f>
        <v>0</v>
      </c>
      <c r="BZ49" s="922">
        <f>+HCM!BW50+HN!BW50</f>
        <v>0</v>
      </c>
      <c r="CA49" s="922">
        <f>+HCM!BX50+HN!BX50</f>
        <v>0</v>
      </c>
      <c r="CB49" s="922">
        <f>+HCM!BY50+HN!BY50</f>
        <v>0</v>
      </c>
      <c r="CC49" s="922">
        <f>+HCM!BZ50+HN!BZ50</f>
        <v>0</v>
      </c>
    </row>
    <row r="50" spans="1:81" s="1203" customFormat="1">
      <c r="A50" s="1199" t="s">
        <v>143</v>
      </c>
      <c r="B50" s="918">
        <f t="shared" si="120"/>
        <v>343</v>
      </c>
      <c r="C50" s="1200"/>
      <c r="D50" s="1201"/>
      <c r="E50" s="1201"/>
      <c r="F50" s="1201"/>
      <c r="G50" s="918">
        <f>SUM(V50:X50)</f>
        <v>10</v>
      </c>
      <c r="H50" s="918">
        <f>SUM(Y50:AA50)</f>
        <v>47</v>
      </c>
      <c r="I50" s="918">
        <f>SUM(AB50:AD50)</f>
        <v>27</v>
      </c>
      <c r="J50" s="918"/>
      <c r="K50" s="918">
        <v>109</v>
      </c>
      <c r="L50" s="1200"/>
      <c r="M50" s="1202">
        <v>1</v>
      </c>
      <c r="N50" s="1202">
        <v>1</v>
      </c>
      <c r="O50" s="1202">
        <v>3</v>
      </c>
      <c r="P50" s="1202">
        <v>1</v>
      </c>
      <c r="Q50" s="1202"/>
      <c r="R50" s="1202"/>
      <c r="S50" s="1202">
        <v>1</v>
      </c>
      <c r="T50" s="1202">
        <v>3</v>
      </c>
      <c r="U50" s="1202">
        <v>2</v>
      </c>
      <c r="V50" s="1202">
        <v>3</v>
      </c>
      <c r="W50" s="1202"/>
      <c r="X50" s="1202">
        <f>HCM!U51+HN!U51</f>
        <v>7</v>
      </c>
      <c r="Y50" s="1202">
        <f>HCM!V51+HN!V51</f>
        <v>23</v>
      </c>
      <c r="Z50" s="1202">
        <f>HCM!W51+HN!W51</f>
        <v>15</v>
      </c>
      <c r="AA50" s="1202">
        <f>HCM!X51+HN!X51</f>
        <v>9</v>
      </c>
      <c r="AB50" s="1202">
        <f>HCM!Y51+HN!Y51</f>
        <v>5</v>
      </c>
      <c r="AC50" s="1202">
        <f>HCM!Z51+HN!Z51</f>
        <v>9</v>
      </c>
      <c r="AD50" s="1202">
        <f>HCM!AA51+HN!AA51</f>
        <v>13</v>
      </c>
      <c r="AE50" s="1202">
        <f>HCM!AB51+HN!AB51</f>
        <v>4</v>
      </c>
      <c r="AF50" s="1202">
        <f>HCM!AC51+HN!AC51</f>
        <v>11</v>
      </c>
      <c r="AG50" s="1202">
        <f>HCM!AD51+HN!AD51</f>
        <v>10</v>
      </c>
      <c r="AH50" s="1202">
        <f>HCM!AE51+HN!AE51</f>
        <v>3</v>
      </c>
      <c r="AI50" s="1202">
        <f>HCM!AF51+HN!AF51</f>
        <v>2</v>
      </c>
      <c r="AJ50" s="1202">
        <f>HCM!AG51+HN!AG51</f>
        <v>10</v>
      </c>
      <c r="AK50" s="1202">
        <f>HCM!AH51+HN!AH51</f>
        <v>31</v>
      </c>
      <c r="AL50" s="1202">
        <f>HCM!AI51+HN!AI51</f>
        <v>32</v>
      </c>
      <c r="AM50" s="1203">
        <v>38</v>
      </c>
      <c r="AN50" s="1203">
        <v>18</v>
      </c>
      <c r="AO50" s="1203">
        <v>25</v>
      </c>
      <c r="AP50" s="1203">
        <v>26</v>
      </c>
      <c r="AQ50" s="1203">
        <v>17</v>
      </c>
      <c r="AR50" s="1203">
        <v>48</v>
      </c>
      <c r="AS50" s="1203">
        <v>47</v>
      </c>
      <c r="AT50" s="1203">
        <v>51</v>
      </c>
      <c r="AU50" s="1203">
        <v>20</v>
      </c>
      <c r="AV50" s="1203">
        <v>39</v>
      </c>
      <c r="AW50" s="1203">
        <v>71</v>
      </c>
      <c r="AX50" s="1203">
        <v>51</v>
      </c>
      <c r="AY50" s="1203">
        <v>55</v>
      </c>
      <c r="AZ50" s="1203">
        <v>44</v>
      </c>
      <c r="BA50" s="1203">
        <v>51</v>
      </c>
      <c r="BB50" s="1203">
        <v>75</v>
      </c>
      <c r="BC50" s="1203">
        <v>47</v>
      </c>
      <c r="BD50" s="1203">
        <v>57</v>
      </c>
      <c r="BE50" s="1203">
        <v>40</v>
      </c>
      <c r="BF50" s="1203">
        <v>12</v>
      </c>
      <c r="BG50" s="1203">
        <v>7</v>
      </c>
      <c r="BH50" s="1203">
        <v>44</v>
      </c>
      <c r="BI50" s="1203">
        <v>52</v>
      </c>
      <c r="BJ50" s="1203">
        <v>96</v>
      </c>
      <c r="BK50" s="1203">
        <v>133</v>
      </c>
      <c r="BL50" s="922">
        <f>+HCM!BI51+HN!BI51</f>
        <v>81</v>
      </c>
      <c r="BM50" s="922">
        <f>+HCM!BJ51+HN!BJ51</f>
        <v>85</v>
      </c>
      <c r="BN50" s="922">
        <f>+HCM!BK51+HN!BK51</f>
        <v>127</v>
      </c>
      <c r="BO50" s="922">
        <f>+HCM!BL51+HN!BL51</f>
        <v>131</v>
      </c>
      <c r="BP50" s="922">
        <f>+HCM!BM51+HN!BM51</f>
        <v>147</v>
      </c>
      <c r="BQ50" s="922">
        <f>+HCM!BN51+HN!BN51</f>
        <v>116</v>
      </c>
      <c r="BR50" s="922">
        <f>+HCM!BO51+HN!BO51</f>
        <v>51</v>
      </c>
      <c r="BS50" s="922">
        <f>+HCM!BP51+HN!BP51</f>
        <v>89</v>
      </c>
      <c r="BT50" s="922">
        <f>+HCM!BQ51+HN!BQ51</f>
        <v>40</v>
      </c>
      <c r="BU50" s="922">
        <f>+HCM!BR51+HN!BR51</f>
        <v>41</v>
      </c>
      <c r="BV50" s="922">
        <f>+HCM!BS51+HN!BS51</f>
        <v>33</v>
      </c>
      <c r="BW50" s="922">
        <f>+HCM!BT51+HN!BT51</f>
        <v>43</v>
      </c>
      <c r="BX50" s="922">
        <f>+HCM!BU51+HN!BU51</f>
        <v>46</v>
      </c>
      <c r="BY50" s="922">
        <f>+HCM!BV51+HN!BV51</f>
        <v>0</v>
      </c>
      <c r="BZ50" s="922">
        <f>+HCM!BW51+HN!BW51</f>
        <v>0</v>
      </c>
      <c r="CA50" s="922">
        <f>+HCM!BX51+HN!BX51</f>
        <v>0</v>
      </c>
      <c r="CB50" s="922">
        <f>+HCM!BY51+HN!BY51</f>
        <v>0</v>
      </c>
      <c r="CC50" s="922">
        <f>+HCM!BZ51+HN!BZ51</f>
        <v>0</v>
      </c>
    </row>
    <row r="51" spans="1:81" s="1203" customFormat="1">
      <c r="A51" s="1199" t="s">
        <v>145</v>
      </c>
      <c r="B51" s="918">
        <f t="shared" si="120"/>
        <v>92</v>
      </c>
      <c r="C51" s="1200"/>
      <c r="D51" s="1201"/>
      <c r="E51" s="1201"/>
      <c r="F51" s="1201"/>
      <c r="G51" s="918">
        <f>SUM(V51:X51)</f>
        <v>3</v>
      </c>
      <c r="H51" s="918">
        <f>SUM(Y51:AA51)</f>
        <v>18</v>
      </c>
      <c r="I51" s="918">
        <f>SUM(AB51:AD51)</f>
        <v>7</v>
      </c>
      <c r="J51" s="918"/>
      <c r="K51" s="918">
        <v>35</v>
      </c>
      <c r="L51" s="1200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/>
      <c r="W51" s="1202"/>
      <c r="X51" s="1202">
        <f>HCM!U52+HN!U52</f>
        <v>3</v>
      </c>
      <c r="Y51" s="1202">
        <f>HCM!V52+HN!V52</f>
        <v>10</v>
      </c>
      <c r="Z51" s="1202">
        <f>HCM!W52+HN!W52</f>
        <v>5</v>
      </c>
      <c r="AA51" s="1202">
        <f>HCM!X52+HN!X52</f>
        <v>3</v>
      </c>
      <c r="AB51" s="1202">
        <f>HCM!Y52+HN!Y52</f>
        <v>3</v>
      </c>
      <c r="AC51" s="1202">
        <f>HCM!Z52+HN!Z52</f>
        <v>1</v>
      </c>
      <c r="AD51" s="1202">
        <f>HCM!AA52+HN!AA52</f>
        <v>3</v>
      </c>
      <c r="AE51" s="1202">
        <f>HCM!AB52+HN!AB52</f>
        <v>2</v>
      </c>
      <c r="AF51" s="1202">
        <f>HCM!AC52+HN!AC52</f>
        <v>3</v>
      </c>
      <c r="AG51" s="1202">
        <f>HCM!AD52+HN!AD52</f>
        <v>2</v>
      </c>
      <c r="AH51" s="1202">
        <f>HCM!AE52+HN!AE52</f>
        <v>1</v>
      </c>
      <c r="AI51" s="1202">
        <f>HCM!AF52+HN!AF52</f>
        <v>0</v>
      </c>
      <c r="AJ51" s="1202">
        <f>HCM!AG52+HN!AG52</f>
        <v>2</v>
      </c>
      <c r="AK51" s="1202">
        <f>HCM!AH52+HN!AH52</f>
        <v>6</v>
      </c>
      <c r="AL51" s="1202">
        <f>HCM!AI52+HN!AI52</f>
        <v>8</v>
      </c>
      <c r="AM51" s="1203">
        <v>9</v>
      </c>
      <c r="AN51" s="1203">
        <v>7</v>
      </c>
      <c r="AO51" s="1203">
        <v>9</v>
      </c>
      <c r="AP51" s="1203">
        <v>5</v>
      </c>
      <c r="AQ51" s="1203">
        <v>5</v>
      </c>
      <c r="AR51" s="1203">
        <v>13</v>
      </c>
      <c r="AS51" s="1203">
        <v>9</v>
      </c>
      <c r="AT51" s="1203">
        <v>12</v>
      </c>
      <c r="AU51" s="1203">
        <v>2</v>
      </c>
      <c r="AV51" s="1203">
        <v>11</v>
      </c>
      <c r="AW51" s="1203">
        <v>27</v>
      </c>
      <c r="AX51" s="1203">
        <v>10</v>
      </c>
      <c r="AY51" s="1203">
        <v>17</v>
      </c>
      <c r="AZ51" s="1203">
        <v>13</v>
      </c>
      <c r="BA51" s="1203">
        <v>9</v>
      </c>
      <c r="BB51" s="1203">
        <v>19</v>
      </c>
      <c r="BC51" s="1203">
        <v>8</v>
      </c>
      <c r="BD51" s="1203">
        <v>8</v>
      </c>
      <c r="BE51" s="1203">
        <v>11</v>
      </c>
      <c r="BF51" s="1203">
        <v>1</v>
      </c>
      <c r="BG51" s="1203">
        <v>1</v>
      </c>
      <c r="BH51" s="1203">
        <v>15</v>
      </c>
      <c r="BI51" s="1203">
        <v>17</v>
      </c>
      <c r="BJ51" s="1203">
        <v>23</v>
      </c>
      <c r="BK51" s="1203">
        <v>31</v>
      </c>
      <c r="BL51" s="922">
        <f>+HCM!BI52+HN!BI52</f>
        <v>14</v>
      </c>
      <c r="BM51" s="922">
        <f>+HCM!BJ52+HN!BJ52</f>
        <v>18</v>
      </c>
      <c r="BN51" s="922">
        <f>+HCM!BK52+HN!BK52</f>
        <v>40</v>
      </c>
      <c r="BO51" s="922">
        <f>+HCM!BL52+HN!BL52</f>
        <v>26</v>
      </c>
      <c r="BP51" s="922">
        <f>+HCM!BM52+HN!BM52</f>
        <v>28</v>
      </c>
      <c r="BQ51" s="922">
        <f>+HCM!BN52+HN!BN52</f>
        <v>29</v>
      </c>
      <c r="BR51" s="922">
        <f>+HCM!BO52+HN!BO52</f>
        <v>20</v>
      </c>
      <c r="BS51" s="922">
        <f>+HCM!BP52+HN!BP52</f>
        <v>25</v>
      </c>
      <c r="BT51" s="922">
        <f>+HCM!BQ52+HN!BQ52</f>
        <v>15</v>
      </c>
      <c r="BU51" s="922">
        <f>+HCM!BR52+HN!BR52</f>
        <v>7</v>
      </c>
      <c r="BV51" s="922">
        <f>+HCM!BS52+HN!BS52</f>
        <v>13</v>
      </c>
      <c r="BW51" s="922">
        <f>+HCM!BT52+HN!BT52</f>
        <v>5</v>
      </c>
      <c r="BX51" s="922">
        <f>+HCM!BU52+HN!BU52</f>
        <v>7</v>
      </c>
      <c r="BY51" s="922">
        <f>+HCM!BV52+HN!BV52</f>
        <v>0</v>
      </c>
      <c r="BZ51" s="922">
        <f>+HCM!BW52+HN!BW52</f>
        <v>0</v>
      </c>
      <c r="CA51" s="922">
        <f>+HCM!BX52+HN!BX52</f>
        <v>0</v>
      </c>
      <c r="CB51" s="922">
        <f>+HCM!BY52+HN!BY52</f>
        <v>0</v>
      </c>
      <c r="CC51" s="922">
        <f>+HCM!BZ52+HN!BZ52</f>
        <v>0</v>
      </c>
    </row>
    <row r="52" spans="1:81" s="1203" customFormat="1">
      <c r="A52" s="1199" t="s">
        <v>144</v>
      </c>
      <c r="B52" s="918">
        <f t="shared" si="120"/>
        <v>37</v>
      </c>
      <c r="C52" s="1200"/>
      <c r="D52" s="1201"/>
      <c r="E52" s="1201"/>
      <c r="F52" s="1201"/>
      <c r="G52" s="918">
        <f>SUM(V52:X52)</f>
        <v>1</v>
      </c>
      <c r="H52" s="918">
        <f>SUM(Y52:AA52)</f>
        <v>12</v>
      </c>
      <c r="I52" s="918">
        <f>SUM(AB52:AD52)</f>
        <v>2</v>
      </c>
      <c r="J52" s="918"/>
      <c r="K52" s="918">
        <v>19</v>
      </c>
      <c r="L52" s="1200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/>
      <c r="W52" s="1202"/>
      <c r="X52" s="1202">
        <f>HCM!U53+HN!U53</f>
        <v>1</v>
      </c>
      <c r="Y52" s="1202">
        <f>HCM!V53+HN!V53</f>
        <v>10</v>
      </c>
      <c r="Z52" s="1202">
        <f>HCM!W53+HN!W53</f>
        <v>1</v>
      </c>
      <c r="AA52" s="1202">
        <f>HCM!X53+HN!X53</f>
        <v>1</v>
      </c>
      <c r="AB52" s="1202">
        <f>HCM!Y53+HN!Y53</f>
        <v>0</v>
      </c>
      <c r="AC52" s="1202">
        <f>HCM!Z53+HN!Z53</f>
        <v>1</v>
      </c>
      <c r="AD52" s="1202">
        <f>HCM!AA53+HN!AA53</f>
        <v>1</v>
      </c>
      <c r="AE52" s="1202">
        <f>HCM!AB53+HN!AB53</f>
        <v>2</v>
      </c>
      <c r="AF52" s="1202">
        <f>HCM!AC53+HN!AC53</f>
        <v>1</v>
      </c>
      <c r="AG52" s="1202">
        <f>HCM!AD53+HN!AD53</f>
        <v>1</v>
      </c>
      <c r="AH52" s="1202">
        <f>HCM!AE53+HN!AE53</f>
        <v>0</v>
      </c>
      <c r="AI52" s="1202">
        <f>HCM!AF53+HN!AF53</f>
        <v>0</v>
      </c>
      <c r="AJ52" s="1202">
        <f>HCM!AG53+HN!AG53</f>
        <v>3</v>
      </c>
      <c r="AK52" s="1202">
        <f>HCM!AH53+HN!AH53</f>
        <v>5</v>
      </c>
      <c r="AL52" s="1202">
        <f>HCM!AI53+HN!AI53</f>
        <v>9</v>
      </c>
      <c r="AM52" s="1203">
        <v>7</v>
      </c>
      <c r="AN52" s="1203">
        <v>2</v>
      </c>
      <c r="AO52" s="1203">
        <v>1</v>
      </c>
      <c r="AP52" s="1203">
        <v>3</v>
      </c>
      <c r="AQ52" s="1203">
        <v>4</v>
      </c>
      <c r="AR52" s="1203">
        <v>6</v>
      </c>
      <c r="AS52" s="1203">
        <v>10</v>
      </c>
      <c r="AT52" s="1203">
        <v>8</v>
      </c>
      <c r="AU52" s="1203">
        <v>2</v>
      </c>
      <c r="AV52" s="1203">
        <v>7</v>
      </c>
      <c r="AW52" s="1203">
        <v>6</v>
      </c>
      <c r="AX52" s="1203">
        <v>3</v>
      </c>
      <c r="AY52" s="1203">
        <v>3</v>
      </c>
      <c r="AZ52" s="1203">
        <v>2</v>
      </c>
      <c r="BA52" s="1203">
        <v>2</v>
      </c>
      <c r="BB52" s="1203">
        <v>5</v>
      </c>
      <c r="BC52" s="1203">
        <v>1</v>
      </c>
      <c r="BD52" s="1203">
        <v>2</v>
      </c>
      <c r="BE52" s="1203">
        <v>1</v>
      </c>
      <c r="BF52" s="1203">
        <v>1</v>
      </c>
      <c r="BG52" s="1203">
        <v>1</v>
      </c>
      <c r="BH52" s="1203">
        <v>3</v>
      </c>
      <c r="BI52" s="1203">
        <v>2</v>
      </c>
      <c r="BJ52" s="1203">
        <v>8</v>
      </c>
      <c r="BK52" s="1203">
        <v>9</v>
      </c>
      <c r="BL52" s="922">
        <f>+HCM!BI53+HN!BI53</f>
        <v>5</v>
      </c>
      <c r="BM52" s="922">
        <f>+HCM!BJ53+HN!BJ53</f>
        <v>5</v>
      </c>
      <c r="BN52" s="922">
        <f>+HCM!BK53+HN!BK53</f>
        <v>16</v>
      </c>
      <c r="BO52" s="922">
        <f>+HCM!BL53+HN!BL53</f>
        <v>14</v>
      </c>
      <c r="BP52" s="922">
        <f>+HCM!BM53+HN!BM53</f>
        <v>12</v>
      </c>
      <c r="BQ52" s="922">
        <f>+HCM!BN53+HN!BN53</f>
        <v>4</v>
      </c>
      <c r="BR52" s="922">
        <f>+HCM!BO53+HN!BO53</f>
        <v>4</v>
      </c>
      <c r="BS52" s="922">
        <f>+HCM!BP53+HN!BP53</f>
        <v>11</v>
      </c>
      <c r="BT52" s="922">
        <f>+HCM!BQ53+HN!BQ53</f>
        <v>3</v>
      </c>
      <c r="BU52" s="922">
        <f>+HCM!BR53+HN!BR53</f>
        <v>5</v>
      </c>
      <c r="BV52" s="922">
        <f>+HCM!BS53+HN!BS53</f>
        <v>6</v>
      </c>
      <c r="BW52" s="922">
        <f>+HCM!BT53+HN!BT53</f>
        <v>3</v>
      </c>
      <c r="BX52" s="922">
        <f>+HCM!BU53+HN!BU53</f>
        <v>5</v>
      </c>
      <c r="BY52" s="922">
        <f>+HCM!BV53+HN!BV53</f>
        <v>0</v>
      </c>
      <c r="BZ52" s="922">
        <f>+HCM!BW53+HN!BW53</f>
        <v>0</v>
      </c>
      <c r="CA52" s="922">
        <f>+HCM!BX53+HN!BX53</f>
        <v>0</v>
      </c>
      <c r="CB52" s="922">
        <f>+HCM!BY53+HN!BY53</f>
        <v>0</v>
      </c>
      <c r="CC52" s="922">
        <f>+HCM!BZ53+HN!BZ53</f>
        <v>0</v>
      </c>
    </row>
    <row r="53" spans="1:81" s="1203" customFormat="1">
      <c r="A53" s="1199" t="s">
        <v>742</v>
      </c>
      <c r="B53" s="918">
        <f t="shared" si="120"/>
        <v>20</v>
      </c>
      <c r="C53" s="1200"/>
      <c r="D53" s="1201"/>
      <c r="E53" s="1201"/>
      <c r="F53" s="1201"/>
      <c r="G53" s="918"/>
      <c r="H53" s="918"/>
      <c r="I53" s="918"/>
      <c r="J53" s="918"/>
      <c r="K53" s="918">
        <v>0</v>
      </c>
      <c r="L53" s="1200"/>
      <c r="M53" s="1202"/>
      <c r="N53" s="1202"/>
      <c r="O53" s="1202"/>
      <c r="P53" s="1202"/>
      <c r="Q53" s="1202"/>
      <c r="R53" s="1202"/>
      <c r="S53" s="1202"/>
      <c r="T53" s="1202"/>
      <c r="U53" s="1202"/>
      <c r="V53" s="1202"/>
      <c r="W53" s="1202"/>
      <c r="X53" s="1202"/>
      <c r="Y53" s="1202"/>
      <c r="Z53" s="1202"/>
      <c r="AA53" s="1202"/>
      <c r="AB53" s="1202"/>
      <c r="AC53" s="1202"/>
      <c r="AD53" s="1202"/>
      <c r="AE53" s="1202"/>
      <c r="AF53" s="1202"/>
      <c r="AG53" s="1202"/>
      <c r="AH53" s="1202"/>
      <c r="AI53" s="1202"/>
      <c r="AJ53" s="1202"/>
      <c r="AK53" s="1202"/>
      <c r="AL53" s="1202"/>
      <c r="AM53" s="1203">
        <v>2</v>
      </c>
      <c r="AO53" s="1203">
        <v>1</v>
      </c>
      <c r="AP53" s="1203">
        <v>1</v>
      </c>
      <c r="AQ53" s="1203">
        <v>1</v>
      </c>
      <c r="AR53" s="1203">
        <v>1</v>
      </c>
      <c r="AS53" s="1203">
        <v>1</v>
      </c>
      <c r="AT53" s="1203">
        <v>0</v>
      </c>
      <c r="AU53" s="1203">
        <v>1</v>
      </c>
      <c r="AV53" s="1203">
        <v>0</v>
      </c>
      <c r="AW53" s="1203">
        <v>4</v>
      </c>
      <c r="AX53" s="1203">
        <v>2</v>
      </c>
      <c r="AY53" s="1203">
        <v>1</v>
      </c>
      <c r="AZ53" s="1203">
        <v>2</v>
      </c>
      <c r="BA53" s="1203">
        <v>1</v>
      </c>
      <c r="BB53" s="1203">
        <v>3</v>
      </c>
      <c r="BC53" s="1203">
        <v>2</v>
      </c>
      <c r="BE53" s="1203">
        <v>1</v>
      </c>
      <c r="BG53" s="1203">
        <v>1</v>
      </c>
      <c r="BH53" s="1203">
        <v>3</v>
      </c>
      <c r="BI53" s="1203">
        <v>3</v>
      </c>
      <c r="BJ53" s="1203">
        <v>3</v>
      </c>
      <c r="BK53" s="1203">
        <v>7</v>
      </c>
      <c r="BL53" s="922">
        <f>+HCM!BI54+HN!BI54</f>
        <v>3</v>
      </c>
      <c r="BM53" s="922">
        <f>+HCM!BJ54+HN!BJ54</f>
        <v>4</v>
      </c>
      <c r="BN53" s="922">
        <f>+HCM!BK54+HN!BK54</f>
        <v>9</v>
      </c>
      <c r="BO53" s="922">
        <f>+HCM!BL54+HN!BL54</f>
        <v>5</v>
      </c>
      <c r="BP53" s="922">
        <f>+HCM!BM54+HN!BM54</f>
        <v>5</v>
      </c>
      <c r="BQ53" s="922">
        <f>+HCM!BN54+HN!BN54</f>
        <v>4</v>
      </c>
      <c r="BR53" s="922">
        <f>+HCM!BO54+HN!BO54</f>
        <v>3</v>
      </c>
      <c r="BS53" s="922">
        <f>+HCM!BP54+HN!BP54</f>
        <v>6</v>
      </c>
      <c r="BT53" s="922">
        <f>+HCM!BQ54+HN!BQ54</f>
        <v>0</v>
      </c>
      <c r="BU53" s="922">
        <f>+HCM!BR54+HN!BR54</f>
        <v>4</v>
      </c>
      <c r="BV53" s="922">
        <f>+HCM!BS54+HN!BS54</f>
        <v>2</v>
      </c>
      <c r="BW53" s="922">
        <f>+HCM!BT54+HN!BT54</f>
        <v>2</v>
      </c>
      <c r="BX53" s="922">
        <f>+HCM!BU54+HN!BU54</f>
        <v>3</v>
      </c>
      <c r="BY53" s="922">
        <f>+HCM!BV54+HN!BV54</f>
        <v>0</v>
      </c>
      <c r="BZ53" s="922">
        <f>+HCM!BW54+HN!BW54</f>
        <v>0</v>
      </c>
      <c r="CA53" s="922">
        <f>+HCM!BX54+HN!BX54</f>
        <v>0</v>
      </c>
      <c r="CB53" s="922">
        <f>+HCM!BY54+HN!BY54</f>
        <v>0</v>
      </c>
      <c r="CC53" s="922">
        <f>+HCM!BZ54+HN!BZ54</f>
        <v>0</v>
      </c>
    </row>
    <row r="54" spans="1:81" s="1784" customFormat="1">
      <c r="A54" s="1779" t="s">
        <v>49</v>
      </c>
      <c r="B54" s="1314">
        <f>SUMIF($BR$2:$CC$2, "&lt;=" &amp; $B$2, $BR$54:$CC$54)</f>
        <v>7588</v>
      </c>
      <c r="C54" s="1781"/>
      <c r="D54" s="1782"/>
      <c r="E54" s="1782"/>
      <c r="F54" s="1782"/>
      <c r="G54" s="1314">
        <f>SUM(V54:X54)</f>
        <v>57</v>
      </c>
      <c r="H54" s="1314">
        <f>SUM(Y54:AA54)</f>
        <v>287</v>
      </c>
      <c r="I54" s="1314">
        <f>SUM(AB54:AD54)</f>
        <v>252</v>
      </c>
      <c r="J54" s="1314"/>
      <c r="K54" s="1314">
        <v>947</v>
      </c>
      <c r="L54" s="1781"/>
      <c r="M54" s="1783">
        <f>SUM(M48:M52)</f>
        <v>22</v>
      </c>
      <c r="N54" s="1783">
        <f t="shared" ref="N54:AA54" si="121">SUM(N48:N52)</f>
        <v>8</v>
      </c>
      <c r="O54" s="1783">
        <f t="shared" si="121"/>
        <v>18</v>
      </c>
      <c r="P54" s="1783">
        <f t="shared" si="121"/>
        <v>10</v>
      </c>
      <c r="Q54" s="1783">
        <f t="shared" si="121"/>
        <v>4</v>
      </c>
      <c r="R54" s="1783">
        <f t="shared" si="121"/>
        <v>2</v>
      </c>
      <c r="S54" s="1783">
        <f t="shared" si="121"/>
        <v>7</v>
      </c>
      <c r="T54" s="1783">
        <f t="shared" si="121"/>
        <v>6</v>
      </c>
      <c r="U54" s="1783">
        <f t="shared" si="121"/>
        <v>14</v>
      </c>
      <c r="V54" s="1783">
        <f t="shared" si="121"/>
        <v>11</v>
      </c>
      <c r="W54" s="1783">
        <f t="shared" si="121"/>
        <v>1</v>
      </c>
      <c r="X54" s="1783">
        <f t="shared" si="121"/>
        <v>45</v>
      </c>
      <c r="Y54" s="1783">
        <f t="shared" si="121"/>
        <v>109</v>
      </c>
      <c r="Z54" s="1783">
        <f>SUM(Z48:Z52)</f>
        <v>98</v>
      </c>
      <c r="AA54" s="1783">
        <f t="shared" si="121"/>
        <v>80</v>
      </c>
      <c r="AB54" s="1783">
        <f t="shared" ref="AB54:AG54" si="122">SUM(AB48:AB52)</f>
        <v>60</v>
      </c>
      <c r="AC54" s="1783">
        <f t="shared" si="122"/>
        <v>79</v>
      </c>
      <c r="AD54" s="1783">
        <f t="shared" si="122"/>
        <v>113</v>
      </c>
      <c r="AE54" s="1783">
        <f t="shared" si="122"/>
        <v>98</v>
      </c>
      <c r="AF54" s="1783">
        <f t="shared" si="122"/>
        <v>98</v>
      </c>
      <c r="AG54" s="1783">
        <f t="shared" si="122"/>
        <v>155</v>
      </c>
      <c r="AH54" s="1783">
        <f>SUM(AH48:AH52)</f>
        <v>51</v>
      </c>
      <c r="AI54" s="1783">
        <f>SUM(AI48:AI52)</f>
        <v>48</v>
      </c>
      <c r="AJ54" s="1783">
        <f>SUM(AJ48:AJ52)</f>
        <v>83</v>
      </c>
      <c r="AK54" s="1783">
        <f>SUM(AK48:AK52)</f>
        <v>180</v>
      </c>
      <c r="AL54" s="1783">
        <f>SUM(AL48:AL52)</f>
        <v>226</v>
      </c>
      <c r="AM54" s="1783">
        <v>294</v>
      </c>
      <c r="AN54" s="1783">
        <v>190</v>
      </c>
      <c r="AO54" s="1783">
        <v>288</v>
      </c>
      <c r="AP54" s="1783">
        <v>294</v>
      </c>
      <c r="AQ54" s="1783">
        <v>223</v>
      </c>
      <c r="AR54" s="1783">
        <v>399</v>
      </c>
      <c r="AS54" s="1783">
        <v>424</v>
      </c>
      <c r="AT54" s="1783">
        <v>440</v>
      </c>
      <c r="AU54" s="1783">
        <v>217</v>
      </c>
      <c r="AV54" s="1787">
        <v>459</v>
      </c>
      <c r="AW54" s="1787">
        <v>591</v>
      </c>
      <c r="AX54" s="1787">
        <v>474</v>
      </c>
      <c r="AY54" s="1787">
        <v>507</v>
      </c>
      <c r="AZ54" s="1787">
        <v>507</v>
      </c>
      <c r="BA54" s="1787">
        <v>492</v>
      </c>
      <c r="BB54" s="1787">
        <v>575</v>
      </c>
      <c r="BC54" s="1787">
        <v>464</v>
      </c>
      <c r="BD54" s="1787">
        <v>809</v>
      </c>
      <c r="BE54" s="1787">
        <v>610</v>
      </c>
      <c r="BF54" s="1787">
        <f>SUM(BF48:BF53)</f>
        <v>206</v>
      </c>
      <c r="BG54" s="1787">
        <f>SUM(BG48:BG53)</f>
        <v>196</v>
      </c>
      <c r="BH54" s="1787">
        <f>SUM(BH48:BH53)</f>
        <v>685</v>
      </c>
      <c r="BI54" s="1787">
        <f t="shared" ref="BI54:BQ54" si="123">SUM(BI48:BI53)</f>
        <v>545</v>
      </c>
      <c r="BJ54" s="1787">
        <f>SUM(BJ48:BJ53)</f>
        <v>749</v>
      </c>
      <c r="BK54" s="1787">
        <f t="shared" si="123"/>
        <v>1300</v>
      </c>
      <c r="BL54" s="1787">
        <f t="shared" si="123"/>
        <v>929</v>
      </c>
      <c r="BM54" s="1787">
        <f t="shared" si="123"/>
        <v>1061</v>
      </c>
      <c r="BN54" s="1787">
        <f t="shared" si="123"/>
        <v>1275</v>
      </c>
      <c r="BO54" s="1787">
        <f t="shared" si="123"/>
        <v>1190</v>
      </c>
      <c r="BP54" s="2046">
        <f>SUM(BP48:BP53)</f>
        <v>1260</v>
      </c>
      <c r="BQ54" s="1787">
        <f t="shared" si="123"/>
        <v>1507</v>
      </c>
      <c r="BR54" s="1787">
        <f t="shared" ref="BR54:BW54" si="124">SUM(BR48:BR53)</f>
        <v>509</v>
      </c>
      <c r="BS54" s="1787">
        <f t="shared" si="124"/>
        <v>1052</v>
      </c>
      <c r="BT54" s="1787">
        <f t="shared" si="124"/>
        <v>1209</v>
      </c>
      <c r="BU54" s="1787">
        <f t="shared" si="124"/>
        <v>962</v>
      </c>
      <c r="BV54" s="1787">
        <f t="shared" si="124"/>
        <v>953</v>
      </c>
      <c r="BW54" s="1787">
        <f t="shared" si="124"/>
        <v>1739</v>
      </c>
      <c r="BX54" s="1787">
        <f t="shared" ref="BX54:CC54" si="125">SUM(BX48:BX53)</f>
        <v>1164</v>
      </c>
      <c r="BY54" s="1787">
        <f t="shared" si="125"/>
        <v>0</v>
      </c>
      <c r="BZ54" s="1787">
        <f t="shared" si="125"/>
        <v>0</v>
      </c>
      <c r="CA54" s="1787">
        <f t="shared" si="125"/>
        <v>0</v>
      </c>
      <c r="CB54" s="1787">
        <f t="shared" si="125"/>
        <v>0</v>
      </c>
      <c r="CC54" s="1787">
        <f t="shared" si="125"/>
        <v>0</v>
      </c>
    </row>
    <row r="55" spans="1:81">
      <c r="AH55" s="216"/>
    </row>
    <row r="56" spans="1:81" s="228" customFormat="1">
      <c r="A56" s="224" t="s">
        <v>159</v>
      </c>
      <c r="B56" s="225" t="s">
        <v>163</v>
      </c>
      <c r="C56" s="225"/>
      <c r="D56" s="226" t="s">
        <v>59</v>
      </c>
      <c r="E56" s="226" t="s">
        <v>94</v>
      </c>
      <c r="F56" s="226" t="s">
        <v>97</v>
      </c>
      <c r="G56" s="226" t="s">
        <v>150</v>
      </c>
      <c r="H56" s="226" t="s">
        <v>508</v>
      </c>
      <c r="I56" s="226" t="s">
        <v>509</v>
      </c>
      <c r="J56" s="226"/>
      <c r="K56" s="226" t="s">
        <v>163</v>
      </c>
      <c r="L56" s="225"/>
      <c r="M56" s="227">
        <v>41000</v>
      </c>
      <c r="N56" s="227">
        <v>41030</v>
      </c>
      <c r="O56" s="227">
        <v>41061</v>
      </c>
      <c r="P56" s="227">
        <v>41091</v>
      </c>
      <c r="Q56" s="227">
        <v>41122</v>
      </c>
      <c r="R56" s="227">
        <v>41153</v>
      </c>
      <c r="S56" s="227">
        <v>41183</v>
      </c>
      <c r="T56" s="227">
        <v>41214</v>
      </c>
      <c r="U56" s="227">
        <v>41244</v>
      </c>
      <c r="V56" s="227">
        <v>41275</v>
      </c>
      <c r="W56" s="227">
        <v>41306</v>
      </c>
      <c r="X56" s="227">
        <v>41334</v>
      </c>
      <c r="Y56" s="227">
        <v>41365</v>
      </c>
      <c r="Z56" s="227">
        <v>41395</v>
      </c>
      <c r="AA56" s="227">
        <v>41426</v>
      </c>
      <c r="AB56" s="227">
        <v>41456</v>
      </c>
      <c r="AC56" s="227">
        <v>41487</v>
      </c>
      <c r="AD56" s="227">
        <v>41518</v>
      </c>
      <c r="AE56" s="227">
        <v>41548</v>
      </c>
      <c r="AF56" s="227">
        <v>41579</v>
      </c>
      <c r="AG56" s="227">
        <v>41609</v>
      </c>
      <c r="AH56" s="227">
        <v>41640</v>
      </c>
      <c r="AI56" s="227">
        <v>41671</v>
      </c>
      <c r="AJ56" s="227">
        <v>41699</v>
      </c>
      <c r="AK56" s="227">
        <v>41730</v>
      </c>
      <c r="AL56" s="227">
        <v>41760</v>
      </c>
      <c r="AM56" s="227">
        <v>41791</v>
      </c>
      <c r="AN56" s="227">
        <v>41821</v>
      </c>
      <c r="AO56" s="227">
        <v>41852</v>
      </c>
      <c r="AP56" s="227">
        <v>41883</v>
      </c>
      <c r="AQ56" s="227">
        <v>41913</v>
      </c>
      <c r="AR56" s="227">
        <v>41944</v>
      </c>
      <c r="AS56" s="227">
        <v>41974</v>
      </c>
      <c r="AT56" s="252">
        <v>42005</v>
      </c>
      <c r="AU56" s="211" t="s">
        <v>34</v>
      </c>
      <c r="AV56" s="211" t="s">
        <v>35</v>
      </c>
      <c r="AW56" s="211" t="s">
        <v>36</v>
      </c>
      <c r="AX56" s="211" t="s">
        <v>37</v>
      </c>
      <c r="AY56" s="211" t="s">
        <v>38</v>
      </c>
      <c r="AZ56" s="211" t="s">
        <v>39</v>
      </c>
      <c r="BA56" s="211" t="str">
        <f>BA47</f>
        <v>Aug</v>
      </c>
      <c r="BB56" s="211" t="str">
        <f>BB47</f>
        <v>Sep</v>
      </c>
      <c r="BC56" s="211" t="str">
        <f>BC47</f>
        <v>Oct</v>
      </c>
      <c r="BD56" s="211" t="str">
        <f>BD47</f>
        <v>Nov</v>
      </c>
      <c r="BE56" s="211" t="str">
        <f>BE47</f>
        <v>Dec</v>
      </c>
      <c r="BF56" s="1978" t="s">
        <v>2552</v>
      </c>
      <c r="BG56" s="1979" t="s">
        <v>34</v>
      </c>
      <c r="BH56" s="1979" t="s">
        <v>35</v>
      </c>
      <c r="BI56" s="1979" t="s">
        <v>36</v>
      </c>
      <c r="BJ56" s="1979" t="s">
        <v>37</v>
      </c>
      <c r="BK56" s="1979" t="s">
        <v>38</v>
      </c>
      <c r="BL56" s="1979" t="s">
        <v>39</v>
      </c>
      <c r="BM56" s="1979" t="s">
        <v>40</v>
      </c>
      <c r="BN56" s="1979" t="s">
        <v>41</v>
      </c>
      <c r="BO56" s="1979" t="s">
        <v>42</v>
      </c>
      <c r="BP56" s="1979" t="s">
        <v>43</v>
      </c>
      <c r="BQ56" s="1979" t="s">
        <v>44</v>
      </c>
      <c r="BR56" s="1978" t="s">
        <v>4133</v>
      </c>
      <c r="BS56" s="1979" t="s">
        <v>34</v>
      </c>
      <c r="BT56" s="1979" t="s">
        <v>35</v>
      </c>
      <c r="BU56" s="1979" t="s">
        <v>36</v>
      </c>
      <c r="BV56" s="1978" t="s">
        <v>37</v>
      </c>
      <c r="BW56" s="1979" t="s">
        <v>38</v>
      </c>
      <c r="BX56" s="1979" t="s">
        <v>39</v>
      </c>
      <c r="BY56" s="1979" t="s">
        <v>40</v>
      </c>
      <c r="BZ56" s="1979" t="s">
        <v>41</v>
      </c>
      <c r="CA56" s="1979" t="s">
        <v>42</v>
      </c>
      <c r="CB56" s="1979" t="s">
        <v>43</v>
      </c>
      <c r="CC56" s="1979" t="s">
        <v>44</v>
      </c>
    </row>
    <row r="57" spans="1:81" s="935" customFormat="1">
      <c r="A57" s="931" t="s">
        <v>169</v>
      </c>
      <c r="B57" s="243">
        <f>SUMIF($BR$2:$CC$2, "&lt;=" &amp; $B$2,$BR57:$CC57) / $B$2</f>
        <v>1991.7142857142858</v>
      </c>
      <c r="C57" s="932"/>
      <c r="D57" s="933"/>
      <c r="E57" s="933"/>
      <c r="F57" s="933"/>
      <c r="G57" s="243">
        <f>SUM(V57:X57)/3</f>
        <v>21.333333333333332</v>
      </c>
      <c r="H57" s="243">
        <f>SUM(Y57:AA57)/3</f>
        <v>95</v>
      </c>
      <c r="I57" s="243">
        <f>SUM(AB57:AD57)/3</f>
        <v>118.66666666666667</v>
      </c>
      <c r="J57" s="243"/>
      <c r="K57" s="243">
        <v>92.333333333333329</v>
      </c>
      <c r="L57" s="932"/>
      <c r="M57" s="937">
        <f>SUM(M39:M42)</f>
        <v>11</v>
      </c>
      <c r="N57" s="937">
        <f t="shared" ref="N57:W57" si="126">SUM(N39:N42)</f>
        <v>12</v>
      </c>
      <c r="O57" s="937">
        <f t="shared" si="126"/>
        <v>15</v>
      </c>
      <c r="P57" s="937">
        <f t="shared" si="126"/>
        <v>16</v>
      </c>
      <c r="Q57" s="937">
        <f t="shared" si="126"/>
        <v>15</v>
      </c>
      <c r="R57" s="937">
        <f t="shared" si="126"/>
        <v>14</v>
      </c>
      <c r="S57" s="937">
        <f t="shared" si="126"/>
        <v>14</v>
      </c>
      <c r="T57" s="937">
        <f t="shared" si="126"/>
        <v>15</v>
      </c>
      <c r="U57" s="937">
        <f t="shared" si="126"/>
        <v>17</v>
      </c>
      <c r="V57" s="937">
        <f t="shared" si="126"/>
        <v>19</v>
      </c>
      <c r="W57" s="937">
        <f t="shared" si="126"/>
        <v>17</v>
      </c>
      <c r="X57" s="937">
        <f t="shared" ref="X57:AC57" si="127">SUM(X39:X42)</f>
        <v>28</v>
      </c>
      <c r="Y57" s="937">
        <f t="shared" si="127"/>
        <v>78</v>
      </c>
      <c r="Z57" s="937">
        <f t="shared" si="127"/>
        <v>99</v>
      </c>
      <c r="AA57" s="937">
        <f t="shared" si="127"/>
        <v>108</v>
      </c>
      <c r="AB57" s="937">
        <f t="shared" si="127"/>
        <v>108</v>
      </c>
      <c r="AC57" s="937">
        <f t="shared" si="127"/>
        <v>118</v>
      </c>
      <c r="AD57" s="937">
        <f t="shared" ref="AD57:AL57" si="128">SUM(AD39:AD42)</f>
        <v>130</v>
      </c>
      <c r="AE57" s="937">
        <f t="shared" si="128"/>
        <v>123</v>
      </c>
      <c r="AF57" s="937">
        <f t="shared" si="128"/>
        <v>134</v>
      </c>
      <c r="AG57" s="937">
        <f t="shared" si="128"/>
        <v>146</v>
      </c>
      <c r="AH57" s="937">
        <f t="shared" si="128"/>
        <v>157</v>
      </c>
      <c r="AI57" s="937">
        <f t="shared" si="128"/>
        <v>151</v>
      </c>
      <c r="AJ57" s="937">
        <f t="shared" si="128"/>
        <v>155</v>
      </c>
      <c r="AK57" s="937">
        <f t="shared" si="128"/>
        <v>189</v>
      </c>
      <c r="AL57" s="937">
        <f t="shared" si="128"/>
        <v>225</v>
      </c>
      <c r="AM57" s="935">
        <f t="shared" ref="AM57:BF57" si="129">SUM(AM39:AM43)</f>
        <v>277</v>
      </c>
      <c r="AN57" s="935">
        <f t="shared" si="129"/>
        <v>285</v>
      </c>
      <c r="AO57" s="935">
        <f t="shared" si="129"/>
        <v>321</v>
      </c>
      <c r="AP57" s="935">
        <f t="shared" si="129"/>
        <v>361</v>
      </c>
      <c r="AQ57" s="935">
        <f t="shared" si="129"/>
        <v>385</v>
      </c>
      <c r="AR57" s="935">
        <f t="shared" si="129"/>
        <v>453</v>
      </c>
      <c r="AS57" s="935">
        <f t="shared" si="129"/>
        <v>539</v>
      </c>
      <c r="AT57" s="935">
        <f t="shared" si="129"/>
        <v>626</v>
      </c>
      <c r="AU57" s="935">
        <f t="shared" si="129"/>
        <v>660</v>
      </c>
      <c r="AV57" s="935">
        <f t="shared" si="129"/>
        <v>722</v>
      </c>
      <c r="AW57" s="935">
        <f t="shared" si="129"/>
        <v>815</v>
      </c>
      <c r="AX57" s="935">
        <f t="shared" si="129"/>
        <v>863</v>
      </c>
      <c r="AY57" s="935">
        <f t="shared" si="129"/>
        <v>846</v>
      </c>
      <c r="AZ57" s="935">
        <f t="shared" si="129"/>
        <v>855</v>
      </c>
      <c r="BA57" s="935">
        <f t="shared" si="129"/>
        <v>846</v>
      </c>
      <c r="BB57" s="935">
        <f t="shared" si="129"/>
        <v>921</v>
      </c>
      <c r="BC57" s="935">
        <f t="shared" si="129"/>
        <v>972</v>
      </c>
      <c r="BD57" s="935">
        <f t="shared" si="129"/>
        <v>999</v>
      </c>
      <c r="BE57" s="935">
        <f t="shared" si="129"/>
        <v>994</v>
      </c>
      <c r="BF57" s="935">
        <f t="shared" si="129"/>
        <v>1013</v>
      </c>
      <c r="BG57" s="935">
        <f t="shared" ref="BG57:BQ57" si="130">SUM(BG39:BG43)</f>
        <v>1004</v>
      </c>
      <c r="BH57" s="935">
        <f>SUM(BH39:BH43)</f>
        <v>1056</v>
      </c>
      <c r="BI57" s="935">
        <f t="shared" si="130"/>
        <v>1140</v>
      </c>
      <c r="BJ57" s="935">
        <f t="shared" si="130"/>
        <v>1223</v>
      </c>
      <c r="BK57" s="935">
        <f t="shared" si="130"/>
        <v>1325</v>
      </c>
      <c r="BL57" s="935">
        <f t="shared" si="130"/>
        <v>1334</v>
      </c>
      <c r="BM57" s="935">
        <f t="shared" si="130"/>
        <v>1449</v>
      </c>
      <c r="BN57" s="935">
        <f t="shared" si="130"/>
        <v>1604</v>
      </c>
      <c r="BO57" s="935">
        <f t="shared" si="130"/>
        <v>1743</v>
      </c>
      <c r="BP57" s="935">
        <f t="shared" si="130"/>
        <v>1779</v>
      </c>
      <c r="BQ57" s="935">
        <f t="shared" si="130"/>
        <v>1984</v>
      </c>
      <c r="BR57" s="935">
        <f t="shared" ref="BR57:BW57" si="131">SUM(BR39:BR43)</f>
        <v>1994</v>
      </c>
      <c r="BS57" s="935">
        <f t="shared" si="131"/>
        <v>2113</v>
      </c>
      <c r="BT57" s="935">
        <f t="shared" si="131"/>
        <v>2116</v>
      </c>
      <c r="BU57" s="935">
        <f t="shared" si="131"/>
        <v>1947</v>
      </c>
      <c r="BV57" s="935">
        <f t="shared" si="131"/>
        <v>1999</v>
      </c>
      <c r="BW57" s="935">
        <f t="shared" si="131"/>
        <v>1972</v>
      </c>
      <c r="BX57" s="935">
        <f t="shared" ref="BX57:CC57" si="132">SUM(BX39:BX43)</f>
        <v>1801</v>
      </c>
      <c r="BY57" s="935">
        <f t="shared" si="132"/>
        <v>0</v>
      </c>
      <c r="BZ57" s="935">
        <f t="shared" si="132"/>
        <v>0</v>
      </c>
      <c r="CA57" s="935">
        <f t="shared" si="132"/>
        <v>0</v>
      </c>
      <c r="CB57" s="935">
        <f t="shared" si="132"/>
        <v>0</v>
      </c>
      <c r="CC57" s="935">
        <f t="shared" si="132"/>
        <v>0</v>
      </c>
    </row>
    <row r="58" spans="1:81" s="1203" customFormat="1">
      <c r="A58" s="1199" t="s">
        <v>141</v>
      </c>
      <c r="B58" s="2355">
        <f>SUMIF($BR$2:$CC$2, "&lt;=" &amp; $B$2,$BR58:$CC58)</f>
        <v>3484</v>
      </c>
      <c r="C58" s="1200"/>
      <c r="D58" s="1201"/>
      <c r="E58" s="1201"/>
      <c r="F58" s="1201"/>
      <c r="G58" s="1201">
        <f>SUM(V58:X58)</f>
        <v>22</v>
      </c>
      <c r="H58" s="1201">
        <f>SUM(Y58:AA58)</f>
        <v>120</v>
      </c>
      <c r="I58" s="1201">
        <f>SUM(AB58:AD58)</f>
        <v>126</v>
      </c>
      <c r="J58" s="1201"/>
      <c r="K58" s="1201">
        <v>432</v>
      </c>
      <c r="L58" s="1200"/>
      <c r="M58" s="1202">
        <v>7</v>
      </c>
      <c r="N58" s="1202">
        <v>5</v>
      </c>
      <c r="O58" s="1202">
        <v>7</v>
      </c>
      <c r="P58" s="1202">
        <v>7</v>
      </c>
      <c r="Q58" s="1202">
        <v>3</v>
      </c>
      <c r="R58" s="1202">
        <v>2</v>
      </c>
      <c r="S58" s="1202">
        <v>6</v>
      </c>
      <c r="T58" s="1202">
        <v>2</v>
      </c>
      <c r="U58" s="1202">
        <v>4</v>
      </c>
      <c r="V58" s="1202">
        <v>5</v>
      </c>
      <c r="W58" s="1202">
        <v>1</v>
      </c>
      <c r="X58" s="1202">
        <f>HCM!U59+HN!U59</f>
        <v>16</v>
      </c>
      <c r="Y58" s="1202">
        <f>HCM!V59+HN!V59</f>
        <v>38</v>
      </c>
      <c r="Z58" s="1202">
        <f>HCM!W59+HN!W59</f>
        <v>45</v>
      </c>
      <c r="AA58" s="1202">
        <f>HCM!X59+HN!X59</f>
        <v>37</v>
      </c>
      <c r="AB58" s="1202">
        <f>HCM!Y59+HN!Y59</f>
        <v>39</v>
      </c>
      <c r="AC58" s="1202">
        <f>HCM!Z59+HN!Z59</f>
        <v>40</v>
      </c>
      <c r="AD58" s="1202">
        <f>HCM!AA59+HN!AA59</f>
        <v>47</v>
      </c>
      <c r="AE58" s="1202">
        <f>HCM!AB59+HN!AB59</f>
        <v>56</v>
      </c>
      <c r="AF58" s="1202">
        <f>HCM!AC59+HN!AC59</f>
        <v>48</v>
      </c>
      <c r="AG58" s="1202">
        <f>HCM!AD59+HN!AD59</f>
        <v>60</v>
      </c>
      <c r="AH58" s="1202">
        <f>HCM!AE59+HN!AE59</f>
        <v>31</v>
      </c>
      <c r="AI58" s="1202">
        <f>HCM!AF59+HN!AF59</f>
        <v>30</v>
      </c>
      <c r="AJ58" s="1202">
        <f>HCM!AG59+HN!AG59</f>
        <v>40</v>
      </c>
      <c r="AK58" s="1202">
        <f>HCM!AH59+HN!AH59</f>
        <v>86</v>
      </c>
      <c r="AL58" s="1202">
        <f>HCM!AI59+HN!AI59</f>
        <v>98</v>
      </c>
      <c r="AM58" s="1203">
        <v>129</v>
      </c>
      <c r="AN58" s="1203">
        <v>150</v>
      </c>
      <c r="AO58" s="1203">
        <v>146</v>
      </c>
      <c r="AP58" s="1203">
        <v>146</v>
      </c>
      <c r="AQ58" s="1203">
        <v>126</v>
      </c>
      <c r="AR58" s="1203">
        <v>185</v>
      </c>
      <c r="AS58" s="1203">
        <v>215</v>
      </c>
      <c r="AT58" s="1605">
        <v>220</v>
      </c>
      <c r="AU58" s="1203">
        <v>119</v>
      </c>
      <c r="AV58" s="1203">
        <v>120</v>
      </c>
      <c r="AW58" s="1203">
        <v>287</v>
      </c>
      <c r="AX58" s="1203">
        <v>260</v>
      </c>
      <c r="AY58" s="1203">
        <v>279</v>
      </c>
      <c r="AZ58" s="1203">
        <v>282</v>
      </c>
      <c r="BA58" s="1203">
        <v>282</v>
      </c>
      <c r="BB58" s="1203">
        <v>293</v>
      </c>
      <c r="BC58" s="1203">
        <v>265</v>
      </c>
      <c r="BD58" s="1203">
        <v>387</v>
      </c>
      <c r="BE58" s="1203">
        <v>329</v>
      </c>
      <c r="BF58" s="1203">
        <v>145</v>
      </c>
      <c r="BG58" s="1203">
        <v>123</v>
      </c>
      <c r="BH58" s="1203">
        <v>338</v>
      </c>
      <c r="BI58" s="1203">
        <v>266</v>
      </c>
      <c r="BJ58" s="1203">
        <v>333</v>
      </c>
      <c r="BK58" s="1203">
        <v>493</v>
      </c>
      <c r="BL58" s="922">
        <f>+HCM!BI59+HN!BI59</f>
        <v>366</v>
      </c>
      <c r="BM58" s="922">
        <f>+HCM!BJ59+HN!BJ59</f>
        <v>392</v>
      </c>
      <c r="BN58" s="922">
        <f>+HCM!BK59+HN!BK59</f>
        <v>597</v>
      </c>
      <c r="BO58" s="922">
        <f>+HCM!BL59+HN!BL59</f>
        <v>570</v>
      </c>
      <c r="BP58" s="922">
        <f>+HCM!BM59+HN!BM59</f>
        <v>638</v>
      </c>
      <c r="BQ58" s="922">
        <f>+HCM!BN59+HN!BN59</f>
        <v>715</v>
      </c>
      <c r="BR58" s="922">
        <f>+HCM!BO59+HN!BO59</f>
        <v>314</v>
      </c>
      <c r="BS58" s="922">
        <f>+HCM!BP59+HN!BP59</f>
        <v>513</v>
      </c>
      <c r="BT58" s="922">
        <f>+HCM!BQ59+HN!BQ59</f>
        <v>577</v>
      </c>
      <c r="BU58" s="922">
        <f>+HCM!BR59+HN!BR59</f>
        <v>480</v>
      </c>
      <c r="BV58" s="922">
        <f>+HCM!BS59+HN!BS59</f>
        <v>454</v>
      </c>
      <c r="BW58" s="922">
        <f>+HCM!BT59+HN!BT59</f>
        <v>675</v>
      </c>
      <c r="BX58" s="922">
        <f>+HCM!BU59+HN!BU59</f>
        <v>471</v>
      </c>
      <c r="BY58" s="922">
        <f>+HCM!BV59+HN!BV59</f>
        <v>0</v>
      </c>
      <c r="BZ58" s="922">
        <f>+HCM!BW59+HN!BW59</f>
        <v>0</v>
      </c>
      <c r="CA58" s="922">
        <f>+HCM!BX59+HN!BX59</f>
        <v>0</v>
      </c>
      <c r="CB58" s="922">
        <f>+HCM!BY59+HN!BY59</f>
        <v>0</v>
      </c>
      <c r="CC58" s="922">
        <f>+HCM!BZ59+HN!BZ59</f>
        <v>0</v>
      </c>
    </row>
    <row r="59" spans="1:81">
      <c r="A59" s="212" t="s">
        <v>140</v>
      </c>
      <c r="B59" s="245">
        <f>IF(B57&lt;&gt;0,B58/ (B57 * $B$2),0)</f>
        <v>0.24989241141873475</v>
      </c>
      <c r="G59" s="245">
        <f>IF(G57&lt;&gt;0,G58/ (G57 * $G$2),0)</f>
        <v>0.34375</v>
      </c>
      <c r="H59" s="245">
        <f>IF(H57&lt;&gt;0,H58/ (H57 * $G$2),0)</f>
        <v>0.42105263157894735</v>
      </c>
      <c r="I59" s="245">
        <f>IF(I57&lt;&gt;0,I58/ (I57 * $G$2),0)</f>
        <v>0.3539325842696629</v>
      </c>
      <c r="J59" s="245"/>
      <c r="K59" s="245">
        <v>0.38989169675090252</v>
      </c>
      <c r="M59" s="240">
        <f>IF(M57&lt;&gt;0,M58/M57,0)</f>
        <v>0.63636363636363635</v>
      </c>
      <c r="N59" s="240">
        <f t="shared" ref="N59:W59" si="133">IF(N57&lt;&gt;0,N58/N57,0)</f>
        <v>0.41666666666666669</v>
      </c>
      <c r="O59" s="240">
        <f t="shared" si="133"/>
        <v>0.46666666666666667</v>
      </c>
      <c r="P59" s="240">
        <f t="shared" si="133"/>
        <v>0.4375</v>
      </c>
      <c r="Q59" s="240">
        <f t="shared" si="133"/>
        <v>0.2</v>
      </c>
      <c r="R59" s="240">
        <f t="shared" si="133"/>
        <v>0.14285714285714285</v>
      </c>
      <c r="S59" s="240">
        <f t="shared" si="133"/>
        <v>0.42857142857142855</v>
      </c>
      <c r="T59" s="240">
        <f t="shared" si="133"/>
        <v>0.13333333333333333</v>
      </c>
      <c r="U59" s="240">
        <f t="shared" si="133"/>
        <v>0.23529411764705882</v>
      </c>
      <c r="V59" s="240">
        <f t="shared" si="133"/>
        <v>0.26315789473684209</v>
      </c>
      <c r="W59" s="240">
        <f t="shared" si="133"/>
        <v>5.8823529411764705E-2</v>
      </c>
      <c r="X59" s="240">
        <f t="shared" ref="X59:AC59" si="134">IF(X57&lt;&gt;0,X58/X57,0)</f>
        <v>0.5714285714285714</v>
      </c>
      <c r="Y59" s="240">
        <f t="shared" si="134"/>
        <v>0.48717948717948717</v>
      </c>
      <c r="Z59" s="240">
        <f t="shared" si="134"/>
        <v>0.45454545454545453</v>
      </c>
      <c r="AA59" s="240">
        <f t="shared" si="134"/>
        <v>0.34259259259259262</v>
      </c>
      <c r="AB59" s="240">
        <f t="shared" si="134"/>
        <v>0.3611111111111111</v>
      </c>
      <c r="AC59" s="240">
        <f t="shared" si="134"/>
        <v>0.33898305084745761</v>
      </c>
      <c r="AD59" s="240">
        <f t="shared" ref="AD59:AK59" si="135">IF(AD57&lt;&gt;0,AD58/AD57,0)</f>
        <v>0.36153846153846153</v>
      </c>
      <c r="AE59" s="240">
        <f t="shared" si="135"/>
        <v>0.45528455284552843</v>
      </c>
      <c r="AF59" s="240">
        <f t="shared" si="135"/>
        <v>0.35820895522388058</v>
      </c>
      <c r="AG59" s="240">
        <f t="shared" si="135"/>
        <v>0.41095890410958902</v>
      </c>
      <c r="AH59" s="240">
        <f t="shared" si="135"/>
        <v>0.19745222929936307</v>
      </c>
      <c r="AI59" s="240">
        <f t="shared" si="135"/>
        <v>0.19867549668874171</v>
      </c>
      <c r="AJ59" s="240">
        <f t="shared" si="135"/>
        <v>0.25806451612903225</v>
      </c>
      <c r="AK59" s="240">
        <f t="shared" si="135"/>
        <v>0.455026455026455</v>
      </c>
      <c r="AL59" s="240">
        <f t="shared" ref="AL59:AS59" si="136">IF(AL57&lt;&gt;0,AL58/AL57,0)</f>
        <v>0.43555555555555553</v>
      </c>
      <c r="AM59" s="240">
        <f t="shared" si="136"/>
        <v>0.46570397111913359</v>
      </c>
      <c r="AN59" s="240">
        <f t="shared" si="136"/>
        <v>0.52631578947368418</v>
      </c>
      <c r="AO59" s="240">
        <f t="shared" si="136"/>
        <v>0.45482866043613707</v>
      </c>
      <c r="AP59" s="240">
        <f t="shared" si="136"/>
        <v>0.40443213296398894</v>
      </c>
      <c r="AQ59" s="240">
        <f t="shared" si="136"/>
        <v>0.32727272727272727</v>
      </c>
      <c r="AR59" s="240">
        <f t="shared" si="136"/>
        <v>0.4083885209713024</v>
      </c>
      <c r="AS59" s="240">
        <f t="shared" si="136"/>
        <v>0.39888682745825604</v>
      </c>
      <c r="AT59" s="240">
        <f t="shared" ref="AT59:BF59" si="137">IF(AT57&lt;&gt;0,AT58/AT57,0)</f>
        <v>0.3514376996805112</v>
      </c>
      <c r="AU59" s="240">
        <f t="shared" si="137"/>
        <v>0.1803030303030303</v>
      </c>
      <c r="AV59" s="240">
        <f t="shared" si="137"/>
        <v>0.16620498614958448</v>
      </c>
      <c r="AW59" s="240">
        <f t="shared" si="137"/>
        <v>0.3521472392638037</v>
      </c>
      <c r="AX59" s="240">
        <f t="shared" si="137"/>
        <v>0.30127462340672073</v>
      </c>
      <c r="AY59" s="240">
        <f t="shared" si="137"/>
        <v>0.32978723404255317</v>
      </c>
      <c r="AZ59" s="240">
        <f t="shared" si="137"/>
        <v>0.3298245614035088</v>
      </c>
      <c r="BA59" s="240">
        <f t="shared" si="137"/>
        <v>0.33333333333333331</v>
      </c>
      <c r="BB59" s="240">
        <f t="shared" si="137"/>
        <v>0.31813246471226925</v>
      </c>
      <c r="BC59" s="240">
        <f t="shared" si="137"/>
        <v>0.27263374485596709</v>
      </c>
      <c r="BD59" s="240">
        <f t="shared" si="137"/>
        <v>0.38738738738738737</v>
      </c>
      <c r="BE59" s="240">
        <f t="shared" si="137"/>
        <v>0.33098591549295775</v>
      </c>
      <c r="BF59" s="240">
        <f t="shared" si="137"/>
        <v>0.14313919052319843</v>
      </c>
      <c r="BG59" s="240">
        <f t="shared" ref="BG59:BQ59" si="138">IF(BG57&lt;&gt;0,BG58/BG57,0)</f>
        <v>0.12250996015936255</v>
      </c>
      <c r="BH59" s="240">
        <f>IF(BH57&lt;&gt;0,BH58/BH57,0)</f>
        <v>0.32007575757575757</v>
      </c>
      <c r="BI59" s="240">
        <f t="shared" si="138"/>
        <v>0.23333333333333334</v>
      </c>
      <c r="BJ59" s="240">
        <f t="shared" si="138"/>
        <v>0.2722812755519215</v>
      </c>
      <c r="BK59" s="240">
        <f t="shared" si="138"/>
        <v>0.37207547169811322</v>
      </c>
      <c r="BL59" s="240">
        <f t="shared" si="138"/>
        <v>0.27436281859070466</v>
      </c>
      <c r="BM59" s="240">
        <f t="shared" si="138"/>
        <v>0.27053140096618356</v>
      </c>
      <c r="BN59" s="240">
        <f t="shared" si="138"/>
        <v>0.37219451371571072</v>
      </c>
      <c r="BO59" s="240">
        <f t="shared" si="138"/>
        <v>0.32702237521514632</v>
      </c>
      <c r="BP59" s="240">
        <f t="shared" si="138"/>
        <v>0.35862844294547497</v>
      </c>
      <c r="BQ59" s="240">
        <f t="shared" si="138"/>
        <v>0.36038306451612906</v>
      </c>
      <c r="BR59" s="240">
        <f t="shared" ref="BR59:BW59" si="139">IF(BR57&lt;&gt;0,BR58/BR57,0)</f>
        <v>0.15747241725175526</v>
      </c>
      <c r="BS59" s="240">
        <f t="shared" si="139"/>
        <v>0.24278277330809275</v>
      </c>
      <c r="BT59" s="240">
        <f t="shared" si="139"/>
        <v>0.27268431001890359</v>
      </c>
      <c r="BU59" s="240">
        <f t="shared" si="139"/>
        <v>0.24653312788906009</v>
      </c>
      <c r="BV59" s="240">
        <f t="shared" si="139"/>
        <v>0.22711355677838921</v>
      </c>
      <c r="BW59" s="240">
        <f t="shared" si="139"/>
        <v>0.34229208924949289</v>
      </c>
      <c r="BX59" s="240">
        <f t="shared" ref="BX59:CC59" si="140">IF(BX57&lt;&gt;0,BX58/BX57,0)</f>
        <v>0.26152137701277067</v>
      </c>
      <c r="BY59" s="240">
        <f t="shared" si="140"/>
        <v>0</v>
      </c>
      <c r="BZ59" s="240">
        <f t="shared" si="140"/>
        <v>0</v>
      </c>
      <c r="CA59" s="240">
        <f t="shared" si="140"/>
        <v>0</v>
      </c>
      <c r="CB59" s="240">
        <f t="shared" si="140"/>
        <v>0</v>
      </c>
      <c r="CC59" s="240">
        <f t="shared" si="140"/>
        <v>0</v>
      </c>
    </row>
    <row r="60" spans="1:81">
      <c r="A60" s="212" t="s">
        <v>142</v>
      </c>
      <c r="B60" s="242">
        <f>IF(B58&lt;&gt;0,B48/B58,0)</f>
        <v>2.0358783008036738</v>
      </c>
      <c r="G60" s="242">
        <f>IF(G58&lt;&gt;0,G48/G58,0)</f>
        <v>1.9545454545454546</v>
      </c>
      <c r="H60" s="242">
        <f>IF(H58&lt;&gt;0,H48/H58,0)</f>
        <v>1.75</v>
      </c>
      <c r="I60" s="242">
        <f>IF(I58&lt;&gt;0,I48/I58,0)</f>
        <v>1.7142857142857142</v>
      </c>
      <c r="J60" s="242"/>
      <c r="K60" s="242">
        <v>1.8148148148148149</v>
      </c>
      <c r="M60" s="215">
        <f>M48/M58</f>
        <v>3</v>
      </c>
      <c r="N60" s="215">
        <f t="shared" ref="N60:X60" si="141">N48/N58</f>
        <v>1.4</v>
      </c>
      <c r="O60" s="215">
        <f t="shared" si="141"/>
        <v>2.1428571428571428</v>
      </c>
      <c r="P60" s="215">
        <f t="shared" si="141"/>
        <v>1.2857142857142858</v>
      </c>
      <c r="Q60" s="215">
        <f t="shared" si="141"/>
        <v>1.3333333333333333</v>
      </c>
      <c r="R60" s="215">
        <f t="shared" si="141"/>
        <v>1</v>
      </c>
      <c r="S60" s="215">
        <f t="shared" si="141"/>
        <v>1</v>
      </c>
      <c r="T60" s="215">
        <f t="shared" si="141"/>
        <v>1.5</v>
      </c>
      <c r="U60" s="215">
        <f t="shared" si="141"/>
        <v>3</v>
      </c>
      <c r="V60" s="215">
        <f t="shared" si="141"/>
        <v>1.6</v>
      </c>
      <c r="W60" s="215">
        <f t="shared" si="141"/>
        <v>1</v>
      </c>
      <c r="X60" s="215">
        <f t="shared" si="141"/>
        <v>2.125</v>
      </c>
      <c r="Y60" s="215">
        <f t="shared" ref="Y60:AD60" si="142">Y48/Y58</f>
        <v>1.736842105263158</v>
      </c>
      <c r="Z60" s="215">
        <f t="shared" si="142"/>
        <v>1.711111111111111</v>
      </c>
      <c r="AA60" s="215">
        <f t="shared" si="142"/>
        <v>1.8108108108108107</v>
      </c>
      <c r="AB60" s="215">
        <f t="shared" si="142"/>
        <v>1.3333333333333333</v>
      </c>
      <c r="AC60" s="215">
        <f t="shared" si="142"/>
        <v>1.7</v>
      </c>
      <c r="AD60" s="581">
        <f t="shared" si="142"/>
        <v>2.0425531914893615</v>
      </c>
      <c r="AE60" s="569">
        <f>AE48/AE58</f>
        <v>1.6071428571428572</v>
      </c>
      <c r="AF60" s="569">
        <f>AF48/AF58</f>
        <v>1.7291666666666667</v>
      </c>
      <c r="AG60" s="569">
        <f>AG48/AG58</f>
        <v>2.3666666666666667</v>
      </c>
      <c r="AH60" s="569">
        <f>AH48/AH58</f>
        <v>1.5161290322580645</v>
      </c>
      <c r="AI60" s="581">
        <f t="shared" ref="AI60:AS60" si="143">AI48/AI58</f>
        <v>1.5333333333333334</v>
      </c>
      <c r="AJ60" s="581">
        <f t="shared" si="143"/>
        <v>1.7</v>
      </c>
      <c r="AK60" s="581">
        <f t="shared" si="143"/>
        <v>1.6046511627906976</v>
      </c>
      <c r="AL60" s="581">
        <f t="shared" si="143"/>
        <v>1.8061224489795917</v>
      </c>
      <c r="AM60" s="581">
        <f t="shared" si="143"/>
        <v>1.8449612403100775</v>
      </c>
      <c r="AN60" s="581">
        <f t="shared" si="143"/>
        <v>1.0866666666666667</v>
      </c>
      <c r="AO60" s="581">
        <f t="shared" si="143"/>
        <v>1.726027397260274</v>
      </c>
      <c r="AP60" s="581">
        <f t="shared" si="143"/>
        <v>1.773972602739726</v>
      </c>
      <c r="AQ60" s="581">
        <f t="shared" si="143"/>
        <v>1.5555555555555556</v>
      </c>
      <c r="AR60" s="581">
        <f t="shared" si="143"/>
        <v>1.7621621621621621</v>
      </c>
      <c r="AS60" s="581">
        <f t="shared" si="143"/>
        <v>1.6325581395348838</v>
      </c>
      <c r="AT60" s="581">
        <f t="shared" ref="AT60:BF60" si="144">AT48/AT58</f>
        <v>1.5909090909090908</v>
      </c>
      <c r="AU60" s="581">
        <f t="shared" si="144"/>
        <v>1.546218487394958</v>
      </c>
      <c r="AV60" s="581">
        <f t="shared" si="144"/>
        <v>3.2166666666666668</v>
      </c>
      <c r="AW60" s="581">
        <f t="shared" si="144"/>
        <v>1.6620209059233448</v>
      </c>
      <c r="AX60" s="581">
        <f t="shared" si="144"/>
        <v>1.5538461538461539</v>
      </c>
      <c r="AY60" s="581">
        <f t="shared" si="144"/>
        <v>1.5376344086021505</v>
      </c>
      <c r="AZ60" s="581">
        <f t="shared" si="144"/>
        <v>1.5815602836879432</v>
      </c>
      <c r="BA60" s="581">
        <f t="shared" si="144"/>
        <v>1.5212765957446808</v>
      </c>
      <c r="BB60" s="581">
        <f t="shared" si="144"/>
        <v>1.6143344709897611</v>
      </c>
      <c r="BC60" s="581">
        <f t="shared" si="144"/>
        <v>1.5320754716981133</v>
      </c>
      <c r="BD60" s="581">
        <f t="shared" si="144"/>
        <v>1.9173126614987079</v>
      </c>
      <c r="BE60" s="581">
        <f t="shared" si="144"/>
        <v>1.6930091185410334</v>
      </c>
      <c r="BF60" s="581">
        <f t="shared" si="144"/>
        <v>1.3241379310344827</v>
      </c>
      <c r="BG60" s="581">
        <f t="shared" ref="BG60:BQ60" si="145">BG48/BG58</f>
        <v>1.5121951219512195</v>
      </c>
      <c r="BH60" s="581">
        <f>BH48/BH58</f>
        <v>1.834319526627219</v>
      </c>
      <c r="BI60" s="581">
        <f t="shared" si="145"/>
        <v>1.7706766917293233</v>
      </c>
      <c r="BJ60" s="581">
        <f>BJ48/BJ58</f>
        <v>1.8588588588588588</v>
      </c>
      <c r="BK60" s="581">
        <f t="shared" si="145"/>
        <v>2.2718052738336714</v>
      </c>
      <c r="BL60" s="581">
        <f t="shared" si="145"/>
        <v>2.2568306010928962</v>
      </c>
      <c r="BM60" s="581">
        <f t="shared" si="145"/>
        <v>2.420918367346939</v>
      </c>
      <c r="BN60" s="581">
        <f t="shared" si="145"/>
        <v>1.8140703517587939</v>
      </c>
      <c r="BO60" s="581">
        <f t="shared" si="145"/>
        <v>1.7789473684210526</v>
      </c>
      <c r="BP60" s="581">
        <f t="shared" si="145"/>
        <v>1.6739811912225706</v>
      </c>
      <c r="BQ60" s="581">
        <f t="shared" si="145"/>
        <v>1.8937062937062936</v>
      </c>
      <c r="BR60" s="581">
        <f t="shared" ref="BR60:BW60" si="146">BR48/BR58</f>
        <v>1.3726114649681529</v>
      </c>
      <c r="BS60" s="581">
        <f t="shared" si="146"/>
        <v>1.7933723196881091</v>
      </c>
      <c r="BT60" s="581">
        <f t="shared" si="146"/>
        <v>1.9948006932409013</v>
      </c>
      <c r="BU60" s="581">
        <f t="shared" si="146"/>
        <v>1.8854166666666667</v>
      </c>
      <c r="BV60" s="581">
        <f t="shared" si="146"/>
        <v>1.9801762114537445</v>
      </c>
      <c r="BW60" s="581">
        <f t="shared" si="146"/>
        <v>2.4948148148148146</v>
      </c>
      <c r="BX60" s="581">
        <f>IFERROR(BX48/BX58,"-")</f>
        <v>2.3418259023354566</v>
      </c>
      <c r="BY60" s="581" t="str">
        <f t="shared" ref="BY60:CC60" si="147">IFERROR(BY48/BY58,"-")</f>
        <v>-</v>
      </c>
      <c r="BZ60" s="581" t="str">
        <f t="shared" si="147"/>
        <v>-</v>
      </c>
      <c r="CA60" s="581" t="str">
        <f t="shared" si="147"/>
        <v>-</v>
      </c>
      <c r="CB60" s="581" t="str">
        <f t="shared" si="147"/>
        <v>-</v>
      </c>
      <c r="CC60" s="581" t="str">
        <f t="shared" si="147"/>
        <v>-</v>
      </c>
    </row>
    <row r="61" spans="1:81">
      <c r="A61" s="212" t="s">
        <v>184</v>
      </c>
      <c r="B61" s="242">
        <f>B48/ (B57 *$B$2)</f>
        <v>0.50875053794290637</v>
      </c>
      <c r="G61" s="242">
        <f>G48/ (G58 *3)</f>
        <v>0.65151515151515149</v>
      </c>
      <c r="H61" s="242">
        <f>H48/ (H58 *3)</f>
        <v>0.58333333333333337</v>
      </c>
      <c r="I61" s="242">
        <f>I48/ (I58 *3)</f>
        <v>0.5714285714285714</v>
      </c>
      <c r="J61" s="242"/>
      <c r="K61" s="242">
        <v>0.70758122743682306</v>
      </c>
      <c r="M61" s="215">
        <f>M48/M57</f>
        <v>1.9090909090909092</v>
      </c>
      <c r="N61" s="215">
        <f t="shared" ref="N61:W61" si="148">N48/N57</f>
        <v>0.58333333333333337</v>
      </c>
      <c r="O61" s="215">
        <f t="shared" si="148"/>
        <v>1</v>
      </c>
      <c r="P61" s="215">
        <f t="shared" si="148"/>
        <v>0.5625</v>
      </c>
      <c r="Q61" s="215">
        <f t="shared" si="148"/>
        <v>0.26666666666666666</v>
      </c>
      <c r="R61" s="215">
        <f t="shared" si="148"/>
        <v>0.14285714285714285</v>
      </c>
      <c r="S61" s="215">
        <f t="shared" si="148"/>
        <v>0.42857142857142855</v>
      </c>
      <c r="T61" s="215">
        <f t="shared" si="148"/>
        <v>0.2</v>
      </c>
      <c r="U61" s="215">
        <f t="shared" si="148"/>
        <v>0.70588235294117652</v>
      </c>
      <c r="V61" s="215">
        <f t="shared" si="148"/>
        <v>0.42105263157894735</v>
      </c>
      <c r="W61" s="215">
        <f t="shared" si="148"/>
        <v>5.8823529411764705E-2</v>
      </c>
      <c r="X61" s="215">
        <f t="shared" ref="X61:AC61" si="149">X48/X57</f>
        <v>1.2142857142857142</v>
      </c>
      <c r="Y61" s="215">
        <f t="shared" si="149"/>
        <v>0.84615384615384615</v>
      </c>
      <c r="Z61" s="215">
        <f t="shared" si="149"/>
        <v>0.77777777777777779</v>
      </c>
      <c r="AA61" s="215">
        <f t="shared" si="149"/>
        <v>0.62037037037037035</v>
      </c>
      <c r="AB61" s="215">
        <f t="shared" si="149"/>
        <v>0.48148148148148145</v>
      </c>
      <c r="AC61" s="215">
        <f t="shared" si="149"/>
        <v>0.57627118644067798</v>
      </c>
      <c r="AD61" s="215">
        <f>AD48/AD57</f>
        <v>0.7384615384615385</v>
      </c>
      <c r="AE61" s="215">
        <f>AE48/AE57</f>
        <v>0.73170731707317072</v>
      </c>
      <c r="AF61" s="215">
        <f>AF48/AF57</f>
        <v>0.61940298507462688</v>
      </c>
      <c r="AG61" s="215">
        <f>AG48/AG57</f>
        <v>0.9726027397260274</v>
      </c>
      <c r="AH61" s="215">
        <f>AH48/AH57</f>
        <v>0.29936305732484075</v>
      </c>
      <c r="AI61" s="215">
        <f t="shared" ref="AI61:AS61" si="150">AI48/AI57</f>
        <v>0.30463576158940397</v>
      </c>
      <c r="AJ61" s="215">
        <f t="shared" si="150"/>
        <v>0.43870967741935485</v>
      </c>
      <c r="AK61" s="215">
        <f t="shared" si="150"/>
        <v>0.73015873015873012</v>
      </c>
      <c r="AL61" s="215">
        <f t="shared" si="150"/>
        <v>0.78666666666666663</v>
      </c>
      <c r="AM61" s="215">
        <f t="shared" si="150"/>
        <v>0.8592057761732852</v>
      </c>
      <c r="AN61" s="215">
        <f t="shared" si="150"/>
        <v>0.57192982456140351</v>
      </c>
      <c r="AO61" s="215">
        <f t="shared" si="150"/>
        <v>0.78504672897196259</v>
      </c>
      <c r="AP61" s="215">
        <f t="shared" si="150"/>
        <v>0.7174515235457064</v>
      </c>
      <c r="AQ61" s="215">
        <f t="shared" si="150"/>
        <v>0.50909090909090904</v>
      </c>
      <c r="AR61" s="215">
        <f t="shared" si="150"/>
        <v>0.7196467991169978</v>
      </c>
      <c r="AS61" s="215">
        <f t="shared" si="150"/>
        <v>0.65120593692022266</v>
      </c>
      <c r="AT61" s="215">
        <f t="shared" ref="AT61:BF61" si="151">AT48/AT57</f>
        <v>0.5591054313099042</v>
      </c>
      <c r="AU61" s="215">
        <f t="shared" si="151"/>
        <v>0.27878787878787881</v>
      </c>
      <c r="AV61" s="215">
        <f t="shared" si="151"/>
        <v>0.53462603878116344</v>
      </c>
      <c r="AW61" s="215">
        <f t="shared" si="151"/>
        <v>0.58527607361963185</v>
      </c>
      <c r="AX61" s="215">
        <f t="shared" si="151"/>
        <v>0.46813441483198148</v>
      </c>
      <c r="AY61" s="215">
        <f t="shared" si="151"/>
        <v>0.50709219858156029</v>
      </c>
      <c r="AZ61" s="215">
        <f t="shared" si="151"/>
        <v>0.52163742690058479</v>
      </c>
      <c r="BA61" s="215">
        <f t="shared" si="151"/>
        <v>0.50709219858156029</v>
      </c>
      <c r="BB61" s="215">
        <f t="shared" si="151"/>
        <v>0.51357220412595006</v>
      </c>
      <c r="BC61" s="215">
        <f t="shared" si="151"/>
        <v>0.41769547325102879</v>
      </c>
      <c r="BD61" s="215">
        <f t="shared" si="151"/>
        <v>0.74274274274274277</v>
      </c>
      <c r="BE61" s="215">
        <f t="shared" si="151"/>
        <v>0.56036217303822933</v>
      </c>
      <c r="BF61" s="215">
        <f t="shared" si="151"/>
        <v>0.1895360315893386</v>
      </c>
      <c r="BG61" s="215">
        <f t="shared" ref="BG61:BQ61" si="152">BG48/BG57</f>
        <v>0.1852589641434263</v>
      </c>
      <c r="BH61" s="215">
        <f>BH48/BH57</f>
        <v>0.58712121212121215</v>
      </c>
      <c r="BI61" s="215">
        <f t="shared" si="152"/>
        <v>0.41315789473684211</v>
      </c>
      <c r="BJ61" s="215">
        <f t="shared" si="152"/>
        <v>0.50613246116107935</v>
      </c>
      <c r="BK61" s="215">
        <f t="shared" si="152"/>
        <v>0.84528301886792456</v>
      </c>
      <c r="BL61" s="215">
        <f t="shared" si="152"/>
        <v>0.61919040479760123</v>
      </c>
      <c r="BM61" s="215">
        <f t="shared" si="152"/>
        <v>0.65493443754313319</v>
      </c>
      <c r="BN61" s="215">
        <f t="shared" si="152"/>
        <v>0.67518703241895262</v>
      </c>
      <c r="BO61" s="215">
        <f t="shared" si="152"/>
        <v>0.58175559380378661</v>
      </c>
      <c r="BP61" s="215">
        <f t="shared" si="152"/>
        <v>0.6003372681281619</v>
      </c>
      <c r="BQ61" s="215">
        <f t="shared" si="152"/>
        <v>0.68245967741935487</v>
      </c>
      <c r="BR61" s="215">
        <f t="shared" ref="BR61:BW61" si="153">BR48/BR57</f>
        <v>0.21614844533600802</v>
      </c>
      <c r="BS61" s="215">
        <f t="shared" si="153"/>
        <v>0.43539990534784667</v>
      </c>
      <c r="BT61" s="215">
        <f t="shared" si="153"/>
        <v>0.54395085066162574</v>
      </c>
      <c r="BU61" s="215">
        <f t="shared" si="153"/>
        <v>0.4648176682074987</v>
      </c>
      <c r="BV61" s="215">
        <f t="shared" si="153"/>
        <v>0.44972486243121562</v>
      </c>
      <c r="BW61" s="215">
        <f t="shared" si="153"/>
        <v>0.8539553752535497</v>
      </c>
      <c r="BX61" s="215">
        <f>IFERROR(BX48/BX57,"-")</f>
        <v>0.61243753470294282</v>
      </c>
      <c r="BY61" s="215" t="str">
        <f t="shared" ref="BY61:CC61" si="154">IFERROR(BY48/BY57,"-")</f>
        <v>-</v>
      </c>
      <c r="BZ61" s="215" t="str">
        <f t="shared" si="154"/>
        <v>-</v>
      </c>
      <c r="CA61" s="215" t="str">
        <f t="shared" si="154"/>
        <v>-</v>
      </c>
      <c r="CB61" s="215" t="str">
        <f t="shared" si="154"/>
        <v>-</v>
      </c>
      <c r="CC61" s="215" t="str">
        <f t="shared" si="154"/>
        <v>-</v>
      </c>
    </row>
    <row r="62" spans="1:81">
      <c r="A62" s="212" t="s">
        <v>251</v>
      </c>
      <c r="B62" s="242">
        <f>SUMIF($BR$2:$CC$2, "=" &amp; $B$2, $BR$57:$CC$57)</f>
        <v>1801</v>
      </c>
      <c r="G62" s="242"/>
      <c r="H62" s="242"/>
      <c r="I62" s="242"/>
      <c r="J62" s="242"/>
      <c r="K62" s="242">
        <v>146</v>
      </c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H62" s="216"/>
      <c r="BR62" s="1959">
        <f>BR48/BR58</f>
        <v>1.3726114649681529</v>
      </c>
      <c r="BS62" s="1959">
        <f t="shared" ref="BS62:BU62" si="155">BS48/BS58</f>
        <v>1.7933723196881091</v>
      </c>
      <c r="BT62" s="1959">
        <f t="shared" si="155"/>
        <v>1.9948006932409013</v>
      </c>
      <c r="BU62" s="1959">
        <f t="shared" si="155"/>
        <v>1.8854166666666667</v>
      </c>
      <c r="BV62" s="1959">
        <f t="shared" ref="BV62:BW62" si="156">BV48/BV58</f>
        <v>1.9801762114537445</v>
      </c>
      <c r="BW62" s="1959">
        <f t="shared" si="156"/>
        <v>2.4948148148148146</v>
      </c>
      <c r="BX62" s="2375">
        <f>IFERROR(BX48/BX58,"-")</f>
        <v>2.3418259023354566</v>
      </c>
      <c r="BY62" s="2375" t="str">
        <f t="shared" ref="BY62:CC62" si="157">IFERROR(BY48/BY58,"-")</f>
        <v>-</v>
      </c>
      <c r="BZ62" s="2375" t="str">
        <f t="shared" si="157"/>
        <v>-</v>
      </c>
      <c r="CA62" s="2375" t="str">
        <f t="shared" si="157"/>
        <v>-</v>
      </c>
      <c r="CB62" s="2375" t="str">
        <f t="shared" si="157"/>
        <v>-</v>
      </c>
      <c r="CC62" s="2375" t="str">
        <f t="shared" si="157"/>
        <v>-</v>
      </c>
    </row>
    <row r="63" spans="1:81">
      <c r="AH63" s="216"/>
    </row>
    <row r="64" spans="1:81" s="238" customFormat="1" ht="16.5" customHeight="1">
      <c r="A64" s="219" t="s">
        <v>160</v>
      </c>
      <c r="B64" s="235"/>
      <c r="C64" s="236"/>
      <c r="D64" s="235"/>
      <c r="E64" s="235"/>
      <c r="F64" s="235"/>
      <c r="G64" s="235"/>
      <c r="H64" s="235"/>
      <c r="I64" s="235"/>
      <c r="J64" s="235"/>
      <c r="K64" s="235"/>
      <c r="L64" s="236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</row>
    <row r="65" spans="1:81" s="228" customFormat="1">
      <c r="A65" s="224" t="s">
        <v>1</v>
      </c>
      <c r="B65" s="225" t="s">
        <v>163</v>
      </c>
      <c r="C65" s="225"/>
      <c r="D65" s="226" t="s">
        <v>59</v>
      </c>
      <c r="E65" s="226" t="s">
        <v>94</v>
      </c>
      <c r="F65" s="226" t="s">
        <v>97</v>
      </c>
      <c r="G65" s="226" t="s">
        <v>150</v>
      </c>
      <c r="H65" s="226" t="s">
        <v>508</v>
      </c>
      <c r="I65" s="226" t="s">
        <v>509</v>
      </c>
      <c r="J65" s="226"/>
      <c r="K65" s="226" t="s">
        <v>163</v>
      </c>
      <c r="L65" s="225"/>
      <c r="M65" s="227">
        <v>41000</v>
      </c>
      <c r="N65" s="227">
        <v>41030</v>
      </c>
      <c r="O65" s="227">
        <v>41061</v>
      </c>
      <c r="P65" s="227">
        <v>41091</v>
      </c>
      <c r="Q65" s="227">
        <v>41122</v>
      </c>
      <c r="R65" s="227">
        <v>41153</v>
      </c>
      <c r="S65" s="227">
        <v>41183</v>
      </c>
      <c r="T65" s="227">
        <v>41214</v>
      </c>
      <c r="U65" s="227">
        <v>41244</v>
      </c>
      <c r="V65" s="227">
        <v>41275</v>
      </c>
      <c r="W65" s="227">
        <v>41306</v>
      </c>
      <c r="X65" s="227">
        <v>41334</v>
      </c>
      <c r="Y65" s="227">
        <v>41365</v>
      </c>
      <c r="Z65" s="227">
        <v>41395</v>
      </c>
      <c r="AA65" s="227">
        <v>41426</v>
      </c>
      <c r="AB65" s="227">
        <v>41456</v>
      </c>
      <c r="AC65" s="227">
        <v>41487</v>
      </c>
      <c r="AD65" s="227">
        <v>41518</v>
      </c>
      <c r="AE65" s="227">
        <v>41548</v>
      </c>
      <c r="AF65" s="227">
        <v>41579</v>
      </c>
      <c r="AG65" s="227">
        <v>41609</v>
      </c>
      <c r="AH65" s="227">
        <v>41640</v>
      </c>
      <c r="AI65" s="227">
        <v>41671</v>
      </c>
      <c r="AJ65" s="227">
        <v>41699</v>
      </c>
      <c r="AK65" s="227">
        <v>41730</v>
      </c>
      <c r="AL65" s="227">
        <v>41760</v>
      </c>
      <c r="AM65" s="227">
        <v>41791</v>
      </c>
      <c r="AN65" s="227">
        <v>41821</v>
      </c>
      <c r="AO65" s="227">
        <v>41852</v>
      </c>
      <c r="AP65" s="227">
        <v>41883</v>
      </c>
      <c r="AQ65" s="227">
        <v>41913</v>
      </c>
      <c r="AR65" s="227">
        <v>41944</v>
      </c>
      <c r="AS65" s="227">
        <v>41974</v>
      </c>
      <c r="AT65" s="252">
        <v>42005</v>
      </c>
      <c r="AU65" s="211" t="s">
        <v>34</v>
      </c>
      <c r="AV65" s="211" t="s">
        <v>35</v>
      </c>
      <c r="AW65" s="211" t="s">
        <v>36</v>
      </c>
      <c r="AX65" s="211" t="s">
        <v>37</v>
      </c>
      <c r="AY65" s="211" t="s">
        <v>38</v>
      </c>
      <c r="AZ65" s="211" t="s">
        <v>39</v>
      </c>
      <c r="BA65" s="211" t="str">
        <f>BA56</f>
        <v>Aug</v>
      </c>
      <c r="BB65" s="211" t="str">
        <f>BB56</f>
        <v>Sep</v>
      </c>
      <c r="BC65" s="211" t="str">
        <f>BC56</f>
        <v>Oct</v>
      </c>
      <c r="BD65" s="211" t="str">
        <f>BD56</f>
        <v>Nov</v>
      </c>
      <c r="BE65" s="211" t="str">
        <f>BE56</f>
        <v>Dec</v>
      </c>
      <c r="BF65" s="1978" t="s">
        <v>2552</v>
      </c>
      <c r="BG65" s="1979" t="s">
        <v>34</v>
      </c>
      <c r="BH65" s="1979" t="s">
        <v>35</v>
      </c>
      <c r="BI65" s="1979" t="s">
        <v>36</v>
      </c>
      <c r="BJ65" s="1979" t="s">
        <v>37</v>
      </c>
      <c r="BK65" s="1979" t="s">
        <v>38</v>
      </c>
      <c r="BL65" s="1979" t="s">
        <v>39</v>
      </c>
      <c r="BM65" s="1979" t="s">
        <v>40</v>
      </c>
      <c r="BN65" s="1979" t="s">
        <v>41</v>
      </c>
      <c r="BO65" s="1979" t="s">
        <v>42</v>
      </c>
      <c r="BP65" s="1979" t="s">
        <v>43</v>
      </c>
      <c r="BQ65" s="1979" t="s">
        <v>44</v>
      </c>
      <c r="BR65" s="1978" t="s">
        <v>4133</v>
      </c>
      <c r="BS65" s="1979" t="s">
        <v>34</v>
      </c>
      <c r="BT65" s="1979" t="s">
        <v>35</v>
      </c>
      <c r="BU65" s="1979" t="s">
        <v>36</v>
      </c>
      <c r="BV65" s="1978" t="s">
        <v>37</v>
      </c>
      <c r="BW65" s="1979" t="s">
        <v>38</v>
      </c>
      <c r="BX65" s="1979" t="s">
        <v>39</v>
      </c>
      <c r="BY65" s="1979" t="s">
        <v>40</v>
      </c>
      <c r="BZ65" s="1979" t="s">
        <v>41</v>
      </c>
      <c r="CA65" s="1979" t="s">
        <v>42</v>
      </c>
      <c r="CB65" s="1979" t="s">
        <v>43</v>
      </c>
      <c r="CC65" s="1979" t="s">
        <v>44</v>
      </c>
    </row>
    <row r="66" spans="1:81">
      <c r="A66" s="1591" t="s">
        <v>152</v>
      </c>
      <c r="B66" s="242">
        <f>SUMIF($AH$2:$AS$2, "&lt;=" &amp; $B$2, $AH66:$AS66)</f>
        <v>2397.424</v>
      </c>
      <c r="G66" s="243">
        <f t="shared" ref="G66:G74" si="158">SUM(V66:X66)</f>
        <v>325.29200000000003</v>
      </c>
      <c r="H66" s="243">
        <f t="shared" ref="H66:H74" si="159">SUM(Y66:AA66)</f>
        <v>971.67600000000004</v>
      </c>
      <c r="I66" s="243">
        <f t="shared" ref="I66:I74" si="160">SUM(AB66:AD66)</f>
        <v>1414.4079999999999</v>
      </c>
      <c r="J66" s="243"/>
      <c r="K66" s="243">
        <v>5403.6880000000001</v>
      </c>
      <c r="M66" s="215">
        <v>173.05699999999999</v>
      </c>
      <c r="N66" s="215">
        <v>90.444000000000003</v>
      </c>
      <c r="O66" s="215">
        <v>26.955999999999996</v>
      </c>
      <c r="P66" s="215">
        <v>21.574999999999999</v>
      </c>
      <c r="Q66" s="215">
        <v>40.497999999999998</v>
      </c>
      <c r="R66" s="215">
        <v>16.643999999999998</v>
      </c>
      <c r="S66" s="215">
        <v>34.04</v>
      </c>
      <c r="T66" s="215">
        <v>0</v>
      </c>
      <c r="U66" s="215">
        <v>432.70600000000002</v>
      </c>
      <c r="V66" s="321">
        <v>46.716000000000001</v>
      </c>
      <c r="W66" s="321">
        <v>0</v>
      </c>
      <c r="X66" s="321">
        <f xml:space="preserve"> HCM!U67+HN!U67</f>
        <v>278.57600000000002</v>
      </c>
      <c r="Y66" s="321">
        <f xml:space="preserve"> HCM!V67+HN!V67</f>
        <v>276.93400000000003</v>
      </c>
      <c r="Z66" s="321">
        <f xml:space="preserve"> HCM!W67+HN!W67</f>
        <v>352.59300000000002</v>
      </c>
      <c r="AA66" s="321">
        <f xml:space="preserve"> HCM!X67+HN!X67</f>
        <v>342.149</v>
      </c>
      <c r="AB66" s="321">
        <f xml:space="preserve"> HCM!Y67+HN!Y67</f>
        <v>316.625</v>
      </c>
      <c r="AC66" s="321">
        <f xml:space="preserve"> HCM!Z67+HN!Z67</f>
        <v>453.596</v>
      </c>
      <c r="AD66" s="321">
        <f xml:space="preserve"> HCM!AA67+HN!AA67</f>
        <v>644.18700000000001</v>
      </c>
      <c r="AE66" s="321">
        <f xml:space="preserve"> HCM!AB67+HN!AB67</f>
        <v>741.60899999999992</v>
      </c>
      <c r="AF66" s="321">
        <f xml:space="preserve"> HCM!AC67+HN!AC67</f>
        <v>560.79099999999994</v>
      </c>
      <c r="AG66" s="321">
        <f xml:space="preserve"> HCM!AD67+HN!AD67</f>
        <v>1389.912</v>
      </c>
      <c r="AH66" s="321">
        <f xml:space="preserve"> HCM!AE67+HN!AE67</f>
        <v>194.09199999999998</v>
      </c>
      <c r="AI66" s="321">
        <f xml:space="preserve"> HCM!AF67+HN!AF67</f>
        <v>392.13</v>
      </c>
      <c r="AJ66" s="321">
        <f xml:space="preserve"> HCM!AG67+HN!AG67</f>
        <v>275.173</v>
      </c>
      <c r="AK66" s="321">
        <f xml:space="preserve"> HCM!AH67+HN!AH67</f>
        <v>664.59300000000007</v>
      </c>
      <c r="AL66" s="321">
        <f xml:space="preserve"> HCM!AI67+HN!AI67</f>
        <v>871.43599999999992</v>
      </c>
    </row>
    <row r="67" spans="1:81">
      <c r="A67" s="1591" t="s">
        <v>153</v>
      </c>
      <c r="B67" s="242">
        <f t="shared" ref="B67:B72" si="161">SUMIF($AH$2:$AS$2, "&lt;=" &amp; $B$2, $AH67:$AS67)</f>
        <v>1526.4349999999999</v>
      </c>
      <c r="G67" s="243">
        <f t="shared" si="158"/>
        <v>145.05500000000001</v>
      </c>
      <c r="H67" s="243">
        <f t="shared" si="159"/>
        <v>850.02300000000002</v>
      </c>
      <c r="I67" s="243">
        <f t="shared" si="160"/>
        <v>1015.973</v>
      </c>
      <c r="J67" s="243"/>
      <c r="K67" s="243">
        <v>3429.3679999999999</v>
      </c>
      <c r="M67" s="215"/>
      <c r="N67" s="215">
        <v>133.339</v>
      </c>
      <c r="O67" s="215">
        <v>126.37899999999999</v>
      </c>
      <c r="P67" s="215">
        <v>16.544999999999998</v>
      </c>
      <c r="Q67" s="215">
        <v>72.686000000000007</v>
      </c>
      <c r="R67" s="215">
        <v>36.513999999999996</v>
      </c>
      <c r="S67" s="215"/>
      <c r="T67" s="215">
        <v>0</v>
      </c>
      <c r="U67" s="215">
        <v>21.294</v>
      </c>
      <c r="V67" s="321">
        <v>145.05500000000001</v>
      </c>
      <c r="W67" s="321">
        <v>0</v>
      </c>
      <c r="X67" s="321">
        <f xml:space="preserve"> HCM!U68+HN!U68</f>
        <v>0</v>
      </c>
      <c r="Y67" s="321">
        <f xml:space="preserve"> HCM!V68+HN!V68</f>
        <v>229.63800000000001</v>
      </c>
      <c r="Z67" s="321">
        <f xml:space="preserve"> HCM!W68+HN!W68</f>
        <v>402.80700000000002</v>
      </c>
      <c r="AA67" s="321">
        <f xml:space="preserve"> HCM!X68+HN!X68</f>
        <v>217.578</v>
      </c>
      <c r="AB67" s="321">
        <f xml:space="preserve"> HCM!Y68+HN!Y68</f>
        <v>238.773</v>
      </c>
      <c r="AC67" s="321">
        <f xml:space="preserve"> HCM!Z68+HN!Z68</f>
        <v>227.904</v>
      </c>
      <c r="AD67" s="321">
        <f xml:space="preserve"> HCM!AA68+HN!AA68</f>
        <v>549.29599999999994</v>
      </c>
      <c r="AE67" s="321">
        <f xml:space="preserve"> HCM!AB68+HN!AB68</f>
        <v>628.85</v>
      </c>
      <c r="AF67" s="321">
        <f xml:space="preserve"> HCM!AC68+HN!AC68</f>
        <v>357.327</v>
      </c>
      <c r="AG67" s="321">
        <f xml:space="preserve"> HCM!AD68+HN!AD68</f>
        <v>432.14</v>
      </c>
      <c r="AH67" s="321">
        <f xml:space="preserve"> HCM!AE68+HN!AE68</f>
        <v>397.83500000000004</v>
      </c>
      <c r="AI67" s="321">
        <f xml:space="preserve"> HCM!AF68+HN!AF68</f>
        <v>154.96100000000001</v>
      </c>
      <c r="AJ67" s="321">
        <f xml:space="preserve"> HCM!AG68+HN!AG68</f>
        <v>89.635000000000005</v>
      </c>
      <c r="AK67" s="321">
        <f xml:space="preserve"> HCM!AH68+HN!AH68</f>
        <v>328.02600000000001</v>
      </c>
      <c r="AL67" s="321">
        <f xml:space="preserve"> HCM!AI68+HN!AI68</f>
        <v>555.97799999999995</v>
      </c>
    </row>
    <row r="68" spans="1:81">
      <c r="A68" s="1591" t="s">
        <v>70</v>
      </c>
      <c r="B68" s="242">
        <f t="shared" si="161"/>
        <v>815.24300000000005</v>
      </c>
      <c r="G68" s="243">
        <f t="shared" si="158"/>
        <v>61.686999999999998</v>
      </c>
      <c r="H68" s="243">
        <f t="shared" si="159"/>
        <v>332.76900000000001</v>
      </c>
      <c r="I68" s="243">
        <f t="shared" si="160"/>
        <v>328.07399999999996</v>
      </c>
      <c r="J68" s="243"/>
      <c r="K68" s="243">
        <v>1723.9349999999999</v>
      </c>
      <c r="M68" s="215"/>
      <c r="N68" s="215"/>
      <c r="O68" s="215">
        <v>148.17250000000001</v>
      </c>
      <c r="P68" s="215">
        <v>61.872999999999998</v>
      </c>
      <c r="Q68" s="215">
        <v>11.02</v>
      </c>
      <c r="R68" s="215">
        <v>177.84100000000001</v>
      </c>
      <c r="S68" s="215">
        <v>21.707999999999998</v>
      </c>
      <c r="T68" s="215">
        <v>0</v>
      </c>
      <c r="U68" s="215">
        <v>29.55</v>
      </c>
      <c r="V68" s="321"/>
      <c r="W68" s="321">
        <v>51.454999999999998</v>
      </c>
      <c r="X68" s="321">
        <f xml:space="preserve"> HCM!U69+HN!U69</f>
        <v>10.231999999999999</v>
      </c>
      <c r="Y68" s="321">
        <f xml:space="preserve"> HCM!V69+HN!V69</f>
        <v>0</v>
      </c>
      <c r="Z68" s="321">
        <f xml:space="preserve"> HCM!W69+HN!W69</f>
        <v>205.92099999999999</v>
      </c>
      <c r="AA68" s="321">
        <f xml:space="preserve"> HCM!X69+HN!X69</f>
        <v>126.84799999999998</v>
      </c>
      <c r="AB68" s="321">
        <f xml:space="preserve"> HCM!Y69+HN!Y69</f>
        <v>22.692</v>
      </c>
      <c r="AC68" s="321">
        <f xml:space="preserve"> HCM!Z69+HN!Z69</f>
        <v>117.587</v>
      </c>
      <c r="AD68" s="321">
        <f xml:space="preserve"> HCM!AA69+HN!AA69</f>
        <v>187.79499999999999</v>
      </c>
      <c r="AE68" s="321">
        <f xml:space="preserve"> HCM!AB69+HN!AB69</f>
        <v>317.39499999999998</v>
      </c>
      <c r="AF68" s="321">
        <f xml:space="preserve"> HCM!AC69+HN!AC69</f>
        <v>388.98500000000001</v>
      </c>
      <c r="AG68" s="321">
        <f xml:space="preserve"> HCM!AD69+HN!AD69</f>
        <v>295.02499999999998</v>
      </c>
      <c r="AH68" s="321">
        <f xml:space="preserve"> HCM!AE69+HN!AE69</f>
        <v>116.50399999999999</v>
      </c>
      <c r="AI68" s="321">
        <f xml:space="preserve"> HCM!AF69+HN!AF69</f>
        <v>236.05799999999999</v>
      </c>
      <c r="AJ68" s="321">
        <f xml:space="preserve"> HCM!AG69+HN!AG69</f>
        <v>185.39700000000002</v>
      </c>
      <c r="AK68" s="321">
        <f xml:space="preserve"> HCM!AH69+HN!AH69</f>
        <v>182.96299999999999</v>
      </c>
      <c r="AL68" s="321">
        <f xml:space="preserve"> HCM!AI69+HN!AI69</f>
        <v>94.320999999999998</v>
      </c>
    </row>
    <row r="69" spans="1:81">
      <c r="A69" s="1591" t="s">
        <v>71</v>
      </c>
      <c r="B69" s="242">
        <f t="shared" si="161"/>
        <v>1963.5535000000002</v>
      </c>
      <c r="G69" s="243">
        <f t="shared" si="158"/>
        <v>88.187999999999988</v>
      </c>
      <c r="H69" s="243">
        <f t="shared" si="159"/>
        <v>147.59000000000003</v>
      </c>
      <c r="I69" s="243">
        <f t="shared" si="160"/>
        <v>658.93200000000002</v>
      </c>
      <c r="J69" s="243"/>
      <c r="K69" s="243">
        <v>2260.5230000000001</v>
      </c>
      <c r="M69" s="215"/>
      <c r="N69" s="215"/>
      <c r="O69" s="215"/>
      <c r="P69" s="215">
        <v>22.585000000000001</v>
      </c>
      <c r="Q69" s="215">
        <v>133.28899999999999</v>
      </c>
      <c r="R69" s="215">
        <v>208.447</v>
      </c>
      <c r="S69" s="215">
        <v>58.027999999999999</v>
      </c>
      <c r="T69" s="215">
        <v>0</v>
      </c>
      <c r="U69" s="215">
        <v>16.177</v>
      </c>
      <c r="V69" s="321">
        <v>0</v>
      </c>
      <c r="W69" s="321">
        <v>10.792999999999999</v>
      </c>
      <c r="X69" s="321">
        <f xml:space="preserve"> HCM!U70+HN!U70</f>
        <v>77.394999999999996</v>
      </c>
      <c r="Y69" s="321">
        <f xml:space="preserve"> HCM!V70+HN!V70</f>
        <v>17.321000000000002</v>
      </c>
      <c r="Z69" s="321">
        <f xml:space="preserve"> HCM!W70+HN!W70</f>
        <v>34.898000000000003</v>
      </c>
      <c r="AA69" s="321">
        <f xml:space="preserve"> HCM!X70+HN!X70</f>
        <v>95.371000000000009</v>
      </c>
      <c r="AB69" s="321">
        <f xml:space="preserve"> HCM!Y70+HN!Y70</f>
        <v>112.11500000000001</v>
      </c>
      <c r="AC69" s="321">
        <f xml:space="preserve"> HCM!Z70+HN!Z70</f>
        <v>112</v>
      </c>
      <c r="AD69" s="321">
        <f xml:space="preserve"> HCM!AA70+HN!AA70</f>
        <v>434.81700000000001</v>
      </c>
      <c r="AE69" s="321">
        <f xml:space="preserve"> HCM!AB70+HN!AB70</f>
        <v>64.156000000000006</v>
      </c>
      <c r="AF69" s="321">
        <f xml:space="preserve"> HCM!AC70+HN!AC70</f>
        <v>361.517</v>
      </c>
      <c r="AG69" s="321">
        <f xml:space="preserve"> HCM!AD70+HN!AD70</f>
        <v>940.13999999999987</v>
      </c>
      <c r="AH69" s="321">
        <f xml:space="preserve"> HCM!AE70+HN!AE70</f>
        <v>262.09300000000002</v>
      </c>
      <c r="AI69" s="321">
        <f xml:space="preserve"> HCM!AF70+HN!AF70</f>
        <v>305.87400000000002</v>
      </c>
      <c r="AJ69" s="321">
        <f xml:space="preserve"> HCM!AG70+HN!AG70</f>
        <v>591.89800000000002</v>
      </c>
      <c r="AK69" s="321">
        <f xml:space="preserve"> HCM!AH70+HN!AH70</f>
        <v>426.23199999999997</v>
      </c>
      <c r="AL69" s="321">
        <f xml:space="preserve"> HCM!AI70+HN!AI70</f>
        <v>377.45650000000001</v>
      </c>
    </row>
    <row r="70" spans="1:81">
      <c r="A70" s="1591" t="s">
        <v>72</v>
      </c>
      <c r="B70" s="242">
        <f t="shared" si="161"/>
        <v>1025.8744999999999</v>
      </c>
      <c r="G70" s="243">
        <f t="shared" si="158"/>
        <v>180.82650000000001</v>
      </c>
      <c r="H70" s="243">
        <f t="shared" si="159"/>
        <v>19.033999999999999</v>
      </c>
      <c r="I70" s="243">
        <f t="shared" si="160"/>
        <v>99.855000000000004</v>
      </c>
      <c r="J70" s="243"/>
      <c r="K70" s="243">
        <v>698.36550000000011</v>
      </c>
      <c r="M70" s="215"/>
      <c r="N70" s="215"/>
      <c r="O70" s="215"/>
      <c r="P70" s="215"/>
      <c r="Q70" s="215"/>
      <c r="R70" s="215"/>
      <c r="S70" s="215">
        <v>5.8460000000000001</v>
      </c>
      <c r="T70" s="215">
        <v>50.889000000000003</v>
      </c>
      <c r="U70" s="215">
        <v>144.04300000000001</v>
      </c>
      <c r="V70" s="321">
        <v>43.266500000000001</v>
      </c>
      <c r="W70" s="321">
        <v>46.292000000000002</v>
      </c>
      <c r="X70" s="321">
        <f xml:space="preserve"> HCM!U71+HN!U71</f>
        <v>91.268000000000001</v>
      </c>
      <c r="Y70" s="321">
        <f xml:space="preserve"> HCM!V71+HN!V71</f>
        <v>11.662000000000001</v>
      </c>
      <c r="Z70" s="321">
        <f xml:space="preserve"> HCM!W71+HN!W71</f>
        <v>0</v>
      </c>
      <c r="AA70" s="321">
        <f xml:space="preserve"> HCM!X71+HN!X71</f>
        <v>7.3719999999999999</v>
      </c>
      <c r="AB70" s="321">
        <f xml:space="preserve"> HCM!Y71+HN!Y71</f>
        <v>10.473000000000001</v>
      </c>
      <c r="AC70" s="321">
        <f xml:space="preserve"> HCM!Z71+HN!Z71</f>
        <v>0</v>
      </c>
      <c r="AD70" s="321">
        <f xml:space="preserve"> HCM!AA71+HN!AA71</f>
        <v>89.382000000000005</v>
      </c>
      <c r="AE70" s="321">
        <f xml:space="preserve"> HCM!AB71+HN!AB71</f>
        <v>90.864000000000004</v>
      </c>
      <c r="AF70" s="321">
        <f xml:space="preserve"> HCM!AC71+HN!AC71</f>
        <v>29.158000000000001</v>
      </c>
      <c r="AG70" s="321">
        <f xml:space="preserve"> HCM!AD71+HN!AD71</f>
        <v>278.62799999999999</v>
      </c>
      <c r="AH70" s="321">
        <f xml:space="preserve"> HCM!AE71+HN!AE71</f>
        <v>28.119</v>
      </c>
      <c r="AI70" s="321">
        <f xml:space="preserve"> HCM!AF71+HN!AF71</f>
        <v>173.59300000000002</v>
      </c>
      <c r="AJ70" s="321">
        <f xml:space="preserve"> HCM!AG71+HN!AG71</f>
        <v>204.25</v>
      </c>
      <c r="AK70" s="321">
        <f xml:space="preserve"> HCM!AH71+HN!AH71</f>
        <v>344.79900000000004</v>
      </c>
      <c r="AL70" s="321">
        <f xml:space="preserve"> HCM!AI71+HN!AI71</f>
        <v>275.11350000000004</v>
      </c>
    </row>
    <row r="71" spans="1:81">
      <c r="A71" s="1591" t="s">
        <v>73</v>
      </c>
      <c r="B71" s="242">
        <f t="shared" si="161"/>
        <v>4420.2029999999995</v>
      </c>
      <c r="G71" s="243">
        <f t="shared" si="158"/>
        <v>445.55050000000006</v>
      </c>
      <c r="H71" s="243">
        <f t="shared" si="159"/>
        <v>1475.847</v>
      </c>
      <c r="I71" s="243">
        <f t="shared" si="160"/>
        <v>2001.3979999999999</v>
      </c>
      <c r="J71" s="243"/>
      <c r="K71" s="243">
        <v>6210.9565000000011</v>
      </c>
      <c r="M71" s="215">
        <v>119.18300000000002</v>
      </c>
      <c r="N71" s="215">
        <v>119.98099999999999</v>
      </c>
      <c r="O71" s="215">
        <v>514.75149999999996</v>
      </c>
      <c r="P71" s="215">
        <v>112.37199999999999</v>
      </c>
      <c r="Q71" s="215">
        <v>66.927999999999997</v>
      </c>
      <c r="R71" s="215">
        <v>96.510999999999996</v>
      </c>
      <c r="S71" s="215">
        <v>92.266000000000005</v>
      </c>
      <c r="T71" s="215">
        <v>129.858</v>
      </c>
      <c r="U71" s="215">
        <v>544.70699999999999</v>
      </c>
      <c r="V71" s="321">
        <v>178.9085</v>
      </c>
      <c r="W71" s="321">
        <v>59.395000000000003</v>
      </c>
      <c r="X71" s="321">
        <f xml:space="preserve"> HCM!U72+HN!U72</f>
        <v>207.24700000000001</v>
      </c>
      <c r="Y71" s="321">
        <f xml:space="preserve"> HCM!V72+HN!V72</f>
        <v>544.64200000000005</v>
      </c>
      <c r="Z71" s="321">
        <f xml:space="preserve"> HCM!W72+HN!W72</f>
        <v>627.072</v>
      </c>
      <c r="AA71" s="321">
        <f xml:space="preserve"> HCM!X72+HN!X72</f>
        <v>304.13300000000004</v>
      </c>
      <c r="AB71" s="321">
        <f xml:space="preserve"> HCM!Y72+HN!Y72</f>
        <v>375.30999999999995</v>
      </c>
      <c r="AC71" s="321">
        <f xml:space="preserve"> HCM!Z72+HN!Z72</f>
        <v>497.91300000000001</v>
      </c>
      <c r="AD71" s="321">
        <f xml:space="preserve"> HCM!AA72+HN!AA72</f>
        <v>1128.175</v>
      </c>
      <c r="AE71" s="321">
        <f xml:space="preserve"> HCM!AB72+HN!AB72</f>
        <v>584.15800000000002</v>
      </c>
      <c r="AF71" s="321">
        <f xml:space="preserve"> HCM!AC72+HN!AC72</f>
        <v>866.43900000000008</v>
      </c>
      <c r="AG71" s="321">
        <f xml:space="preserve"> HCM!AD72+HN!AD72</f>
        <v>837.56400000000008</v>
      </c>
      <c r="AH71" s="321">
        <f xml:space="preserve"> HCM!AE72+HN!AE72</f>
        <v>345.87599999999998</v>
      </c>
      <c r="AI71" s="321">
        <f xml:space="preserve"> HCM!AF72+HN!AF72</f>
        <v>612.375</v>
      </c>
      <c r="AJ71" s="321">
        <f xml:space="preserve"> HCM!AG72+HN!AG72</f>
        <v>437.76</v>
      </c>
      <c r="AK71" s="321">
        <f xml:space="preserve"> HCM!AH72+HN!AH72</f>
        <v>1186.027</v>
      </c>
      <c r="AL71" s="321">
        <f xml:space="preserve"> HCM!AI72+HN!AI72</f>
        <v>1838.165</v>
      </c>
    </row>
    <row r="72" spans="1:81" s="230" customFormat="1">
      <c r="A72" s="1591" t="s">
        <v>75</v>
      </c>
      <c r="B72" s="248">
        <f t="shared" si="161"/>
        <v>74.600999999999999</v>
      </c>
      <c r="C72" s="214"/>
      <c r="D72" s="229"/>
      <c r="E72" s="229"/>
      <c r="F72" s="229"/>
      <c r="G72" s="249">
        <f t="shared" si="158"/>
        <v>0</v>
      </c>
      <c r="H72" s="249">
        <f t="shared" si="159"/>
        <v>0</v>
      </c>
      <c r="I72" s="249">
        <f t="shared" si="160"/>
        <v>0</v>
      </c>
      <c r="J72" s="776"/>
      <c r="K72" s="776">
        <v>0</v>
      </c>
      <c r="L72" s="214"/>
      <c r="M72" s="239"/>
      <c r="N72" s="239"/>
      <c r="O72" s="239"/>
      <c r="P72" s="239"/>
      <c r="Q72" s="239"/>
      <c r="R72" s="239"/>
      <c r="S72" s="239"/>
      <c r="T72" s="239"/>
      <c r="U72" s="239"/>
      <c r="V72" s="427"/>
      <c r="W72" s="427"/>
      <c r="X72" s="427">
        <f xml:space="preserve"> HCM!U73+HN!U73</f>
        <v>0</v>
      </c>
      <c r="Y72" s="427">
        <f xml:space="preserve"> HCM!V73+HN!V73</f>
        <v>0</v>
      </c>
      <c r="Z72" s="427">
        <f xml:space="preserve"> HCM!W73+HN!W73</f>
        <v>0</v>
      </c>
      <c r="AA72" s="427">
        <f xml:space="preserve"> HCM!X73+HN!X73</f>
        <v>0</v>
      </c>
      <c r="AB72" s="427">
        <f xml:space="preserve"> HCM!Y73+HN!Y73</f>
        <v>0</v>
      </c>
      <c r="AC72" s="427">
        <f xml:space="preserve"> HCM!Z73+HN!Z73</f>
        <v>0</v>
      </c>
      <c r="AD72" s="427">
        <f xml:space="preserve"> HCM!AA73+HN!AA73</f>
        <v>0</v>
      </c>
      <c r="AE72" s="427">
        <f xml:space="preserve"> HCM!AB73+HN!AB73</f>
        <v>0</v>
      </c>
      <c r="AF72" s="427">
        <f xml:space="preserve"> HCM!AC73+HN!AC73</f>
        <v>0</v>
      </c>
      <c r="AG72" s="427">
        <f xml:space="preserve"> HCM!AD73+HN!AD73</f>
        <v>0</v>
      </c>
      <c r="AH72" s="427">
        <f xml:space="preserve"> HCM!AE73+HN!AE73</f>
        <v>0</v>
      </c>
      <c r="AI72" s="427">
        <f xml:space="preserve"> HCM!AF73+HN!AF73</f>
        <v>0</v>
      </c>
      <c r="AJ72" s="427">
        <f xml:space="preserve"> HCM!AG73+HN!AG73</f>
        <v>42.058</v>
      </c>
      <c r="AK72" s="427">
        <f xml:space="preserve"> HCM!AH73+HN!AH73</f>
        <v>13.188000000000001</v>
      </c>
      <c r="AL72" s="427">
        <f xml:space="preserve"> HCM!AI73+HN!AI73</f>
        <v>19.355</v>
      </c>
    </row>
    <row r="73" spans="1:81" s="2205" customFormat="1">
      <c r="A73" s="1591" t="s">
        <v>4197</v>
      </c>
      <c r="B73" s="778"/>
      <c r="C73" s="214"/>
      <c r="D73" s="214"/>
      <c r="E73" s="214"/>
      <c r="F73" s="214"/>
      <c r="G73" s="776"/>
      <c r="H73" s="776"/>
      <c r="I73" s="776"/>
      <c r="J73" s="776"/>
      <c r="K73" s="776"/>
      <c r="L73" s="214"/>
      <c r="M73" s="2203"/>
      <c r="N73" s="2203"/>
      <c r="O73" s="2203"/>
      <c r="P73" s="2203"/>
      <c r="Q73" s="2203"/>
      <c r="R73" s="2203"/>
      <c r="S73" s="2203"/>
      <c r="T73" s="2203"/>
      <c r="U73" s="2203"/>
      <c r="V73" s="2204"/>
      <c r="W73" s="2204"/>
      <c r="X73" s="2204"/>
      <c r="Y73" s="2204"/>
      <c r="Z73" s="2204"/>
      <c r="AA73" s="2204"/>
      <c r="AB73" s="2204"/>
      <c r="AC73" s="2204"/>
      <c r="AD73" s="2204"/>
      <c r="AE73" s="2204"/>
      <c r="AF73" s="2204"/>
      <c r="AG73" s="2204"/>
      <c r="AH73" s="2204"/>
      <c r="AI73" s="2204"/>
      <c r="AJ73" s="2204"/>
      <c r="AK73" s="2204"/>
      <c r="AL73" s="2204"/>
      <c r="BS73" s="2201">
        <f>+HCM!BP74+HN!BP74</f>
        <v>1616.0350000000001</v>
      </c>
      <c r="BT73" s="2201">
        <f>+HCM!BQ74+HN!BQ74</f>
        <v>1409.23</v>
      </c>
      <c r="BU73" s="2201">
        <f>+HCM!BR74+HN!BR74</f>
        <v>3009.7334999999998</v>
      </c>
      <c r="BV73" s="2201">
        <f>+HCM!BS74+HN!BS74</f>
        <v>1377.6</v>
      </c>
      <c r="BW73" s="2201">
        <f>+HCM!BT74+HN!BT74</f>
        <v>909.17</v>
      </c>
      <c r="BX73" s="2201">
        <f>+HCM!BU74+HN!BU74</f>
        <v>1140.2179999999998</v>
      </c>
      <c r="BY73" s="2201">
        <f>+HCM!BV74+HN!BV74</f>
        <v>0</v>
      </c>
      <c r="BZ73" s="2201">
        <f>+HCM!BW74+HN!BW74</f>
        <v>0</v>
      </c>
      <c r="CA73" s="2201">
        <f>+HCM!BX74+HN!BX74</f>
        <v>0</v>
      </c>
      <c r="CB73" s="2201">
        <f>+HCM!BY74+HN!BY74</f>
        <v>0</v>
      </c>
      <c r="CC73" s="2201">
        <f>+HCM!BZ74+HN!BZ74</f>
        <v>0</v>
      </c>
    </row>
    <row r="74" spans="1:81" s="926" customFormat="1">
      <c r="A74" s="924" t="s">
        <v>4208</v>
      </c>
      <c r="B74" s="927">
        <f>SUM(BR74:CC74)+SUM(BR73:CC73)</f>
        <v>338123.87260000006</v>
      </c>
      <c r="C74" s="928"/>
      <c r="D74" s="927"/>
      <c r="E74" s="927"/>
      <c r="F74" s="927"/>
      <c r="G74" s="927">
        <f t="shared" si="158"/>
        <v>1246.5990000000002</v>
      </c>
      <c r="H74" s="927">
        <f t="shared" si="159"/>
        <v>3796.9390000000003</v>
      </c>
      <c r="I74" s="927">
        <f t="shared" si="160"/>
        <v>5518.6399999999994</v>
      </c>
      <c r="J74" s="927"/>
      <c r="K74" s="927">
        <v>19726.835999999999</v>
      </c>
      <c r="L74" s="928"/>
      <c r="M74" s="929">
        <f>SUM(M66:M72)</f>
        <v>292.24</v>
      </c>
      <c r="N74" s="929">
        <f t="shared" ref="N74:X74" si="162">SUM(N66:N72)</f>
        <v>343.76400000000001</v>
      </c>
      <c r="O74" s="929">
        <f t="shared" si="162"/>
        <v>816.25900000000001</v>
      </c>
      <c r="P74" s="929">
        <f t="shared" si="162"/>
        <v>234.95</v>
      </c>
      <c r="Q74" s="929">
        <f t="shared" si="162"/>
        <v>324.42099999999999</v>
      </c>
      <c r="R74" s="929">
        <f t="shared" si="162"/>
        <v>535.95699999999999</v>
      </c>
      <c r="S74" s="929">
        <f t="shared" si="162"/>
        <v>211.88800000000001</v>
      </c>
      <c r="T74" s="929">
        <f t="shared" si="162"/>
        <v>180.74700000000001</v>
      </c>
      <c r="U74" s="929">
        <f t="shared" si="162"/>
        <v>1188.4769999999999</v>
      </c>
      <c r="V74" s="929">
        <f t="shared" si="162"/>
        <v>413.94600000000003</v>
      </c>
      <c r="W74" s="929">
        <f t="shared" si="162"/>
        <v>167.935</v>
      </c>
      <c r="X74" s="929">
        <f t="shared" si="162"/>
        <v>664.71800000000007</v>
      </c>
      <c r="Y74" s="929">
        <f t="shared" ref="Y74:AD74" si="163">SUM(Y66:Y72)</f>
        <v>1080.1970000000001</v>
      </c>
      <c r="Z74" s="929">
        <f t="shared" si="163"/>
        <v>1623.2910000000002</v>
      </c>
      <c r="AA74" s="929">
        <f t="shared" si="163"/>
        <v>1093.451</v>
      </c>
      <c r="AB74" s="929">
        <f t="shared" si="163"/>
        <v>1075.9879999999998</v>
      </c>
      <c r="AC74" s="929">
        <f t="shared" si="163"/>
        <v>1409</v>
      </c>
      <c r="AD74" s="929">
        <f t="shared" si="163"/>
        <v>3033.652</v>
      </c>
      <c r="AE74" s="929">
        <f t="shared" ref="AE74:AL74" si="164">SUM(AE66:AE72)</f>
        <v>2427.0319999999997</v>
      </c>
      <c r="AF74" s="929">
        <f t="shared" si="164"/>
        <v>2564.2170000000001</v>
      </c>
      <c r="AG74" s="929">
        <f t="shared" si="164"/>
        <v>4173.4090000000006</v>
      </c>
      <c r="AH74" s="929">
        <f t="shared" si="164"/>
        <v>1344.5190000000002</v>
      </c>
      <c r="AI74" s="929">
        <f t="shared" si="164"/>
        <v>1874.9910000000002</v>
      </c>
      <c r="AJ74" s="929">
        <f t="shared" si="164"/>
        <v>1826.171</v>
      </c>
      <c r="AK74" s="929">
        <f t="shared" si="164"/>
        <v>3145.8280000000004</v>
      </c>
      <c r="AL74" s="929">
        <f t="shared" si="164"/>
        <v>4031.8249999999998</v>
      </c>
      <c r="AM74" s="929">
        <v>8600.1650000000009</v>
      </c>
      <c r="AN74" s="929">
        <v>8420.0640000000003</v>
      </c>
      <c r="AO74" s="929">
        <v>9230.009</v>
      </c>
      <c r="AP74" s="929">
        <v>13787.019</v>
      </c>
      <c r="AQ74" s="929">
        <v>15218.944</v>
      </c>
      <c r="AR74" s="929">
        <v>15883.455</v>
      </c>
      <c r="AS74" s="929">
        <v>38464.165000000001</v>
      </c>
      <c r="AT74" s="929">
        <v>10417.638999999999</v>
      </c>
      <c r="AU74" s="929">
        <v>9049.0069999999996</v>
      </c>
      <c r="AV74" s="929">
        <v>19003.816999999999</v>
      </c>
      <c r="AW74" s="929">
        <v>23838.466</v>
      </c>
      <c r="AX74" s="929">
        <v>18586.255000000001</v>
      </c>
      <c r="AY74" s="929">
        <v>27305.807000000001</v>
      </c>
      <c r="AZ74" s="929">
        <v>29199.374</v>
      </c>
      <c r="BA74" s="929">
        <v>16805.392</v>
      </c>
      <c r="BB74" s="929">
        <v>38876.936999999998</v>
      </c>
      <c r="BC74" s="929">
        <v>25749.088</v>
      </c>
      <c r="BD74" s="929">
        <v>42738.082999999999</v>
      </c>
      <c r="BE74" s="929">
        <v>58359.968999999997</v>
      </c>
      <c r="BF74" s="929">
        <f>+HCM!BC75+HN!BC75</f>
        <v>13422.264399999998</v>
      </c>
      <c r="BG74" s="929">
        <f>+HCM!BD75+HN!BD75</f>
        <v>13983.777799999969</v>
      </c>
      <c r="BH74" s="929">
        <f>+HCM!BE75+HN!BE75</f>
        <v>34363.530299999991</v>
      </c>
      <c r="BI74" s="929">
        <f>+HCM!BF75+HN!BF75</f>
        <v>31029.739200000011</v>
      </c>
      <c r="BJ74" s="929">
        <f>+HCM!BG75+HN!BG75</f>
        <v>29098.451900000004</v>
      </c>
      <c r="BK74" s="929">
        <f>+HCM!BH75+HN!BH75</f>
        <v>42616.913540000067</v>
      </c>
      <c r="BL74" s="929">
        <f>+HCM!BI75+HN!BI75</f>
        <v>30649.18507000001</v>
      </c>
      <c r="BM74" s="929">
        <f>+HCM!BJ75+HN!BJ75</f>
        <v>32361.144800000031</v>
      </c>
      <c r="BN74" s="929">
        <f>+HCM!BK75+HN!BK75</f>
        <v>49563.993800000069</v>
      </c>
      <c r="BO74" s="929">
        <f>+HCM!BL75+HN!BL75</f>
        <v>40919.720650000017</v>
      </c>
      <c r="BP74" s="929">
        <f>+HCM!BM75+HN!BM75</f>
        <v>52866.932160000091</v>
      </c>
      <c r="BQ74" s="929">
        <f>+HCM!BN75+HN!BN75</f>
        <v>97022.200140000321</v>
      </c>
      <c r="BR74" s="929">
        <f>+HCM!BO75+HN!BO75</f>
        <v>26687.802739999999</v>
      </c>
      <c r="BS74" s="929">
        <f>+HCM!BP75+HN!BP75</f>
        <v>40096.984299999996</v>
      </c>
      <c r="BT74" s="929">
        <f>+HCM!BQ75+HN!BQ75</f>
        <v>57095.637000000002</v>
      </c>
      <c r="BU74" s="929">
        <f>+HCM!BR75+HN!BR75</f>
        <v>48447.858800000002</v>
      </c>
      <c r="BV74" s="929">
        <f>+HCM!BS75+HN!BS75</f>
        <v>53035.228000000003</v>
      </c>
      <c r="BW74" s="929">
        <f>+HCM!BT75+HN!BT75</f>
        <v>58537.403999999995</v>
      </c>
      <c r="BX74" s="929">
        <f>+HCM!BU75+HN!BU75</f>
        <v>44760.9712600001</v>
      </c>
      <c r="BY74" s="929">
        <f>+HCM!BV75+HN!BV75</f>
        <v>0</v>
      </c>
      <c r="BZ74" s="929">
        <f>+HCM!BW75+HN!BW75</f>
        <v>0</v>
      </c>
      <c r="CA74" s="929">
        <f>+HCM!BX75+HN!BX75</f>
        <v>0</v>
      </c>
      <c r="CB74" s="929">
        <f>+HCM!BY75+HN!BY75</f>
        <v>0</v>
      </c>
      <c r="CC74" s="929">
        <f>+HCM!BZ75+HN!BZ75</f>
        <v>0</v>
      </c>
    </row>
    <row r="75" spans="1:81">
      <c r="AH75" s="216"/>
    </row>
    <row r="76" spans="1:81" s="228" customFormat="1">
      <c r="A76" s="224" t="s">
        <v>78</v>
      </c>
      <c r="B76" s="225" t="s">
        <v>163</v>
      </c>
      <c r="C76" s="225"/>
      <c r="D76" s="226" t="s">
        <v>59</v>
      </c>
      <c r="E76" s="226" t="s">
        <v>94</v>
      </c>
      <c r="F76" s="226" t="s">
        <v>97</v>
      </c>
      <c r="G76" s="226" t="s">
        <v>150</v>
      </c>
      <c r="H76" s="226" t="s">
        <v>508</v>
      </c>
      <c r="I76" s="226" t="s">
        <v>509</v>
      </c>
      <c r="J76" s="226"/>
      <c r="K76" s="226" t="s">
        <v>163</v>
      </c>
      <c r="L76" s="225"/>
      <c r="M76" s="227">
        <v>41000</v>
      </c>
      <c r="N76" s="227">
        <v>41030</v>
      </c>
      <c r="O76" s="227">
        <v>41061</v>
      </c>
      <c r="P76" s="227">
        <v>41091</v>
      </c>
      <c r="Q76" s="227">
        <v>41122</v>
      </c>
      <c r="R76" s="227">
        <v>41153</v>
      </c>
      <c r="S76" s="227">
        <v>41183</v>
      </c>
      <c r="T76" s="227">
        <v>41214</v>
      </c>
      <c r="U76" s="227">
        <v>41244</v>
      </c>
      <c r="V76" s="227">
        <v>41275</v>
      </c>
      <c r="W76" s="227">
        <v>41306</v>
      </c>
      <c r="X76" s="227">
        <v>41334</v>
      </c>
      <c r="Y76" s="227">
        <v>41365</v>
      </c>
      <c r="Z76" s="227">
        <v>41395</v>
      </c>
      <c r="AA76" s="227">
        <v>41426</v>
      </c>
      <c r="AB76" s="227">
        <v>41456</v>
      </c>
      <c r="AC76" s="227">
        <v>41487</v>
      </c>
      <c r="AD76" s="227">
        <v>41518</v>
      </c>
      <c r="AE76" s="227">
        <v>41548</v>
      </c>
      <c r="AF76" s="227">
        <v>41579</v>
      </c>
      <c r="AG76" s="227">
        <v>41609</v>
      </c>
      <c r="AH76" s="227">
        <v>41640</v>
      </c>
      <c r="AI76" s="227">
        <v>41671</v>
      </c>
      <c r="AJ76" s="227">
        <v>41699</v>
      </c>
      <c r="AK76" s="227">
        <v>41730</v>
      </c>
      <c r="AL76" s="227">
        <v>41760</v>
      </c>
      <c r="AM76" s="227">
        <v>41791</v>
      </c>
      <c r="AN76" s="227">
        <v>41821</v>
      </c>
      <c r="AO76" s="227">
        <v>41852</v>
      </c>
      <c r="AP76" s="227">
        <v>41883</v>
      </c>
      <c r="AQ76" s="227">
        <v>41913</v>
      </c>
      <c r="AR76" s="227">
        <v>41944</v>
      </c>
      <c r="AS76" s="227">
        <v>41974</v>
      </c>
      <c r="AT76" s="252">
        <v>42005</v>
      </c>
      <c r="AU76" s="211" t="s">
        <v>34</v>
      </c>
      <c r="AV76" s="211" t="s">
        <v>35</v>
      </c>
      <c r="AW76" s="211" t="s">
        <v>36</v>
      </c>
      <c r="AX76" s="211" t="s">
        <v>37</v>
      </c>
      <c r="AY76" s="211" t="s">
        <v>38</v>
      </c>
      <c r="AZ76" s="211" t="s">
        <v>39</v>
      </c>
      <c r="BA76" s="211" t="str">
        <f>BA65</f>
        <v>Aug</v>
      </c>
      <c r="BB76" s="211" t="str">
        <f>BB65</f>
        <v>Sep</v>
      </c>
      <c r="BC76" s="211" t="str">
        <f>BC65</f>
        <v>Oct</v>
      </c>
      <c r="BD76" s="211" t="str">
        <f>BD65</f>
        <v>Nov</v>
      </c>
      <c r="BE76" s="211" t="str">
        <f>BE65</f>
        <v>Dec</v>
      </c>
      <c r="BF76" s="1978" t="s">
        <v>2552</v>
      </c>
      <c r="BG76" s="1979" t="s">
        <v>34</v>
      </c>
      <c r="BH76" s="1979" t="s">
        <v>35</v>
      </c>
      <c r="BI76" s="1979" t="s">
        <v>36</v>
      </c>
      <c r="BJ76" s="1979" t="s">
        <v>37</v>
      </c>
      <c r="BK76" s="1979" t="s">
        <v>38</v>
      </c>
      <c r="BL76" s="1979" t="s">
        <v>39</v>
      </c>
      <c r="BM76" s="1979" t="s">
        <v>40</v>
      </c>
      <c r="BN76" s="1979" t="s">
        <v>41</v>
      </c>
      <c r="BO76" s="1979" t="s">
        <v>42</v>
      </c>
      <c r="BP76" s="1979" t="s">
        <v>43</v>
      </c>
      <c r="BQ76" s="1979" t="s">
        <v>44</v>
      </c>
      <c r="BR76" s="1978" t="s">
        <v>4133</v>
      </c>
      <c r="BS76" s="1979" t="s">
        <v>34</v>
      </c>
      <c r="BT76" s="1979" t="s">
        <v>35</v>
      </c>
      <c r="BU76" s="1979" t="s">
        <v>36</v>
      </c>
      <c r="BV76" s="1978" t="s">
        <v>37</v>
      </c>
      <c r="BW76" s="1979" t="s">
        <v>38</v>
      </c>
      <c r="BX76" s="1979" t="s">
        <v>39</v>
      </c>
      <c r="BY76" s="1979" t="s">
        <v>40</v>
      </c>
      <c r="BZ76" s="1979" t="s">
        <v>41</v>
      </c>
      <c r="CA76" s="1979" t="s">
        <v>42</v>
      </c>
      <c r="CB76" s="1979" t="s">
        <v>43</v>
      </c>
      <c r="CC76" s="1979" t="s">
        <v>44</v>
      </c>
    </row>
    <row r="77" spans="1:81">
      <c r="A77" s="1591" t="s">
        <v>152</v>
      </c>
      <c r="B77" s="242">
        <f t="shared" ref="B77:B83" si="165">SUMIF($AH$2:$AS$2, "&lt;=" &amp; $B$2, $AH77:$AS77)</f>
        <v>150</v>
      </c>
      <c r="G77" s="243">
        <f t="shared" ref="G77:G85" si="166">SUM(V77:X77)</f>
        <v>16</v>
      </c>
      <c r="H77" s="243">
        <f t="shared" ref="H77:H85" si="167">SUM(Y77:AA77)</f>
        <v>61</v>
      </c>
      <c r="I77" s="243">
        <f t="shared" ref="I77:I85" si="168">SUM(AB77:AD77)</f>
        <v>62</v>
      </c>
      <c r="J77" s="243"/>
      <c r="K77" s="243">
        <v>263</v>
      </c>
      <c r="M77" s="215">
        <v>9</v>
      </c>
      <c r="N77" s="215">
        <v>6</v>
      </c>
      <c r="O77" s="215">
        <v>2</v>
      </c>
      <c r="P77" s="215">
        <v>1</v>
      </c>
      <c r="Q77" s="215">
        <v>3</v>
      </c>
      <c r="R77" s="215">
        <v>1</v>
      </c>
      <c r="S77" s="215">
        <v>2</v>
      </c>
      <c r="T77" s="215">
        <v>0</v>
      </c>
      <c r="U77" s="215">
        <v>9</v>
      </c>
      <c r="V77" s="321">
        <v>3</v>
      </c>
      <c r="W77" s="321">
        <v>0</v>
      </c>
      <c r="X77" s="321">
        <f>HCM!U78+HN!U78</f>
        <v>13</v>
      </c>
      <c r="Y77" s="321">
        <f>HCM!V78+HN!V78</f>
        <v>18</v>
      </c>
      <c r="Z77" s="321">
        <f>HCM!W78+HN!W78</f>
        <v>22</v>
      </c>
      <c r="AA77" s="321">
        <f>HCM!X78+HN!X78</f>
        <v>21</v>
      </c>
      <c r="AB77" s="321">
        <f>HCM!Y78+HN!Y78</f>
        <v>14</v>
      </c>
      <c r="AC77" s="321">
        <f>HCM!Z78+HN!Z78</f>
        <v>26</v>
      </c>
      <c r="AD77" s="321">
        <f>HCM!AA78+HN!AA78</f>
        <v>22</v>
      </c>
      <c r="AE77" s="321">
        <f>HCM!AB78+HN!AB78</f>
        <v>38</v>
      </c>
      <c r="AF77" s="321">
        <f>HCM!AC78+HN!AC78</f>
        <v>30</v>
      </c>
      <c r="AG77" s="321">
        <f>HCM!AD78+HN!AD78</f>
        <v>56</v>
      </c>
      <c r="AH77" s="321">
        <f>HCM!AE78+HN!AE78</f>
        <v>11</v>
      </c>
      <c r="AI77" s="321">
        <f>HCM!AF78+HN!AF78</f>
        <v>26</v>
      </c>
      <c r="AJ77" s="321">
        <f>HCM!AG78+HN!AG78</f>
        <v>17</v>
      </c>
      <c r="AK77" s="321">
        <f>HCM!AH78+HN!AH78</f>
        <v>41</v>
      </c>
      <c r="AL77" s="321">
        <f>HCM!AI78+HN!AI78</f>
        <v>55</v>
      </c>
    </row>
    <row r="78" spans="1:81">
      <c r="A78" s="1591" t="s">
        <v>153</v>
      </c>
      <c r="B78" s="242">
        <f t="shared" si="165"/>
        <v>97</v>
      </c>
      <c r="G78" s="243">
        <f t="shared" si="166"/>
        <v>6</v>
      </c>
      <c r="H78" s="243">
        <f t="shared" si="167"/>
        <v>48</v>
      </c>
      <c r="I78" s="243">
        <f t="shared" si="168"/>
        <v>37</v>
      </c>
      <c r="J78" s="243"/>
      <c r="K78" s="243">
        <v>156</v>
      </c>
      <c r="M78" s="215"/>
      <c r="N78" s="215">
        <v>12</v>
      </c>
      <c r="O78" s="215">
        <v>5</v>
      </c>
      <c r="P78" s="215">
        <v>2</v>
      </c>
      <c r="Q78" s="215">
        <v>3</v>
      </c>
      <c r="R78" s="215">
        <v>2</v>
      </c>
      <c r="S78" s="215">
        <v>0</v>
      </c>
      <c r="T78" s="215">
        <v>0</v>
      </c>
      <c r="U78" s="215">
        <v>2</v>
      </c>
      <c r="V78" s="321">
        <v>6</v>
      </c>
      <c r="W78" s="321">
        <v>0</v>
      </c>
      <c r="X78" s="321">
        <f>HCM!U79+HN!U79</f>
        <v>0</v>
      </c>
      <c r="Y78" s="321">
        <f>HCM!V79+HN!V79</f>
        <v>8</v>
      </c>
      <c r="Z78" s="321">
        <f>HCM!W79+HN!W79</f>
        <v>21</v>
      </c>
      <c r="AA78" s="321">
        <f>HCM!X79+HN!X79</f>
        <v>19</v>
      </c>
      <c r="AB78" s="321">
        <f>HCM!Y79+HN!Y79</f>
        <v>12</v>
      </c>
      <c r="AC78" s="321">
        <f>HCM!Z79+HN!Z79</f>
        <v>9</v>
      </c>
      <c r="AD78" s="321">
        <f>HCM!AA79+HN!AA79</f>
        <v>16</v>
      </c>
      <c r="AE78" s="321">
        <f>HCM!AB79+HN!AB79</f>
        <v>27</v>
      </c>
      <c r="AF78" s="321">
        <f>HCM!AC79+HN!AC79</f>
        <v>19</v>
      </c>
      <c r="AG78" s="321">
        <f>HCM!AD79+HN!AD79</f>
        <v>19</v>
      </c>
      <c r="AH78" s="321">
        <f>HCM!AE79+HN!AE79</f>
        <v>23</v>
      </c>
      <c r="AI78" s="321">
        <f>HCM!AF79+HN!AF79</f>
        <v>13</v>
      </c>
      <c r="AJ78" s="321">
        <f>HCM!AG79+HN!AG79</f>
        <v>11</v>
      </c>
      <c r="AK78" s="321">
        <f>HCM!AH79+HN!AH79</f>
        <v>17</v>
      </c>
      <c r="AL78" s="321">
        <f>HCM!AI79+HN!AI79</f>
        <v>33</v>
      </c>
    </row>
    <row r="79" spans="1:81">
      <c r="A79" s="1591" t="s">
        <v>70</v>
      </c>
      <c r="B79" s="242">
        <f t="shared" si="165"/>
        <v>42</v>
      </c>
      <c r="G79" s="243">
        <f t="shared" si="166"/>
        <v>4</v>
      </c>
      <c r="H79" s="243">
        <f t="shared" si="167"/>
        <v>14</v>
      </c>
      <c r="I79" s="243">
        <f t="shared" si="168"/>
        <v>20</v>
      </c>
      <c r="J79" s="243"/>
      <c r="K79" s="243">
        <v>84</v>
      </c>
      <c r="M79" s="215"/>
      <c r="N79" s="215"/>
      <c r="O79" s="215">
        <v>8</v>
      </c>
      <c r="P79" s="215">
        <v>4</v>
      </c>
      <c r="Q79" s="215">
        <v>1</v>
      </c>
      <c r="R79" s="215">
        <v>3</v>
      </c>
      <c r="S79" s="215">
        <v>2</v>
      </c>
      <c r="T79" s="215">
        <v>0</v>
      </c>
      <c r="U79" s="215">
        <v>3</v>
      </c>
      <c r="V79" s="321">
        <v>0</v>
      </c>
      <c r="W79" s="321">
        <v>3</v>
      </c>
      <c r="X79" s="321">
        <f>HCM!U80+HN!U80</f>
        <v>1</v>
      </c>
      <c r="Y79" s="321">
        <f>HCM!V80+HN!V80</f>
        <v>0</v>
      </c>
      <c r="Z79" s="321">
        <f>HCM!W80+HN!W80</f>
        <v>7</v>
      </c>
      <c r="AA79" s="321">
        <f>HCM!X80+HN!X80</f>
        <v>7</v>
      </c>
      <c r="AB79" s="321">
        <f>HCM!Y80+HN!Y80</f>
        <v>3</v>
      </c>
      <c r="AC79" s="321">
        <f>HCM!Z80+HN!Z80</f>
        <v>8</v>
      </c>
      <c r="AD79" s="321">
        <f>HCM!AA80+HN!AA80</f>
        <v>9</v>
      </c>
      <c r="AE79" s="321">
        <f>HCM!AB80+HN!AB80</f>
        <v>14</v>
      </c>
      <c r="AF79" s="321">
        <f>HCM!AC80+HN!AC80</f>
        <v>13</v>
      </c>
      <c r="AG79" s="321">
        <f>HCM!AD80+HN!AD80</f>
        <v>19</v>
      </c>
      <c r="AH79" s="321">
        <f>HCM!AE80+HN!AE80</f>
        <v>6</v>
      </c>
      <c r="AI79" s="321">
        <f>HCM!AF80+HN!AF80</f>
        <v>14</v>
      </c>
      <c r="AJ79" s="321">
        <f>HCM!AG80+HN!AG80</f>
        <v>10</v>
      </c>
      <c r="AK79" s="321">
        <f>HCM!AH80+HN!AH80</f>
        <v>6</v>
      </c>
      <c r="AL79" s="321">
        <f>HCM!AI80+HN!AI80</f>
        <v>6</v>
      </c>
    </row>
    <row r="80" spans="1:81">
      <c r="A80" s="1591" t="s">
        <v>71</v>
      </c>
      <c r="B80" s="242">
        <f t="shared" si="165"/>
        <v>89</v>
      </c>
      <c r="G80" s="243">
        <f t="shared" si="166"/>
        <v>6</v>
      </c>
      <c r="H80" s="243">
        <f t="shared" si="167"/>
        <v>10</v>
      </c>
      <c r="I80" s="243">
        <f t="shared" si="168"/>
        <v>35</v>
      </c>
      <c r="J80" s="243"/>
      <c r="K80" s="243">
        <v>96</v>
      </c>
      <c r="M80" s="215"/>
      <c r="N80" s="215"/>
      <c r="O80" s="215"/>
      <c r="P80" s="215">
        <v>2</v>
      </c>
      <c r="Q80" s="215">
        <v>7</v>
      </c>
      <c r="R80" s="215">
        <v>9</v>
      </c>
      <c r="S80" s="215">
        <v>2</v>
      </c>
      <c r="T80" s="215">
        <v>0</v>
      </c>
      <c r="U80" s="215">
        <v>2</v>
      </c>
      <c r="V80" s="321">
        <v>0</v>
      </c>
      <c r="W80" s="321">
        <v>1</v>
      </c>
      <c r="X80" s="321">
        <f>HCM!U81+HN!U81</f>
        <v>5</v>
      </c>
      <c r="Y80" s="321">
        <f>HCM!V81+HN!V81</f>
        <v>1</v>
      </c>
      <c r="Z80" s="321">
        <f>HCM!W81+HN!W81</f>
        <v>3</v>
      </c>
      <c r="AA80" s="321">
        <f>HCM!X81+HN!X81</f>
        <v>6</v>
      </c>
      <c r="AB80" s="321">
        <f>HCM!Y81+HN!Y81</f>
        <v>6</v>
      </c>
      <c r="AC80" s="321">
        <f>HCM!Z81+HN!Z81</f>
        <v>11</v>
      </c>
      <c r="AD80" s="321">
        <f>HCM!AA81+HN!AA81</f>
        <v>18</v>
      </c>
      <c r="AE80" s="321">
        <f>HCM!AB81+HN!AB81</f>
        <v>6</v>
      </c>
      <c r="AF80" s="321">
        <f>HCM!AC81+HN!AC81</f>
        <v>13</v>
      </c>
      <c r="AG80" s="321">
        <f>HCM!AD81+HN!AD81</f>
        <v>26</v>
      </c>
      <c r="AH80" s="321">
        <f>HCM!AE81+HN!AE81</f>
        <v>15</v>
      </c>
      <c r="AI80" s="321">
        <f>HCM!AF81+HN!AF81</f>
        <v>16</v>
      </c>
      <c r="AJ80" s="321">
        <f>HCM!AG81+HN!AG81</f>
        <v>25</v>
      </c>
      <c r="AK80" s="321">
        <f>HCM!AH81+HN!AH81</f>
        <v>19</v>
      </c>
      <c r="AL80" s="321">
        <f>HCM!AI81+HN!AI81</f>
        <v>14</v>
      </c>
    </row>
    <row r="81" spans="1:81">
      <c r="A81" s="1591" t="s">
        <v>72</v>
      </c>
      <c r="B81" s="242">
        <f t="shared" si="165"/>
        <v>65</v>
      </c>
      <c r="G81" s="243">
        <f t="shared" si="166"/>
        <v>11</v>
      </c>
      <c r="H81" s="243">
        <f t="shared" si="167"/>
        <v>2</v>
      </c>
      <c r="I81" s="243">
        <f t="shared" si="168"/>
        <v>3</v>
      </c>
      <c r="J81" s="243"/>
      <c r="K81" s="243">
        <v>39</v>
      </c>
      <c r="M81" s="215"/>
      <c r="N81" s="215"/>
      <c r="O81" s="215"/>
      <c r="P81" s="215"/>
      <c r="Q81" s="215"/>
      <c r="R81" s="215"/>
      <c r="S81" s="215">
        <v>1</v>
      </c>
      <c r="T81" s="215">
        <v>3</v>
      </c>
      <c r="U81" s="215">
        <v>4</v>
      </c>
      <c r="V81" s="321">
        <v>5</v>
      </c>
      <c r="W81" s="321">
        <v>1</v>
      </c>
      <c r="X81" s="321">
        <f>HCM!U82+HN!U82</f>
        <v>5</v>
      </c>
      <c r="Y81" s="321">
        <f>HCM!V82+HN!V82</f>
        <v>1</v>
      </c>
      <c r="Z81" s="321">
        <f>HCM!W82+HN!W82</f>
        <v>0</v>
      </c>
      <c r="AA81" s="321">
        <f>HCM!X82+HN!X82</f>
        <v>1</v>
      </c>
      <c r="AB81" s="321">
        <f>HCM!Y82+HN!Y82</f>
        <v>1</v>
      </c>
      <c r="AC81" s="321">
        <f>HCM!Z82+HN!Z82</f>
        <v>0</v>
      </c>
      <c r="AD81" s="321">
        <f>HCM!AA82+HN!AA82</f>
        <v>2</v>
      </c>
      <c r="AE81" s="321">
        <f>HCM!AB82+HN!AB82</f>
        <v>7</v>
      </c>
      <c r="AF81" s="321">
        <f>HCM!AC82+HN!AC82</f>
        <v>2</v>
      </c>
      <c r="AG81" s="321">
        <f>HCM!AD82+HN!AD82</f>
        <v>14</v>
      </c>
      <c r="AH81" s="321">
        <f>HCM!AE82+HN!AE82</f>
        <v>3</v>
      </c>
      <c r="AI81" s="321">
        <f>HCM!AF82+HN!AF82</f>
        <v>9</v>
      </c>
      <c r="AJ81" s="321">
        <f>HCM!AG82+HN!AG82</f>
        <v>14</v>
      </c>
      <c r="AK81" s="321">
        <f>HCM!AH82+HN!AH82</f>
        <v>18</v>
      </c>
      <c r="AL81" s="321">
        <f>HCM!AI82+HN!AI82</f>
        <v>21</v>
      </c>
    </row>
    <row r="82" spans="1:81">
      <c r="A82" s="1591" t="s">
        <v>73</v>
      </c>
      <c r="B82" s="242">
        <f t="shared" si="165"/>
        <v>196</v>
      </c>
      <c r="G82" s="243">
        <f t="shared" si="166"/>
        <v>24</v>
      </c>
      <c r="H82" s="243">
        <f t="shared" si="167"/>
        <v>85</v>
      </c>
      <c r="I82" s="243">
        <f t="shared" si="168"/>
        <v>91</v>
      </c>
      <c r="J82" s="243"/>
      <c r="K82" s="243">
        <v>288</v>
      </c>
      <c r="M82" s="215">
        <v>5</v>
      </c>
      <c r="N82" s="215">
        <v>7</v>
      </c>
      <c r="O82" s="215">
        <v>8</v>
      </c>
      <c r="P82" s="215">
        <v>4</v>
      </c>
      <c r="Q82" s="215">
        <v>5</v>
      </c>
      <c r="R82" s="215">
        <v>5</v>
      </c>
      <c r="S82" s="215">
        <v>3</v>
      </c>
      <c r="T82" s="215">
        <v>4</v>
      </c>
      <c r="U82" s="215">
        <v>12</v>
      </c>
      <c r="V82" s="321">
        <v>8</v>
      </c>
      <c r="W82" s="321">
        <v>4</v>
      </c>
      <c r="X82" s="321">
        <f>HCM!U83+HN!U83</f>
        <v>12</v>
      </c>
      <c r="Y82" s="321">
        <f>HCM!V83+HN!V83</f>
        <v>29</v>
      </c>
      <c r="Z82" s="321">
        <f>HCM!W83+HN!W83</f>
        <v>28</v>
      </c>
      <c r="AA82" s="321">
        <f>HCM!X83+HN!X83</f>
        <v>28</v>
      </c>
      <c r="AB82" s="321">
        <f>HCM!Y83+HN!Y83</f>
        <v>19</v>
      </c>
      <c r="AC82" s="321">
        <f>HCM!Z83+HN!Z83</f>
        <v>22</v>
      </c>
      <c r="AD82" s="321">
        <f>HCM!AA83+HN!AA83</f>
        <v>50</v>
      </c>
      <c r="AE82" s="321">
        <f>HCM!AB83+HN!AB83</f>
        <v>26</v>
      </c>
      <c r="AF82" s="321">
        <f>HCM!AC83+HN!AC83</f>
        <v>27</v>
      </c>
      <c r="AG82" s="321">
        <f>HCM!AD83+HN!AD83</f>
        <v>35</v>
      </c>
      <c r="AH82" s="321">
        <f>HCM!AE83+HN!AE83</f>
        <v>20</v>
      </c>
      <c r="AI82" s="321">
        <f>HCM!AF83+HN!AF83</f>
        <v>34</v>
      </c>
      <c r="AJ82" s="321">
        <f>HCM!AG83+HN!AG83</f>
        <v>27</v>
      </c>
      <c r="AK82" s="321">
        <f>HCM!AH83+HN!AH83</f>
        <v>47</v>
      </c>
      <c r="AL82" s="321">
        <f>HCM!AI83+HN!AI83</f>
        <v>68</v>
      </c>
    </row>
    <row r="83" spans="1:81">
      <c r="A83" s="1591" t="s">
        <v>75</v>
      </c>
      <c r="B83" s="242">
        <f t="shared" si="165"/>
        <v>3</v>
      </c>
      <c r="G83" s="243">
        <f t="shared" si="166"/>
        <v>0</v>
      </c>
      <c r="H83" s="243">
        <f t="shared" si="167"/>
        <v>0</v>
      </c>
      <c r="I83" s="243">
        <f t="shared" si="168"/>
        <v>0</v>
      </c>
      <c r="J83" s="243"/>
      <c r="K83" s="243">
        <v>0</v>
      </c>
      <c r="M83" s="215"/>
      <c r="N83" s="215"/>
      <c r="O83" s="215"/>
      <c r="P83" s="215"/>
      <c r="Q83" s="215"/>
      <c r="R83" s="215"/>
      <c r="S83" s="215"/>
      <c r="T83" s="215"/>
      <c r="U83" s="215"/>
      <c r="V83" s="321"/>
      <c r="W83" s="321"/>
      <c r="X83" s="321">
        <f>HCM!U84+HN!U84</f>
        <v>0</v>
      </c>
      <c r="Y83" s="321">
        <f>HCM!V84+HN!V84</f>
        <v>0</v>
      </c>
      <c r="Z83" s="321">
        <f>HCM!W84+HN!W84</f>
        <v>0</v>
      </c>
      <c r="AA83" s="321">
        <f>HCM!X84+HN!X84</f>
        <v>0</v>
      </c>
      <c r="AB83" s="321">
        <f>HCM!Y84+HN!Y84</f>
        <v>0</v>
      </c>
      <c r="AC83" s="321">
        <f>HCM!Z84+HN!Z84</f>
        <v>0</v>
      </c>
      <c r="AD83" s="321">
        <f>HCM!AA84+HN!AA84</f>
        <v>0</v>
      </c>
      <c r="AE83" s="321">
        <f>HCM!AB84+HN!AB84</f>
        <v>0</v>
      </c>
      <c r="AF83" s="321">
        <f>HCM!AC84+HN!AC84</f>
        <v>0</v>
      </c>
      <c r="AG83" s="321">
        <f>HCM!AD84+HN!AD84</f>
        <v>0</v>
      </c>
      <c r="AH83" s="321">
        <f>HCM!AE84+HN!AE84</f>
        <v>0</v>
      </c>
      <c r="AI83" s="321">
        <f>HCM!AF84+HN!AF84</f>
        <v>0</v>
      </c>
      <c r="AJ83" s="321">
        <f>HCM!AG84+HN!AG84</f>
        <v>1</v>
      </c>
      <c r="AK83" s="321">
        <f>HCM!AH84+HN!AH84</f>
        <v>1</v>
      </c>
      <c r="AL83" s="321">
        <f>HCM!AI84+HN!AI84</f>
        <v>1</v>
      </c>
    </row>
    <row r="84" spans="1:81">
      <c r="A84" s="2197" t="s">
        <v>4197</v>
      </c>
      <c r="B84" s="242"/>
      <c r="G84" s="243"/>
      <c r="H84" s="243"/>
      <c r="I84" s="243"/>
      <c r="J84" s="243"/>
      <c r="K84" s="243"/>
      <c r="M84" s="215"/>
      <c r="N84" s="215"/>
      <c r="O84" s="215"/>
      <c r="P84" s="215"/>
      <c r="Q84" s="215"/>
      <c r="R84" s="215"/>
      <c r="S84" s="215"/>
      <c r="T84" s="215"/>
      <c r="U84" s="215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BQ84" s="922"/>
      <c r="BS84" s="922">
        <f>+HCM!BP85+HN!BP85</f>
        <v>98</v>
      </c>
      <c r="BT84" s="922">
        <f>+HCM!BQ85+HN!BQ85</f>
        <v>76</v>
      </c>
      <c r="BU84" s="922">
        <f>+HCM!BR85+HN!BR85</f>
        <v>150</v>
      </c>
      <c r="BV84" s="922">
        <f>+HCM!BS85+HN!BS85</f>
        <v>67</v>
      </c>
      <c r="BW84" s="922">
        <f>+HCM!BT85+HN!BT85</f>
        <v>57</v>
      </c>
      <c r="BX84" s="922">
        <f>+HCM!BU85+HN!BU85</f>
        <v>52</v>
      </c>
      <c r="BY84" s="922">
        <f>+HCM!BV85+HN!BV85</f>
        <v>0</v>
      </c>
      <c r="BZ84" s="922">
        <f>+HCM!BW85+HN!BW85</f>
        <v>0</v>
      </c>
      <c r="CA84" s="922">
        <f>+HCM!BX85+HN!BX85</f>
        <v>0</v>
      </c>
      <c r="CB84" s="922">
        <f>+HCM!BY85+HN!BY85</f>
        <v>0</v>
      </c>
      <c r="CC84" s="922">
        <f>+HCM!BZ85+HN!BZ85</f>
        <v>0</v>
      </c>
    </row>
    <row r="85" spans="1:81" s="926" customFormat="1">
      <c r="A85" s="1313" t="s">
        <v>4208</v>
      </c>
      <c r="B85" s="927">
        <f>SUM(BR85:CC85)</f>
        <v>11347</v>
      </c>
      <c r="C85" s="928"/>
      <c r="D85" s="927"/>
      <c r="E85" s="927"/>
      <c r="F85" s="927"/>
      <c r="G85" s="927">
        <f t="shared" si="166"/>
        <v>67</v>
      </c>
      <c r="H85" s="927">
        <f t="shared" si="167"/>
        <v>220</v>
      </c>
      <c r="I85" s="927">
        <f t="shared" si="168"/>
        <v>248</v>
      </c>
      <c r="J85" s="927"/>
      <c r="K85" s="927">
        <v>926</v>
      </c>
      <c r="L85" s="928"/>
      <c r="M85" s="929">
        <f>SUM(M77:M83)</f>
        <v>14</v>
      </c>
      <c r="N85" s="929">
        <f t="shared" ref="N85:W85" si="169">SUM(N77:N83)</f>
        <v>25</v>
      </c>
      <c r="O85" s="929">
        <f t="shared" si="169"/>
        <v>23</v>
      </c>
      <c r="P85" s="929">
        <f t="shared" si="169"/>
        <v>13</v>
      </c>
      <c r="Q85" s="929">
        <f t="shared" si="169"/>
        <v>19</v>
      </c>
      <c r="R85" s="929">
        <f t="shared" si="169"/>
        <v>20</v>
      </c>
      <c r="S85" s="929">
        <f t="shared" si="169"/>
        <v>10</v>
      </c>
      <c r="T85" s="929">
        <f t="shared" si="169"/>
        <v>7</v>
      </c>
      <c r="U85" s="929">
        <f t="shared" si="169"/>
        <v>32</v>
      </c>
      <c r="V85" s="929">
        <f t="shared" si="169"/>
        <v>22</v>
      </c>
      <c r="W85" s="929">
        <f t="shared" si="169"/>
        <v>9</v>
      </c>
      <c r="X85" s="929">
        <f t="shared" ref="X85:AC85" si="170">SUM(X77:X83)</f>
        <v>36</v>
      </c>
      <c r="Y85" s="929">
        <f t="shared" si="170"/>
        <v>57</v>
      </c>
      <c r="Z85" s="929">
        <f t="shared" si="170"/>
        <v>81</v>
      </c>
      <c r="AA85" s="929">
        <f t="shared" si="170"/>
        <v>82</v>
      </c>
      <c r="AB85" s="929">
        <f t="shared" si="170"/>
        <v>55</v>
      </c>
      <c r="AC85" s="929">
        <f t="shared" si="170"/>
        <v>76</v>
      </c>
      <c r="AD85" s="929">
        <f t="shared" ref="AD85:AL85" si="171">SUM(AD77:AD83)</f>
        <v>117</v>
      </c>
      <c r="AE85" s="929">
        <f t="shared" si="171"/>
        <v>118</v>
      </c>
      <c r="AF85" s="929">
        <f t="shared" si="171"/>
        <v>104</v>
      </c>
      <c r="AG85" s="929">
        <f t="shared" si="171"/>
        <v>169</v>
      </c>
      <c r="AH85" s="929">
        <f t="shared" si="171"/>
        <v>78</v>
      </c>
      <c r="AI85" s="929">
        <f t="shared" si="171"/>
        <v>112</v>
      </c>
      <c r="AJ85" s="929">
        <f t="shared" si="171"/>
        <v>105</v>
      </c>
      <c r="AK85" s="929">
        <f t="shared" si="171"/>
        <v>149</v>
      </c>
      <c r="AL85" s="929">
        <f t="shared" si="171"/>
        <v>198</v>
      </c>
      <c r="AM85" s="929">
        <v>345</v>
      </c>
      <c r="AN85" s="929">
        <v>335</v>
      </c>
      <c r="AO85" s="929">
        <v>361</v>
      </c>
      <c r="AP85" s="929">
        <v>461</v>
      </c>
      <c r="AQ85" s="929">
        <v>518</v>
      </c>
      <c r="AR85" s="929">
        <v>562</v>
      </c>
      <c r="AS85" s="929">
        <v>803</v>
      </c>
      <c r="AT85" s="929">
        <v>557</v>
      </c>
      <c r="AU85" s="929">
        <v>465</v>
      </c>
      <c r="AV85" s="929">
        <v>642</v>
      </c>
      <c r="AW85" s="929">
        <v>745</v>
      </c>
      <c r="AX85" s="929">
        <v>883</v>
      </c>
      <c r="AY85" s="929">
        <v>998</v>
      </c>
      <c r="AZ85" s="929">
        <v>1019</v>
      </c>
      <c r="BA85" s="929">
        <v>835</v>
      </c>
      <c r="BB85" s="929">
        <v>1364</v>
      </c>
      <c r="BC85" s="929">
        <v>1131</v>
      </c>
      <c r="BD85" s="929">
        <v>1366</v>
      </c>
      <c r="BE85" s="929">
        <v>1568</v>
      </c>
      <c r="BF85" s="929">
        <v>635</v>
      </c>
      <c r="BG85" s="929">
        <v>620</v>
      </c>
      <c r="BH85" s="929">
        <v>1116</v>
      </c>
      <c r="BI85" s="929">
        <v>979</v>
      </c>
      <c r="BJ85" s="929">
        <v>1090</v>
      </c>
      <c r="BK85" s="929">
        <v>1647</v>
      </c>
      <c r="BL85" s="929">
        <f>+HCM!BI86+HN!BI86</f>
        <v>1310</v>
      </c>
      <c r="BM85" s="929">
        <f>+HCM!BJ86+HN!BJ86</f>
        <v>1420</v>
      </c>
      <c r="BN85" s="929">
        <f>+HCM!BK86+HN!BK86</f>
        <v>1734</v>
      </c>
      <c r="BO85" s="929">
        <f>+HCM!BL86+HN!BL86</f>
        <v>1466</v>
      </c>
      <c r="BP85" s="929">
        <f>+HCM!BM86+HN!BM86</f>
        <v>1539</v>
      </c>
      <c r="BQ85" s="929">
        <f>+HCM!BN86+HN!BN86</f>
        <v>2520</v>
      </c>
      <c r="BR85" s="929">
        <f>+HCM!BO86+HN!BO86</f>
        <v>1021</v>
      </c>
      <c r="BS85" s="929">
        <f>+HCM!BP86+HN!BP86</f>
        <v>1540</v>
      </c>
      <c r="BT85" s="929">
        <f>+HCM!BQ86+HN!BQ86</f>
        <v>1991</v>
      </c>
      <c r="BU85" s="929">
        <f>+HCM!BR86+HN!BR86</f>
        <v>1833</v>
      </c>
      <c r="BV85" s="929">
        <f>+HCM!BS86+HN!BS86</f>
        <v>1534</v>
      </c>
      <c r="BW85" s="929">
        <f>+HCM!BT86+HN!BT86</f>
        <v>1945</v>
      </c>
      <c r="BX85" s="929">
        <f>+HCM!BU86+HN!BU86</f>
        <v>1483</v>
      </c>
      <c r="BY85" s="929">
        <f>+HCM!BV86+HN!BV86</f>
        <v>0</v>
      </c>
      <c r="BZ85" s="929">
        <f>+HCM!BW86+HN!BW86</f>
        <v>0</v>
      </c>
      <c r="CA85" s="929">
        <f>+HCM!BX86+HN!BX86</f>
        <v>0</v>
      </c>
      <c r="CB85" s="929">
        <f>+HCM!BY86+HN!BY86</f>
        <v>0</v>
      </c>
      <c r="CC85" s="929">
        <f>+HCM!BZ86+HN!BZ86</f>
        <v>0</v>
      </c>
    </row>
    <row r="86" spans="1:81">
      <c r="AH86" s="216"/>
    </row>
    <row r="87" spans="1:81" s="228" customFormat="1">
      <c r="A87" s="224" t="s">
        <v>161</v>
      </c>
      <c r="B87" s="225" t="s">
        <v>163</v>
      </c>
      <c r="C87" s="225"/>
      <c r="D87" s="226" t="s">
        <v>59</v>
      </c>
      <c r="E87" s="226" t="s">
        <v>94</v>
      </c>
      <c r="F87" s="226" t="s">
        <v>97</v>
      </c>
      <c r="G87" s="226" t="s">
        <v>150</v>
      </c>
      <c r="H87" s="226" t="s">
        <v>508</v>
      </c>
      <c r="I87" s="226" t="s">
        <v>509</v>
      </c>
      <c r="J87" s="226"/>
      <c r="K87" s="226" t="s">
        <v>163</v>
      </c>
      <c r="L87" s="225"/>
      <c r="M87" s="227">
        <v>41000</v>
      </c>
      <c r="N87" s="227">
        <v>41030</v>
      </c>
      <c r="O87" s="227">
        <v>41061</v>
      </c>
      <c r="P87" s="227">
        <v>41091</v>
      </c>
      <c r="Q87" s="227">
        <v>41122</v>
      </c>
      <c r="R87" s="227">
        <v>41153</v>
      </c>
      <c r="S87" s="227">
        <v>41183</v>
      </c>
      <c r="T87" s="227">
        <v>41214</v>
      </c>
      <c r="U87" s="227">
        <v>41244</v>
      </c>
      <c r="V87" s="227">
        <v>41275</v>
      </c>
      <c r="W87" s="227">
        <v>41306</v>
      </c>
      <c r="X87" s="227">
        <v>41334</v>
      </c>
      <c r="Y87" s="227">
        <v>41365</v>
      </c>
      <c r="Z87" s="227">
        <v>41395</v>
      </c>
      <c r="AA87" s="227">
        <v>41426</v>
      </c>
      <c r="AB87" s="227">
        <v>41456</v>
      </c>
      <c r="AC87" s="227">
        <v>41487</v>
      </c>
      <c r="AD87" s="227">
        <v>41518</v>
      </c>
      <c r="AE87" s="227">
        <v>41548</v>
      </c>
      <c r="AF87" s="227">
        <v>41579</v>
      </c>
      <c r="AG87" s="227">
        <v>41609</v>
      </c>
      <c r="AH87" s="227">
        <v>41640</v>
      </c>
      <c r="AI87" s="227">
        <v>41671</v>
      </c>
      <c r="AJ87" s="227">
        <v>41699</v>
      </c>
      <c r="AK87" s="227">
        <v>41730</v>
      </c>
      <c r="AL87" s="227">
        <v>41760</v>
      </c>
      <c r="AM87" s="227">
        <v>41791</v>
      </c>
      <c r="AN87" s="227">
        <v>41821</v>
      </c>
      <c r="AO87" s="227">
        <v>41852</v>
      </c>
      <c r="AP87" s="227">
        <v>41883</v>
      </c>
      <c r="AQ87" s="227">
        <v>41913</v>
      </c>
      <c r="AR87" s="227">
        <v>41944</v>
      </c>
      <c r="AS87" s="227">
        <v>41974</v>
      </c>
      <c r="AT87" s="252">
        <v>42005</v>
      </c>
      <c r="AU87" s="211" t="s">
        <v>34</v>
      </c>
      <c r="AV87" s="211" t="s">
        <v>35</v>
      </c>
      <c r="AW87" s="211" t="s">
        <v>36</v>
      </c>
      <c r="AX87" s="211" t="s">
        <v>37</v>
      </c>
      <c r="AY87" s="211" t="s">
        <v>38</v>
      </c>
      <c r="AZ87" s="211" t="s">
        <v>39</v>
      </c>
      <c r="BA87" s="211" t="str">
        <f>BA76</f>
        <v>Aug</v>
      </c>
      <c r="BB87" s="211" t="str">
        <f>BB76</f>
        <v>Sep</v>
      </c>
      <c r="BC87" s="211" t="str">
        <f>BC76</f>
        <v>Oct</v>
      </c>
      <c r="BD87" s="211" t="str">
        <f>BD76</f>
        <v>Nov</v>
      </c>
      <c r="BE87" s="211" t="str">
        <f>BE76</f>
        <v>Dec</v>
      </c>
      <c r="BF87" s="1978" t="s">
        <v>2552</v>
      </c>
      <c r="BG87" s="1979" t="s">
        <v>34</v>
      </c>
      <c r="BH87" s="1979" t="s">
        <v>35</v>
      </c>
      <c r="BI87" s="1979" t="s">
        <v>36</v>
      </c>
      <c r="BJ87" s="1979" t="s">
        <v>37</v>
      </c>
      <c r="BK87" s="1979" t="s">
        <v>38</v>
      </c>
      <c r="BL87" s="1979" t="s">
        <v>39</v>
      </c>
      <c r="BM87" s="1979" t="s">
        <v>40</v>
      </c>
      <c r="BN87" s="1979" t="s">
        <v>41</v>
      </c>
      <c r="BO87" s="1979" t="s">
        <v>42</v>
      </c>
      <c r="BP87" s="1979" t="s">
        <v>43</v>
      </c>
      <c r="BQ87" s="1979" t="s">
        <v>44</v>
      </c>
      <c r="BR87" s="1978" t="s">
        <v>4133</v>
      </c>
      <c r="BS87" s="1979" t="s">
        <v>34</v>
      </c>
      <c r="BT87" s="1979" t="s">
        <v>35</v>
      </c>
      <c r="BU87" s="1979" t="s">
        <v>36</v>
      </c>
      <c r="BV87" s="1978" t="s">
        <v>37</v>
      </c>
      <c r="BW87" s="1979" t="s">
        <v>38</v>
      </c>
      <c r="BX87" s="1979" t="s">
        <v>39</v>
      </c>
      <c r="BY87" s="1979" t="s">
        <v>40</v>
      </c>
      <c r="BZ87" s="1979" t="s">
        <v>41</v>
      </c>
      <c r="CA87" s="1979" t="s">
        <v>42</v>
      </c>
      <c r="CB87" s="1979" t="s">
        <v>43</v>
      </c>
      <c r="CC87" s="1979" t="s">
        <v>44</v>
      </c>
    </row>
    <row r="88" spans="1:81">
      <c r="A88" s="1591" t="s">
        <v>152</v>
      </c>
      <c r="B88" s="242">
        <f t="shared" ref="B88:B93" si="172">SUMIF($AH$2:$AS$2, "&lt;=" &amp; $B$2, $AH88:$AS88)</f>
        <v>183.5</v>
      </c>
      <c r="G88" s="243">
        <f t="shared" ref="G88:G96" si="173">SUM(V88:X88)</f>
        <v>23</v>
      </c>
      <c r="H88" s="243">
        <f t="shared" ref="H88:H96" si="174">SUM(Y88:AA88)</f>
        <v>81</v>
      </c>
      <c r="I88" s="243">
        <f t="shared" ref="I88:I96" si="175">SUM(AB88:AD88)</f>
        <v>91</v>
      </c>
      <c r="J88" s="243"/>
      <c r="K88" s="243">
        <v>378</v>
      </c>
      <c r="M88" s="215">
        <v>11</v>
      </c>
      <c r="N88" s="215">
        <v>6</v>
      </c>
      <c r="O88" s="215">
        <v>3</v>
      </c>
      <c r="P88" s="215">
        <v>2</v>
      </c>
      <c r="Q88" s="215">
        <v>4</v>
      </c>
      <c r="R88" s="215">
        <v>1</v>
      </c>
      <c r="S88" s="215">
        <v>3</v>
      </c>
      <c r="T88" s="215">
        <v>0</v>
      </c>
      <c r="U88" s="215">
        <v>27</v>
      </c>
      <c r="V88" s="321">
        <v>4</v>
      </c>
      <c r="W88" s="321">
        <v>0</v>
      </c>
      <c r="X88" s="321">
        <f>HCM!U89+HN!U89</f>
        <v>19</v>
      </c>
      <c r="Y88" s="321">
        <f>HCM!V89+HN!V89</f>
        <v>24</v>
      </c>
      <c r="Z88" s="321">
        <f>HCM!W89+HN!W89</f>
        <v>28</v>
      </c>
      <c r="AA88" s="321">
        <f>HCM!X89+HN!X89</f>
        <v>29</v>
      </c>
      <c r="AB88" s="321">
        <f>HCM!Y89+HN!Y89</f>
        <v>21</v>
      </c>
      <c r="AC88" s="321">
        <f>HCM!Z89+HN!Z89</f>
        <v>36</v>
      </c>
      <c r="AD88" s="321">
        <f>HCM!AA89+HN!AA89</f>
        <v>34</v>
      </c>
      <c r="AE88" s="321">
        <f>HCM!AB89+HN!AB89</f>
        <v>51</v>
      </c>
      <c r="AF88" s="321">
        <f>HCM!AC89+HN!AC89</f>
        <v>40</v>
      </c>
      <c r="AG88" s="321">
        <f>HCM!AD89+HN!AD89</f>
        <v>92</v>
      </c>
      <c r="AH88" s="321">
        <f>HCM!AE89+HN!AE89</f>
        <v>12</v>
      </c>
      <c r="AI88" s="321">
        <f>HCM!AF89+HN!AF89</f>
        <v>28</v>
      </c>
      <c r="AJ88" s="321">
        <f>HCM!AG89+HN!AG89</f>
        <v>21</v>
      </c>
      <c r="AK88" s="321">
        <f>HCM!AH89+HN!AH89</f>
        <v>55</v>
      </c>
      <c r="AL88" s="321">
        <f>HCM!AI89+HN!AI89</f>
        <v>67.5</v>
      </c>
    </row>
    <row r="89" spans="1:81">
      <c r="A89" s="1591" t="s">
        <v>153</v>
      </c>
      <c r="B89" s="242">
        <f t="shared" si="172"/>
        <v>117</v>
      </c>
      <c r="G89" s="243">
        <f t="shared" si="173"/>
        <v>11</v>
      </c>
      <c r="H89" s="243">
        <f t="shared" si="174"/>
        <v>71</v>
      </c>
      <c r="I89" s="243">
        <f t="shared" si="175"/>
        <v>54</v>
      </c>
      <c r="J89" s="243"/>
      <c r="K89" s="243">
        <v>234</v>
      </c>
      <c r="M89" s="215"/>
      <c r="N89" s="215">
        <v>13</v>
      </c>
      <c r="O89" s="215">
        <v>5</v>
      </c>
      <c r="P89" s="215">
        <v>2</v>
      </c>
      <c r="Q89" s="215">
        <v>3</v>
      </c>
      <c r="R89" s="215">
        <v>3</v>
      </c>
      <c r="S89" s="215">
        <v>0</v>
      </c>
      <c r="T89" s="215">
        <v>0</v>
      </c>
      <c r="U89" s="215">
        <v>2</v>
      </c>
      <c r="V89" s="321">
        <v>11</v>
      </c>
      <c r="W89" s="321">
        <v>0</v>
      </c>
      <c r="X89" s="321">
        <f>HCM!U90+HN!U90</f>
        <v>0</v>
      </c>
      <c r="Y89" s="321">
        <f>HCM!V90+HN!V90</f>
        <v>16</v>
      </c>
      <c r="Z89" s="321">
        <f>HCM!W90+HN!W90</f>
        <v>31</v>
      </c>
      <c r="AA89" s="321">
        <f>HCM!X90+HN!X90</f>
        <v>24</v>
      </c>
      <c r="AB89" s="321">
        <f>HCM!Y90+HN!Y90</f>
        <v>15</v>
      </c>
      <c r="AC89" s="321">
        <f>HCM!Z90+HN!Z90</f>
        <v>11</v>
      </c>
      <c r="AD89" s="321">
        <f>HCM!AA90+HN!AA90</f>
        <v>28</v>
      </c>
      <c r="AE89" s="321">
        <f>HCM!AB90+HN!AB90</f>
        <v>38</v>
      </c>
      <c r="AF89" s="321">
        <f>HCM!AC90+HN!AC90</f>
        <v>26</v>
      </c>
      <c r="AG89" s="321">
        <f>HCM!AD90+HN!AD90</f>
        <v>34</v>
      </c>
      <c r="AH89" s="321">
        <f>HCM!AE90+HN!AE90</f>
        <v>29</v>
      </c>
      <c r="AI89" s="321">
        <f>HCM!AF90+HN!AF90</f>
        <v>14</v>
      </c>
      <c r="AJ89" s="321">
        <f>HCM!AG90+HN!AG90</f>
        <v>11</v>
      </c>
      <c r="AK89" s="321">
        <f>HCM!AH90+HN!AH90</f>
        <v>22</v>
      </c>
      <c r="AL89" s="321">
        <f>HCM!AI90+HN!AI90</f>
        <v>41</v>
      </c>
    </row>
    <row r="90" spans="1:81">
      <c r="A90" s="1591" t="s">
        <v>70</v>
      </c>
      <c r="B90" s="242">
        <f t="shared" si="172"/>
        <v>51</v>
      </c>
      <c r="G90" s="243">
        <f t="shared" si="173"/>
        <v>5</v>
      </c>
      <c r="H90" s="243">
        <f t="shared" si="174"/>
        <v>25</v>
      </c>
      <c r="I90" s="243">
        <f t="shared" si="175"/>
        <v>24</v>
      </c>
      <c r="J90" s="243"/>
      <c r="K90" s="243">
        <v>119</v>
      </c>
      <c r="M90" s="215"/>
      <c r="N90" s="215"/>
      <c r="O90" s="215">
        <v>11.5</v>
      </c>
      <c r="P90" s="215">
        <v>4</v>
      </c>
      <c r="Q90" s="215">
        <v>1</v>
      </c>
      <c r="R90" s="215">
        <v>5</v>
      </c>
      <c r="S90" s="215">
        <v>2</v>
      </c>
      <c r="T90" s="215">
        <v>0</v>
      </c>
      <c r="U90" s="215">
        <v>3</v>
      </c>
      <c r="V90" s="321">
        <v>0</v>
      </c>
      <c r="W90" s="321">
        <v>4</v>
      </c>
      <c r="X90" s="321">
        <f>HCM!U91+HN!U91</f>
        <v>1</v>
      </c>
      <c r="Y90" s="321">
        <f>HCM!V91+HN!V91</f>
        <v>0</v>
      </c>
      <c r="Z90" s="321">
        <f>HCM!W91+HN!W91</f>
        <v>13</v>
      </c>
      <c r="AA90" s="321">
        <f>HCM!X91+HN!X91</f>
        <v>12</v>
      </c>
      <c r="AB90" s="321">
        <f>HCM!Y91+HN!Y91</f>
        <v>3</v>
      </c>
      <c r="AC90" s="321">
        <f>HCM!Z91+HN!Z91</f>
        <v>10</v>
      </c>
      <c r="AD90" s="321">
        <f>HCM!AA91+HN!AA91</f>
        <v>11</v>
      </c>
      <c r="AE90" s="321">
        <f>HCM!AB91+HN!AB91</f>
        <v>22</v>
      </c>
      <c r="AF90" s="321">
        <f>HCM!AC91+HN!AC91</f>
        <v>19</v>
      </c>
      <c r="AG90" s="321">
        <f>HCM!AD91+HN!AD91</f>
        <v>24</v>
      </c>
      <c r="AH90" s="321">
        <f>HCM!AE91+HN!AE91</f>
        <v>7</v>
      </c>
      <c r="AI90" s="321">
        <f>HCM!AF91+HN!AF91</f>
        <v>19</v>
      </c>
      <c r="AJ90" s="321">
        <f>HCM!AG91+HN!AG91</f>
        <v>12</v>
      </c>
      <c r="AK90" s="321">
        <f>HCM!AH91+HN!AH91</f>
        <v>8</v>
      </c>
      <c r="AL90" s="321">
        <f>HCM!AI91+HN!AI91</f>
        <v>5</v>
      </c>
    </row>
    <row r="91" spans="1:81">
      <c r="A91" s="1591" t="s">
        <v>71</v>
      </c>
      <c r="B91" s="242">
        <f t="shared" si="172"/>
        <v>124</v>
      </c>
      <c r="G91" s="243">
        <f t="shared" si="173"/>
        <v>7</v>
      </c>
      <c r="H91" s="243">
        <f t="shared" si="174"/>
        <v>13</v>
      </c>
      <c r="I91" s="243">
        <f t="shared" si="175"/>
        <v>43</v>
      </c>
      <c r="J91" s="243"/>
      <c r="K91" s="243">
        <v>144</v>
      </c>
      <c r="M91" s="215"/>
      <c r="N91" s="215"/>
      <c r="O91" s="215"/>
      <c r="P91" s="215">
        <v>2</v>
      </c>
      <c r="Q91" s="215">
        <v>9</v>
      </c>
      <c r="R91" s="215">
        <v>13</v>
      </c>
      <c r="S91" s="215">
        <v>3</v>
      </c>
      <c r="T91" s="215">
        <v>0</v>
      </c>
      <c r="U91" s="215">
        <v>2</v>
      </c>
      <c r="V91" s="321">
        <v>0</v>
      </c>
      <c r="W91" s="321">
        <v>1</v>
      </c>
      <c r="X91" s="321">
        <f>HCM!U92+HN!U92</f>
        <v>6</v>
      </c>
      <c r="Y91" s="321">
        <f>HCM!V92+HN!V92</f>
        <v>1</v>
      </c>
      <c r="Z91" s="321">
        <f>HCM!W92+HN!W92</f>
        <v>3</v>
      </c>
      <c r="AA91" s="321">
        <f>HCM!X92+HN!X92</f>
        <v>9</v>
      </c>
      <c r="AB91" s="321">
        <f>HCM!Y92+HN!Y92</f>
        <v>9</v>
      </c>
      <c r="AC91" s="321">
        <f>HCM!Z92+HN!Z92</f>
        <v>10</v>
      </c>
      <c r="AD91" s="321">
        <f>HCM!AA92+HN!AA92</f>
        <v>24</v>
      </c>
      <c r="AE91" s="321">
        <f>HCM!AB92+HN!AB92</f>
        <v>6</v>
      </c>
      <c r="AF91" s="321">
        <f>HCM!AC92+HN!AC92</f>
        <v>21</v>
      </c>
      <c r="AG91" s="321">
        <f>HCM!AD92+HN!AD92</f>
        <v>54</v>
      </c>
      <c r="AH91" s="321">
        <f>HCM!AE92+HN!AE92</f>
        <v>17</v>
      </c>
      <c r="AI91" s="321">
        <f>HCM!AF92+HN!AF92</f>
        <v>22</v>
      </c>
      <c r="AJ91" s="321">
        <f>HCM!AG92+HN!AG92</f>
        <v>33</v>
      </c>
      <c r="AK91" s="321">
        <f>HCM!AH92+HN!AH92</f>
        <v>28.5</v>
      </c>
      <c r="AL91" s="321">
        <f>HCM!AI92+HN!AI92</f>
        <v>23.5</v>
      </c>
    </row>
    <row r="92" spans="1:81">
      <c r="A92" s="1591" t="s">
        <v>72</v>
      </c>
      <c r="B92" s="242">
        <f t="shared" si="172"/>
        <v>68</v>
      </c>
      <c r="G92" s="243">
        <f t="shared" si="173"/>
        <v>13.5</v>
      </c>
      <c r="H92" s="243">
        <f t="shared" si="174"/>
        <v>3</v>
      </c>
      <c r="I92" s="243">
        <f t="shared" si="175"/>
        <v>6</v>
      </c>
      <c r="J92" s="243"/>
      <c r="K92" s="243">
        <v>50.5</v>
      </c>
      <c r="M92" s="215"/>
      <c r="N92" s="215"/>
      <c r="O92" s="215"/>
      <c r="P92" s="215"/>
      <c r="Q92" s="215"/>
      <c r="R92" s="215"/>
      <c r="S92" s="215">
        <v>1</v>
      </c>
      <c r="T92" s="215">
        <v>4</v>
      </c>
      <c r="U92" s="215">
        <v>7</v>
      </c>
      <c r="V92" s="321">
        <v>5.5</v>
      </c>
      <c r="W92" s="321">
        <v>1</v>
      </c>
      <c r="X92" s="321">
        <f>HCM!U93+HN!U93</f>
        <v>7</v>
      </c>
      <c r="Y92" s="321">
        <f>HCM!V93+HN!V93</f>
        <v>2</v>
      </c>
      <c r="Z92" s="321">
        <f>HCM!W93+HN!W93</f>
        <v>0</v>
      </c>
      <c r="AA92" s="321">
        <f>HCM!X93+HN!X93</f>
        <v>1</v>
      </c>
      <c r="AB92" s="321">
        <f>HCM!Y93+HN!Y93</f>
        <v>1</v>
      </c>
      <c r="AC92" s="321">
        <f>HCM!Z93+HN!Z93</f>
        <v>0</v>
      </c>
      <c r="AD92" s="321">
        <f>HCM!AA93+HN!AA93</f>
        <v>5</v>
      </c>
      <c r="AE92" s="321">
        <f>HCM!AB93+HN!AB93</f>
        <v>7</v>
      </c>
      <c r="AF92" s="321">
        <f>HCM!AC93+HN!AC93</f>
        <v>2</v>
      </c>
      <c r="AG92" s="321">
        <f>HCM!AD93+HN!AD93</f>
        <v>19</v>
      </c>
      <c r="AH92" s="321">
        <f>HCM!AE93+HN!AE93</f>
        <v>0</v>
      </c>
      <c r="AI92" s="321">
        <f>HCM!AF93+HN!AF93</f>
        <v>11</v>
      </c>
      <c r="AJ92" s="321">
        <f>HCM!AG93+HN!AG93</f>
        <v>17</v>
      </c>
      <c r="AK92" s="321">
        <f>HCM!AH93+HN!AH93</f>
        <v>19</v>
      </c>
      <c r="AL92" s="321">
        <f>HCM!AI93+HN!AI93</f>
        <v>21</v>
      </c>
    </row>
    <row r="93" spans="1:81">
      <c r="A93" s="1591" t="s">
        <v>73</v>
      </c>
      <c r="B93" s="242">
        <f t="shared" si="172"/>
        <v>241</v>
      </c>
      <c r="G93" s="243">
        <f t="shared" si="173"/>
        <v>31.5</v>
      </c>
      <c r="H93" s="243">
        <f t="shared" si="174"/>
        <v>103</v>
      </c>
      <c r="I93" s="243">
        <f t="shared" si="175"/>
        <v>114</v>
      </c>
      <c r="J93" s="243"/>
      <c r="K93" s="243">
        <v>373.5</v>
      </c>
      <c r="M93" s="215">
        <v>12</v>
      </c>
      <c r="N93" s="215">
        <v>8</v>
      </c>
      <c r="O93" s="215">
        <v>9.5</v>
      </c>
      <c r="P93" s="215">
        <v>7</v>
      </c>
      <c r="Q93" s="215">
        <v>7</v>
      </c>
      <c r="R93" s="215">
        <v>7</v>
      </c>
      <c r="S93" s="215">
        <v>6</v>
      </c>
      <c r="T93" s="215">
        <v>10</v>
      </c>
      <c r="U93" s="215">
        <v>32</v>
      </c>
      <c r="V93" s="321">
        <v>11.5</v>
      </c>
      <c r="W93" s="321">
        <v>5</v>
      </c>
      <c r="X93" s="321">
        <f>HCM!U94+HN!U94</f>
        <v>15</v>
      </c>
      <c r="Y93" s="321">
        <f>HCM!V94+HN!V94</f>
        <v>38</v>
      </c>
      <c r="Z93" s="321">
        <f>HCM!W94+HN!W94</f>
        <v>31</v>
      </c>
      <c r="AA93" s="321">
        <f>HCM!X94+HN!X94</f>
        <v>34</v>
      </c>
      <c r="AB93" s="321">
        <f>HCM!Y94+HN!Y94</f>
        <v>23</v>
      </c>
      <c r="AC93" s="321">
        <f>HCM!Z94+HN!Z94</f>
        <v>30</v>
      </c>
      <c r="AD93" s="321">
        <f>HCM!AA94+HN!AA94</f>
        <v>61</v>
      </c>
      <c r="AE93" s="321">
        <f>HCM!AB94+HN!AB94</f>
        <v>26</v>
      </c>
      <c r="AF93" s="321">
        <f>HCM!AC94+HN!AC94</f>
        <v>41</v>
      </c>
      <c r="AG93" s="321">
        <f>HCM!AD94+HN!AD94</f>
        <v>58</v>
      </c>
      <c r="AH93" s="321">
        <f>HCM!AE94+HN!AE94</f>
        <v>20</v>
      </c>
      <c r="AI93" s="321">
        <f>HCM!AF94+HN!AF94</f>
        <v>43</v>
      </c>
      <c r="AJ93" s="321">
        <f>HCM!AG94+HN!AG94</f>
        <v>28</v>
      </c>
      <c r="AK93" s="321">
        <f>HCM!AH94+HN!AH94</f>
        <v>65.5</v>
      </c>
      <c r="AL93" s="321">
        <f>HCM!AI94+HN!AI94</f>
        <v>84.5</v>
      </c>
    </row>
    <row r="94" spans="1:81">
      <c r="A94" s="1591" t="s">
        <v>75</v>
      </c>
      <c r="B94" s="242">
        <f>SUMIF($AH$2:$AS$2, "&lt;=" &amp; $B$2, $AH94:$AS94)</f>
        <v>4.5</v>
      </c>
      <c r="G94" s="243">
        <f t="shared" si="173"/>
        <v>0</v>
      </c>
      <c r="H94" s="243">
        <f t="shared" si="174"/>
        <v>0</v>
      </c>
      <c r="I94" s="243">
        <f t="shared" si="175"/>
        <v>0</v>
      </c>
      <c r="J94" s="243"/>
      <c r="K94" s="243">
        <v>0</v>
      </c>
      <c r="M94" s="215"/>
      <c r="N94" s="215"/>
      <c r="O94" s="215"/>
      <c r="P94" s="215"/>
      <c r="Q94" s="215"/>
      <c r="R94" s="215"/>
      <c r="S94" s="215"/>
      <c r="T94" s="215"/>
      <c r="U94" s="215"/>
      <c r="V94" s="321"/>
      <c r="W94" s="321"/>
      <c r="X94" s="321">
        <f>HCM!U95+HN!U95</f>
        <v>0</v>
      </c>
      <c r="Y94" s="321">
        <f>HCM!V95+HN!V95</f>
        <v>0</v>
      </c>
      <c r="Z94" s="321">
        <f>HCM!W95+HN!W95</f>
        <v>0</v>
      </c>
      <c r="AA94" s="321">
        <f>HCM!X95+HN!X95</f>
        <v>0</v>
      </c>
      <c r="AB94" s="321">
        <f>HCM!Y95+HN!Y95</f>
        <v>0</v>
      </c>
      <c r="AC94" s="321">
        <f>HCM!Z95+HN!Z95</f>
        <v>0</v>
      </c>
      <c r="AD94" s="321">
        <f>HCM!AA95+HN!AA95</f>
        <v>0</v>
      </c>
      <c r="AE94" s="321">
        <f>HCM!AB95+HN!AB95</f>
        <v>0</v>
      </c>
      <c r="AF94" s="321">
        <f>HCM!AC95+HN!AC95</f>
        <v>0</v>
      </c>
      <c r="AG94" s="321">
        <f>HCM!AD95+HN!AD95</f>
        <v>0</v>
      </c>
      <c r="AH94" s="321">
        <f>HCM!AE95+HN!AE95</f>
        <v>0</v>
      </c>
      <c r="AI94" s="321">
        <f>HCM!AF95+HN!AF95</f>
        <v>0</v>
      </c>
      <c r="AJ94" s="321">
        <f>HCM!AG95+HN!AG95</f>
        <v>2</v>
      </c>
      <c r="AK94" s="321">
        <f>HCM!AH95+HN!AH95</f>
        <v>1</v>
      </c>
      <c r="AL94" s="321">
        <f>HCM!AI95+HN!AI95</f>
        <v>1.5</v>
      </c>
    </row>
    <row r="95" spans="1:81">
      <c r="A95" s="2197" t="s">
        <v>4197</v>
      </c>
      <c r="B95" s="242"/>
      <c r="G95" s="243"/>
      <c r="H95" s="243"/>
      <c r="I95" s="243"/>
      <c r="J95" s="243"/>
      <c r="K95" s="243"/>
      <c r="M95" s="215"/>
      <c r="N95" s="215"/>
      <c r="O95" s="215"/>
      <c r="P95" s="215"/>
      <c r="Q95" s="215"/>
      <c r="R95" s="215"/>
      <c r="S95" s="215"/>
      <c r="T95" s="215"/>
      <c r="U95" s="215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BS95" s="922">
        <f>+HCM!BP96+HN!BP96</f>
        <v>117.5</v>
      </c>
      <c r="BT95" s="922">
        <f>+HCM!BQ96+HN!BQ96</f>
        <v>103.5</v>
      </c>
      <c r="BU95" s="922">
        <f>+HCM!BR96+HN!BR96</f>
        <v>215.5</v>
      </c>
      <c r="BV95" s="922">
        <f>+HCM!BS96+HN!BS96</f>
        <v>86</v>
      </c>
      <c r="BW95" s="922">
        <f>+HCM!BT96+HN!BT96</f>
        <v>62</v>
      </c>
      <c r="BX95" s="922">
        <f>+HCM!BU96+HN!BU96</f>
        <v>74</v>
      </c>
      <c r="BY95" s="922">
        <f>+HCM!BV96+HN!BV96</f>
        <v>0</v>
      </c>
      <c r="BZ95" s="922">
        <f>+HCM!BW96+HN!BW96</f>
        <v>0</v>
      </c>
      <c r="CA95" s="922">
        <f>+HCM!BX96+HN!BX96</f>
        <v>0</v>
      </c>
      <c r="CB95" s="922">
        <f>+HCM!BY96+HN!BY96</f>
        <v>0</v>
      </c>
      <c r="CC95" s="922">
        <f>+HCM!BZ96+HN!BZ96</f>
        <v>0</v>
      </c>
    </row>
    <row r="96" spans="1:81" s="976" customFormat="1">
      <c r="A96" s="1313" t="s">
        <v>4208</v>
      </c>
      <c r="B96" s="927">
        <f>SUM(BR96:CC96)+SUM(BR95:CC95)</f>
        <v>20183</v>
      </c>
      <c r="C96" s="972"/>
      <c r="D96" s="973"/>
      <c r="E96" s="973"/>
      <c r="F96" s="973"/>
      <c r="G96" s="925">
        <f t="shared" si="173"/>
        <v>91</v>
      </c>
      <c r="H96" s="925">
        <f t="shared" si="174"/>
        <v>296</v>
      </c>
      <c r="I96" s="925">
        <f t="shared" si="175"/>
        <v>332</v>
      </c>
      <c r="J96" s="925"/>
      <c r="K96" s="925">
        <v>1299</v>
      </c>
      <c r="L96" s="972"/>
      <c r="M96" s="974">
        <f>SUM(M88:M94)</f>
        <v>23</v>
      </c>
      <c r="N96" s="975">
        <f>SUM(N88:N94)</f>
        <v>27</v>
      </c>
      <c r="O96" s="975">
        <f t="shared" ref="O96:W96" si="176">SUM(O88:O94)</f>
        <v>29</v>
      </c>
      <c r="P96" s="975">
        <f t="shared" si="176"/>
        <v>17</v>
      </c>
      <c r="Q96" s="975">
        <f t="shared" si="176"/>
        <v>24</v>
      </c>
      <c r="R96" s="975">
        <f t="shared" si="176"/>
        <v>29</v>
      </c>
      <c r="S96" s="975">
        <f t="shared" si="176"/>
        <v>15</v>
      </c>
      <c r="T96" s="975">
        <f t="shared" si="176"/>
        <v>14</v>
      </c>
      <c r="U96" s="975">
        <f t="shared" si="176"/>
        <v>73</v>
      </c>
      <c r="V96" s="975">
        <f t="shared" si="176"/>
        <v>32</v>
      </c>
      <c r="W96" s="975">
        <f t="shared" si="176"/>
        <v>11</v>
      </c>
      <c r="X96" s="975">
        <f t="shared" ref="X96:AC96" si="177">SUM(X88:X94)</f>
        <v>48</v>
      </c>
      <c r="Y96" s="975">
        <f t="shared" si="177"/>
        <v>81</v>
      </c>
      <c r="Z96" s="975">
        <f t="shared" si="177"/>
        <v>106</v>
      </c>
      <c r="AA96" s="975">
        <f t="shared" si="177"/>
        <v>109</v>
      </c>
      <c r="AB96" s="975">
        <f t="shared" si="177"/>
        <v>72</v>
      </c>
      <c r="AC96" s="975">
        <f t="shared" si="177"/>
        <v>97</v>
      </c>
      <c r="AD96" s="975">
        <f t="shared" ref="AD96:AL96" si="178">SUM(AD88:AD94)</f>
        <v>163</v>
      </c>
      <c r="AE96" s="975">
        <f t="shared" si="178"/>
        <v>150</v>
      </c>
      <c r="AF96" s="975">
        <f t="shared" si="178"/>
        <v>149</v>
      </c>
      <c r="AG96" s="975">
        <f t="shared" si="178"/>
        <v>281</v>
      </c>
      <c r="AH96" s="975">
        <f t="shared" si="178"/>
        <v>85</v>
      </c>
      <c r="AI96" s="975">
        <f t="shared" si="178"/>
        <v>137</v>
      </c>
      <c r="AJ96" s="975">
        <f t="shared" si="178"/>
        <v>124</v>
      </c>
      <c r="AK96" s="975">
        <f t="shared" si="178"/>
        <v>199</v>
      </c>
      <c r="AL96" s="975">
        <f t="shared" si="178"/>
        <v>244</v>
      </c>
      <c r="AM96" s="976">
        <v>529</v>
      </c>
      <c r="AN96" s="976">
        <v>489</v>
      </c>
      <c r="AO96" s="976">
        <v>556</v>
      </c>
      <c r="AP96" s="976">
        <v>804</v>
      </c>
      <c r="AQ96" s="976">
        <v>852</v>
      </c>
      <c r="AR96" s="976">
        <v>936</v>
      </c>
      <c r="AS96" s="976">
        <v>1832</v>
      </c>
      <c r="AT96" s="976">
        <v>715</v>
      </c>
      <c r="AU96" s="976">
        <v>599</v>
      </c>
      <c r="AV96" s="976">
        <v>1000</v>
      </c>
      <c r="AW96" s="976">
        <v>1150</v>
      </c>
      <c r="AX96" s="976">
        <v>1163</v>
      </c>
      <c r="AY96" s="976">
        <v>1384</v>
      </c>
      <c r="AZ96" s="976">
        <v>1511</v>
      </c>
      <c r="BA96" s="976">
        <v>1076</v>
      </c>
      <c r="BB96" s="976">
        <v>2055</v>
      </c>
      <c r="BC96" s="976">
        <v>1575</v>
      </c>
      <c r="BD96" s="976">
        <v>2642</v>
      </c>
      <c r="BE96" s="976">
        <v>3037</v>
      </c>
      <c r="BF96" s="976">
        <v>817</v>
      </c>
      <c r="BG96" s="976">
        <v>817</v>
      </c>
      <c r="BH96" s="976">
        <v>1954</v>
      </c>
      <c r="BI96" s="976">
        <v>1505</v>
      </c>
      <c r="BJ96" s="976">
        <v>1629</v>
      </c>
      <c r="BK96" s="976">
        <v>2788</v>
      </c>
      <c r="BL96" s="929">
        <f>+HCM!BI97+HN!BI97</f>
        <v>1879</v>
      </c>
      <c r="BM96" s="929">
        <f>+HCM!BJ97+HN!BJ97</f>
        <v>2092</v>
      </c>
      <c r="BN96" s="929">
        <f>+HCM!BK97+HN!BK97</f>
        <v>3147</v>
      </c>
      <c r="BO96" s="929">
        <f>+HCM!BL97+HN!BL97</f>
        <v>2298</v>
      </c>
      <c r="BP96" s="929">
        <f>+HCM!BM97+HN!BM97</f>
        <v>2918</v>
      </c>
      <c r="BQ96" s="929">
        <f>+HCM!BN97+HN!BN97</f>
        <v>5103</v>
      </c>
      <c r="BR96" s="929">
        <f>+HCM!BO97+HN!BO97</f>
        <v>1602</v>
      </c>
      <c r="BS96" s="929">
        <f>+HCM!BP97+HN!BP97</f>
        <v>2205.5</v>
      </c>
      <c r="BT96" s="929">
        <f>+HCM!BQ97+HN!BQ97</f>
        <v>3419.5</v>
      </c>
      <c r="BU96" s="929">
        <f>+HCM!BR97+HN!BR97</f>
        <v>2918.5</v>
      </c>
      <c r="BV96" s="929">
        <f>+HCM!BS97+HN!BS97</f>
        <v>3322</v>
      </c>
      <c r="BW96" s="929">
        <f>+HCM!BT97+HN!BT97</f>
        <v>3463</v>
      </c>
      <c r="BX96" s="929">
        <f>+HCM!BU97+HN!BU97</f>
        <v>2594</v>
      </c>
      <c r="BY96" s="929">
        <f>+HCM!BV97+HN!BV97</f>
        <v>0</v>
      </c>
      <c r="BZ96" s="929">
        <f>+HCM!BW97+HN!BW97</f>
        <v>0</v>
      </c>
      <c r="CA96" s="929">
        <f>+HCM!BX97+HN!BX97</f>
        <v>0</v>
      </c>
      <c r="CB96" s="929">
        <f>+HCM!BY97+HN!BY97</f>
        <v>0</v>
      </c>
      <c r="CC96" s="929">
        <f>+HCM!BZ97+HN!BZ97</f>
        <v>0</v>
      </c>
    </row>
    <row r="97" spans="1:46">
      <c r="AH97" s="216"/>
    </row>
    <row r="98" spans="1:46" s="228" customFormat="1" hidden="1">
      <c r="A98" s="224" t="s">
        <v>173</v>
      </c>
      <c r="B98" s="225" t="s">
        <v>163</v>
      </c>
      <c r="C98" s="225"/>
      <c r="D98" s="226" t="s">
        <v>59</v>
      </c>
      <c r="E98" s="226" t="s">
        <v>94</v>
      </c>
      <c r="F98" s="226" t="s">
        <v>97</v>
      </c>
      <c r="G98" s="226" t="s">
        <v>150</v>
      </c>
      <c r="H98" s="226" t="s">
        <v>508</v>
      </c>
      <c r="I98" s="226" t="s">
        <v>509</v>
      </c>
      <c r="J98" s="226"/>
      <c r="K98" s="226" t="s">
        <v>163</v>
      </c>
      <c r="L98" s="225"/>
      <c r="M98" s="227">
        <v>41000</v>
      </c>
      <c r="N98" s="227">
        <v>41030</v>
      </c>
      <c r="O98" s="227">
        <v>41061</v>
      </c>
      <c r="P98" s="227">
        <v>41091</v>
      </c>
      <c r="Q98" s="227">
        <v>41122</v>
      </c>
      <c r="R98" s="227">
        <v>41153</v>
      </c>
      <c r="S98" s="227">
        <v>41183</v>
      </c>
      <c r="T98" s="227">
        <v>41214</v>
      </c>
      <c r="U98" s="227">
        <v>41244</v>
      </c>
      <c r="V98" s="227">
        <v>41275</v>
      </c>
      <c r="W98" s="227">
        <v>41306</v>
      </c>
      <c r="X98" s="227">
        <v>41334</v>
      </c>
      <c r="Y98" s="227">
        <v>41365</v>
      </c>
      <c r="Z98" s="227">
        <v>41395</v>
      </c>
      <c r="AA98" s="227">
        <v>41426</v>
      </c>
      <c r="AB98" s="227">
        <v>41456</v>
      </c>
      <c r="AC98" s="227">
        <v>41487</v>
      </c>
      <c r="AD98" s="227">
        <v>41518</v>
      </c>
      <c r="AE98" s="227">
        <v>41548</v>
      </c>
      <c r="AF98" s="227">
        <v>41579</v>
      </c>
      <c r="AG98" s="227">
        <v>41609</v>
      </c>
      <c r="AH98" s="227">
        <v>41640</v>
      </c>
      <c r="AI98" s="227">
        <v>41671</v>
      </c>
      <c r="AJ98" s="227">
        <v>41699</v>
      </c>
      <c r="AK98" s="227">
        <v>41730</v>
      </c>
      <c r="AL98" s="227">
        <v>41760</v>
      </c>
      <c r="AM98" s="227">
        <v>41791</v>
      </c>
      <c r="AN98" s="227">
        <v>41821</v>
      </c>
      <c r="AO98" s="227">
        <v>41852</v>
      </c>
      <c r="AP98" s="227">
        <v>41883</v>
      </c>
      <c r="AQ98" s="227">
        <v>41913</v>
      </c>
      <c r="AR98" s="227">
        <v>41944</v>
      </c>
      <c r="AS98" s="227">
        <v>41974</v>
      </c>
      <c r="AT98" s="227">
        <v>42005</v>
      </c>
    </row>
    <row r="99" spans="1:46" hidden="1">
      <c r="A99" s="212" t="s">
        <v>152</v>
      </c>
      <c r="B99" s="245">
        <f t="shared" ref="B99:B105" si="179">IF(B28&lt;&gt;0,B77/(B28 *$B$2),0)</f>
        <v>0.31512605042016806</v>
      </c>
      <c r="G99" s="245">
        <f t="shared" ref="G99:I105" si="180">IF(G28&lt;&gt;0,G77/(G28 *$G$2),0)</f>
        <v>0.37209302325581395</v>
      </c>
      <c r="H99" s="245">
        <f t="shared" si="180"/>
        <v>0.2904761904761905</v>
      </c>
      <c r="I99" s="245">
        <f t="shared" si="180"/>
        <v>0.28703703703703703</v>
      </c>
      <c r="J99" s="245"/>
      <c r="K99" s="245">
        <v>0.33545918367346939</v>
      </c>
      <c r="M99" s="240">
        <f t="shared" ref="M99:M105" si="181">IF(M28&lt;&gt;0,M77/M28,0)</f>
        <v>0.42857142857142855</v>
      </c>
      <c r="N99" s="240">
        <f t="shared" ref="N99:X99" si="182">IF(N28&lt;&gt;0,N77/N28,0)</f>
        <v>0.8571428571428571</v>
      </c>
      <c r="O99" s="240">
        <f t="shared" si="182"/>
        <v>0.13333333333333333</v>
      </c>
      <c r="P99" s="240">
        <f t="shared" si="182"/>
        <v>0.1111111111111111</v>
      </c>
      <c r="Q99" s="240">
        <f t="shared" si="182"/>
        <v>0.75</v>
      </c>
      <c r="R99" s="240">
        <f t="shared" si="182"/>
        <v>0.5</v>
      </c>
      <c r="S99" s="240">
        <f t="shared" si="182"/>
        <v>0.33333333333333331</v>
      </c>
      <c r="T99" s="240">
        <f t="shared" si="182"/>
        <v>0</v>
      </c>
      <c r="U99" s="240">
        <f t="shared" si="182"/>
        <v>0.75</v>
      </c>
      <c r="V99" s="240">
        <f t="shared" si="182"/>
        <v>0.375</v>
      </c>
      <c r="W99" s="240">
        <f t="shared" si="182"/>
        <v>0</v>
      </c>
      <c r="X99" s="240">
        <f t="shared" si="182"/>
        <v>0.38235294117647056</v>
      </c>
      <c r="Y99" s="240">
        <f t="shared" ref="Y99:AC105" si="183">IF(Y28&lt;&gt;0,Y77/Y28,0)</f>
        <v>0.27272727272727271</v>
      </c>
      <c r="Z99" s="240">
        <f t="shared" si="183"/>
        <v>0.2857142857142857</v>
      </c>
      <c r="AA99" s="240">
        <f t="shared" si="183"/>
        <v>0.31343283582089554</v>
      </c>
      <c r="AB99" s="240">
        <f t="shared" si="183"/>
        <v>0.26923076923076922</v>
      </c>
      <c r="AC99" s="240">
        <f t="shared" si="183"/>
        <v>0.38235294117647056</v>
      </c>
      <c r="AD99" s="570">
        <f t="shared" ref="AD99:AL99" si="184">IF(AD28&lt;&gt;0,AD77/AD28,0)</f>
        <v>0.22916666666666666</v>
      </c>
      <c r="AE99" s="568">
        <f t="shared" si="184"/>
        <v>0.42222222222222222</v>
      </c>
      <c r="AF99" s="584">
        <f t="shared" si="184"/>
        <v>0.36144578313253012</v>
      </c>
      <c r="AG99" s="568">
        <f t="shared" si="184"/>
        <v>0.39436619718309857</v>
      </c>
      <c r="AH99" s="584">
        <f t="shared" si="184"/>
        <v>0.23404255319148937</v>
      </c>
      <c r="AI99" s="584">
        <f t="shared" si="184"/>
        <v>0.56521739130434778</v>
      </c>
      <c r="AJ99" s="584">
        <f t="shared" si="184"/>
        <v>0.25</v>
      </c>
      <c r="AK99" s="584">
        <f t="shared" si="184"/>
        <v>0.29710144927536231</v>
      </c>
      <c r="AL99" s="584">
        <f t="shared" si="184"/>
        <v>0.31073446327683618</v>
      </c>
    </row>
    <row r="100" spans="1:46" hidden="1">
      <c r="A100" s="212" t="s">
        <v>153</v>
      </c>
      <c r="B100" s="245">
        <f t="shared" si="179"/>
        <v>0.21797752808988763</v>
      </c>
      <c r="G100" s="245">
        <f t="shared" si="180"/>
        <v>0.27272727272727271</v>
      </c>
      <c r="H100" s="245">
        <f t="shared" si="180"/>
        <v>0.2742857142857143</v>
      </c>
      <c r="I100" s="245">
        <f t="shared" si="180"/>
        <v>0.19786096256684493</v>
      </c>
      <c r="J100" s="245"/>
      <c r="K100" s="245">
        <v>0.23780487804878048</v>
      </c>
      <c r="M100" s="240">
        <f t="shared" si="181"/>
        <v>0</v>
      </c>
      <c r="N100" s="240">
        <f t="shared" ref="N100:X100" si="185">IF(N29&lt;&gt;0,N78/N29,0)</f>
        <v>0.5714285714285714</v>
      </c>
      <c r="O100" s="240">
        <f t="shared" si="185"/>
        <v>0.7142857142857143</v>
      </c>
      <c r="P100" s="240">
        <f t="shared" si="185"/>
        <v>0.13333333333333333</v>
      </c>
      <c r="Q100" s="240">
        <f t="shared" si="185"/>
        <v>0.42857142857142855</v>
      </c>
      <c r="R100" s="240">
        <f t="shared" si="185"/>
        <v>0.5</v>
      </c>
      <c r="S100" s="240">
        <f t="shared" si="185"/>
        <v>0</v>
      </c>
      <c r="T100" s="240">
        <f t="shared" si="185"/>
        <v>0</v>
      </c>
      <c r="U100" s="240">
        <f t="shared" si="185"/>
        <v>0.66666666666666663</v>
      </c>
      <c r="V100" s="240">
        <f t="shared" si="185"/>
        <v>0.5</v>
      </c>
      <c r="W100" s="240">
        <f t="shared" si="185"/>
        <v>0</v>
      </c>
      <c r="X100" s="240">
        <f t="shared" si="185"/>
        <v>0</v>
      </c>
      <c r="Y100" s="240">
        <f t="shared" si="183"/>
        <v>0.23529411764705882</v>
      </c>
      <c r="Z100" s="240">
        <f t="shared" si="183"/>
        <v>0.31818181818181818</v>
      </c>
      <c r="AA100" s="240">
        <f t="shared" si="183"/>
        <v>0.25333333333333335</v>
      </c>
      <c r="AB100" s="240">
        <f t="shared" si="183"/>
        <v>0.17910447761194029</v>
      </c>
      <c r="AC100" s="240">
        <f t="shared" si="183"/>
        <v>0.17307692307692307</v>
      </c>
      <c r="AD100" s="568">
        <f t="shared" ref="AD100:AL100" si="186">IF(AD29&lt;&gt;0,AD78/AD29,0)</f>
        <v>0.23529411764705882</v>
      </c>
      <c r="AE100" s="568">
        <f t="shared" si="186"/>
        <v>0.28125</v>
      </c>
      <c r="AF100" s="570">
        <f t="shared" si="186"/>
        <v>0.21111111111111111</v>
      </c>
      <c r="AG100" s="568">
        <f t="shared" si="186"/>
        <v>0.22093023255813954</v>
      </c>
      <c r="AH100" s="584">
        <f t="shared" si="186"/>
        <v>0.16312056737588654</v>
      </c>
      <c r="AI100" s="584">
        <f t="shared" si="186"/>
        <v>0.22807017543859648</v>
      </c>
      <c r="AJ100" s="584">
        <f t="shared" si="186"/>
        <v>0.2391304347826087</v>
      </c>
      <c r="AK100" s="584">
        <f t="shared" si="186"/>
        <v>0.25</v>
      </c>
      <c r="AL100" s="584">
        <f t="shared" si="186"/>
        <v>0.24812030075187969</v>
      </c>
    </row>
    <row r="101" spans="1:46" hidden="1">
      <c r="A101" s="212" t="s">
        <v>70</v>
      </c>
      <c r="B101" s="245">
        <f t="shared" si="179"/>
        <v>0.11570247933884298</v>
      </c>
      <c r="G101" s="245">
        <f t="shared" si="180"/>
        <v>0.18181818181818182</v>
      </c>
      <c r="H101" s="245">
        <f t="shared" si="180"/>
        <v>0.14432989690721648</v>
      </c>
      <c r="I101" s="245">
        <f t="shared" si="180"/>
        <v>0.10362694300518134</v>
      </c>
      <c r="J101" s="245"/>
      <c r="K101" s="245">
        <v>0.1492007104795737</v>
      </c>
      <c r="M101" s="240">
        <f t="shared" si="181"/>
        <v>0</v>
      </c>
      <c r="N101" s="240">
        <f t="shared" ref="N101:X101" si="187">IF(N30&lt;&gt;0,N79/N30,0)</f>
        <v>0</v>
      </c>
      <c r="O101" s="240">
        <f t="shared" si="187"/>
        <v>0.38095238095238093</v>
      </c>
      <c r="P101" s="240">
        <f t="shared" si="187"/>
        <v>0.5714285714285714</v>
      </c>
      <c r="Q101" s="240">
        <f t="shared" si="187"/>
        <v>6.25E-2</v>
      </c>
      <c r="R101" s="240">
        <f t="shared" si="187"/>
        <v>0.375</v>
      </c>
      <c r="S101" s="240">
        <f t="shared" si="187"/>
        <v>0.5</v>
      </c>
      <c r="T101" s="240">
        <f t="shared" si="187"/>
        <v>0</v>
      </c>
      <c r="U101" s="240">
        <f t="shared" si="187"/>
        <v>0.5</v>
      </c>
      <c r="V101" s="240">
        <f t="shared" si="187"/>
        <v>0</v>
      </c>
      <c r="W101" s="240">
        <f t="shared" si="187"/>
        <v>0.25</v>
      </c>
      <c r="X101" s="240">
        <f t="shared" si="187"/>
        <v>0.14285714285714285</v>
      </c>
      <c r="Y101" s="240">
        <f t="shared" si="183"/>
        <v>0</v>
      </c>
      <c r="Z101" s="240">
        <f t="shared" si="183"/>
        <v>0.20588235294117646</v>
      </c>
      <c r="AA101" s="240">
        <f t="shared" si="183"/>
        <v>0.11475409836065574</v>
      </c>
      <c r="AB101" s="240">
        <f t="shared" si="183"/>
        <v>4.0540540540540543E-2</v>
      </c>
      <c r="AC101" s="240">
        <f t="shared" si="183"/>
        <v>0.11940298507462686</v>
      </c>
      <c r="AD101" s="568">
        <f t="shared" ref="AD101:AL101" si="188">IF(AD30&lt;&gt;0,AD79/AD30,0)</f>
        <v>0.17307692307692307</v>
      </c>
      <c r="AE101" s="584">
        <f t="shared" si="188"/>
        <v>0.20588235294117646</v>
      </c>
      <c r="AF101" s="584">
        <f t="shared" si="188"/>
        <v>0.13541666666666666</v>
      </c>
      <c r="AG101" s="568">
        <f t="shared" si="188"/>
        <v>0.21839080459770116</v>
      </c>
      <c r="AH101" s="584">
        <f t="shared" si="188"/>
        <v>7.2289156626506021E-2</v>
      </c>
      <c r="AI101" s="584">
        <f t="shared" si="188"/>
        <v>0.10687022900763359</v>
      </c>
      <c r="AJ101" s="584">
        <f t="shared" si="188"/>
        <v>0.21739130434782608</v>
      </c>
      <c r="AK101" s="584">
        <f t="shared" si="188"/>
        <v>0.13043478260869565</v>
      </c>
      <c r="AL101" s="584">
        <f t="shared" si="188"/>
        <v>0.10526315789473684</v>
      </c>
    </row>
    <row r="102" spans="1:46" hidden="1">
      <c r="A102" s="212" t="s">
        <v>71</v>
      </c>
      <c r="B102" s="245">
        <f t="shared" si="179"/>
        <v>8.9357429718875503E-2</v>
      </c>
      <c r="G102" s="245">
        <f t="shared" si="180"/>
        <v>0.15384615384615385</v>
      </c>
      <c r="H102" s="245">
        <f t="shared" si="180"/>
        <v>0.12345679012345678</v>
      </c>
      <c r="I102" s="245">
        <f t="shared" si="180"/>
        <v>0.1044776119402985</v>
      </c>
      <c r="J102" s="245"/>
      <c r="K102" s="245">
        <v>0.10774410774410774</v>
      </c>
      <c r="M102" s="240">
        <f t="shared" si="181"/>
        <v>0</v>
      </c>
      <c r="N102" s="240">
        <f t="shared" ref="N102:X102" si="189">IF(N31&lt;&gt;0,N80/N31,0)</f>
        <v>0</v>
      </c>
      <c r="O102" s="240">
        <f t="shared" si="189"/>
        <v>0</v>
      </c>
      <c r="P102" s="240">
        <f t="shared" si="189"/>
        <v>0.1</v>
      </c>
      <c r="Q102" s="240">
        <f t="shared" si="189"/>
        <v>0.26923076923076922</v>
      </c>
      <c r="R102" s="240">
        <f t="shared" si="189"/>
        <v>0.25714285714285712</v>
      </c>
      <c r="S102" s="240">
        <f t="shared" si="189"/>
        <v>8.6956521739130432E-2</v>
      </c>
      <c r="T102" s="240">
        <f t="shared" si="189"/>
        <v>0</v>
      </c>
      <c r="U102" s="240">
        <f t="shared" si="189"/>
        <v>0.18181818181818182</v>
      </c>
      <c r="V102" s="240">
        <f t="shared" si="189"/>
        <v>0</v>
      </c>
      <c r="W102" s="240">
        <f t="shared" si="189"/>
        <v>0.1111111111111111</v>
      </c>
      <c r="X102" s="240">
        <f t="shared" si="189"/>
        <v>0.27777777777777779</v>
      </c>
      <c r="Y102" s="240">
        <f t="shared" si="183"/>
        <v>5.2631578947368418E-2</v>
      </c>
      <c r="Z102" s="240">
        <f t="shared" si="183"/>
        <v>0.15789473684210525</v>
      </c>
      <c r="AA102" s="240">
        <f t="shared" si="183"/>
        <v>0.13953488372093023</v>
      </c>
      <c r="AB102" s="240">
        <f t="shared" si="183"/>
        <v>7.4999999999999997E-2</v>
      </c>
      <c r="AC102" s="240">
        <f t="shared" si="183"/>
        <v>8.8709677419354843E-2</v>
      </c>
      <c r="AD102" s="568">
        <f t="shared" ref="AD102:AI102" si="190">IF(AD31&lt;&gt;0,AD80/AD31,0)</f>
        <v>0.13740458015267176</v>
      </c>
      <c r="AE102" s="584">
        <f t="shared" si="190"/>
        <v>4.8387096774193547E-2</v>
      </c>
      <c r="AF102" s="584">
        <f t="shared" si="190"/>
        <v>0.1015625</v>
      </c>
      <c r="AG102" s="584">
        <f t="shared" si="190"/>
        <v>0.14130434782608695</v>
      </c>
      <c r="AH102" s="584">
        <f t="shared" si="190"/>
        <v>7.8534031413612565E-2</v>
      </c>
      <c r="AI102" s="584">
        <f t="shared" si="190"/>
        <v>8.4210526315789472E-2</v>
      </c>
      <c r="AJ102" s="584">
        <f t="shared" ref="AJ102:AL105" si="191">IF(AJ31&lt;&gt;0,AJ80/AJ31,0)</f>
        <v>0.10504201680672269</v>
      </c>
      <c r="AK102" s="584">
        <f t="shared" si="191"/>
        <v>8.8785046728971959E-2</v>
      </c>
      <c r="AL102" s="584">
        <f t="shared" si="191"/>
        <v>8.5889570552147243E-2</v>
      </c>
    </row>
    <row r="103" spans="1:46" hidden="1">
      <c r="A103" s="212" t="s">
        <v>72</v>
      </c>
      <c r="B103" s="245">
        <f t="shared" si="179"/>
        <v>9.0782122905027934E-2</v>
      </c>
      <c r="G103" s="245">
        <f t="shared" si="180"/>
        <v>0.14666666666666667</v>
      </c>
      <c r="H103" s="245">
        <f t="shared" si="180"/>
        <v>5.2631578947368418E-2</v>
      </c>
      <c r="I103" s="245">
        <f t="shared" si="180"/>
        <v>4.7619047619047616E-2</v>
      </c>
      <c r="J103" s="245"/>
      <c r="K103" s="245">
        <v>9.4430992736077482E-2</v>
      </c>
      <c r="M103" s="240">
        <f t="shared" si="181"/>
        <v>0</v>
      </c>
      <c r="N103" s="240">
        <f t="shared" ref="N103:X103" si="192">IF(N32&lt;&gt;0,N81/N32,0)</f>
        <v>0</v>
      </c>
      <c r="O103" s="240">
        <f t="shared" si="192"/>
        <v>0</v>
      </c>
      <c r="P103" s="240">
        <f t="shared" si="192"/>
        <v>0</v>
      </c>
      <c r="Q103" s="240">
        <f t="shared" si="192"/>
        <v>0</v>
      </c>
      <c r="R103" s="240">
        <f t="shared" si="192"/>
        <v>0</v>
      </c>
      <c r="S103" s="240">
        <f t="shared" si="192"/>
        <v>7.6923076923076927E-2</v>
      </c>
      <c r="T103" s="240">
        <f t="shared" si="192"/>
        <v>0.2</v>
      </c>
      <c r="U103" s="240">
        <f t="shared" si="192"/>
        <v>0.16666666666666666</v>
      </c>
      <c r="V103" s="240">
        <f t="shared" si="192"/>
        <v>0.21739130434782608</v>
      </c>
      <c r="W103" s="240">
        <f t="shared" si="192"/>
        <v>3.7037037037037035E-2</v>
      </c>
      <c r="X103" s="240">
        <f t="shared" si="192"/>
        <v>0.2</v>
      </c>
      <c r="Y103" s="240">
        <f t="shared" si="183"/>
        <v>9.0909090909090912E-2</v>
      </c>
      <c r="Z103" s="240">
        <f t="shared" si="183"/>
        <v>0</v>
      </c>
      <c r="AA103" s="240">
        <f t="shared" si="183"/>
        <v>5.8823529411764705E-2</v>
      </c>
      <c r="AB103" s="240">
        <f t="shared" si="183"/>
        <v>6.25E-2</v>
      </c>
      <c r="AC103" s="240">
        <f t="shared" si="183"/>
        <v>0</v>
      </c>
      <c r="AD103" s="240">
        <f t="shared" ref="AD103:AI105" si="193">IF(AD32&lt;&gt;0,AD81/AD32,0)</f>
        <v>6.4516129032258063E-2</v>
      </c>
      <c r="AE103" s="584">
        <f t="shared" si="193"/>
        <v>0.14285714285714285</v>
      </c>
      <c r="AF103" s="584">
        <f t="shared" si="193"/>
        <v>2.5316455696202531E-2</v>
      </c>
      <c r="AG103" s="584">
        <f t="shared" si="193"/>
        <v>0.12844036697247707</v>
      </c>
      <c r="AH103" s="584">
        <f t="shared" si="193"/>
        <v>2.4193548387096774E-2</v>
      </c>
      <c r="AI103" s="584">
        <f t="shared" si="193"/>
        <v>7.8260869565217397E-2</v>
      </c>
      <c r="AJ103" s="584">
        <f t="shared" si="191"/>
        <v>0.112</v>
      </c>
      <c r="AK103" s="584">
        <f t="shared" si="191"/>
        <v>0.10714285714285714</v>
      </c>
      <c r="AL103" s="584">
        <f t="shared" si="191"/>
        <v>0.11413043478260869</v>
      </c>
    </row>
    <row r="104" spans="1:46" hidden="1">
      <c r="A104" s="212" t="s">
        <v>73</v>
      </c>
      <c r="B104" s="245">
        <f t="shared" si="179"/>
        <v>0.19066147859922178</v>
      </c>
      <c r="G104" s="245">
        <f t="shared" si="180"/>
        <v>0.35294117647058826</v>
      </c>
      <c r="H104" s="245">
        <f t="shared" si="180"/>
        <v>0.28813559322033899</v>
      </c>
      <c r="I104" s="245">
        <f t="shared" si="180"/>
        <v>0.23884514435695539</v>
      </c>
      <c r="J104" s="245"/>
      <c r="K104" s="245">
        <v>0.23606557377049181</v>
      </c>
      <c r="M104" s="240">
        <f t="shared" si="181"/>
        <v>0.45454545454545453</v>
      </c>
      <c r="N104" s="240">
        <f t="shared" ref="N104:X104" si="194">IF(N33&lt;&gt;0,N82/N33,0)</f>
        <v>0.58333333333333337</v>
      </c>
      <c r="O104" s="240">
        <f t="shared" si="194"/>
        <v>0.53333333333333333</v>
      </c>
      <c r="P104" s="240">
        <f t="shared" si="194"/>
        <v>0.25</v>
      </c>
      <c r="Q104" s="240">
        <f t="shared" si="194"/>
        <v>0.33333333333333331</v>
      </c>
      <c r="R104" s="240">
        <f t="shared" si="194"/>
        <v>0.35714285714285715</v>
      </c>
      <c r="S104" s="240">
        <f t="shared" si="194"/>
        <v>0.21428571428571427</v>
      </c>
      <c r="T104" s="240">
        <f t="shared" si="194"/>
        <v>0.26666666666666666</v>
      </c>
      <c r="U104" s="240">
        <f t="shared" si="194"/>
        <v>0.70588235294117652</v>
      </c>
      <c r="V104" s="240">
        <f t="shared" si="194"/>
        <v>0.42105263157894735</v>
      </c>
      <c r="W104" s="240">
        <f t="shared" si="194"/>
        <v>0.23529411764705882</v>
      </c>
      <c r="X104" s="240">
        <f t="shared" si="194"/>
        <v>0.375</v>
      </c>
      <c r="Y104" s="240">
        <f t="shared" si="183"/>
        <v>0.36249999999999999</v>
      </c>
      <c r="Z104" s="240">
        <f t="shared" si="183"/>
        <v>0.27450980392156865</v>
      </c>
      <c r="AA104" s="240">
        <f t="shared" si="183"/>
        <v>0.24778761061946902</v>
      </c>
      <c r="AB104" s="240">
        <f t="shared" si="183"/>
        <v>0.16379310344827586</v>
      </c>
      <c r="AC104" s="240">
        <f t="shared" si="183"/>
        <v>0.17599999999999999</v>
      </c>
      <c r="AD104" s="568">
        <f t="shared" si="193"/>
        <v>0.35714285714285715</v>
      </c>
      <c r="AE104" s="570">
        <f t="shared" si="193"/>
        <v>0.18055555555555555</v>
      </c>
      <c r="AF104" s="570">
        <f t="shared" si="193"/>
        <v>0.17197452229299362</v>
      </c>
      <c r="AG104" s="584">
        <f t="shared" si="193"/>
        <v>0.2</v>
      </c>
      <c r="AH104" s="584">
        <f t="shared" si="193"/>
        <v>0.11049723756906077</v>
      </c>
      <c r="AI104" s="584">
        <f t="shared" si="193"/>
        <v>0.20359281437125748</v>
      </c>
      <c r="AJ104" s="584">
        <f t="shared" si="191"/>
        <v>0.15</v>
      </c>
      <c r="AK104" s="584">
        <f t="shared" si="191"/>
        <v>0.20434782608695654</v>
      </c>
      <c r="AL104" s="584">
        <f t="shared" si="191"/>
        <v>0.25185185185185183</v>
      </c>
    </row>
    <row r="105" spans="1:46" s="230" customFormat="1" hidden="1">
      <c r="A105" s="212" t="s">
        <v>75</v>
      </c>
      <c r="B105" s="247">
        <f t="shared" si="179"/>
        <v>9.6774193548387094E-2</v>
      </c>
      <c r="C105" s="214"/>
      <c r="D105" s="229"/>
      <c r="E105" s="229"/>
      <c r="F105" s="229"/>
      <c r="G105" s="247">
        <f t="shared" si="180"/>
        <v>0</v>
      </c>
      <c r="H105" s="247">
        <f t="shared" si="180"/>
        <v>0</v>
      </c>
      <c r="I105" s="247">
        <f t="shared" si="180"/>
        <v>0</v>
      </c>
      <c r="J105" s="777"/>
      <c r="K105" s="777">
        <v>0</v>
      </c>
      <c r="L105" s="214"/>
      <c r="M105" s="241">
        <f t="shared" si="181"/>
        <v>0</v>
      </c>
      <c r="N105" s="241">
        <f t="shared" ref="N105:X105" si="195">IF(N34&lt;&gt;0,N83/N34,0)</f>
        <v>0</v>
      </c>
      <c r="O105" s="241">
        <f t="shared" si="195"/>
        <v>0</v>
      </c>
      <c r="P105" s="241">
        <f t="shared" si="195"/>
        <v>0</v>
      </c>
      <c r="Q105" s="241">
        <f t="shared" si="195"/>
        <v>0</v>
      </c>
      <c r="R105" s="241">
        <f t="shared" si="195"/>
        <v>0</v>
      </c>
      <c r="S105" s="241">
        <f t="shared" si="195"/>
        <v>0</v>
      </c>
      <c r="T105" s="241">
        <f t="shared" si="195"/>
        <v>0</v>
      </c>
      <c r="U105" s="241">
        <f t="shared" si="195"/>
        <v>0</v>
      </c>
      <c r="V105" s="241">
        <f t="shared" si="195"/>
        <v>0</v>
      </c>
      <c r="W105" s="241">
        <f t="shared" si="195"/>
        <v>0</v>
      </c>
      <c r="X105" s="241">
        <f t="shared" si="195"/>
        <v>0</v>
      </c>
      <c r="Y105" s="241">
        <f t="shared" si="183"/>
        <v>0</v>
      </c>
      <c r="Z105" s="241">
        <f t="shared" si="183"/>
        <v>0</v>
      </c>
      <c r="AA105" s="241">
        <f t="shared" si="183"/>
        <v>0</v>
      </c>
      <c r="AB105" s="241">
        <f t="shared" si="183"/>
        <v>0</v>
      </c>
      <c r="AC105" s="241">
        <f t="shared" si="183"/>
        <v>0</v>
      </c>
      <c r="AD105" s="241">
        <f t="shared" si="193"/>
        <v>0</v>
      </c>
      <c r="AE105" s="586">
        <f t="shared" si="193"/>
        <v>0</v>
      </c>
      <c r="AF105" s="586">
        <f t="shared" si="193"/>
        <v>0</v>
      </c>
      <c r="AG105" s="586">
        <f t="shared" si="193"/>
        <v>0</v>
      </c>
      <c r="AH105" s="586">
        <f t="shared" si="193"/>
        <v>0</v>
      </c>
      <c r="AI105" s="586">
        <f t="shared" si="193"/>
        <v>0</v>
      </c>
      <c r="AJ105" s="586">
        <f t="shared" si="191"/>
        <v>0.125</v>
      </c>
      <c r="AK105" s="586">
        <f t="shared" si="191"/>
        <v>0.1</v>
      </c>
      <c r="AL105" s="586">
        <f t="shared" si="191"/>
        <v>9.0909090909090912E-2</v>
      </c>
    </row>
    <row r="106" spans="1:46" s="234" customFormat="1" hidden="1">
      <c r="A106" s="231" t="s">
        <v>76</v>
      </c>
      <c r="B106" s="246">
        <f>IF(B35&lt;&gt;0,B85/(B35 *$B$2),0)</f>
        <v>0.20615541142057739</v>
      </c>
      <c r="C106" s="233"/>
      <c r="D106" s="232"/>
      <c r="E106" s="232"/>
      <c r="F106" s="232"/>
      <c r="G106" s="246">
        <f>IF(G35&lt;&gt;0,G85/(G35 *$G$2),0)</f>
        <v>0.24907063197026022</v>
      </c>
      <c r="H106" s="246">
        <f>IF(H35&lt;&gt;0,H85/(H35 *$G$2),0)</f>
        <v>0.24553571428571427</v>
      </c>
      <c r="I106" s="246">
        <f>IF(I35&lt;&gt;0,I85/(I35 *$G$2),0)</f>
        <v>0.18036363636363636</v>
      </c>
      <c r="J106" s="246"/>
      <c r="K106" s="246">
        <v>0.20455047492820852</v>
      </c>
      <c r="L106" s="233"/>
      <c r="M106" s="240">
        <f>IF(M35&lt;&gt;0,M85/M35,0)</f>
        <v>0.4375</v>
      </c>
      <c r="N106" s="240">
        <f t="shared" ref="N106:X106" si="196">IF(N35&lt;&gt;0,N85/N35,0)</f>
        <v>0.625</v>
      </c>
      <c r="O106" s="240">
        <f t="shared" si="196"/>
        <v>0.39655172413793105</v>
      </c>
      <c r="P106" s="240">
        <f t="shared" si="196"/>
        <v>0.19402985074626866</v>
      </c>
      <c r="Q106" s="240">
        <f t="shared" si="196"/>
        <v>0.27941176470588236</v>
      </c>
      <c r="R106" s="240">
        <f t="shared" si="196"/>
        <v>0.31746031746031744</v>
      </c>
      <c r="S106" s="240">
        <f t="shared" si="196"/>
        <v>0.16129032258064516</v>
      </c>
      <c r="T106" s="240">
        <f t="shared" si="196"/>
        <v>0.11666666666666667</v>
      </c>
      <c r="U106" s="240">
        <f t="shared" si="196"/>
        <v>0.43835616438356162</v>
      </c>
      <c r="V106" s="240">
        <f t="shared" si="196"/>
        <v>0.2857142857142857</v>
      </c>
      <c r="W106" s="240">
        <f t="shared" si="196"/>
        <v>0.12162162162162163</v>
      </c>
      <c r="X106" s="240">
        <f t="shared" si="196"/>
        <v>0.30508474576271188</v>
      </c>
      <c r="Y106" s="240">
        <f t="shared" ref="Y106:AL106" si="197">IF(Y35&lt;&gt;0,Y85/Y35,0)</f>
        <v>0.26886792452830188</v>
      </c>
      <c r="Z106" s="240">
        <f t="shared" si="197"/>
        <v>0.26298701298701299</v>
      </c>
      <c r="AA106" s="240">
        <f t="shared" si="197"/>
        <v>0.21808510638297873</v>
      </c>
      <c r="AB106" s="240">
        <f t="shared" si="197"/>
        <v>0.13580246913580246</v>
      </c>
      <c r="AC106" s="240">
        <f t="shared" si="197"/>
        <v>0.16814159292035399</v>
      </c>
      <c r="AD106" s="240">
        <f t="shared" si="197"/>
        <v>0.22586872586872586</v>
      </c>
      <c r="AE106" s="584">
        <f t="shared" si="197"/>
        <v>0.20665499124343256</v>
      </c>
      <c r="AF106" s="584">
        <f t="shared" si="197"/>
        <v>0.16429699842022116</v>
      </c>
      <c r="AG106" s="584">
        <f t="shared" si="197"/>
        <v>0.21583652618135377</v>
      </c>
      <c r="AH106" s="584">
        <f t="shared" si="197"/>
        <v>0.10169491525423729</v>
      </c>
      <c r="AI106" s="584">
        <f t="shared" si="197"/>
        <v>0.15819209039548024</v>
      </c>
      <c r="AJ106" s="584">
        <f t="shared" si="197"/>
        <v>0.14767932489451477</v>
      </c>
      <c r="AK106" s="584">
        <f t="shared" si="197"/>
        <v>0.17048054919908467</v>
      </c>
      <c r="AL106" s="584">
        <f t="shared" si="197"/>
        <v>0.19899497487437187</v>
      </c>
    </row>
    <row r="107" spans="1:46">
      <c r="AH107" s="216"/>
    </row>
    <row r="108" spans="1:46" s="228" customFormat="1" hidden="1">
      <c r="A108" s="224" t="s">
        <v>162</v>
      </c>
      <c r="B108" s="225" t="s">
        <v>163</v>
      </c>
      <c r="C108" s="225"/>
      <c r="D108" s="226" t="s">
        <v>59</v>
      </c>
      <c r="E108" s="226" t="s">
        <v>94</v>
      </c>
      <c r="F108" s="226" t="s">
        <v>97</v>
      </c>
      <c r="G108" s="226" t="s">
        <v>150</v>
      </c>
      <c r="H108" s="226" t="s">
        <v>508</v>
      </c>
      <c r="I108" s="226" t="s">
        <v>509</v>
      </c>
      <c r="J108" s="226"/>
      <c r="K108" s="226" t="s">
        <v>163</v>
      </c>
      <c r="L108" s="225"/>
      <c r="M108" s="227">
        <v>41000</v>
      </c>
      <c r="N108" s="227">
        <v>41030</v>
      </c>
      <c r="O108" s="227">
        <v>41061</v>
      </c>
      <c r="P108" s="227">
        <v>41091</v>
      </c>
      <c r="Q108" s="227">
        <v>41122</v>
      </c>
      <c r="R108" s="227">
        <v>41153</v>
      </c>
      <c r="S108" s="227">
        <v>41183</v>
      </c>
      <c r="T108" s="227">
        <v>41214</v>
      </c>
      <c r="U108" s="227">
        <v>41244</v>
      </c>
      <c r="V108" s="227">
        <v>41275</v>
      </c>
      <c r="W108" s="227">
        <v>41306</v>
      </c>
      <c r="X108" s="227">
        <v>41334</v>
      </c>
      <c r="Y108" s="227">
        <v>41365</v>
      </c>
      <c r="Z108" s="227">
        <v>41395</v>
      </c>
      <c r="AA108" s="227">
        <v>41426</v>
      </c>
      <c r="AB108" s="227">
        <v>41456</v>
      </c>
      <c r="AC108" s="227">
        <v>41487</v>
      </c>
      <c r="AD108" s="227">
        <v>41518</v>
      </c>
      <c r="AE108" s="227">
        <v>41548</v>
      </c>
      <c r="AF108" s="227">
        <v>41579</v>
      </c>
      <c r="AG108" s="227">
        <v>41609</v>
      </c>
      <c r="AH108" s="227">
        <v>41640</v>
      </c>
      <c r="AI108" s="227">
        <v>41671</v>
      </c>
      <c r="AJ108" s="227">
        <v>41699</v>
      </c>
      <c r="AK108" s="227">
        <v>41730</v>
      </c>
      <c r="AL108" s="227">
        <v>41760</v>
      </c>
      <c r="AM108" s="227">
        <v>41791</v>
      </c>
      <c r="AN108" s="227">
        <v>41821</v>
      </c>
      <c r="AO108" s="227">
        <v>41852</v>
      </c>
      <c r="AP108" s="227">
        <v>41883</v>
      </c>
      <c r="AQ108" s="227">
        <v>41913</v>
      </c>
      <c r="AR108" s="227">
        <v>41944</v>
      </c>
      <c r="AS108" s="227">
        <v>41974</v>
      </c>
      <c r="AT108" s="227">
        <v>42005</v>
      </c>
    </row>
    <row r="109" spans="1:46" hidden="1">
      <c r="A109" s="212" t="s">
        <v>152</v>
      </c>
      <c r="B109" s="242">
        <f t="shared" ref="B109:B115" si="198">IF(B88&lt;&gt;0,B66/B88,0)</f>
        <v>13.064980926430518</v>
      </c>
      <c r="G109" s="242">
        <f t="shared" ref="G109:I115" si="199">IF(G88&lt;&gt;0,G66/G88,0)</f>
        <v>14.143130434782609</v>
      </c>
      <c r="H109" s="242">
        <f t="shared" si="199"/>
        <v>11.996</v>
      </c>
      <c r="I109" s="242">
        <f t="shared" si="199"/>
        <v>15.542945054945054</v>
      </c>
      <c r="J109" s="242"/>
      <c r="K109" s="242">
        <v>14.295470899470899</v>
      </c>
      <c r="M109" s="215">
        <f t="shared" ref="M109:M115" si="200">IF(M88&lt;&gt;0,M66/M88,0)</f>
        <v>15.732454545454544</v>
      </c>
      <c r="N109" s="215">
        <f t="shared" ref="N109:X109" si="201">IF(N88&lt;&gt;0,N66/N88,0)</f>
        <v>15.074</v>
      </c>
      <c r="O109" s="215">
        <f t="shared" si="201"/>
        <v>8.9853333333333314</v>
      </c>
      <c r="P109" s="215">
        <f t="shared" si="201"/>
        <v>10.7875</v>
      </c>
      <c r="Q109" s="215">
        <f t="shared" si="201"/>
        <v>10.124499999999999</v>
      </c>
      <c r="R109" s="215">
        <f t="shared" si="201"/>
        <v>16.643999999999998</v>
      </c>
      <c r="S109" s="215">
        <f t="shared" si="201"/>
        <v>11.346666666666666</v>
      </c>
      <c r="T109" s="215">
        <f t="shared" si="201"/>
        <v>0</v>
      </c>
      <c r="U109" s="215">
        <f t="shared" si="201"/>
        <v>16.026148148148149</v>
      </c>
      <c r="V109" s="215">
        <f t="shared" si="201"/>
        <v>11.679</v>
      </c>
      <c r="W109" s="215">
        <f t="shared" si="201"/>
        <v>0</v>
      </c>
      <c r="X109" s="215">
        <f t="shared" si="201"/>
        <v>14.661894736842106</v>
      </c>
      <c r="Y109" s="215">
        <f t="shared" ref="Y109:AC115" si="202">IF(Y88&lt;&gt;0,Y66/Y88,0)</f>
        <v>11.538916666666667</v>
      </c>
      <c r="Z109" s="215">
        <f t="shared" si="202"/>
        <v>12.592607142857144</v>
      </c>
      <c r="AA109" s="215">
        <f t="shared" si="202"/>
        <v>11.798241379310344</v>
      </c>
      <c r="AB109" s="215">
        <f t="shared" si="202"/>
        <v>15.077380952380953</v>
      </c>
      <c r="AC109" s="215">
        <f t="shared" si="202"/>
        <v>12.59988888888889</v>
      </c>
      <c r="AD109" s="215">
        <f t="shared" ref="AD109:AL109" si="203">IF(AD88&lt;&gt;0,AD66/AD88,0)</f>
        <v>18.946676470588237</v>
      </c>
      <c r="AE109" s="581">
        <f t="shared" si="203"/>
        <v>14.54135294117647</v>
      </c>
      <c r="AF109" s="581">
        <f t="shared" si="203"/>
        <v>14.019774999999999</v>
      </c>
      <c r="AG109" s="581">
        <f t="shared" si="203"/>
        <v>15.107739130434783</v>
      </c>
      <c r="AH109" s="581">
        <f t="shared" si="203"/>
        <v>16.174333333333333</v>
      </c>
      <c r="AI109" s="581">
        <f t="shared" si="203"/>
        <v>14.004642857142857</v>
      </c>
      <c r="AJ109" s="581">
        <f t="shared" si="203"/>
        <v>13.10347619047619</v>
      </c>
      <c r="AK109" s="581">
        <f t="shared" si="203"/>
        <v>12.083509090909093</v>
      </c>
      <c r="AL109" s="581">
        <f t="shared" si="203"/>
        <v>12.910162962962962</v>
      </c>
    </row>
    <row r="110" spans="1:46" hidden="1">
      <c r="A110" s="212" t="s">
        <v>153</v>
      </c>
      <c r="B110" s="242">
        <f t="shared" si="198"/>
        <v>13.046452991452991</v>
      </c>
      <c r="G110" s="242">
        <f t="shared" si="199"/>
        <v>13.186818181818182</v>
      </c>
      <c r="H110" s="242">
        <f t="shared" si="199"/>
        <v>11.972154929577465</v>
      </c>
      <c r="I110" s="242">
        <f t="shared" si="199"/>
        <v>18.814314814814814</v>
      </c>
      <c r="J110" s="242"/>
      <c r="K110" s="242">
        <v>14.655418803418803</v>
      </c>
      <c r="M110" s="215">
        <f t="shared" si="200"/>
        <v>0</v>
      </c>
      <c r="N110" s="215">
        <f t="shared" ref="N110:X110" si="204">IF(N89&lt;&gt;0,N67/N89,0)</f>
        <v>10.256846153846153</v>
      </c>
      <c r="O110" s="215">
        <f t="shared" si="204"/>
        <v>25.275799999999997</v>
      </c>
      <c r="P110" s="215">
        <f t="shared" si="204"/>
        <v>8.2724999999999991</v>
      </c>
      <c r="Q110" s="215">
        <f t="shared" si="204"/>
        <v>24.228666666666669</v>
      </c>
      <c r="R110" s="215">
        <f t="shared" si="204"/>
        <v>12.171333333333331</v>
      </c>
      <c r="S110" s="215">
        <f t="shared" si="204"/>
        <v>0</v>
      </c>
      <c r="T110" s="215">
        <f t="shared" si="204"/>
        <v>0</v>
      </c>
      <c r="U110" s="215">
        <f t="shared" si="204"/>
        <v>10.647</v>
      </c>
      <c r="V110" s="215">
        <f t="shared" si="204"/>
        <v>13.186818181818182</v>
      </c>
      <c r="W110" s="215">
        <f t="shared" si="204"/>
        <v>0</v>
      </c>
      <c r="X110" s="215">
        <f t="shared" si="204"/>
        <v>0</v>
      </c>
      <c r="Y110" s="215">
        <f t="shared" si="202"/>
        <v>14.352375</v>
      </c>
      <c r="Z110" s="215">
        <f t="shared" si="202"/>
        <v>12.993774193548388</v>
      </c>
      <c r="AA110" s="215">
        <f t="shared" si="202"/>
        <v>9.0657499999999995</v>
      </c>
      <c r="AB110" s="215">
        <f t="shared" si="202"/>
        <v>15.918200000000001</v>
      </c>
      <c r="AC110" s="215">
        <f t="shared" si="202"/>
        <v>20.718545454545453</v>
      </c>
      <c r="AD110" s="569">
        <f t="shared" ref="AD110:AL110" si="205">IF(AD89&lt;&gt;0,AD67/AD89,0)</f>
        <v>19.617714285714282</v>
      </c>
      <c r="AE110" s="581">
        <f t="shared" si="205"/>
        <v>16.548684210526318</v>
      </c>
      <c r="AF110" s="581">
        <f t="shared" si="205"/>
        <v>13.743346153846154</v>
      </c>
      <c r="AG110" s="581">
        <f t="shared" si="205"/>
        <v>12.709999999999999</v>
      </c>
      <c r="AH110" s="581">
        <f t="shared" si="205"/>
        <v>13.71844827586207</v>
      </c>
      <c r="AI110" s="581">
        <f t="shared" si="205"/>
        <v>11.068642857142859</v>
      </c>
      <c r="AJ110" s="581">
        <f t="shared" si="205"/>
        <v>8.1486363636363635</v>
      </c>
      <c r="AK110" s="581">
        <f t="shared" si="205"/>
        <v>14.910272727272728</v>
      </c>
      <c r="AL110" s="581">
        <f t="shared" si="205"/>
        <v>13.560439024390243</v>
      </c>
    </row>
    <row r="111" spans="1:46" hidden="1">
      <c r="A111" s="212" t="s">
        <v>70</v>
      </c>
      <c r="B111" s="242">
        <f t="shared" si="198"/>
        <v>15.985156862745098</v>
      </c>
      <c r="G111" s="242">
        <f t="shared" si="199"/>
        <v>12.337399999999999</v>
      </c>
      <c r="H111" s="242">
        <f t="shared" si="199"/>
        <v>13.31076</v>
      </c>
      <c r="I111" s="242">
        <f t="shared" si="199"/>
        <v>13.669749999999999</v>
      </c>
      <c r="J111" s="242"/>
      <c r="K111" s="242">
        <v>14.486848739495798</v>
      </c>
      <c r="M111" s="215">
        <f t="shared" si="200"/>
        <v>0</v>
      </c>
      <c r="N111" s="215">
        <f t="shared" ref="N111:X111" si="206">IF(N90&lt;&gt;0,N68/N90,0)</f>
        <v>0</v>
      </c>
      <c r="O111" s="215">
        <f t="shared" si="206"/>
        <v>12.884565217391305</v>
      </c>
      <c r="P111" s="215">
        <f t="shared" si="206"/>
        <v>15.468249999999999</v>
      </c>
      <c r="Q111" s="215">
        <f t="shared" si="206"/>
        <v>11.02</v>
      </c>
      <c r="R111" s="215">
        <f t="shared" si="206"/>
        <v>35.568200000000004</v>
      </c>
      <c r="S111" s="215">
        <f t="shared" si="206"/>
        <v>10.853999999999999</v>
      </c>
      <c r="T111" s="215">
        <f t="shared" si="206"/>
        <v>0</v>
      </c>
      <c r="U111" s="215">
        <f t="shared" si="206"/>
        <v>9.85</v>
      </c>
      <c r="V111" s="215">
        <f t="shared" si="206"/>
        <v>0</v>
      </c>
      <c r="W111" s="215">
        <f t="shared" si="206"/>
        <v>12.86375</v>
      </c>
      <c r="X111" s="215">
        <f t="shared" si="206"/>
        <v>10.231999999999999</v>
      </c>
      <c r="Y111" s="215">
        <f t="shared" si="202"/>
        <v>0</v>
      </c>
      <c r="Z111" s="215">
        <f t="shared" si="202"/>
        <v>15.840076923076923</v>
      </c>
      <c r="AA111" s="215">
        <f t="shared" si="202"/>
        <v>10.570666666666666</v>
      </c>
      <c r="AB111" s="215">
        <f t="shared" si="202"/>
        <v>7.5640000000000001</v>
      </c>
      <c r="AC111" s="215">
        <f t="shared" si="202"/>
        <v>11.758700000000001</v>
      </c>
      <c r="AD111" s="215">
        <f t="shared" ref="AD111:AL111" si="207">IF(AD90&lt;&gt;0,AD68/AD90,0)</f>
        <v>17.072272727272725</v>
      </c>
      <c r="AE111" s="581">
        <f t="shared" si="207"/>
        <v>14.427045454545453</v>
      </c>
      <c r="AF111" s="581">
        <f t="shared" si="207"/>
        <v>20.472894736842107</v>
      </c>
      <c r="AG111" s="581">
        <f t="shared" si="207"/>
        <v>12.292708333333332</v>
      </c>
      <c r="AH111" s="581">
        <f t="shared" si="207"/>
        <v>16.643428571428569</v>
      </c>
      <c r="AI111" s="581">
        <f t="shared" si="207"/>
        <v>12.424105263157895</v>
      </c>
      <c r="AJ111" s="581">
        <f t="shared" si="207"/>
        <v>15.449750000000002</v>
      </c>
      <c r="AK111" s="581">
        <f t="shared" si="207"/>
        <v>22.870374999999999</v>
      </c>
      <c r="AL111" s="581">
        <f t="shared" si="207"/>
        <v>18.8642</v>
      </c>
    </row>
    <row r="112" spans="1:46" hidden="1">
      <c r="A112" s="212" t="s">
        <v>71</v>
      </c>
      <c r="B112" s="242">
        <f t="shared" si="198"/>
        <v>15.835108870967744</v>
      </c>
      <c r="G112" s="242">
        <f t="shared" si="199"/>
        <v>12.598285714285712</v>
      </c>
      <c r="H112" s="242">
        <f t="shared" si="199"/>
        <v>11.353076923076925</v>
      </c>
      <c r="I112" s="242">
        <f t="shared" si="199"/>
        <v>15.324</v>
      </c>
      <c r="J112" s="242"/>
      <c r="K112" s="242">
        <v>15.698076388888889</v>
      </c>
      <c r="M112" s="215">
        <f t="shared" si="200"/>
        <v>0</v>
      </c>
      <c r="N112" s="215">
        <f t="shared" ref="N112:X112" si="208">IF(N91&lt;&gt;0,N69/N91,0)</f>
        <v>0</v>
      </c>
      <c r="O112" s="215">
        <f t="shared" si="208"/>
        <v>0</v>
      </c>
      <c r="P112" s="215">
        <f t="shared" si="208"/>
        <v>11.2925</v>
      </c>
      <c r="Q112" s="215">
        <f t="shared" si="208"/>
        <v>14.809888888888887</v>
      </c>
      <c r="R112" s="215">
        <f t="shared" si="208"/>
        <v>16.034384615384617</v>
      </c>
      <c r="S112" s="215">
        <f t="shared" si="208"/>
        <v>19.342666666666666</v>
      </c>
      <c r="T112" s="215">
        <f t="shared" si="208"/>
        <v>0</v>
      </c>
      <c r="U112" s="215">
        <f t="shared" si="208"/>
        <v>8.0884999999999998</v>
      </c>
      <c r="V112" s="215">
        <f t="shared" si="208"/>
        <v>0</v>
      </c>
      <c r="W112" s="215">
        <f t="shared" si="208"/>
        <v>10.792999999999999</v>
      </c>
      <c r="X112" s="215">
        <f t="shared" si="208"/>
        <v>12.899166666666666</v>
      </c>
      <c r="Y112" s="215">
        <f t="shared" si="202"/>
        <v>17.321000000000002</v>
      </c>
      <c r="Z112" s="215">
        <f t="shared" si="202"/>
        <v>11.632666666666667</v>
      </c>
      <c r="AA112" s="215">
        <f t="shared" si="202"/>
        <v>10.596777777777779</v>
      </c>
      <c r="AB112" s="215">
        <f t="shared" si="202"/>
        <v>12.457222222222223</v>
      </c>
      <c r="AC112" s="215">
        <f t="shared" si="202"/>
        <v>11.2</v>
      </c>
      <c r="AD112" s="215">
        <f t="shared" ref="AD112:AL112" si="209">IF(AD91&lt;&gt;0,AD69/AD91,0)</f>
        <v>18.117374999999999</v>
      </c>
      <c r="AE112" s="215">
        <f t="shared" si="209"/>
        <v>10.692666666666668</v>
      </c>
      <c r="AF112" s="215">
        <f t="shared" si="209"/>
        <v>17.215095238095238</v>
      </c>
      <c r="AG112" s="581">
        <f t="shared" si="209"/>
        <v>17.409999999999997</v>
      </c>
      <c r="AH112" s="215">
        <f t="shared" si="209"/>
        <v>15.417235294117647</v>
      </c>
      <c r="AI112" s="215">
        <f t="shared" si="209"/>
        <v>13.903363636363638</v>
      </c>
      <c r="AJ112" s="215">
        <f t="shared" si="209"/>
        <v>17.93630303030303</v>
      </c>
      <c r="AK112" s="215">
        <f t="shared" si="209"/>
        <v>14.955508771929823</v>
      </c>
      <c r="AL112" s="215">
        <f t="shared" si="209"/>
        <v>16.061978723404255</v>
      </c>
    </row>
    <row r="113" spans="1:46" hidden="1">
      <c r="A113" s="212" t="s">
        <v>72</v>
      </c>
      <c r="B113" s="242">
        <f t="shared" si="198"/>
        <v>15.086389705882352</v>
      </c>
      <c r="G113" s="242">
        <f t="shared" si="199"/>
        <v>13.394555555555556</v>
      </c>
      <c r="H113" s="242">
        <f t="shared" si="199"/>
        <v>6.344666666666666</v>
      </c>
      <c r="I113" s="242">
        <f t="shared" si="199"/>
        <v>16.642500000000002</v>
      </c>
      <c r="J113" s="242"/>
      <c r="K113" s="242">
        <v>13.8290198019802</v>
      </c>
      <c r="M113" s="215">
        <f t="shared" si="200"/>
        <v>0</v>
      </c>
      <c r="N113" s="215">
        <f t="shared" ref="N113:X113" si="210">IF(N92&lt;&gt;0,N70/N92,0)</f>
        <v>0</v>
      </c>
      <c r="O113" s="215">
        <f t="shared" si="210"/>
        <v>0</v>
      </c>
      <c r="P113" s="215">
        <f t="shared" si="210"/>
        <v>0</v>
      </c>
      <c r="Q113" s="215">
        <f t="shared" si="210"/>
        <v>0</v>
      </c>
      <c r="R113" s="215">
        <f t="shared" si="210"/>
        <v>0</v>
      </c>
      <c r="S113" s="215">
        <f t="shared" si="210"/>
        <v>5.8460000000000001</v>
      </c>
      <c r="T113" s="215">
        <f t="shared" si="210"/>
        <v>12.722250000000001</v>
      </c>
      <c r="U113" s="215">
        <f t="shared" si="210"/>
        <v>20.577571428571428</v>
      </c>
      <c r="V113" s="215">
        <f t="shared" si="210"/>
        <v>7.8666363636363634</v>
      </c>
      <c r="W113" s="215">
        <f t="shared" si="210"/>
        <v>46.292000000000002</v>
      </c>
      <c r="X113" s="215">
        <f t="shared" si="210"/>
        <v>13.038285714285715</v>
      </c>
      <c r="Y113" s="215">
        <f t="shared" si="202"/>
        <v>5.8310000000000004</v>
      </c>
      <c r="Z113" s="215">
        <f t="shared" si="202"/>
        <v>0</v>
      </c>
      <c r="AA113" s="215">
        <f t="shared" si="202"/>
        <v>7.3719999999999999</v>
      </c>
      <c r="AB113" s="215">
        <f t="shared" si="202"/>
        <v>10.473000000000001</v>
      </c>
      <c r="AC113" s="215">
        <f t="shared" si="202"/>
        <v>0</v>
      </c>
      <c r="AD113" s="215">
        <f t="shared" ref="AD113:AL113" si="211">IF(AD92&lt;&gt;0,AD70/AD92,0)</f>
        <v>17.8764</v>
      </c>
      <c r="AE113" s="215">
        <f t="shared" si="211"/>
        <v>12.980571428571428</v>
      </c>
      <c r="AF113" s="215">
        <f t="shared" si="211"/>
        <v>14.579000000000001</v>
      </c>
      <c r="AG113" s="581">
        <f t="shared" si="211"/>
        <v>14.664631578947368</v>
      </c>
      <c r="AH113" s="215">
        <f t="shared" si="211"/>
        <v>0</v>
      </c>
      <c r="AI113" s="215">
        <f t="shared" si="211"/>
        <v>15.781181818181819</v>
      </c>
      <c r="AJ113" s="215">
        <f t="shared" si="211"/>
        <v>12.014705882352942</v>
      </c>
      <c r="AK113" s="215">
        <f t="shared" si="211"/>
        <v>18.147315789473687</v>
      </c>
      <c r="AL113" s="215">
        <f t="shared" si="211"/>
        <v>13.100642857142859</v>
      </c>
    </row>
    <row r="114" spans="1:46" hidden="1">
      <c r="A114" s="212" t="s">
        <v>73</v>
      </c>
      <c r="B114" s="242">
        <f t="shared" si="198"/>
        <v>18.341091286307051</v>
      </c>
      <c r="G114" s="242">
        <f t="shared" si="199"/>
        <v>14.14446031746032</v>
      </c>
      <c r="H114" s="242">
        <f t="shared" si="199"/>
        <v>14.328611650485437</v>
      </c>
      <c r="I114" s="242">
        <f t="shared" si="199"/>
        <v>17.556122807017545</v>
      </c>
      <c r="J114" s="242"/>
      <c r="K114" s="242">
        <v>16.629066934404285</v>
      </c>
      <c r="M114" s="215">
        <f t="shared" si="200"/>
        <v>9.9319166666666678</v>
      </c>
      <c r="N114" s="215">
        <f t="shared" ref="N114:X114" si="212">IF(N93&lt;&gt;0,N71/N93,0)</f>
        <v>14.997624999999999</v>
      </c>
      <c r="O114" s="215">
        <f t="shared" si="212"/>
        <v>54.184368421052625</v>
      </c>
      <c r="P114" s="215">
        <f t="shared" si="212"/>
        <v>16.053142857142856</v>
      </c>
      <c r="Q114" s="215">
        <f t="shared" si="212"/>
        <v>9.5611428571428565</v>
      </c>
      <c r="R114" s="215">
        <f t="shared" si="212"/>
        <v>13.787285714285714</v>
      </c>
      <c r="S114" s="215">
        <f t="shared" si="212"/>
        <v>15.377666666666668</v>
      </c>
      <c r="T114" s="215">
        <f t="shared" si="212"/>
        <v>12.985800000000001</v>
      </c>
      <c r="U114" s="215">
        <f t="shared" si="212"/>
        <v>17.02209375</v>
      </c>
      <c r="V114" s="215">
        <f t="shared" si="212"/>
        <v>15.557260869565217</v>
      </c>
      <c r="W114" s="215">
        <f t="shared" si="212"/>
        <v>11.879000000000001</v>
      </c>
      <c r="X114" s="215">
        <f t="shared" si="212"/>
        <v>13.816466666666667</v>
      </c>
      <c r="Y114" s="215">
        <f t="shared" si="202"/>
        <v>14.332684210526317</v>
      </c>
      <c r="Z114" s="215">
        <f t="shared" si="202"/>
        <v>20.228129032258064</v>
      </c>
      <c r="AA114" s="215">
        <f t="shared" si="202"/>
        <v>8.9450882352941186</v>
      </c>
      <c r="AB114" s="215">
        <f t="shared" si="202"/>
        <v>16.317826086956519</v>
      </c>
      <c r="AC114" s="215">
        <f t="shared" si="202"/>
        <v>16.597100000000001</v>
      </c>
      <c r="AD114" s="215">
        <f t="shared" ref="AD114:AL114" si="213">IF(AD93&lt;&gt;0,AD71/AD93,0)</f>
        <v>18.494672131147539</v>
      </c>
      <c r="AE114" s="569">
        <f t="shared" si="213"/>
        <v>22.467615384615385</v>
      </c>
      <c r="AF114" s="569">
        <f t="shared" si="213"/>
        <v>21.132658536585367</v>
      </c>
      <c r="AG114" s="581">
        <f t="shared" si="213"/>
        <v>14.440758620689657</v>
      </c>
      <c r="AH114" s="581">
        <f t="shared" si="213"/>
        <v>17.293799999999997</v>
      </c>
      <c r="AI114" s="581">
        <f t="shared" si="213"/>
        <v>14.241279069767442</v>
      </c>
      <c r="AJ114" s="581">
        <f t="shared" si="213"/>
        <v>15.634285714285713</v>
      </c>
      <c r="AK114" s="581">
        <f t="shared" si="213"/>
        <v>18.107282442748094</v>
      </c>
      <c r="AL114" s="581">
        <f t="shared" si="213"/>
        <v>21.753431952662723</v>
      </c>
    </row>
    <row r="115" spans="1:46" s="230" customFormat="1" hidden="1">
      <c r="A115" s="212" t="s">
        <v>75</v>
      </c>
      <c r="B115" s="248">
        <f t="shared" si="198"/>
        <v>16.577999999999999</v>
      </c>
      <c r="C115" s="214"/>
      <c r="D115" s="229"/>
      <c r="E115" s="229"/>
      <c r="F115" s="229"/>
      <c r="G115" s="248">
        <f t="shared" si="199"/>
        <v>0</v>
      </c>
      <c r="H115" s="248">
        <f t="shared" si="199"/>
        <v>0</v>
      </c>
      <c r="I115" s="248">
        <f t="shared" si="199"/>
        <v>0</v>
      </c>
      <c r="J115" s="778"/>
      <c r="K115" s="778">
        <v>0</v>
      </c>
      <c r="L115" s="214"/>
      <c r="M115" s="239">
        <f t="shared" si="200"/>
        <v>0</v>
      </c>
      <c r="N115" s="239">
        <f t="shared" ref="N115:X115" si="214">IF(N94&lt;&gt;0,N72/N94,0)</f>
        <v>0</v>
      </c>
      <c r="O115" s="239">
        <f t="shared" si="214"/>
        <v>0</v>
      </c>
      <c r="P115" s="239">
        <f t="shared" si="214"/>
        <v>0</v>
      </c>
      <c r="Q115" s="239">
        <f t="shared" si="214"/>
        <v>0</v>
      </c>
      <c r="R115" s="239">
        <f t="shared" si="214"/>
        <v>0</v>
      </c>
      <c r="S115" s="239">
        <f t="shared" si="214"/>
        <v>0</v>
      </c>
      <c r="T115" s="239">
        <f t="shared" si="214"/>
        <v>0</v>
      </c>
      <c r="U115" s="239">
        <f t="shared" si="214"/>
        <v>0</v>
      </c>
      <c r="V115" s="239">
        <f t="shared" si="214"/>
        <v>0</v>
      </c>
      <c r="W115" s="239">
        <f t="shared" si="214"/>
        <v>0</v>
      </c>
      <c r="X115" s="239">
        <f t="shared" si="214"/>
        <v>0</v>
      </c>
      <c r="Y115" s="239">
        <f t="shared" si="202"/>
        <v>0</v>
      </c>
      <c r="Z115" s="239">
        <f t="shared" si="202"/>
        <v>0</v>
      </c>
      <c r="AA115" s="239">
        <f t="shared" si="202"/>
        <v>0</v>
      </c>
      <c r="AB115" s="239">
        <f t="shared" si="202"/>
        <v>0</v>
      </c>
      <c r="AC115" s="239">
        <f t="shared" si="202"/>
        <v>0</v>
      </c>
      <c r="AD115" s="239">
        <f t="shared" ref="AD115:AL115" si="215">IF(AD94&lt;&gt;0,AD72/AD94,0)</f>
        <v>0</v>
      </c>
      <c r="AE115" s="239">
        <f t="shared" si="215"/>
        <v>0</v>
      </c>
      <c r="AF115" s="239">
        <f t="shared" si="215"/>
        <v>0</v>
      </c>
      <c r="AG115" s="621">
        <f t="shared" si="215"/>
        <v>0</v>
      </c>
      <c r="AH115" s="239">
        <f t="shared" si="215"/>
        <v>0</v>
      </c>
      <c r="AI115" s="239">
        <f t="shared" si="215"/>
        <v>0</v>
      </c>
      <c r="AJ115" s="239">
        <f t="shared" si="215"/>
        <v>21.029</v>
      </c>
      <c r="AK115" s="239">
        <f t="shared" si="215"/>
        <v>13.188000000000001</v>
      </c>
      <c r="AL115" s="239">
        <f t="shared" si="215"/>
        <v>12.903333333333334</v>
      </c>
    </row>
    <row r="116" spans="1:46" s="234" customFormat="1" hidden="1">
      <c r="A116" s="231" t="s">
        <v>76</v>
      </c>
      <c r="B116" s="244">
        <f>IF(B96&lt;&gt;0,B74/B96,0)</f>
        <v>16.752904553336968</v>
      </c>
      <c r="C116" s="233"/>
      <c r="D116" s="232"/>
      <c r="E116" s="232"/>
      <c r="F116" s="232"/>
      <c r="G116" s="244">
        <f>IF(G96&lt;&gt;0,G74/G96,0)</f>
        <v>13.698890109890112</v>
      </c>
      <c r="H116" s="244">
        <f>IF(H96&lt;&gt;0,H74/H96,0)</f>
        <v>12.827496621621624</v>
      </c>
      <c r="I116" s="244">
        <f>IF(I96&lt;&gt;0,I74/I96,0)</f>
        <v>16.622409638554217</v>
      </c>
      <c r="J116" s="244"/>
      <c r="K116" s="244">
        <v>15.18617090069284</v>
      </c>
      <c r="L116" s="233"/>
      <c r="M116" s="215">
        <f t="shared" ref="M116:AC116" si="216">IF(M96&lt;&gt;0,M74/M96,0)</f>
        <v>12.706086956521739</v>
      </c>
      <c r="N116" s="215">
        <f t="shared" si="216"/>
        <v>12.732000000000001</v>
      </c>
      <c r="O116" s="215">
        <f t="shared" si="216"/>
        <v>28.146862068965518</v>
      </c>
      <c r="P116" s="215">
        <f t="shared" si="216"/>
        <v>13.820588235294117</v>
      </c>
      <c r="Q116" s="215">
        <f t="shared" si="216"/>
        <v>13.517541666666666</v>
      </c>
      <c r="R116" s="215">
        <f t="shared" si="216"/>
        <v>18.481275862068966</v>
      </c>
      <c r="S116" s="215">
        <f t="shared" si="216"/>
        <v>14.125866666666667</v>
      </c>
      <c r="T116" s="215">
        <f t="shared" si="216"/>
        <v>12.910500000000001</v>
      </c>
      <c r="U116" s="215">
        <f t="shared" si="216"/>
        <v>16.280506849315067</v>
      </c>
      <c r="V116" s="215">
        <f t="shared" si="216"/>
        <v>12.935812500000001</v>
      </c>
      <c r="W116" s="215">
        <f t="shared" si="216"/>
        <v>15.266818181818183</v>
      </c>
      <c r="X116" s="215">
        <f t="shared" si="216"/>
        <v>13.848291666666668</v>
      </c>
      <c r="Y116" s="215">
        <f t="shared" si="216"/>
        <v>13.335765432098768</v>
      </c>
      <c r="Z116" s="215">
        <f t="shared" si="216"/>
        <v>15.31406603773585</v>
      </c>
      <c r="AA116" s="215">
        <f t="shared" si="216"/>
        <v>10.031660550458716</v>
      </c>
      <c r="AB116" s="215">
        <f t="shared" si="216"/>
        <v>14.944277777777776</v>
      </c>
      <c r="AC116" s="215">
        <f t="shared" si="216"/>
        <v>14.525773195876289</v>
      </c>
      <c r="AD116" s="215">
        <f t="shared" ref="AD116:AL116" si="217">IF(AD96&lt;&gt;0,AD74/AD96,0)</f>
        <v>18.611361963190184</v>
      </c>
      <c r="AE116" s="215">
        <f t="shared" si="217"/>
        <v>16.180213333333331</v>
      </c>
      <c r="AF116" s="215">
        <f t="shared" si="217"/>
        <v>17.209510067114095</v>
      </c>
      <c r="AG116" s="581">
        <f t="shared" si="217"/>
        <v>14.851989323843418</v>
      </c>
      <c r="AH116" s="215">
        <f t="shared" si="217"/>
        <v>15.817870588235296</v>
      </c>
      <c r="AI116" s="215">
        <f t="shared" si="217"/>
        <v>13.686065693430658</v>
      </c>
      <c r="AJ116" s="215">
        <f t="shared" si="217"/>
        <v>14.727185483870969</v>
      </c>
      <c r="AK116" s="215">
        <f t="shared" si="217"/>
        <v>15.808180904522615</v>
      </c>
      <c r="AL116" s="215">
        <f t="shared" si="217"/>
        <v>16.523872950819673</v>
      </c>
    </row>
    <row r="117" spans="1:46">
      <c r="AG117" s="591"/>
      <c r="AH117" s="216"/>
    </row>
    <row r="118" spans="1:46" s="228" customFormat="1" hidden="1">
      <c r="A118" s="224" t="s">
        <v>93</v>
      </c>
      <c r="B118" s="225" t="s">
        <v>163</v>
      </c>
      <c r="C118" s="225"/>
      <c r="D118" s="226" t="s">
        <v>59</v>
      </c>
      <c r="E118" s="226" t="s">
        <v>94</v>
      </c>
      <c r="F118" s="226" t="s">
        <v>97</v>
      </c>
      <c r="G118" s="226" t="s">
        <v>150</v>
      </c>
      <c r="H118" s="226" t="s">
        <v>508</v>
      </c>
      <c r="I118" s="226" t="s">
        <v>509</v>
      </c>
      <c r="J118" s="226"/>
      <c r="K118" s="226" t="s">
        <v>163</v>
      </c>
      <c r="L118" s="225"/>
      <c r="M118" s="227">
        <v>41000</v>
      </c>
      <c r="N118" s="227">
        <v>41030</v>
      </c>
      <c r="O118" s="227">
        <v>41061</v>
      </c>
      <c r="P118" s="227">
        <v>41091</v>
      </c>
      <c r="Q118" s="227">
        <v>41122</v>
      </c>
      <c r="R118" s="227">
        <v>41153</v>
      </c>
      <c r="S118" s="227">
        <v>41183</v>
      </c>
      <c r="T118" s="227">
        <v>41214</v>
      </c>
      <c r="U118" s="227">
        <v>41244</v>
      </c>
      <c r="V118" s="227">
        <v>41275</v>
      </c>
      <c r="W118" s="227">
        <v>41306</v>
      </c>
      <c r="X118" s="227">
        <v>41334</v>
      </c>
      <c r="Y118" s="227">
        <v>41365</v>
      </c>
      <c r="Z118" s="227">
        <v>41395</v>
      </c>
      <c r="AA118" s="227">
        <v>41426</v>
      </c>
      <c r="AB118" s="227">
        <v>41456</v>
      </c>
      <c r="AC118" s="227">
        <v>41487</v>
      </c>
      <c r="AD118" s="227">
        <v>41518</v>
      </c>
      <c r="AE118" s="227">
        <v>41548</v>
      </c>
      <c r="AF118" s="227">
        <v>41579</v>
      </c>
      <c r="AG118" s="227">
        <v>41609</v>
      </c>
      <c r="AH118" s="227">
        <v>41640</v>
      </c>
      <c r="AI118" s="227">
        <v>41671</v>
      </c>
      <c r="AJ118" s="227">
        <v>41699</v>
      </c>
      <c r="AK118" s="227">
        <v>41730</v>
      </c>
      <c r="AL118" s="227">
        <v>41760</v>
      </c>
      <c r="AM118" s="227">
        <v>41791</v>
      </c>
      <c r="AN118" s="227">
        <v>41821</v>
      </c>
      <c r="AO118" s="227">
        <v>41852</v>
      </c>
      <c r="AP118" s="227">
        <v>41883</v>
      </c>
      <c r="AQ118" s="227">
        <v>41913</v>
      </c>
      <c r="AR118" s="227">
        <v>41944</v>
      </c>
      <c r="AS118" s="227">
        <v>41974</v>
      </c>
      <c r="AT118" s="227">
        <v>42005</v>
      </c>
    </row>
    <row r="119" spans="1:46" hidden="1">
      <c r="A119" s="212" t="s">
        <v>152</v>
      </c>
      <c r="B119" s="242">
        <f t="shared" ref="B119:B125" si="218">IF(B77&lt;&gt;0,B88/B77,0)</f>
        <v>1.2233333333333334</v>
      </c>
      <c r="G119" s="242">
        <f t="shared" ref="G119:I125" si="219">IF(G77&lt;&gt;0,G88/G77,0)</f>
        <v>1.4375</v>
      </c>
      <c r="H119" s="242">
        <f t="shared" si="219"/>
        <v>1.3278688524590163</v>
      </c>
      <c r="I119" s="242">
        <f t="shared" si="219"/>
        <v>1.467741935483871</v>
      </c>
      <c r="J119" s="242"/>
      <c r="K119" s="242">
        <v>1.4372623574144487</v>
      </c>
      <c r="M119" s="215">
        <f t="shared" ref="M119:M125" si="220">IF(M77&lt;&gt;0,M88/M77,0)</f>
        <v>1.2222222222222223</v>
      </c>
      <c r="N119" s="215">
        <f t="shared" ref="N119:X119" si="221">IF(N77&lt;&gt;0,N88/N77,0)</f>
        <v>1</v>
      </c>
      <c r="O119" s="215">
        <f t="shared" si="221"/>
        <v>1.5</v>
      </c>
      <c r="P119" s="215">
        <f t="shared" si="221"/>
        <v>2</v>
      </c>
      <c r="Q119" s="215">
        <f t="shared" si="221"/>
        <v>1.3333333333333333</v>
      </c>
      <c r="R119" s="215">
        <f t="shared" si="221"/>
        <v>1</v>
      </c>
      <c r="S119" s="215">
        <f t="shared" si="221"/>
        <v>1.5</v>
      </c>
      <c r="T119" s="215">
        <f t="shared" si="221"/>
        <v>0</v>
      </c>
      <c r="U119" s="215">
        <f t="shared" si="221"/>
        <v>3</v>
      </c>
      <c r="V119" s="215">
        <f t="shared" si="221"/>
        <v>1.3333333333333333</v>
      </c>
      <c r="W119" s="215">
        <f t="shared" si="221"/>
        <v>0</v>
      </c>
      <c r="X119" s="215">
        <f t="shared" si="221"/>
        <v>1.4615384615384615</v>
      </c>
      <c r="Y119" s="215">
        <f t="shared" ref="Y119:AC125" si="222">IF(Y77&lt;&gt;0,Y88/Y77,0)</f>
        <v>1.3333333333333333</v>
      </c>
      <c r="Z119" s="215">
        <f t="shared" si="222"/>
        <v>1.2727272727272727</v>
      </c>
      <c r="AA119" s="215">
        <f t="shared" si="222"/>
        <v>1.3809523809523809</v>
      </c>
      <c r="AB119" s="215">
        <f t="shared" si="222"/>
        <v>1.5</v>
      </c>
      <c r="AC119" s="215">
        <f t="shared" si="222"/>
        <v>1.3846153846153846</v>
      </c>
      <c r="AD119" s="215">
        <f t="shared" ref="AD119:AL119" si="223">IF(AD77&lt;&gt;0,AD88/AD77,0)</f>
        <v>1.5454545454545454</v>
      </c>
      <c r="AE119" s="215">
        <f t="shared" si="223"/>
        <v>1.3421052631578947</v>
      </c>
      <c r="AF119" s="215">
        <f t="shared" si="223"/>
        <v>1.3333333333333333</v>
      </c>
      <c r="AG119" s="215">
        <f t="shared" si="223"/>
        <v>1.6428571428571428</v>
      </c>
      <c r="AH119" s="215">
        <f t="shared" si="223"/>
        <v>1.0909090909090908</v>
      </c>
      <c r="AI119" s="215">
        <f t="shared" si="223"/>
        <v>1.0769230769230769</v>
      </c>
      <c r="AJ119" s="215">
        <f t="shared" si="223"/>
        <v>1.2352941176470589</v>
      </c>
      <c r="AK119" s="215">
        <f t="shared" si="223"/>
        <v>1.3414634146341464</v>
      </c>
      <c r="AL119" s="215">
        <f t="shared" si="223"/>
        <v>1.2272727272727273</v>
      </c>
    </row>
    <row r="120" spans="1:46" hidden="1">
      <c r="A120" s="212" t="s">
        <v>153</v>
      </c>
      <c r="B120" s="242">
        <f t="shared" si="218"/>
        <v>1.2061855670103092</v>
      </c>
      <c r="G120" s="242">
        <f t="shared" si="219"/>
        <v>1.8333333333333333</v>
      </c>
      <c r="H120" s="242">
        <f t="shared" si="219"/>
        <v>1.4791666666666667</v>
      </c>
      <c r="I120" s="242">
        <f t="shared" si="219"/>
        <v>1.4594594594594594</v>
      </c>
      <c r="J120" s="242"/>
      <c r="K120" s="242">
        <v>1.5</v>
      </c>
      <c r="M120" s="215">
        <f t="shared" si="220"/>
        <v>0</v>
      </c>
      <c r="N120" s="215">
        <f t="shared" ref="N120:X120" si="224">IF(N78&lt;&gt;0,N89/N78,0)</f>
        <v>1.0833333333333333</v>
      </c>
      <c r="O120" s="215">
        <f t="shared" si="224"/>
        <v>1</v>
      </c>
      <c r="P120" s="215">
        <f t="shared" si="224"/>
        <v>1</v>
      </c>
      <c r="Q120" s="215">
        <f t="shared" si="224"/>
        <v>1</v>
      </c>
      <c r="R120" s="215">
        <f t="shared" si="224"/>
        <v>1.5</v>
      </c>
      <c r="S120" s="215">
        <f t="shared" si="224"/>
        <v>0</v>
      </c>
      <c r="T120" s="215">
        <f t="shared" si="224"/>
        <v>0</v>
      </c>
      <c r="U120" s="215">
        <f t="shared" si="224"/>
        <v>1</v>
      </c>
      <c r="V120" s="215">
        <f t="shared" si="224"/>
        <v>1.8333333333333333</v>
      </c>
      <c r="W120" s="215">
        <f t="shared" si="224"/>
        <v>0</v>
      </c>
      <c r="X120" s="215">
        <f t="shared" si="224"/>
        <v>0</v>
      </c>
      <c r="Y120" s="215">
        <f t="shared" si="222"/>
        <v>2</v>
      </c>
      <c r="Z120" s="215">
        <f t="shared" si="222"/>
        <v>1.4761904761904763</v>
      </c>
      <c r="AA120" s="215">
        <f t="shared" si="222"/>
        <v>1.263157894736842</v>
      </c>
      <c r="AB120" s="215">
        <f t="shared" si="222"/>
        <v>1.25</v>
      </c>
      <c r="AC120" s="215">
        <f t="shared" si="222"/>
        <v>1.2222222222222223</v>
      </c>
      <c r="AD120" s="569">
        <f t="shared" ref="AD120:AL120" si="225">IF(AD78&lt;&gt;0,AD89/AD78,0)</f>
        <v>1.75</v>
      </c>
      <c r="AE120" s="581">
        <f t="shared" si="225"/>
        <v>1.4074074074074074</v>
      </c>
      <c r="AF120" s="581">
        <f t="shared" si="225"/>
        <v>1.368421052631579</v>
      </c>
      <c r="AG120" s="581">
        <f t="shared" si="225"/>
        <v>1.7894736842105263</v>
      </c>
      <c r="AH120" s="581">
        <f t="shared" si="225"/>
        <v>1.2608695652173914</v>
      </c>
      <c r="AI120" s="581">
        <f t="shared" si="225"/>
        <v>1.0769230769230769</v>
      </c>
      <c r="AJ120" s="581">
        <f t="shared" si="225"/>
        <v>1</v>
      </c>
      <c r="AK120" s="581">
        <f t="shared" si="225"/>
        <v>1.2941176470588236</v>
      </c>
      <c r="AL120" s="581">
        <f t="shared" si="225"/>
        <v>1.2424242424242424</v>
      </c>
    </row>
    <row r="121" spans="1:46" hidden="1">
      <c r="A121" s="212" t="s">
        <v>70</v>
      </c>
      <c r="B121" s="242">
        <f t="shared" si="218"/>
        <v>1.2142857142857142</v>
      </c>
      <c r="G121" s="242">
        <f t="shared" si="219"/>
        <v>1.25</v>
      </c>
      <c r="H121" s="242">
        <f t="shared" si="219"/>
        <v>1.7857142857142858</v>
      </c>
      <c r="I121" s="242">
        <f t="shared" si="219"/>
        <v>1.2</v>
      </c>
      <c r="J121" s="242"/>
      <c r="K121" s="242">
        <v>1.4166666666666667</v>
      </c>
      <c r="M121" s="215">
        <f t="shared" si="220"/>
        <v>0</v>
      </c>
      <c r="N121" s="215">
        <f t="shared" ref="N121:X121" si="226">IF(N79&lt;&gt;0,N90/N79,0)</f>
        <v>0</v>
      </c>
      <c r="O121" s="215">
        <f t="shared" si="226"/>
        <v>1.4375</v>
      </c>
      <c r="P121" s="215">
        <f t="shared" si="226"/>
        <v>1</v>
      </c>
      <c r="Q121" s="215">
        <f t="shared" si="226"/>
        <v>1</v>
      </c>
      <c r="R121" s="215">
        <f t="shared" si="226"/>
        <v>1.6666666666666667</v>
      </c>
      <c r="S121" s="215">
        <f t="shared" si="226"/>
        <v>1</v>
      </c>
      <c r="T121" s="215">
        <f t="shared" si="226"/>
        <v>0</v>
      </c>
      <c r="U121" s="215">
        <f t="shared" si="226"/>
        <v>1</v>
      </c>
      <c r="V121" s="215">
        <f t="shared" si="226"/>
        <v>0</v>
      </c>
      <c r="W121" s="215">
        <f t="shared" si="226"/>
        <v>1.3333333333333333</v>
      </c>
      <c r="X121" s="215">
        <f t="shared" si="226"/>
        <v>1</v>
      </c>
      <c r="Y121" s="215">
        <f t="shared" si="222"/>
        <v>0</v>
      </c>
      <c r="Z121" s="215">
        <f t="shared" si="222"/>
        <v>1.8571428571428572</v>
      </c>
      <c r="AA121" s="215">
        <f t="shared" si="222"/>
        <v>1.7142857142857142</v>
      </c>
      <c r="AB121" s="215">
        <f t="shared" si="222"/>
        <v>1</v>
      </c>
      <c r="AC121" s="215">
        <f t="shared" si="222"/>
        <v>1.25</v>
      </c>
      <c r="AD121" s="215">
        <f t="shared" ref="AD121:AL121" si="227">IF(AD79&lt;&gt;0,AD90/AD79,0)</f>
        <v>1.2222222222222223</v>
      </c>
      <c r="AE121" s="215">
        <f t="shared" si="227"/>
        <v>1.5714285714285714</v>
      </c>
      <c r="AF121" s="215">
        <f t="shared" si="227"/>
        <v>1.4615384615384615</v>
      </c>
      <c r="AG121" s="215">
        <f t="shared" si="227"/>
        <v>1.263157894736842</v>
      </c>
      <c r="AH121" s="215">
        <f t="shared" si="227"/>
        <v>1.1666666666666667</v>
      </c>
      <c r="AI121" s="215">
        <f t="shared" si="227"/>
        <v>1.3571428571428572</v>
      </c>
      <c r="AJ121" s="215">
        <f t="shared" si="227"/>
        <v>1.2</v>
      </c>
      <c r="AK121" s="215">
        <f t="shared" si="227"/>
        <v>1.3333333333333333</v>
      </c>
      <c r="AL121" s="215">
        <f t="shared" si="227"/>
        <v>0.83333333333333337</v>
      </c>
    </row>
    <row r="122" spans="1:46" hidden="1">
      <c r="A122" s="212" t="s">
        <v>71</v>
      </c>
      <c r="B122" s="242">
        <f t="shared" si="218"/>
        <v>1.3932584269662922</v>
      </c>
      <c r="G122" s="242">
        <f t="shared" si="219"/>
        <v>1.1666666666666667</v>
      </c>
      <c r="H122" s="242">
        <f t="shared" si="219"/>
        <v>1.3</v>
      </c>
      <c r="I122" s="242">
        <f t="shared" si="219"/>
        <v>1.2285714285714286</v>
      </c>
      <c r="J122" s="242"/>
      <c r="K122" s="242">
        <v>1.5</v>
      </c>
      <c r="M122" s="215">
        <f t="shared" si="220"/>
        <v>0</v>
      </c>
      <c r="N122" s="215">
        <f t="shared" ref="N122:X122" si="228">IF(N80&lt;&gt;0,N91/N80,0)</f>
        <v>0</v>
      </c>
      <c r="O122" s="215">
        <f t="shared" si="228"/>
        <v>0</v>
      </c>
      <c r="P122" s="215">
        <f t="shared" si="228"/>
        <v>1</v>
      </c>
      <c r="Q122" s="215">
        <f t="shared" si="228"/>
        <v>1.2857142857142858</v>
      </c>
      <c r="R122" s="215">
        <f t="shared" si="228"/>
        <v>1.4444444444444444</v>
      </c>
      <c r="S122" s="215">
        <f t="shared" si="228"/>
        <v>1.5</v>
      </c>
      <c r="T122" s="215">
        <f t="shared" si="228"/>
        <v>0</v>
      </c>
      <c r="U122" s="215">
        <f t="shared" si="228"/>
        <v>1</v>
      </c>
      <c r="V122" s="215">
        <f t="shared" si="228"/>
        <v>0</v>
      </c>
      <c r="W122" s="215">
        <f t="shared" si="228"/>
        <v>1</v>
      </c>
      <c r="X122" s="215">
        <f t="shared" si="228"/>
        <v>1.2</v>
      </c>
      <c r="Y122" s="215">
        <f t="shared" si="222"/>
        <v>1</v>
      </c>
      <c r="Z122" s="215">
        <f t="shared" si="222"/>
        <v>1</v>
      </c>
      <c r="AA122" s="215">
        <f t="shared" si="222"/>
        <v>1.5</v>
      </c>
      <c r="AB122" s="215">
        <f t="shared" si="222"/>
        <v>1.5</v>
      </c>
      <c r="AC122" s="215">
        <f t="shared" si="222"/>
        <v>0.90909090909090906</v>
      </c>
      <c r="AD122" s="215">
        <f t="shared" ref="AD122:AL122" si="229">IF(AD80&lt;&gt;0,AD91/AD80,0)</f>
        <v>1.3333333333333333</v>
      </c>
      <c r="AE122" s="215">
        <f t="shared" si="229"/>
        <v>1</v>
      </c>
      <c r="AF122" s="215">
        <f t="shared" si="229"/>
        <v>1.6153846153846154</v>
      </c>
      <c r="AG122" s="215">
        <f t="shared" si="229"/>
        <v>2.0769230769230771</v>
      </c>
      <c r="AH122" s="215">
        <f t="shared" si="229"/>
        <v>1.1333333333333333</v>
      </c>
      <c r="AI122" s="215">
        <f t="shared" si="229"/>
        <v>1.375</v>
      </c>
      <c r="AJ122" s="215">
        <f t="shared" si="229"/>
        <v>1.32</v>
      </c>
      <c r="AK122" s="215">
        <f t="shared" si="229"/>
        <v>1.5</v>
      </c>
      <c r="AL122" s="215">
        <f t="shared" si="229"/>
        <v>1.6785714285714286</v>
      </c>
    </row>
    <row r="123" spans="1:46" hidden="1">
      <c r="A123" s="212" t="s">
        <v>72</v>
      </c>
      <c r="B123" s="242">
        <f t="shared" si="218"/>
        <v>1.0461538461538462</v>
      </c>
      <c r="G123" s="242">
        <f t="shared" si="219"/>
        <v>1.2272727272727273</v>
      </c>
      <c r="H123" s="242">
        <f t="shared" si="219"/>
        <v>1.5</v>
      </c>
      <c r="I123" s="242">
        <f t="shared" si="219"/>
        <v>2</v>
      </c>
      <c r="J123" s="242"/>
      <c r="K123" s="242">
        <v>1.2948717948717949</v>
      </c>
      <c r="M123" s="215">
        <f t="shared" si="220"/>
        <v>0</v>
      </c>
      <c r="N123" s="215">
        <f t="shared" ref="N123:X123" si="230">IF(N81&lt;&gt;0,N92/N81,0)</f>
        <v>0</v>
      </c>
      <c r="O123" s="215">
        <f t="shared" si="230"/>
        <v>0</v>
      </c>
      <c r="P123" s="215">
        <f t="shared" si="230"/>
        <v>0</v>
      </c>
      <c r="Q123" s="215">
        <f t="shared" si="230"/>
        <v>0</v>
      </c>
      <c r="R123" s="215">
        <f t="shared" si="230"/>
        <v>0</v>
      </c>
      <c r="S123" s="215">
        <f t="shared" si="230"/>
        <v>1</v>
      </c>
      <c r="T123" s="215">
        <f t="shared" si="230"/>
        <v>1.3333333333333333</v>
      </c>
      <c r="U123" s="215">
        <f t="shared" si="230"/>
        <v>1.75</v>
      </c>
      <c r="V123" s="215">
        <f t="shared" si="230"/>
        <v>1.1000000000000001</v>
      </c>
      <c r="W123" s="215">
        <f t="shared" si="230"/>
        <v>1</v>
      </c>
      <c r="X123" s="215">
        <f t="shared" si="230"/>
        <v>1.4</v>
      </c>
      <c r="Y123" s="215">
        <f t="shared" si="222"/>
        <v>2</v>
      </c>
      <c r="Z123" s="215">
        <f t="shared" si="222"/>
        <v>0</v>
      </c>
      <c r="AA123" s="215">
        <f t="shared" si="222"/>
        <v>1</v>
      </c>
      <c r="AB123" s="215">
        <f t="shared" si="222"/>
        <v>1</v>
      </c>
      <c r="AC123" s="215">
        <f t="shared" si="222"/>
        <v>0</v>
      </c>
      <c r="AD123" s="215">
        <f>IF(AD81&lt;&gt;0,AD92/AD81,0)</f>
        <v>2.5</v>
      </c>
      <c r="AE123" s="215">
        <f t="shared" ref="AE123:AJ123" si="231">IF(AE81&lt;&gt;0,AE92/AE81,0)</f>
        <v>1</v>
      </c>
      <c r="AF123" s="215">
        <f t="shared" si="231"/>
        <v>1</v>
      </c>
      <c r="AG123" s="215">
        <f t="shared" si="231"/>
        <v>1.3571428571428572</v>
      </c>
      <c r="AH123" s="215">
        <f t="shared" si="231"/>
        <v>0</v>
      </c>
      <c r="AI123" s="215">
        <f t="shared" si="231"/>
        <v>1.2222222222222223</v>
      </c>
      <c r="AJ123" s="215">
        <f t="shared" si="231"/>
        <v>1.2142857142857142</v>
      </c>
      <c r="AK123" s="215">
        <f t="shared" ref="AK123:AL125" si="232">IF(AK81&lt;&gt;0,AK92/AK81,0)</f>
        <v>1.0555555555555556</v>
      </c>
      <c r="AL123" s="215">
        <f t="shared" si="232"/>
        <v>1</v>
      </c>
    </row>
    <row r="124" spans="1:46" hidden="1">
      <c r="A124" s="212" t="s">
        <v>73</v>
      </c>
      <c r="B124" s="242">
        <f t="shared" si="218"/>
        <v>1.2295918367346939</v>
      </c>
      <c r="G124" s="242">
        <f t="shared" si="219"/>
        <v>1.3125</v>
      </c>
      <c r="H124" s="242">
        <f t="shared" si="219"/>
        <v>1.2117647058823529</v>
      </c>
      <c r="I124" s="242">
        <f t="shared" si="219"/>
        <v>1.2527472527472527</v>
      </c>
      <c r="J124" s="242"/>
      <c r="K124" s="242">
        <v>1.296875</v>
      </c>
      <c r="M124" s="215">
        <f t="shared" si="220"/>
        <v>2.4</v>
      </c>
      <c r="N124" s="215">
        <f t="shared" ref="N124:X124" si="233">IF(N82&lt;&gt;0,N93/N82,0)</f>
        <v>1.1428571428571428</v>
      </c>
      <c r="O124" s="215">
        <f t="shared" si="233"/>
        <v>1.1875</v>
      </c>
      <c r="P124" s="215">
        <f t="shared" si="233"/>
        <v>1.75</v>
      </c>
      <c r="Q124" s="215">
        <f t="shared" si="233"/>
        <v>1.4</v>
      </c>
      <c r="R124" s="215">
        <f t="shared" si="233"/>
        <v>1.4</v>
      </c>
      <c r="S124" s="215">
        <f t="shared" si="233"/>
        <v>2</v>
      </c>
      <c r="T124" s="215">
        <f t="shared" si="233"/>
        <v>2.5</v>
      </c>
      <c r="U124" s="215">
        <f t="shared" si="233"/>
        <v>2.6666666666666665</v>
      </c>
      <c r="V124" s="215">
        <f t="shared" si="233"/>
        <v>1.4375</v>
      </c>
      <c r="W124" s="215">
        <f t="shared" si="233"/>
        <v>1.25</v>
      </c>
      <c r="X124" s="215">
        <f t="shared" si="233"/>
        <v>1.25</v>
      </c>
      <c r="Y124" s="215">
        <f t="shared" si="222"/>
        <v>1.3103448275862069</v>
      </c>
      <c r="Z124" s="215">
        <f t="shared" si="222"/>
        <v>1.1071428571428572</v>
      </c>
      <c r="AA124" s="215">
        <f t="shared" si="222"/>
        <v>1.2142857142857142</v>
      </c>
      <c r="AB124" s="215">
        <f t="shared" si="222"/>
        <v>1.2105263157894737</v>
      </c>
      <c r="AC124" s="215">
        <f t="shared" si="222"/>
        <v>1.3636363636363635</v>
      </c>
      <c r="AD124" s="215">
        <f>IF(AD82&lt;&gt;0,AD93/AD82,0)</f>
        <v>1.22</v>
      </c>
      <c r="AE124" s="215">
        <f t="shared" ref="AE124:AJ125" si="234">IF(AE82&lt;&gt;0,AE93/AE82,0)</f>
        <v>1</v>
      </c>
      <c r="AF124" s="215">
        <f t="shared" si="234"/>
        <v>1.5185185185185186</v>
      </c>
      <c r="AG124" s="215">
        <f t="shared" si="234"/>
        <v>1.6571428571428573</v>
      </c>
      <c r="AH124" s="215">
        <f t="shared" si="234"/>
        <v>1</v>
      </c>
      <c r="AI124" s="215">
        <f t="shared" si="234"/>
        <v>1.2647058823529411</v>
      </c>
      <c r="AJ124" s="215">
        <f t="shared" si="234"/>
        <v>1.037037037037037</v>
      </c>
      <c r="AK124" s="215">
        <f t="shared" si="232"/>
        <v>1.3936170212765957</v>
      </c>
      <c r="AL124" s="215">
        <f t="shared" si="232"/>
        <v>1.2426470588235294</v>
      </c>
    </row>
    <row r="125" spans="1:46" s="229" customFormat="1" hidden="1">
      <c r="A125" s="212" t="s">
        <v>75</v>
      </c>
      <c r="B125" s="248">
        <f t="shared" si="218"/>
        <v>1.5</v>
      </c>
      <c r="C125" s="214"/>
      <c r="G125" s="248">
        <f t="shared" si="219"/>
        <v>0</v>
      </c>
      <c r="H125" s="248">
        <f t="shared" si="219"/>
        <v>0</v>
      </c>
      <c r="I125" s="248">
        <f t="shared" si="219"/>
        <v>0</v>
      </c>
      <c r="J125" s="778"/>
      <c r="K125" s="778">
        <v>0</v>
      </c>
      <c r="L125" s="214"/>
      <c r="M125" s="239">
        <f t="shared" si="220"/>
        <v>0</v>
      </c>
      <c r="N125" s="239">
        <f t="shared" ref="N125:X125" si="235">IF(N83&lt;&gt;0,N94/N83,0)</f>
        <v>0</v>
      </c>
      <c r="O125" s="239">
        <f t="shared" si="235"/>
        <v>0</v>
      </c>
      <c r="P125" s="239">
        <f t="shared" si="235"/>
        <v>0</v>
      </c>
      <c r="Q125" s="239">
        <f t="shared" si="235"/>
        <v>0</v>
      </c>
      <c r="R125" s="239">
        <f t="shared" si="235"/>
        <v>0</v>
      </c>
      <c r="S125" s="239">
        <f t="shared" si="235"/>
        <v>0</v>
      </c>
      <c r="T125" s="239">
        <f t="shared" si="235"/>
        <v>0</v>
      </c>
      <c r="U125" s="239">
        <f t="shared" si="235"/>
        <v>0</v>
      </c>
      <c r="V125" s="239">
        <f t="shared" si="235"/>
        <v>0</v>
      </c>
      <c r="W125" s="239">
        <f t="shared" si="235"/>
        <v>0</v>
      </c>
      <c r="X125" s="239">
        <f t="shared" si="235"/>
        <v>0</v>
      </c>
      <c r="Y125" s="239">
        <f t="shared" si="222"/>
        <v>0</v>
      </c>
      <c r="Z125" s="239">
        <f t="shared" si="222"/>
        <v>0</v>
      </c>
      <c r="AA125" s="239">
        <f t="shared" si="222"/>
        <v>0</v>
      </c>
      <c r="AB125" s="239">
        <f t="shared" si="222"/>
        <v>0</v>
      </c>
      <c r="AC125" s="239">
        <f t="shared" si="222"/>
        <v>0</v>
      </c>
      <c r="AD125" s="239">
        <f>IF(AD83&lt;&gt;0,AD94/AD83,0)</f>
        <v>0</v>
      </c>
      <c r="AE125" s="239">
        <f t="shared" si="234"/>
        <v>0</v>
      </c>
      <c r="AF125" s="239">
        <f t="shared" si="234"/>
        <v>0</v>
      </c>
      <c r="AG125" s="239">
        <f t="shared" si="234"/>
        <v>0</v>
      </c>
      <c r="AH125" s="239">
        <f t="shared" si="234"/>
        <v>0</v>
      </c>
      <c r="AI125" s="239">
        <f t="shared" si="234"/>
        <v>0</v>
      </c>
      <c r="AJ125" s="239">
        <f t="shared" si="234"/>
        <v>2</v>
      </c>
      <c r="AK125" s="239">
        <f t="shared" si="232"/>
        <v>1</v>
      </c>
      <c r="AL125" s="239">
        <f t="shared" si="232"/>
        <v>1.5</v>
      </c>
    </row>
    <row r="126" spans="1:46" s="232" customFormat="1" hidden="1">
      <c r="A126" s="231" t="s">
        <v>76</v>
      </c>
      <c r="B126" s="244">
        <f t="shared" ref="B126" si="236">IF(B85&lt;&gt;0,B96/B85,0)</f>
        <v>1.7787080285538028</v>
      </c>
      <c r="C126" s="233"/>
      <c r="G126" s="244">
        <f t="shared" ref="G126:H126" si="237">IF(G85&lt;&gt;0,G96/G85,0)</f>
        <v>1.3582089552238805</v>
      </c>
      <c r="H126" s="244">
        <f t="shared" si="237"/>
        <v>1.3454545454545455</v>
      </c>
      <c r="I126" s="244">
        <f t="shared" ref="I126" si="238">IF(I85&lt;&gt;0,I96/I85,0)</f>
        <v>1.3387096774193548</v>
      </c>
      <c r="J126" s="244"/>
      <c r="K126" s="244">
        <v>1.4028077753779697</v>
      </c>
      <c r="L126" s="233"/>
      <c r="M126" s="215">
        <f t="shared" ref="M126:W126" si="239">IF(M85&lt;&gt;0,M96/M85,0)</f>
        <v>1.6428571428571428</v>
      </c>
      <c r="N126" s="215">
        <f t="shared" si="239"/>
        <v>1.08</v>
      </c>
      <c r="O126" s="215">
        <f t="shared" si="239"/>
        <v>1.2608695652173914</v>
      </c>
      <c r="P126" s="215">
        <f t="shared" si="239"/>
        <v>1.3076923076923077</v>
      </c>
      <c r="Q126" s="215">
        <f t="shared" si="239"/>
        <v>1.263157894736842</v>
      </c>
      <c r="R126" s="215">
        <f t="shared" si="239"/>
        <v>1.45</v>
      </c>
      <c r="S126" s="215">
        <f t="shared" si="239"/>
        <v>1.5</v>
      </c>
      <c r="T126" s="215">
        <f t="shared" si="239"/>
        <v>2</v>
      </c>
      <c r="U126" s="215">
        <f t="shared" si="239"/>
        <v>2.28125</v>
      </c>
      <c r="V126" s="215">
        <f t="shared" si="239"/>
        <v>1.4545454545454546</v>
      </c>
      <c r="W126" s="215">
        <f t="shared" si="239"/>
        <v>1.2222222222222223</v>
      </c>
      <c r="X126" s="215">
        <f t="shared" ref="X126:AC126" si="240">IF(X85&lt;&gt;0,X96/X85,0)</f>
        <v>1.3333333333333333</v>
      </c>
      <c r="Y126" s="215">
        <f t="shared" si="240"/>
        <v>1.4210526315789473</v>
      </c>
      <c r="Z126" s="215">
        <f t="shared" si="240"/>
        <v>1.308641975308642</v>
      </c>
      <c r="AA126" s="215">
        <f t="shared" si="240"/>
        <v>1.3292682926829269</v>
      </c>
      <c r="AB126" s="215">
        <f t="shared" si="240"/>
        <v>1.3090909090909091</v>
      </c>
      <c r="AC126" s="215">
        <f t="shared" si="240"/>
        <v>1.2763157894736843</v>
      </c>
      <c r="AD126" s="215">
        <f>IF(AD85&lt;&gt;0,AD96/AD85,0)</f>
        <v>1.3931623931623931</v>
      </c>
      <c r="AE126" s="215">
        <f t="shared" ref="AE126:AJ126" si="241">IF(AE85&lt;&gt;0,AE96/AE85,0)</f>
        <v>1.271186440677966</v>
      </c>
      <c r="AF126" s="215">
        <f t="shared" si="241"/>
        <v>1.4326923076923077</v>
      </c>
      <c r="AG126" s="215">
        <f t="shared" si="241"/>
        <v>1.6627218934911243</v>
      </c>
      <c r="AH126" s="215">
        <f t="shared" si="241"/>
        <v>1.0897435897435896</v>
      </c>
      <c r="AI126" s="215">
        <f t="shared" si="241"/>
        <v>1.2232142857142858</v>
      </c>
      <c r="AJ126" s="215">
        <f t="shared" si="241"/>
        <v>1.180952380952381</v>
      </c>
      <c r="AK126" s="215">
        <f t="shared" ref="AK126:AL126" si="242">IF(AK85&lt;&gt;0,AK96/AK85,0)</f>
        <v>1.3355704697986577</v>
      </c>
      <c r="AL126" s="215">
        <f t="shared" si="242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1"/>
  </sheetPr>
  <dimension ref="A1:CL125"/>
  <sheetViews>
    <sheetView zoomScale="80" zoomScaleNormal="80" workbookViewId="0">
      <pane xSplit="2" ySplit="4" topLeftCell="BI5" activePane="bottomRight" state="frozen"/>
      <selection pane="topRight" activeCell="B1" sqref="B1"/>
      <selection pane="bottomLeft" activeCell="A4" sqref="A4"/>
      <selection pane="bottomRight" activeCell="A5" sqref="A4:A5"/>
    </sheetView>
  </sheetViews>
  <sheetFormatPr defaultColWidth="9.140625" defaultRowHeight="12.75" outlineLevelCol="1"/>
  <cols>
    <col min="1" max="1" width="41.5703125" style="935" bestFit="1" customWidth="1"/>
    <col min="2" max="2" width="26" style="931" customWidth="1"/>
    <col min="3" max="3" width="9.140625" style="933"/>
    <col min="4" max="4" width="3.28515625" style="932" customWidth="1"/>
    <col min="5" max="8" width="0" style="933" hidden="1" customWidth="1"/>
    <col min="9" max="9" width="3.42578125" style="932" customWidth="1"/>
    <col min="10" max="11" width="10.140625" style="937" customWidth="1" outlineLevel="1"/>
    <col min="12" max="24" width="9.140625" style="937" customWidth="1" outlineLevel="1"/>
    <col min="25" max="27" width="9.28515625" style="937" customWidth="1" outlineLevel="1"/>
    <col min="28" max="28" width="10" style="937" customWidth="1" outlineLevel="1"/>
    <col min="29" max="30" width="9.140625" style="937" customWidth="1" outlineLevel="1"/>
    <col min="31" max="32" width="9.140625" style="935" customWidth="1" outlineLevel="1"/>
    <col min="33" max="35" width="10.140625" style="935" customWidth="1" outlineLevel="1"/>
    <col min="36" max="45" width="9.140625" style="935" customWidth="1" outlineLevel="1"/>
    <col min="46" max="50" width="10.140625" style="935" customWidth="1" outlineLevel="1"/>
    <col min="51" max="51" width="10.7109375" style="935" customWidth="1" outlineLevel="1"/>
    <col min="52" max="54" width="9.140625" style="935" customWidth="1" outlineLevel="1"/>
    <col min="55" max="55" width="9.140625" style="935"/>
    <col min="56" max="65" width="9.140625" style="935" customWidth="1" outlineLevel="1"/>
    <col min="66" max="66" width="9.140625" style="935"/>
    <col min="67" max="67" width="10.28515625" style="935" bestFit="1" customWidth="1"/>
    <col min="68" max="71" width="9.140625" style="935"/>
    <col min="72" max="72" width="7.140625" style="935" bestFit="1" customWidth="1"/>
    <col min="73" max="78" width="11.28515625" style="935" bestFit="1" customWidth="1" collapsed="1"/>
    <col min="79" max="16384" width="9.140625" style="935"/>
  </cols>
  <sheetData>
    <row r="1" spans="1:78">
      <c r="A1"/>
      <c r="BO1" s="935" t="s">
        <v>4379</v>
      </c>
      <c r="BP1" s="935" t="s">
        <v>4380</v>
      </c>
      <c r="BQ1" s="935" t="s">
        <v>4381</v>
      </c>
      <c r="BR1" s="935" t="s">
        <v>4382</v>
      </c>
      <c r="BS1" s="935" t="s">
        <v>4383</v>
      </c>
      <c r="BT1" s="935" t="s">
        <v>4384</v>
      </c>
      <c r="BU1" s="935" t="s">
        <v>4267</v>
      </c>
      <c r="BV1" s="935" t="s">
        <v>4268</v>
      </c>
      <c r="BW1" s="935" t="s">
        <v>4269</v>
      </c>
      <c r="BX1" s="935" t="s">
        <v>4270</v>
      </c>
      <c r="BY1" s="935" t="s">
        <v>4271</v>
      </c>
      <c r="BZ1" s="935" t="s">
        <v>4272</v>
      </c>
    </row>
    <row r="2" spans="1:78">
      <c r="A2"/>
      <c r="B2" s="936" t="s">
        <v>134</v>
      </c>
    </row>
    <row r="3" spans="1:78">
      <c r="A3"/>
      <c r="C3" s="1207">
        <v>7</v>
      </c>
      <c r="J3" s="934">
        <v>4</v>
      </c>
      <c r="K3" s="934">
        <v>5</v>
      </c>
      <c r="L3" s="934">
        <v>6</v>
      </c>
      <c r="M3" s="934">
        <v>7</v>
      </c>
      <c r="N3" s="934">
        <v>8</v>
      </c>
      <c r="O3" s="934">
        <v>9</v>
      </c>
      <c r="P3" s="934">
        <v>10</v>
      </c>
      <c r="Q3" s="934">
        <v>11</v>
      </c>
      <c r="R3" s="934">
        <v>12</v>
      </c>
      <c r="S3" s="934">
        <v>1</v>
      </c>
      <c r="T3" s="934">
        <v>2</v>
      </c>
      <c r="U3" s="934">
        <v>3</v>
      </c>
      <c r="V3" s="934">
        <v>4</v>
      </c>
      <c r="W3" s="934">
        <v>5</v>
      </c>
      <c r="X3" s="934">
        <v>6</v>
      </c>
      <c r="Y3" s="934">
        <v>7</v>
      </c>
      <c r="Z3" s="934">
        <v>8</v>
      </c>
      <c r="AA3" s="934">
        <v>9</v>
      </c>
      <c r="AB3" s="934">
        <v>10</v>
      </c>
      <c r="AC3" s="934">
        <v>11</v>
      </c>
      <c r="AD3" s="934">
        <v>12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78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52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78">
      <c r="A5"/>
      <c r="B5" s="931" t="s">
        <v>170</v>
      </c>
      <c r="C5" s="1898">
        <v>173278.55815999999</v>
      </c>
      <c r="H5" s="243">
        <v>967.68400000000008</v>
      </c>
      <c r="J5" s="215">
        <v>292.24</v>
      </c>
      <c r="K5" s="215">
        <v>343.76400000000001</v>
      </c>
      <c r="L5" s="215">
        <v>816.25900000000001</v>
      </c>
      <c r="M5" s="215">
        <v>234.95</v>
      </c>
      <c r="N5" s="215">
        <v>324.42099999999999</v>
      </c>
      <c r="O5" s="215">
        <v>535.95699999999999</v>
      </c>
      <c r="P5" s="215">
        <v>211.88800000000001</v>
      </c>
      <c r="Q5" s="215">
        <v>180.74700000000001</v>
      </c>
      <c r="R5" s="215">
        <v>1188.4769999999999</v>
      </c>
      <c r="S5" s="215">
        <v>413.94600000000003</v>
      </c>
      <c r="T5" s="215">
        <v>167.935</v>
      </c>
      <c r="U5" s="215">
        <v>385.803</v>
      </c>
      <c r="V5" s="215">
        <v>450.10800000000006</v>
      </c>
      <c r="W5" s="215">
        <v>770.74600000000009</v>
      </c>
      <c r="X5" s="215">
        <v>331.56200000000001</v>
      </c>
      <c r="Y5" s="215">
        <v>451.54100000000005</v>
      </c>
      <c r="Z5" s="215">
        <v>607.80600000000004</v>
      </c>
      <c r="AA5" s="215">
        <v>939.36300000000006</v>
      </c>
      <c r="AB5" s="215">
        <v>1373.5120000000002</v>
      </c>
      <c r="AC5" s="321">
        <v>926.57099999999991</v>
      </c>
      <c r="AD5" s="321">
        <v>1459.1579999999999</v>
      </c>
      <c r="AE5" s="1656">
        <v>827.53499999999997</v>
      </c>
      <c r="AF5" s="1656">
        <v>929.18900000000008</v>
      </c>
      <c r="AG5" s="1656">
        <v>1257.2389999999998</v>
      </c>
      <c r="AH5" s="1656">
        <v>1806.2820000000002</v>
      </c>
      <c r="AI5" s="1656">
        <v>2421.1240000000003</v>
      </c>
      <c r="AJ5" s="1656">
        <v>4469.2719999999999</v>
      </c>
      <c r="AK5" s="1656">
        <v>5091.6689999999999</v>
      </c>
      <c r="AL5" s="1656">
        <v>5263.5330000000004</v>
      </c>
      <c r="AM5" s="1656">
        <v>7663.94</v>
      </c>
      <c r="AN5" s="1656">
        <v>8912.9089999999997</v>
      </c>
      <c r="AO5" s="1656">
        <v>8341.8340000000007</v>
      </c>
      <c r="AP5" s="1656">
        <v>23133.16</v>
      </c>
      <c r="AQ5" s="1656">
        <v>5229.46</v>
      </c>
      <c r="AR5" s="1656">
        <v>4953.427999999999</v>
      </c>
      <c r="AS5" s="1656">
        <v>10867.875</v>
      </c>
      <c r="AT5" s="1656">
        <v>14017.172</v>
      </c>
      <c r="AU5" s="1595">
        <v>11357.576000000001</v>
      </c>
      <c r="AV5" s="1595">
        <v>20467.17449999999</v>
      </c>
      <c r="AW5" s="1595">
        <v>16930.181499999999</v>
      </c>
      <c r="AX5" s="1595">
        <v>10592.914359999999</v>
      </c>
      <c r="AY5" s="1595">
        <v>22551.684799999992</v>
      </c>
      <c r="AZ5" s="1595">
        <v>14142.543139999991</v>
      </c>
      <c r="BA5" s="1595">
        <v>21867.056700000012</v>
      </c>
      <c r="BB5" s="1595">
        <v>34698.425899999973</v>
      </c>
      <c r="BC5" s="1595">
        <v>6107.5723999999991</v>
      </c>
      <c r="BD5" s="1595">
        <v>6937.6219999999694</v>
      </c>
      <c r="BE5" s="1595">
        <v>17947.367299999991</v>
      </c>
      <c r="BF5" s="1595">
        <v>18456.183199999999</v>
      </c>
      <c r="BG5" s="1595">
        <v>13855.127900000003</v>
      </c>
      <c r="BH5" s="1595">
        <v>17580.338640000002</v>
      </c>
      <c r="BI5" s="1595">
        <v>14366.86017</v>
      </c>
      <c r="BJ5" s="1595">
        <v>14149.385</v>
      </c>
      <c r="BK5" s="1595">
        <v>20517.665099999998</v>
      </c>
      <c r="BL5" s="1595">
        <v>18767.984049999999</v>
      </c>
      <c r="BM5" s="1595">
        <v>28166.729560000036</v>
      </c>
      <c r="BN5" s="1595">
        <v>45261.850670000116</v>
      </c>
      <c r="BO5" s="1595">
        <v>13255.832900000001</v>
      </c>
      <c r="BP5" s="1595">
        <v>21455.887900000002</v>
      </c>
      <c r="BQ5" s="1595">
        <v>27891.59</v>
      </c>
      <c r="BR5" s="1595">
        <v>24537.054</v>
      </c>
      <c r="BS5" s="1595">
        <v>31455.851000000002</v>
      </c>
      <c r="BT5" s="1595">
        <v>31246.204999999998</v>
      </c>
      <c r="BU5" s="1595">
        <v>23436.137359999997</v>
      </c>
      <c r="BV5" s="1595">
        <v>0</v>
      </c>
      <c r="BW5" s="1595">
        <v>0</v>
      </c>
      <c r="BX5" s="1595">
        <v>0</v>
      </c>
      <c r="BY5" s="1595">
        <v>0</v>
      </c>
      <c r="BZ5" s="1595">
        <v>0</v>
      </c>
    </row>
    <row r="6" spans="1:78" s="1203" customFormat="1">
      <c r="A6" t="s">
        <v>4326</v>
      </c>
      <c r="B6" s="1199" t="s">
        <v>171</v>
      </c>
      <c r="C6" s="1899">
        <v>171100.46429999999</v>
      </c>
      <c r="D6" s="1200"/>
      <c r="E6" s="1201"/>
      <c r="F6" s="1201"/>
      <c r="G6" s="1201"/>
      <c r="H6" s="918">
        <v>950.33800000000008</v>
      </c>
      <c r="I6" s="1200"/>
      <c r="J6" s="930">
        <v>220</v>
      </c>
      <c r="K6" s="930">
        <v>214.602</v>
      </c>
      <c r="L6" s="930">
        <v>713.33</v>
      </c>
      <c r="M6" s="930">
        <v>174.649</v>
      </c>
      <c r="N6" s="930">
        <v>286.2</v>
      </c>
      <c r="O6" s="930">
        <v>341.46699999999998</v>
      </c>
      <c r="P6" s="930">
        <v>164.99600000000001</v>
      </c>
      <c r="Q6" s="930">
        <v>157.32299999999998</v>
      </c>
      <c r="R6" s="930">
        <v>1140.7040000000002</v>
      </c>
      <c r="S6" s="930">
        <v>417.87900000000002</v>
      </c>
      <c r="T6" s="930">
        <v>177.839</v>
      </c>
      <c r="U6" s="930">
        <v>354.62</v>
      </c>
      <c r="V6" s="930">
        <v>429.84500000000003</v>
      </c>
      <c r="W6" s="921">
        <v>523.55200000000002</v>
      </c>
      <c r="X6" s="930">
        <v>435.30900000000003</v>
      </c>
      <c r="Y6" s="930">
        <v>416.22699999999998</v>
      </c>
      <c r="Z6" s="930">
        <v>579.351</v>
      </c>
      <c r="AA6" s="930">
        <v>894.90599999999995</v>
      </c>
      <c r="AB6" s="1202">
        <v>1205.0999999999999</v>
      </c>
      <c r="AC6" s="921">
        <v>860.13900000000001</v>
      </c>
      <c r="AD6" s="921">
        <v>1308.55</v>
      </c>
      <c r="AE6" s="1657">
        <v>744.25</v>
      </c>
      <c r="AF6" s="1657">
        <v>845.495</v>
      </c>
      <c r="AG6" s="1658">
        <v>1080.5719999999999</v>
      </c>
      <c r="AH6" s="1658">
        <v>1566.634</v>
      </c>
      <c r="AI6" s="1658">
        <v>2117.3290000000002</v>
      </c>
      <c r="AJ6" s="1657">
        <v>4260.3119999999999</v>
      </c>
      <c r="AK6" s="1657">
        <v>4591.607</v>
      </c>
      <c r="AL6" s="1657">
        <v>4816.8010000000004</v>
      </c>
      <c r="AM6" s="1657">
        <v>7182.7569999999996</v>
      </c>
      <c r="AN6" s="1657">
        <v>8562.7430000000004</v>
      </c>
      <c r="AO6" s="1657">
        <v>8041.4279999999999</v>
      </c>
      <c r="AP6" s="1657">
        <v>22373.381000000001</v>
      </c>
      <c r="AQ6" s="1657">
        <v>4979.2820000000002</v>
      </c>
      <c r="AR6" s="1657">
        <v>5060.3119999999999</v>
      </c>
      <c r="AS6" s="1657">
        <v>10504.348</v>
      </c>
      <c r="AT6" s="1657">
        <v>13010.606</v>
      </c>
      <c r="AU6" s="1657">
        <v>11100.294</v>
      </c>
      <c r="AV6" s="1657">
        <v>18006.321</v>
      </c>
      <c r="AW6" s="1657">
        <v>16242.715</v>
      </c>
      <c r="AX6" s="1657">
        <v>9732.9220000000005</v>
      </c>
      <c r="AY6" s="1203">
        <v>21096.642</v>
      </c>
      <c r="AZ6" s="1203">
        <v>13604.614</v>
      </c>
      <c r="BA6" s="1203">
        <v>20745.174999999999</v>
      </c>
      <c r="BB6" s="1203">
        <v>33941.0605</v>
      </c>
      <c r="BC6" s="1657">
        <v>6758.9367000000002</v>
      </c>
      <c r="BD6" s="1657">
        <v>7089.9009999999998</v>
      </c>
      <c r="BE6" s="1657">
        <v>17117.7147</v>
      </c>
      <c r="BF6" s="1657">
        <v>17851.648499999999</v>
      </c>
      <c r="BG6" s="1657">
        <v>13239.942999999999</v>
      </c>
      <c r="BH6" s="1657">
        <v>17139.053599999999</v>
      </c>
      <c r="BI6" s="1657">
        <v>14083.947000000002</v>
      </c>
      <c r="BJ6" s="1657">
        <v>13458.544</v>
      </c>
      <c r="BK6" s="1657">
        <v>19973.662000000011</v>
      </c>
      <c r="BL6" s="1657">
        <v>17507.513999999999</v>
      </c>
      <c r="BM6" s="1657">
        <v>27275.495000000021</v>
      </c>
      <c r="BN6" s="1657">
        <v>44739.436000000016</v>
      </c>
      <c r="BO6" s="1204">
        <v>13201.143</v>
      </c>
      <c r="BP6" s="1204">
        <v>21017.186300000001</v>
      </c>
      <c r="BQ6" s="1204">
        <v>27126.85</v>
      </c>
      <c r="BR6" s="1657">
        <v>24493.397000000001</v>
      </c>
      <c r="BS6" s="1657">
        <v>31213.65</v>
      </c>
      <c r="BT6" s="1657">
        <v>30759.43</v>
      </c>
      <c r="BU6" s="1657">
        <v>23288.808000000001</v>
      </c>
      <c r="BV6" s="1657">
        <v>0</v>
      </c>
      <c r="BW6" s="1657">
        <v>0</v>
      </c>
      <c r="BX6" s="1657">
        <v>0</v>
      </c>
      <c r="BY6" s="1657">
        <v>0</v>
      </c>
      <c r="BZ6" s="1657">
        <v>0</v>
      </c>
    </row>
    <row r="7" spans="1:78" s="1203" customFormat="1">
      <c r="A7"/>
      <c r="B7" s="1593" t="s">
        <v>1098</v>
      </c>
      <c r="C7" s="1899">
        <v>2491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21"/>
      <c r="X7" s="930"/>
      <c r="Y7" s="930"/>
      <c r="Z7" s="930"/>
      <c r="AA7" s="930"/>
      <c r="AB7" s="1202"/>
      <c r="AC7" s="921"/>
      <c r="AD7" s="921"/>
      <c r="AE7" s="1657"/>
      <c r="AF7" s="1657"/>
      <c r="AG7" s="1658"/>
      <c r="AH7" s="1658"/>
      <c r="AI7" s="1658"/>
      <c r="AJ7" s="1657"/>
      <c r="AK7" s="1657"/>
      <c r="AL7" s="1657"/>
      <c r="AM7" s="1657"/>
      <c r="AN7" s="1657"/>
      <c r="AO7" s="1657"/>
      <c r="AP7" s="1657"/>
      <c r="AQ7" s="1659">
        <v>1203</v>
      </c>
      <c r="AR7" s="1657">
        <v>1354</v>
      </c>
      <c r="AS7" s="1657">
        <v>1383</v>
      </c>
      <c r="AT7" s="1657">
        <v>1476</v>
      </c>
      <c r="AU7" s="1657">
        <v>1632</v>
      </c>
      <c r="AV7" s="1657">
        <v>1590</v>
      </c>
      <c r="AW7" s="1657">
        <v>1616</v>
      </c>
      <c r="AX7" s="1657">
        <v>1642</v>
      </c>
      <c r="AY7" s="1203">
        <v>1745</v>
      </c>
      <c r="AZ7" s="1203">
        <v>1729</v>
      </c>
      <c r="BA7" s="1203">
        <v>1799</v>
      </c>
      <c r="BB7" s="1203">
        <v>1903</v>
      </c>
      <c r="BC7" s="1657">
        <v>1926</v>
      </c>
      <c r="BD7" s="1657">
        <v>1952</v>
      </c>
      <c r="BE7" s="1657">
        <v>1937</v>
      </c>
      <c r="BF7" s="1657">
        <v>2067</v>
      </c>
      <c r="BG7" s="1657">
        <v>2120</v>
      </c>
      <c r="BH7" s="1657">
        <v>2197</v>
      </c>
      <c r="BI7" s="1657">
        <v>2293</v>
      </c>
      <c r="BJ7" s="1657">
        <v>2378</v>
      </c>
      <c r="BK7" s="1657">
        <v>2500</v>
      </c>
      <c r="BL7" s="1657">
        <v>2624</v>
      </c>
      <c r="BM7" s="1657">
        <v>2812</v>
      </c>
      <c r="BN7" s="1657">
        <v>3031</v>
      </c>
      <c r="BO7" s="1657">
        <v>3144</v>
      </c>
      <c r="BP7" s="1657">
        <v>3220</v>
      </c>
      <c r="BQ7" s="1657">
        <v>2564</v>
      </c>
      <c r="BR7" s="1657">
        <v>2534</v>
      </c>
      <c r="BS7" s="1657">
        <v>2327</v>
      </c>
      <c r="BT7" s="1657">
        <v>2436</v>
      </c>
      <c r="BU7" s="1657">
        <v>2491</v>
      </c>
      <c r="BV7" s="1657">
        <v>2410</v>
      </c>
      <c r="BW7" s="1657">
        <v>0</v>
      </c>
      <c r="BX7" s="1657">
        <v>0</v>
      </c>
      <c r="BY7" s="1657">
        <v>0</v>
      </c>
      <c r="BZ7" s="1657">
        <v>0</v>
      </c>
    </row>
    <row r="8" spans="1:78" s="1203" customFormat="1">
      <c r="A8"/>
      <c r="B8" s="1199" t="s">
        <v>7</v>
      </c>
      <c r="C8" s="1899">
        <v>2410</v>
      </c>
      <c r="D8" s="1200"/>
      <c r="E8" s="1201"/>
      <c r="F8" s="1201"/>
      <c r="G8" s="1201"/>
      <c r="H8" s="918">
        <v>92</v>
      </c>
      <c r="I8" s="1200"/>
      <c r="J8" s="1202">
        <v>32</v>
      </c>
      <c r="K8" s="1202">
        <v>40</v>
      </c>
      <c r="L8" s="1202">
        <v>58</v>
      </c>
      <c r="M8" s="1202">
        <v>67</v>
      </c>
      <c r="N8" s="1202">
        <v>68</v>
      </c>
      <c r="O8" s="1202">
        <v>63</v>
      </c>
      <c r="P8" s="1202">
        <v>62</v>
      </c>
      <c r="Q8" s="1202">
        <v>60</v>
      </c>
      <c r="R8" s="1202">
        <v>73</v>
      </c>
      <c r="S8" s="1202">
        <v>77</v>
      </c>
      <c r="T8" s="1202">
        <v>74</v>
      </c>
      <c r="U8" s="1202">
        <v>92</v>
      </c>
      <c r="V8" s="1202">
        <v>119</v>
      </c>
      <c r="W8" s="1202">
        <v>158</v>
      </c>
      <c r="X8" s="1202">
        <v>174</v>
      </c>
      <c r="Y8" s="1202">
        <v>174</v>
      </c>
      <c r="Z8" s="1202">
        <v>193</v>
      </c>
      <c r="AA8" s="1202">
        <v>213</v>
      </c>
      <c r="AB8" s="1202">
        <v>228</v>
      </c>
      <c r="AC8" s="1202">
        <v>251</v>
      </c>
      <c r="AD8" s="1202">
        <v>299</v>
      </c>
      <c r="AE8" s="1202">
        <v>296</v>
      </c>
      <c r="AF8" s="1202">
        <v>277</v>
      </c>
      <c r="AG8" s="1202">
        <v>323</v>
      </c>
      <c r="AH8" s="1202">
        <v>427</v>
      </c>
      <c r="AI8" s="1202">
        <v>506</v>
      </c>
      <c r="AJ8" s="1202">
        <v>565</v>
      </c>
      <c r="AK8" s="1202">
        <v>616</v>
      </c>
      <c r="AL8" s="1202">
        <v>722</v>
      </c>
      <c r="AM8" s="1202">
        <v>797</v>
      </c>
      <c r="AN8" s="1202">
        <v>834</v>
      </c>
      <c r="AO8" s="1202">
        <v>959</v>
      </c>
      <c r="AP8" s="1202">
        <v>1099</v>
      </c>
      <c r="AQ8" s="1202">
        <v>1354</v>
      </c>
      <c r="AR8" s="1202">
        <v>1383</v>
      </c>
      <c r="AS8" s="1202">
        <v>1476</v>
      </c>
      <c r="AT8" s="1711">
        <v>1632</v>
      </c>
      <c r="AU8" s="1711">
        <v>1590</v>
      </c>
      <c r="AV8" s="1711">
        <v>1621</v>
      </c>
      <c r="AW8" s="1711">
        <v>1642</v>
      </c>
      <c r="AX8" s="1711">
        <v>1743</v>
      </c>
      <c r="AY8" s="1711">
        <v>1729</v>
      </c>
      <c r="AZ8" s="1203">
        <v>1798</v>
      </c>
      <c r="BA8" s="1203">
        <v>1892</v>
      </c>
      <c r="BB8" s="1203">
        <v>1925</v>
      </c>
      <c r="BC8" s="1657">
        <v>1937</v>
      </c>
      <c r="BD8" s="1657">
        <v>1937</v>
      </c>
      <c r="BE8" s="1657">
        <v>2067</v>
      </c>
      <c r="BF8" s="1657">
        <v>2120</v>
      </c>
      <c r="BG8" s="1657">
        <v>2197</v>
      </c>
      <c r="BH8" s="1657">
        <v>2293</v>
      </c>
      <c r="BI8" s="1657">
        <v>2378</v>
      </c>
      <c r="BJ8" s="1657">
        <v>2500</v>
      </c>
      <c r="BK8" s="1657">
        <v>2624</v>
      </c>
      <c r="BL8" s="1657">
        <v>2812</v>
      </c>
      <c r="BM8" s="1657">
        <v>3031</v>
      </c>
      <c r="BN8" s="1657">
        <v>3144</v>
      </c>
      <c r="BO8" s="1657">
        <v>3220</v>
      </c>
      <c r="BP8" s="1657">
        <v>2564</v>
      </c>
      <c r="BQ8" s="1657">
        <v>2534</v>
      </c>
      <c r="BR8" s="1657">
        <v>2327</v>
      </c>
      <c r="BS8" s="1657">
        <v>2436</v>
      </c>
      <c r="BT8" s="1657">
        <v>2491</v>
      </c>
      <c r="BU8" s="1657">
        <v>2410</v>
      </c>
      <c r="BV8" s="1657">
        <v>0</v>
      </c>
      <c r="BW8" s="1657">
        <v>0</v>
      </c>
      <c r="BX8" s="1657">
        <v>0</v>
      </c>
      <c r="BY8" s="1657">
        <v>0</v>
      </c>
      <c r="BZ8" s="1657">
        <v>0</v>
      </c>
    </row>
    <row r="9" spans="1:78">
      <c r="A9"/>
      <c r="B9" s="931" t="s">
        <v>165</v>
      </c>
      <c r="C9" s="1898">
        <v>2568.8571428571427</v>
      </c>
      <c r="H9" s="243">
        <v>77.833333333333329</v>
      </c>
      <c r="J9" s="937">
        <v>16</v>
      </c>
      <c r="K9" s="937">
        <v>36</v>
      </c>
      <c r="L9" s="937">
        <v>49</v>
      </c>
      <c r="M9" s="937">
        <v>62.5</v>
      </c>
      <c r="N9" s="937">
        <v>67.5</v>
      </c>
      <c r="O9" s="937">
        <v>65.5</v>
      </c>
      <c r="P9" s="937">
        <v>62.5</v>
      </c>
      <c r="Q9" s="937">
        <v>61</v>
      </c>
      <c r="R9" s="937">
        <v>66.5</v>
      </c>
      <c r="S9" s="937">
        <v>75</v>
      </c>
      <c r="T9" s="937">
        <v>75.5</v>
      </c>
      <c r="U9" s="937">
        <v>83</v>
      </c>
      <c r="V9" s="937">
        <v>105.5</v>
      </c>
      <c r="W9" s="937">
        <v>138.5</v>
      </c>
      <c r="X9" s="937">
        <v>166</v>
      </c>
      <c r="Y9" s="937">
        <v>174</v>
      </c>
      <c r="Z9" s="937">
        <v>183.5</v>
      </c>
      <c r="AA9" s="937">
        <v>203</v>
      </c>
      <c r="AB9" s="937">
        <v>220.5</v>
      </c>
      <c r="AC9" s="937">
        <v>239.5</v>
      </c>
      <c r="AD9" s="937">
        <v>275</v>
      </c>
      <c r="AE9" s="937">
        <v>297.5</v>
      </c>
      <c r="AF9" s="937">
        <v>286.5</v>
      </c>
      <c r="AG9" s="937">
        <v>300</v>
      </c>
      <c r="AH9" s="937">
        <v>375</v>
      </c>
      <c r="AI9" s="937">
        <v>466.5</v>
      </c>
      <c r="AJ9" s="937">
        <v>535.5</v>
      </c>
      <c r="AK9" s="937">
        <v>590.5</v>
      </c>
      <c r="AL9" s="937">
        <v>669</v>
      </c>
      <c r="AM9" s="937">
        <v>759.5</v>
      </c>
      <c r="AN9" s="937">
        <v>815.5</v>
      </c>
      <c r="AO9" s="937">
        <v>896.5</v>
      </c>
      <c r="AP9" s="937">
        <v>1029</v>
      </c>
      <c r="AQ9" s="937">
        <v>1278.5</v>
      </c>
      <c r="AR9" s="937">
        <v>1368.5</v>
      </c>
      <c r="AS9" s="937">
        <v>1429.5</v>
      </c>
      <c r="AT9" s="937">
        <v>1554</v>
      </c>
      <c r="AU9" s="937">
        <v>1611</v>
      </c>
      <c r="AV9" s="937">
        <v>1605.5</v>
      </c>
      <c r="AW9" s="937">
        <v>1629</v>
      </c>
      <c r="AX9" s="937">
        <v>1692.5</v>
      </c>
      <c r="AY9" s="937">
        <v>1737</v>
      </c>
      <c r="AZ9" s="937">
        <v>1763.5</v>
      </c>
      <c r="BA9" s="937">
        <v>1845.5</v>
      </c>
      <c r="BB9" s="937">
        <v>1914</v>
      </c>
      <c r="BC9" s="1656">
        <v>1931.5</v>
      </c>
      <c r="BD9" s="1656">
        <v>1944.5</v>
      </c>
      <c r="BE9" s="1656">
        <v>2002</v>
      </c>
      <c r="BF9" s="1656">
        <v>2093.5</v>
      </c>
      <c r="BG9" s="1656">
        <v>2158.5</v>
      </c>
      <c r="BH9" s="1656">
        <v>2245</v>
      </c>
      <c r="BI9" s="1656">
        <v>2335.5</v>
      </c>
      <c r="BJ9" s="1656">
        <v>2439</v>
      </c>
      <c r="BK9" s="1656">
        <v>2562</v>
      </c>
      <c r="BL9" s="1656">
        <v>2718</v>
      </c>
      <c r="BM9" s="1656">
        <v>2921.5</v>
      </c>
      <c r="BN9" s="1656">
        <v>3087.5</v>
      </c>
      <c r="BO9" s="1656">
        <v>3182</v>
      </c>
      <c r="BP9" s="1656">
        <v>2892</v>
      </c>
      <c r="BQ9" s="1656">
        <v>2549</v>
      </c>
      <c r="BR9" s="1656">
        <v>2430.5</v>
      </c>
      <c r="BS9" s="1656">
        <v>2381.5</v>
      </c>
      <c r="BT9" s="1656">
        <v>2463.5</v>
      </c>
      <c r="BU9" s="1656">
        <v>2450.5</v>
      </c>
      <c r="BV9" s="1656">
        <v>1205</v>
      </c>
      <c r="BW9" s="1656">
        <v>0</v>
      </c>
      <c r="BX9" s="1656">
        <v>0</v>
      </c>
      <c r="BY9" s="1656">
        <v>0</v>
      </c>
      <c r="BZ9" s="1656">
        <v>0</v>
      </c>
    </row>
    <row r="10" spans="1:78">
      <c r="A10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  <c r="AR10" s="937"/>
      <c r="AS10" s="937"/>
      <c r="AT10" s="937"/>
      <c r="AU10" s="937"/>
      <c r="AV10" s="937"/>
      <c r="AW10" s="937"/>
      <c r="AX10" s="937"/>
    </row>
    <row r="11" spans="1:78">
      <c r="A11"/>
      <c r="B11" s="931" t="s">
        <v>109</v>
      </c>
      <c r="C11" s="243">
        <v>500</v>
      </c>
      <c r="H11" s="243">
        <v>16</v>
      </c>
      <c r="J11" s="937">
        <v>11</v>
      </c>
      <c r="K11" s="937">
        <v>12</v>
      </c>
      <c r="L11" s="937">
        <v>15</v>
      </c>
      <c r="M11" s="937">
        <v>16</v>
      </c>
      <c r="N11" s="937">
        <v>15</v>
      </c>
      <c r="O11" s="937">
        <v>14</v>
      </c>
      <c r="P11" s="937">
        <v>13</v>
      </c>
      <c r="Q11" s="937">
        <v>14</v>
      </c>
      <c r="R11" s="937">
        <v>16</v>
      </c>
      <c r="S11" s="937">
        <v>18</v>
      </c>
      <c r="T11" s="937">
        <v>16</v>
      </c>
      <c r="U11" s="937">
        <v>16</v>
      </c>
      <c r="V11" s="937">
        <v>31</v>
      </c>
      <c r="W11" s="937">
        <v>37</v>
      </c>
      <c r="X11" s="937">
        <v>36</v>
      </c>
      <c r="Y11" s="937">
        <v>33</v>
      </c>
      <c r="Z11" s="937">
        <v>38</v>
      </c>
      <c r="AA11" s="937">
        <v>47</v>
      </c>
      <c r="AB11" s="937">
        <v>51</v>
      </c>
      <c r="AC11" s="937">
        <v>56</v>
      </c>
      <c r="AD11" s="937">
        <v>65</v>
      </c>
      <c r="AE11" s="937">
        <v>64</v>
      </c>
      <c r="AF11" s="937">
        <v>59</v>
      </c>
      <c r="AG11" s="937">
        <v>61</v>
      </c>
      <c r="AH11" s="937">
        <v>81</v>
      </c>
      <c r="AI11" s="937">
        <v>103</v>
      </c>
      <c r="AJ11" s="937">
        <v>132</v>
      </c>
      <c r="AK11" s="937">
        <v>146</v>
      </c>
      <c r="AL11" s="937">
        <v>161</v>
      </c>
      <c r="AM11" s="937">
        <v>175</v>
      </c>
      <c r="AN11" s="937">
        <v>183</v>
      </c>
      <c r="AO11" s="937">
        <v>198</v>
      </c>
      <c r="AP11" s="937">
        <v>224</v>
      </c>
      <c r="AQ11" s="937">
        <v>279</v>
      </c>
      <c r="AR11" s="937">
        <v>282</v>
      </c>
      <c r="AS11" s="937">
        <v>317</v>
      </c>
      <c r="AT11" s="937">
        <v>368</v>
      </c>
      <c r="AU11" s="937">
        <v>389</v>
      </c>
      <c r="AV11" s="937">
        <v>392</v>
      </c>
      <c r="AW11" s="937">
        <v>406</v>
      </c>
      <c r="AX11" s="937">
        <v>408</v>
      </c>
      <c r="AY11" s="937">
        <v>423</v>
      </c>
      <c r="AZ11" s="937">
        <v>436</v>
      </c>
      <c r="BA11" s="937">
        <v>434</v>
      </c>
      <c r="BB11" s="937">
        <v>427</v>
      </c>
      <c r="BC11" s="937">
        <v>433</v>
      </c>
      <c r="BD11" s="937">
        <v>416</v>
      </c>
      <c r="BE11" s="937">
        <v>439</v>
      </c>
      <c r="BF11" s="937">
        <v>453</v>
      </c>
      <c r="BG11" s="937">
        <v>475</v>
      </c>
      <c r="BH11" s="937">
        <v>479</v>
      </c>
      <c r="BI11" s="937">
        <v>452</v>
      </c>
      <c r="BJ11" s="937">
        <v>465</v>
      </c>
      <c r="BK11" s="937">
        <v>477</v>
      </c>
      <c r="BL11" s="937">
        <v>494</v>
      </c>
      <c r="BM11" s="937">
        <v>536</v>
      </c>
      <c r="BN11" s="937">
        <v>547</v>
      </c>
      <c r="BO11" s="937">
        <v>554</v>
      </c>
      <c r="BP11" s="1656">
        <v>600</v>
      </c>
      <c r="BQ11" s="1656">
        <v>592</v>
      </c>
      <c r="BR11" s="1656">
        <v>546</v>
      </c>
      <c r="BS11" s="1656">
        <v>534</v>
      </c>
      <c r="BT11" s="1656">
        <v>515</v>
      </c>
      <c r="BU11" s="1656">
        <v>500</v>
      </c>
      <c r="BV11" s="1656">
        <v>0</v>
      </c>
      <c r="BW11" s="1656">
        <v>0</v>
      </c>
      <c r="BX11" s="1656">
        <v>0</v>
      </c>
      <c r="BY11" s="1656">
        <v>0</v>
      </c>
      <c r="BZ11" s="1656">
        <v>0</v>
      </c>
    </row>
    <row r="12" spans="1:78">
      <c r="A12"/>
      <c r="B12" s="931" t="s">
        <v>172</v>
      </c>
      <c r="C12" s="250">
        <v>0.22778333889445002</v>
      </c>
      <c r="H12" s="250">
        <v>9.3606607525237084E-2</v>
      </c>
      <c r="J12" s="240">
        <v>0.875</v>
      </c>
      <c r="K12" s="240">
        <v>0.69444444444444442</v>
      </c>
      <c r="L12" s="240">
        <v>0.46938775510204084</v>
      </c>
      <c r="M12" s="240">
        <v>0.20799999999999999</v>
      </c>
      <c r="N12" s="240">
        <v>0.2814814814814815</v>
      </c>
      <c r="O12" s="240">
        <v>0.30534351145038169</v>
      </c>
      <c r="P12" s="240">
        <v>0.16</v>
      </c>
      <c r="Q12" s="240">
        <v>0.11475409836065574</v>
      </c>
      <c r="R12" s="240">
        <v>0.48120300751879697</v>
      </c>
      <c r="S12" s="240">
        <v>0.29333333333333333</v>
      </c>
      <c r="T12" s="240">
        <v>0.11920529801324503</v>
      </c>
      <c r="U12" s="240">
        <v>0.24096385542168675</v>
      </c>
      <c r="V12" s="240">
        <v>0.23696682464454977</v>
      </c>
      <c r="W12" s="240">
        <v>0.22382671480144403</v>
      </c>
      <c r="X12" s="240">
        <v>0.1746987951807229</v>
      </c>
      <c r="Y12" s="240">
        <v>0.13218390804597702</v>
      </c>
      <c r="Z12" s="240">
        <v>0.16348773841961853</v>
      </c>
      <c r="AA12" s="240">
        <v>0.19704433497536947</v>
      </c>
      <c r="AB12" s="240">
        <v>0.23582766439909297</v>
      </c>
      <c r="AC12" s="240">
        <v>0.15866388308977036</v>
      </c>
      <c r="AD12" s="240">
        <v>0.22545454545454546</v>
      </c>
      <c r="AE12" s="240">
        <v>0.16134453781512606</v>
      </c>
      <c r="AF12" s="240">
        <v>0.16404886561954624</v>
      </c>
      <c r="AG12" s="240">
        <v>0.21666666666666667</v>
      </c>
      <c r="AH12" s="240">
        <v>0.24266666666666667</v>
      </c>
      <c r="AI12" s="240">
        <v>0.23365487674169347</v>
      </c>
      <c r="AJ12" s="240">
        <v>0.34920634920634919</v>
      </c>
      <c r="AK12" s="240">
        <v>0.32176121930567314</v>
      </c>
      <c r="AL12" s="240">
        <v>0.27503736920777277</v>
      </c>
      <c r="AM12" s="240">
        <v>0.28703094140882157</v>
      </c>
      <c r="AN12" s="240">
        <v>0.32250153280196198</v>
      </c>
      <c r="AO12" s="240">
        <v>0.28890128276631344</v>
      </c>
      <c r="AP12" s="240">
        <v>0.39844509232264336</v>
      </c>
      <c r="AQ12" s="240">
        <v>0.23073914743840437</v>
      </c>
      <c r="AR12" s="240">
        <v>0.16587504567044209</v>
      </c>
      <c r="AS12" s="240">
        <v>0.21406086044071354</v>
      </c>
      <c r="AT12" s="240">
        <v>0.25804375804375806</v>
      </c>
      <c r="AU12" s="240">
        <v>0.29050279329608941</v>
      </c>
      <c r="AV12" s="240">
        <v>0.33945811273746496</v>
      </c>
      <c r="AW12" s="240">
        <v>0.31737262124002458</v>
      </c>
      <c r="AX12" s="240">
        <v>0.25051698670605616</v>
      </c>
      <c r="AY12" s="240">
        <v>0.34484743811168683</v>
      </c>
      <c r="AZ12" s="240">
        <v>0.28069180606747945</v>
      </c>
      <c r="BA12" s="240">
        <v>0.33107558927120023</v>
      </c>
      <c r="BB12" s="240">
        <v>0.39707419017763845</v>
      </c>
      <c r="BC12" s="240">
        <v>0.12477349210458193</v>
      </c>
      <c r="BD12" s="240">
        <v>0.11982514785291849</v>
      </c>
      <c r="BE12" s="240">
        <v>0.23026973026973027</v>
      </c>
      <c r="BF12" s="240">
        <v>0.20348698352042036</v>
      </c>
      <c r="BG12" s="240">
        <v>0.19689599258744497</v>
      </c>
      <c r="BH12" s="240">
        <v>0.25924276169265031</v>
      </c>
      <c r="BI12" s="240">
        <v>0.2050952686790837</v>
      </c>
      <c r="BJ12" s="240">
        <v>0.19024190241902419</v>
      </c>
      <c r="BK12" s="240">
        <v>0.20725995316159251</v>
      </c>
      <c r="BL12" s="240">
        <v>0.17512877115526121</v>
      </c>
      <c r="BM12" s="240">
        <v>0.19647441382851275</v>
      </c>
      <c r="BN12" s="240">
        <v>0.26623481781376518</v>
      </c>
      <c r="BO12" s="240">
        <v>0.11313639220615965</v>
      </c>
      <c r="BP12" s="240">
        <v>0.18049792531120332</v>
      </c>
      <c r="BQ12" s="240">
        <v>0.26245586504511575</v>
      </c>
      <c r="BR12" s="240">
        <v>0.24069121579921826</v>
      </c>
      <c r="BS12" s="240">
        <v>0.2532017635943733</v>
      </c>
      <c r="BT12" s="240">
        <v>0.26872336107164602</v>
      </c>
      <c r="BU12" s="240">
        <v>0.22036319118547235</v>
      </c>
      <c r="BV12" s="240">
        <v>0</v>
      </c>
      <c r="BW12" s="240" t="s">
        <v>4378</v>
      </c>
      <c r="BX12" s="240" t="s">
        <v>4378</v>
      </c>
      <c r="BY12" s="240" t="s">
        <v>4378</v>
      </c>
      <c r="BZ12" s="240" t="s">
        <v>4378</v>
      </c>
    </row>
    <row r="13" spans="1:78">
      <c r="A13"/>
      <c r="B13" s="931" t="s">
        <v>60</v>
      </c>
      <c r="C13" s="243">
        <v>4096</v>
      </c>
      <c r="H13" s="243">
        <v>51</v>
      </c>
      <c r="J13" s="937">
        <v>14</v>
      </c>
      <c r="K13" s="937">
        <v>25</v>
      </c>
      <c r="L13" s="937">
        <v>23</v>
      </c>
      <c r="M13" s="937">
        <v>13</v>
      </c>
      <c r="N13" s="937">
        <v>19</v>
      </c>
      <c r="O13" s="937">
        <v>20</v>
      </c>
      <c r="P13" s="937">
        <v>10</v>
      </c>
      <c r="Q13" s="937">
        <v>7</v>
      </c>
      <c r="R13" s="937">
        <v>32</v>
      </c>
      <c r="S13" s="937">
        <v>22</v>
      </c>
      <c r="T13" s="937">
        <v>9</v>
      </c>
      <c r="U13" s="937">
        <v>20</v>
      </c>
      <c r="V13" s="937">
        <v>25</v>
      </c>
      <c r="W13" s="937">
        <v>31</v>
      </c>
      <c r="X13" s="937">
        <v>29</v>
      </c>
      <c r="Y13" s="937">
        <v>23</v>
      </c>
      <c r="Z13" s="937">
        <v>30</v>
      </c>
      <c r="AA13" s="937">
        <v>40</v>
      </c>
      <c r="AB13" s="937">
        <v>52</v>
      </c>
      <c r="AC13" s="937">
        <v>38</v>
      </c>
      <c r="AD13" s="937">
        <v>62</v>
      </c>
      <c r="AE13" s="937">
        <v>48</v>
      </c>
      <c r="AF13" s="937">
        <v>47</v>
      </c>
      <c r="AG13" s="937">
        <v>65</v>
      </c>
      <c r="AH13" s="937">
        <v>91</v>
      </c>
      <c r="AI13" s="937">
        <v>109</v>
      </c>
      <c r="AJ13" s="937">
        <v>187</v>
      </c>
      <c r="AK13" s="937">
        <v>190</v>
      </c>
      <c r="AL13" s="937">
        <v>184</v>
      </c>
      <c r="AM13" s="937">
        <v>218</v>
      </c>
      <c r="AN13" s="937">
        <v>263</v>
      </c>
      <c r="AO13" s="937">
        <v>259</v>
      </c>
      <c r="AP13" s="937">
        <v>410</v>
      </c>
      <c r="AQ13" s="937">
        <v>295</v>
      </c>
      <c r="AR13" s="937">
        <v>227</v>
      </c>
      <c r="AS13" s="937">
        <v>306</v>
      </c>
      <c r="AT13" s="937">
        <v>401</v>
      </c>
      <c r="AU13" s="937">
        <v>468</v>
      </c>
      <c r="AV13" s="937">
        <v>545</v>
      </c>
      <c r="AW13" s="937">
        <v>517</v>
      </c>
      <c r="AX13" s="937">
        <v>424</v>
      </c>
      <c r="AY13" s="937">
        <v>599</v>
      </c>
      <c r="AZ13" s="937">
        <v>495</v>
      </c>
      <c r="BA13" s="937">
        <v>611</v>
      </c>
      <c r="BB13" s="937">
        <v>760</v>
      </c>
      <c r="BC13" s="937">
        <v>241</v>
      </c>
      <c r="BD13" s="937">
        <v>233</v>
      </c>
      <c r="BE13" s="937">
        <v>461</v>
      </c>
      <c r="BF13" s="937">
        <v>426</v>
      </c>
      <c r="BG13" s="937">
        <v>425</v>
      </c>
      <c r="BH13" s="937">
        <v>582</v>
      </c>
      <c r="BI13" s="937">
        <v>479</v>
      </c>
      <c r="BJ13" s="937">
        <v>464</v>
      </c>
      <c r="BK13" s="937">
        <v>531</v>
      </c>
      <c r="BL13" s="937">
        <v>476</v>
      </c>
      <c r="BM13" s="937">
        <v>574</v>
      </c>
      <c r="BN13" s="937">
        <v>822</v>
      </c>
      <c r="BO13" s="937">
        <v>360</v>
      </c>
      <c r="BP13" s="937">
        <v>553</v>
      </c>
      <c r="BQ13" s="937">
        <v>700</v>
      </c>
      <c r="BR13" s="937">
        <v>620</v>
      </c>
      <c r="BS13" s="937">
        <v>626</v>
      </c>
      <c r="BT13" s="937">
        <v>677</v>
      </c>
      <c r="BU13" s="937">
        <v>560</v>
      </c>
      <c r="BV13" s="937">
        <v>0</v>
      </c>
      <c r="BW13" s="937">
        <v>0</v>
      </c>
      <c r="BX13" s="937">
        <v>0</v>
      </c>
      <c r="BY13" s="937">
        <v>0</v>
      </c>
      <c r="BZ13" s="937">
        <v>0</v>
      </c>
    </row>
    <row r="14" spans="1:78">
      <c r="A14"/>
      <c r="B14" s="931" t="s">
        <v>61</v>
      </c>
      <c r="C14" s="242">
        <v>2.1497802734375</v>
      </c>
      <c r="H14" s="242">
        <v>1.411764705882353</v>
      </c>
      <c r="J14" s="215">
        <v>1.6428571428571428</v>
      </c>
      <c r="K14" s="215">
        <v>1.08</v>
      </c>
      <c r="L14" s="215">
        <v>1.2608695652173914</v>
      </c>
      <c r="M14" s="215">
        <v>1.3076923076923077</v>
      </c>
      <c r="N14" s="215">
        <v>1.263157894736842</v>
      </c>
      <c r="O14" s="215">
        <v>1.45</v>
      </c>
      <c r="P14" s="215">
        <v>1.5</v>
      </c>
      <c r="Q14" s="215">
        <v>2</v>
      </c>
      <c r="R14" s="215">
        <v>2.28125</v>
      </c>
      <c r="S14" s="215">
        <v>1.4545454545454546</v>
      </c>
      <c r="T14" s="215">
        <v>1.2222222222222223</v>
      </c>
      <c r="U14" s="215">
        <v>1.45</v>
      </c>
      <c r="V14" s="215">
        <v>1.44</v>
      </c>
      <c r="W14" s="215">
        <v>1.3225806451612903</v>
      </c>
      <c r="X14" s="215">
        <v>1.2413793103448276</v>
      </c>
      <c r="Y14" s="215">
        <v>1.3478260869565217</v>
      </c>
      <c r="Z14" s="215">
        <v>1.2333333333333334</v>
      </c>
      <c r="AA14" s="215">
        <v>1.3</v>
      </c>
      <c r="AB14" s="215">
        <v>1.4615384615384615</v>
      </c>
      <c r="AC14" s="215">
        <v>1.3947368421052631</v>
      </c>
      <c r="AD14" s="215">
        <v>1.6612903225806452</v>
      </c>
      <c r="AE14" s="215">
        <v>1.0208333333333333</v>
      </c>
      <c r="AF14" s="215">
        <v>1.2340425531914894</v>
      </c>
      <c r="AG14" s="215">
        <v>1.2307692307692308</v>
      </c>
      <c r="AH14" s="215">
        <v>1.2417582417582418</v>
      </c>
      <c r="AI14" s="215">
        <v>1.2201834862385321</v>
      </c>
      <c r="AJ14" s="215">
        <v>1.4224598930481283</v>
      </c>
      <c r="AK14" s="215">
        <v>1.5315789473684212</v>
      </c>
      <c r="AL14" s="215">
        <v>1.5706521739130435</v>
      </c>
      <c r="AM14" s="215">
        <v>1.9862385321100917</v>
      </c>
      <c r="AN14" s="215">
        <v>1.7604562737642586</v>
      </c>
      <c r="AO14" s="215">
        <v>1.803088803088803</v>
      </c>
      <c r="AP14" s="215">
        <v>2.4073170731707316</v>
      </c>
      <c r="AQ14" s="215">
        <v>1.264406779661017</v>
      </c>
      <c r="AR14" s="215">
        <v>1.3964757709251101</v>
      </c>
      <c r="AS14" s="215">
        <v>1.6797385620915033</v>
      </c>
      <c r="AT14" s="215">
        <v>1.6408977556109725</v>
      </c>
      <c r="AU14" s="215">
        <v>1.3760683760683761</v>
      </c>
      <c r="AV14" s="215">
        <v>1.4788990825688073</v>
      </c>
      <c r="AW14" s="215">
        <v>1.5106382978723405</v>
      </c>
      <c r="AX14" s="215">
        <v>1.3985849056603774</v>
      </c>
      <c r="AY14" s="215">
        <v>1.5843071786310519</v>
      </c>
      <c r="AZ14" s="215">
        <v>1.5313131313131314</v>
      </c>
      <c r="BA14" s="215">
        <v>1.9754500818330605</v>
      </c>
      <c r="BB14" s="215">
        <v>2.1157894736842104</v>
      </c>
      <c r="BC14" s="215">
        <v>1.4481327800829875</v>
      </c>
      <c r="BD14" s="215">
        <v>1.4334763948497855</v>
      </c>
      <c r="BE14" s="215">
        <v>1.8980477223427332</v>
      </c>
      <c r="BF14" s="215">
        <v>1.8990610328638498</v>
      </c>
      <c r="BG14" s="215">
        <v>1.5811764705882352</v>
      </c>
      <c r="BH14" s="215">
        <v>1.7663230240549828</v>
      </c>
      <c r="BI14" s="215">
        <v>1.6555323590814197</v>
      </c>
      <c r="BJ14" s="215">
        <v>1.6616379310344827</v>
      </c>
      <c r="BK14" s="215">
        <v>2.0998116760828625</v>
      </c>
      <c r="BL14" s="215">
        <v>1.7731092436974789</v>
      </c>
      <c r="BM14" s="215">
        <v>2.2334494773519165</v>
      </c>
      <c r="BN14" s="215">
        <v>2.3041362530413627</v>
      </c>
      <c r="BO14" s="215">
        <v>1.9166666666666667</v>
      </c>
      <c r="BP14" s="215">
        <v>1.5940325497287522</v>
      </c>
      <c r="BQ14" s="215">
        <v>1.9835714285714285</v>
      </c>
      <c r="BR14" s="215">
        <v>1.939516129032258</v>
      </c>
      <c r="BS14" s="215">
        <v>3.0127795527156551</v>
      </c>
      <c r="BT14" s="215">
        <v>2.3796159527326441</v>
      </c>
      <c r="BU14" s="215">
        <v>2.0464285714285713</v>
      </c>
      <c r="BV14" s="215" t="s">
        <v>4378</v>
      </c>
      <c r="BW14" s="215" t="s">
        <v>4378</v>
      </c>
      <c r="BX14" s="215" t="s">
        <v>4378</v>
      </c>
      <c r="BY14" s="215" t="s">
        <v>4378</v>
      </c>
      <c r="BZ14" s="215" t="s">
        <v>4378</v>
      </c>
    </row>
    <row r="15" spans="1:78">
      <c r="A15"/>
      <c r="B15" s="931" t="s">
        <v>3</v>
      </c>
      <c r="C15" s="243">
        <v>8805.5</v>
      </c>
      <c r="H15" s="243">
        <v>72</v>
      </c>
      <c r="J15" s="937">
        <v>23</v>
      </c>
      <c r="K15" s="937">
        <v>27</v>
      </c>
      <c r="L15" s="937">
        <v>29</v>
      </c>
      <c r="M15" s="937">
        <v>17</v>
      </c>
      <c r="N15" s="937">
        <v>24</v>
      </c>
      <c r="O15" s="937">
        <v>29</v>
      </c>
      <c r="P15" s="937">
        <v>15</v>
      </c>
      <c r="Q15" s="937">
        <v>14</v>
      </c>
      <c r="R15" s="937">
        <v>73</v>
      </c>
      <c r="S15" s="937">
        <v>32</v>
      </c>
      <c r="T15" s="937">
        <v>11</v>
      </c>
      <c r="U15" s="937">
        <v>29</v>
      </c>
      <c r="V15" s="937">
        <v>36</v>
      </c>
      <c r="W15" s="937">
        <v>41</v>
      </c>
      <c r="X15" s="937">
        <v>36</v>
      </c>
      <c r="Y15" s="937">
        <v>31</v>
      </c>
      <c r="Z15" s="937">
        <v>37</v>
      </c>
      <c r="AA15" s="937">
        <v>52</v>
      </c>
      <c r="AB15" s="937">
        <v>76</v>
      </c>
      <c r="AC15" s="937">
        <v>53</v>
      </c>
      <c r="AD15" s="937">
        <v>103</v>
      </c>
      <c r="AE15" s="937">
        <v>49</v>
      </c>
      <c r="AF15" s="937">
        <v>58</v>
      </c>
      <c r="AG15" s="937">
        <v>80</v>
      </c>
      <c r="AH15" s="937">
        <v>113</v>
      </c>
      <c r="AI15" s="937">
        <v>133</v>
      </c>
      <c r="AJ15" s="937">
        <v>266</v>
      </c>
      <c r="AK15" s="937">
        <v>291</v>
      </c>
      <c r="AL15" s="937">
        <v>289</v>
      </c>
      <c r="AM15" s="937">
        <v>433</v>
      </c>
      <c r="AN15" s="937">
        <v>463</v>
      </c>
      <c r="AO15" s="937">
        <v>467</v>
      </c>
      <c r="AP15" s="937">
        <v>987</v>
      </c>
      <c r="AQ15" s="937">
        <v>373</v>
      </c>
      <c r="AR15" s="937">
        <v>317</v>
      </c>
      <c r="AS15" s="937">
        <v>514</v>
      </c>
      <c r="AT15" s="937">
        <v>658</v>
      </c>
      <c r="AU15" s="937">
        <v>644</v>
      </c>
      <c r="AV15" s="937">
        <v>806</v>
      </c>
      <c r="AW15" s="937">
        <v>781</v>
      </c>
      <c r="AX15" s="937">
        <v>593</v>
      </c>
      <c r="AY15" s="937">
        <v>949</v>
      </c>
      <c r="AZ15" s="937">
        <v>758</v>
      </c>
      <c r="BA15" s="937">
        <v>1207</v>
      </c>
      <c r="BB15" s="937">
        <v>1608</v>
      </c>
      <c r="BC15" s="1656">
        <v>349</v>
      </c>
      <c r="BD15" s="1656">
        <v>334</v>
      </c>
      <c r="BE15" s="1656">
        <v>875</v>
      </c>
      <c r="BF15" s="1656">
        <v>809</v>
      </c>
      <c r="BG15" s="1656">
        <v>672</v>
      </c>
      <c r="BH15" s="1656">
        <v>1028</v>
      </c>
      <c r="BI15" s="1656">
        <v>793</v>
      </c>
      <c r="BJ15" s="1656">
        <v>771</v>
      </c>
      <c r="BK15" s="1656">
        <v>1115</v>
      </c>
      <c r="BL15" s="1656">
        <v>844</v>
      </c>
      <c r="BM15" s="1656">
        <v>1282</v>
      </c>
      <c r="BN15" s="1656">
        <v>1894</v>
      </c>
      <c r="BO15" s="1656">
        <v>690</v>
      </c>
      <c r="BP15" s="1656">
        <v>881.5</v>
      </c>
      <c r="BQ15" s="1656">
        <v>1388.5</v>
      </c>
      <c r="BR15" s="1656">
        <v>1202.5</v>
      </c>
      <c r="BS15" s="1656">
        <v>1886</v>
      </c>
      <c r="BT15" s="1656">
        <v>1611</v>
      </c>
      <c r="BU15" s="1656">
        <v>1146</v>
      </c>
      <c r="BV15" s="1656">
        <v>0</v>
      </c>
      <c r="BW15" s="1656">
        <v>0</v>
      </c>
      <c r="BX15" s="1656">
        <v>0</v>
      </c>
      <c r="BY15" s="1656">
        <v>0</v>
      </c>
      <c r="BZ15" s="1656">
        <v>0</v>
      </c>
    </row>
    <row r="16" spans="1:78">
      <c r="A16"/>
      <c r="B16" s="931" t="s">
        <v>62</v>
      </c>
      <c r="C16" s="242">
        <v>19.678446216569188</v>
      </c>
      <c r="H16" s="242">
        <v>13.440055555555556</v>
      </c>
      <c r="J16" s="215">
        <v>12.706086956521739</v>
      </c>
      <c r="K16" s="215">
        <v>12.732000000000001</v>
      </c>
      <c r="L16" s="215">
        <v>28.146862068965518</v>
      </c>
      <c r="M16" s="215">
        <v>13.820588235294117</v>
      </c>
      <c r="N16" s="215">
        <v>13.517541666666666</v>
      </c>
      <c r="O16" s="215">
        <v>18.481275862068966</v>
      </c>
      <c r="P16" s="215">
        <v>14.125866666666667</v>
      </c>
      <c r="Q16" s="215">
        <v>12.910500000000001</v>
      </c>
      <c r="R16" s="215">
        <v>16.280506849315067</v>
      </c>
      <c r="S16" s="215">
        <v>12.935812500000001</v>
      </c>
      <c r="T16" s="215">
        <v>15.266818181818183</v>
      </c>
      <c r="U16" s="215">
        <v>13.303551724137931</v>
      </c>
      <c r="V16" s="215">
        <v>12.503000000000002</v>
      </c>
      <c r="W16" s="215">
        <v>18.798682926829272</v>
      </c>
      <c r="X16" s="215">
        <v>9.2100555555555559</v>
      </c>
      <c r="Y16" s="215">
        <v>14.56583870967742</v>
      </c>
      <c r="Z16" s="215">
        <v>16.427189189189189</v>
      </c>
      <c r="AA16" s="215">
        <v>18.064673076923079</v>
      </c>
      <c r="AB16" s="215">
        <v>18.072526315789474</v>
      </c>
      <c r="AC16" s="215">
        <v>17.482471698113205</v>
      </c>
      <c r="AD16" s="215">
        <v>14.166582524271844</v>
      </c>
      <c r="AE16" s="215">
        <v>16.888469387755102</v>
      </c>
      <c r="AF16" s="215">
        <v>16.020500000000002</v>
      </c>
      <c r="AG16" s="215">
        <v>15.715487499999998</v>
      </c>
      <c r="AH16" s="215">
        <v>15.984796460176993</v>
      </c>
      <c r="AI16" s="215">
        <v>18.203939849624064</v>
      </c>
      <c r="AJ16" s="215">
        <v>16.801774436090227</v>
      </c>
      <c r="AK16" s="215">
        <v>17.497144329896908</v>
      </c>
      <c r="AL16" s="215">
        <v>18.212916955017302</v>
      </c>
      <c r="AM16" s="215">
        <v>17.69963048498845</v>
      </c>
      <c r="AN16" s="215">
        <v>19.250343412526998</v>
      </c>
      <c r="AO16" s="215">
        <v>17.862599571734478</v>
      </c>
      <c r="AP16" s="215">
        <v>23.437852077001011</v>
      </c>
      <c r="AQ16" s="215">
        <v>14.02</v>
      </c>
      <c r="AR16" s="215">
        <v>15.625955835962142</v>
      </c>
      <c r="AS16" s="215">
        <v>21.143725680933851</v>
      </c>
      <c r="AT16" s="215">
        <v>21.302693009118542</v>
      </c>
      <c r="AU16" s="215">
        <v>17.635987577639753</v>
      </c>
      <c r="AV16" s="215">
        <v>25.393516749379639</v>
      </c>
      <c r="AW16" s="215">
        <v>21.677569142125478</v>
      </c>
      <c r="AX16" s="215">
        <v>17.863261989881956</v>
      </c>
      <c r="AY16" s="215">
        <v>23.763629926238139</v>
      </c>
      <c r="AZ16" s="215">
        <v>18.657708627968326</v>
      </c>
      <c r="BA16" s="215">
        <v>18.116865534382779</v>
      </c>
      <c r="BB16" s="215">
        <v>21.578623072139287</v>
      </c>
      <c r="BC16" s="215">
        <v>17.500207449856731</v>
      </c>
      <c r="BD16" s="215">
        <v>20.771323353293322</v>
      </c>
      <c r="BE16" s="215">
        <v>20.511276914285705</v>
      </c>
      <c r="BF16" s="215">
        <v>22.813576266996289</v>
      </c>
      <c r="BG16" s="215">
        <v>20.617749851190482</v>
      </c>
      <c r="BH16" s="215">
        <v>17.101496731517511</v>
      </c>
      <c r="BI16" s="215">
        <v>18.117099836065574</v>
      </c>
      <c r="BJ16" s="215">
        <v>18.35199092088197</v>
      </c>
      <c r="BK16" s="215">
        <v>18.401493363228699</v>
      </c>
      <c r="BL16" s="215">
        <v>22.236947926540282</v>
      </c>
      <c r="BM16" s="215">
        <v>21.970927893915785</v>
      </c>
      <c r="BN16" s="215">
        <v>23.897492434002174</v>
      </c>
      <c r="BO16" s="215">
        <v>19.211352028985509</v>
      </c>
      <c r="BP16" s="215">
        <v>24.340201815087919</v>
      </c>
      <c r="BQ16" s="215">
        <v>20.087569319409436</v>
      </c>
      <c r="BR16" s="215">
        <v>20.405034511434511</v>
      </c>
      <c r="BS16" s="215">
        <v>16.678606044538707</v>
      </c>
      <c r="BT16" s="215">
        <v>19.395533829919305</v>
      </c>
      <c r="BU16" s="215">
        <v>20.450381640488654</v>
      </c>
      <c r="BV16" s="215" t="s">
        <v>4378</v>
      </c>
      <c r="BW16" s="215" t="s">
        <v>4378</v>
      </c>
      <c r="BX16" s="215" t="s">
        <v>4378</v>
      </c>
      <c r="BY16" s="215" t="s">
        <v>4378</v>
      </c>
      <c r="BZ16" s="215" t="s">
        <v>4378</v>
      </c>
    </row>
    <row r="17" spans="2:78">
      <c r="B17" s="931" t="s">
        <v>112</v>
      </c>
      <c r="C17" s="243">
        <v>2108</v>
      </c>
      <c r="H17" s="243">
        <v>28</v>
      </c>
      <c r="J17" s="218">
        <v>21</v>
      </c>
      <c r="K17" s="218">
        <v>7</v>
      </c>
      <c r="L17" s="218">
        <v>15</v>
      </c>
      <c r="M17" s="218">
        <v>9</v>
      </c>
      <c r="N17" s="218">
        <v>4</v>
      </c>
      <c r="O17" s="218">
        <v>2</v>
      </c>
      <c r="P17" s="218">
        <v>6</v>
      </c>
      <c r="Q17" s="218">
        <v>3</v>
      </c>
      <c r="R17" s="218">
        <v>12</v>
      </c>
      <c r="S17" s="218">
        <v>8</v>
      </c>
      <c r="T17" s="218">
        <v>1</v>
      </c>
      <c r="U17" s="218">
        <v>19</v>
      </c>
      <c r="V17" s="218">
        <v>27</v>
      </c>
      <c r="W17" s="218">
        <v>35</v>
      </c>
      <c r="X17" s="218">
        <v>24</v>
      </c>
      <c r="Y17" s="218">
        <v>17</v>
      </c>
      <c r="Z17" s="218">
        <v>23</v>
      </c>
      <c r="AA17" s="218">
        <v>38</v>
      </c>
      <c r="AB17" s="218">
        <v>29</v>
      </c>
      <c r="AC17" s="218">
        <v>26</v>
      </c>
      <c r="AD17" s="218">
        <v>38</v>
      </c>
      <c r="AE17" s="218">
        <v>16</v>
      </c>
      <c r="AF17" s="218">
        <v>20</v>
      </c>
      <c r="AG17" s="218">
        <v>40</v>
      </c>
      <c r="AH17" s="218">
        <v>82</v>
      </c>
      <c r="AI17" s="218">
        <v>102</v>
      </c>
      <c r="AJ17" s="218">
        <v>105</v>
      </c>
      <c r="AK17" s="218">
        <v>84</v>
      </c>
      <c r="AL17" s="218">
        <v>138</v>
      </c>
      <c r="AM17" s="218">
        <v>120</v>
      </c>
      <c r="AN17" s="218">
        <v>75</v>
      </c>
      <c r="AO17" s="218">
        <v>158</v>
      </c>
      <c r="AP17" s="218">
        <v>188</v>
      </c>
      <c r="AQ17" s="218">
        <v>175</v>
      </c>
      <c r="AR17" s="218">
        <v>58</v>
      </c>
      <c r="AS17" s="218">
        <v>178</v>
      </c>
      <c r="AT17" s="218">
        <v>247</v>
      </c>
      <c r="AU17" s="218">
        <v>187</v>
      </c>
      <c r="AV17" s="218">
        <v>220</v>
      </c>
      <c r="AW17" s="218">
        <v>206</v>
      </c>
      <c r="AX17" s="218">
        <v>204</v>
      </c>
      <c r="AY17" s="218">
        <v>190</v>
      </c>
      <c r="AZ17" s="218">
        <v>160</v>
      </c>
      <c r="BA17" s="218">
        <v>295</v>
      </c>
      <c r="BB17" s="218">
        <v>239</v>
      </c>
      <c r="BC17" s="218">
        <v>66</v>
      </c>
      <c r="BD17" s="218">
        <v>71</v>
      </c>
      <c r="BE17" s="218">
        <v>287</v>
      </c>
      <c r="BF17" s="218">
        <v>189</v>
      </c>
      <c r="BG17" s="218">
        <v>173</v>
      </c>
      <c r="BH17" s="218">
        <v>271</v>
      </c>
      <c r="BI17" s="218">
        <v>224</v>
      </c>
      <c r="BJ17" s="218">
        <v>211</v>
      </c>
      <c r="BK17" s="218">
        <v>289</v>
      </c>
      <c r="BL17" s="218">
        <v>253</v>
      </c>
      <c r="BM17" s="218">
        <v>307</v>
      </c>
      <c r="BN17" s="218">
        <v>344</v>
      </c>
      <c r="BO17" s="218">
        <v>150</v>
      </c>
      <c r="BP17" s="218">
        <v>323</v>
      </c>
      <c r="BQ17" s="218">
        <v>328</v>
      </c>
      <c r="BR17" s="218">
        <v>272</v>
      </c>
      <c r="BS17" s="218">
        <v>334</v>
      </c>
      <c r="BT17" s="218">
        <v>392</v>
      </c>
      <c r="BU17" s="218">
        <v>309</v>
      </c>
      <c r="BV17" s="218">
        <v>0</v>
      </c>
      <c r="BW17" s="218">
        <v>0</v>
      </c>
      <c r="BX17" s="218">
        <v>0</v>
      </c>
      <c r="BY17" s="218">
        <v>0</v>
      </c>
      <c r="BZ17" s="218">
        <v>0</v>
      </c>
    </row>
    <row r="18" spans="2:78">
      <c r="B18" s="931" t="s">
        <v>111</v>
      </c>
      <c r="C18" s="243">
        <v>195</v>
      </c>
      <c r="H18" s="243">
        <v>3</v>
      </c>
      <c r="J18" s="218">
        <v>1</v>
      </c>
      <c r="K18" s="218">
        <v>1</v>
      </c>
      <c r="L18" s="218">
        <v>3</v>
      </c>
      <c r="M18" s="218">
        <v>1</v>
      </c>
      <c r="N18" s="218">
        <v>0</v>
      </c>
      <c r="O18" s="218">
        <v>0</v>
      </c>
      <c r="P18" s="218">
        <v>1</v>
      </c>
      <c r="Q18" s="218">
        <v>3</v>
      </c>
      <c r="R18" s="218">
        <v>2</v>
      </c>
      <c r="S18" s="218">
        <v>3</v>
      </c>
      <c r="T18" s="218">
        <v>0</v>
      </c>
      <c r="U18" s="218">
        <v>0</v>
      </c>
      <c r="V18" s="218">
        <v>15</v>
      </c>
      <c r="W18" s="218">
        <v>6</v>
      </c>
      <c r="X18" s="218">
        <v>3</v>
      </c>
      <c r="Y18" s="218">
        <v>7</v>
      </c>
      <c r="Z18" s="218">
        <v>7</v>
      </c>
      <c r="AA18" s="218">
        <v>9</v>
      </c>
      <c r="AB18" s="218">
        <v>5</v>
      </c>
      <c r="AC18" s="218">
        <v>8</v>
      </c>
      <c r="AD18" s="218">
        <v>11</v>
      </c>
      <c r="AE18" s="218">
        <v>0</v>
      </c>
      <c r="AF18" s="218">
        <v>2</v>
      </c>
      <c r="AG18" s="218">
        <v>11</v>
      </c>
      <c r="AH18" s="218">
        <v>23</v>
      </c>
      <c r="AI18" s="218">
        <v>26</v>
      </c>
      <c r="AJ18" s="218">
        <v>23</v>
      </c>
      <c r="AK18" s="218">
        <v>20</v>
      </c>
      <c r="AL18" s="218">
        <v>14</v>
      </c>
      <c r="AM18" s="218">
        <v>18</v>
      </c>
      <c r="AN18" s="218">
        <v>10</v>
      </c>
      <c r="AO18" s="218">
        <v>23</v>
      </c>
      <c r="AP18" s="218">
        <v>34</v>
      </c>
      <c r="AQ18" s="218">
        <v>32</v>
      </c>
      <c r="AR18" s="218">
        <v>11</v>
      </c>
      <c r="AS18" s="218">
        <v>36</v>
      </c>
      <c r="AT18" s="218">
        <v>58</v>
      </c>
      <c r="AU18" s="218">
        <v>32</v>
      </c>
      <c r="AV18" s="218">
        <v>36</v>
      </c>
      <c r="AW18" s="218">
        <v>25</v>
      </c>
      <c r="AX18" s="218">
        <v>24</v>
      </c>
      <c r="AY18" s="218">
        <v>34</v>
      </c>
      <c r="AZ18" s="218">
        <v>24</v>
      </c>
      <c r="BA18" s="218">
        <v>18</v>
      </c>
      <c r="BB18" s="218">
        <v>21</v>
      </c>
      <c r="BC18" s="218">
        <v>6</v>
      </c>
      <c r="BD18" s="218">
        <v>2</v>
      </c>
      <c r="BE18" s="218">
        <v>33</v>
      </c>
      <c r="BF18" s="218">
        <v>17</v>
      </c>
      <c r="BG18" s="218">
        <v>39</v>
      </c>
      <c r="BH18" s="218">
        <v>43</v>
      </c>
      <c r="BI18" s="218">
        <v>22</v>
      </c>
      <c r="BJ18" s="218">
        <v>28</v>
      </c>
      <c r="BK18" s="218">
        <v>39</v>
      </c>
      <c r="BL18" s="218">
        <v>53</v>
      </c>
      <c r="BM18" s="218">
        <v>69</v>
      </c>
      <c r="BN18" s="218">
        <v>39</v>
      </c>
      <c r="BO18" s="218">
        <v>36</v>
      </c>
      <c r="BP18" s="218">
        <v>54</v>
      </c>
      <c r="BQ18" s="218">
        <v>20</v>
      </c>
      <c r="BR18" s="218">
        <v>21</v>
      </c>
      <c r="BS18" s="218">
        <v>17</v>
      </c>
      <c r="BT18" s="218">
        <v>19</v>
      </c>
      <c r="BU18" s="218">
        <v>28</v>
      </c>
      <c r="BV18" s="218">
        <v>0</v>
      </c>
      <c r="BW18" s="218">
        <v>0</v>
      </c>
      <c r="BX18" s="218">
        <v>0</v>
      </c>
      <c r="BY18" s="218">
        <v>0</v>
      </c>
      <c r="BZ18" s="218">
        <v>0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  <c r="AW19" s="937"/>
      <c r="AX19" s="937"/>
    </row>
    <row r="20" spans="2:78">
      <c r="B20" s="931" t="s">
        <v>63</v>
      </c>
      <c r="C20" s="242">
        <v>9.6362227872316755</v>
      </c>
      <c r="H20" s="242">
        <v>4.1442569593147756</v>
      </c>
      <c r="J20" s="215">
        <v>18.265000000000001</v>
      </c>
      <c r="K20" s="215">
        <v>9.5489999999999995</v>
      </c>
      <c r="L20" s="215">
        <v>16.658346938775509</v>
      </c>
      <c r="M20" s="215">
        <v>3.7591999999999999</v>
      </c>
      <c r="N20" s="215">
        <v>4.8062370370370369</v>
      </c>
      <c r="O20" s="215">
        <v>8.1825496183206106</v>
      </c>
      <c r="P20" s="215">
        <v>3.3902079999999999</v>
      </c>
      <c r="Q20" s="215">
        <v>2.9630655737704918</v>
      </c>
      <c r="R20" s="215">
        <v>17.871834586466164</v>
      </c>
      <c r="S20" s="215">
        <v>5.5192800000000002</v>
      </c>
      <c r="T20" s="215">
        <v>2.2243046357615897</v>
      </c>
      <c r="U20" s="215">
        <v>4.6482289156626502</v>
      </c>
      <c r="V20" s="215">
        <v>4.2664265402843604</v>
      </c>
      <c r="W20" s="215">
        <v>5.5649530685920583</v>
      </c>
      <c r="X20" s="215">
        <v>1.9973614457831326</v>
      </c>
      <c r="Y20" s="215">
        <v>2.5950632183908051</v>
      </c>
      <c r="Z20" s="215">
        <v>3.3122942779291553</v>
      </c>
      <c r="AA20" s="215">
        <v>4.6274039408866994</v>
      </c>
      <c r="AB20" s="215">
        <v>6.2290793650793654</v>
      </c>
      <c r="AC20" s="215">
        <v>3.868772442588726</v>
      </c>
      <c r="AD20" s="215">
        <v>5.3060290909090906</v>
      </c>
      <c r="AE20" s="215">
        <v>2.78163025210084</v>
      </c>
      <c r="AF20" s="215">
        <v>3.2432425828970333</v>
      </c>
      <c r="AG20" s="215">
        <v>4.1907966666666656</v>
      </c>
      <c r="AH20" s="215">
        <v>4.8167520000000001</v>
      </c>
      <c r="AI20" s="215">
        <v>5.189976420150054</v>
      </c>
      <c r="AJ20" s="215">
        <v>8.3459794584500457</v>
      </c>
      <c r="AK20" s="215">
        <v>8.6226401354784077</v>
      </c>
      <c r="AL20" s="215">
        <v>7.8677623318385654</v>
      </c>
      <c r="AM20" s="215">
        <v>10.090770243581304</v>
      </c>
      <c r="AN20" s="215">
        <v>10.929379521765787</v>
      </c>
      <c r="AO20" s="215">
        <v>9.3048901282766323</v>
      </c>
      <c r="AP20" s="215">
        <v>22.481205053449951</v>
      </c>
      <c r="AQ20" s="215">
        <v>4.0903089558075871</v>
      </c>
      <c r="AR20" s="215">
        <v>3.6196039459261957</v>
      </c>
      <c r="AS20" s="215">
        <v>7.6025708289611753</v>
      </c>
      <c r="AT20" s="215">
        <v>9.020059202059203</v>
      </c>
      <c r="AU20" s="215">
        <v>7.0500161390440725</v>
      </c>
      <c r="AV20" s="215">
        <v>12.748162254749293</v>
      </c>
      <c r="AW20" s="215">
        <v>10.392990484960098</v>
      </c>
      <c r="AX20" s="215">
        <v>6.2587381742983741</v>
      </c>
      <c r="AY20" s="215">
        <v>12.983123085780075</v>
      </c>
      <c r="AZ20" s="215">
        <v>8.0195878310178568</v>
      </c>
      <c r="BA20" s="215">
        <v>11.848852180980771</v>
      </c>
      <c r="BB20" s="215">
        <v>18.128749164054323</v>
      </c>
      <c r="BC20" s="215">
        <v>3.1620877038571056</v>
      </c>
      <c r="BD20" s="215">
        <v>3.567817948058611</v>
      </c>
      <c r="BE20" s="215">
        <v>8.9647189310689264</v>
      </c>
      <c r="BF20" s="215">
        <v>8.8159461189395749</v>
      </c>
      <c r="BG20" s="215">
        <v>6.4188686124623597</v>
      </c>
      <c r="BH20" s="215">
        <v>7.8308858084632522</v>
      </c>
      <c r="BI20" s="215">
        <v>6.1515136673089277</v>
      </c>
      <c r="BJ20" s="215">
        <v>5.8013058630586309</v>
      </c>
      <c r="BK20" s="215">
        <v>8.0084563231850119</v>
      </c>
      <c r="BL20" s="215">
        <v>6.9050713944076527</v>
      </c>
      <c r="BM20" s="215">
        <v>9.6411875954133279</v>
      </c>
      <c r="BN20" s="215">
        <v>14.659708719028378</v>
      </c>
      <c r="BO20" s="215">
        <v>4.165880861093652</v>
      </c>
      <c r="BP20" s="215">
        <v>7.4190483748271099</v>
      </c>
      <c r="BQ20" s="215">
        <v>10.942169478226756</v>
      </c>
      <c r="BR20" s="215">
        <v>10.095475828018927</v>
      </c>
      <c r="BS20" s="215">
        <v>13.208419483518792</v>
      </c>
      <c r="BT20" s="215">
        <v>12.683663486908868</v>
      </c>
      <c r="BU20" s="215">
        <v>9.5638185513160572</v>
      </c>
      <c r="BV20" s="215">
        <v>0</v>
      </c>
      <c r="BW20" s="215" t="s">
        <v>4378</v>
      </c>
      <c r="BX20" s="215" t="s">
        <v>4378</v>
      </c>
      <c r="BY20" s="215" t="s">
        <v>4378</v>
      </c>
      <c r="BZ20" s="215" t="s">
        <v>4378</v>
      </c>
    </row>
    <row r="21" spans="2:78">
      <c r="B21" s="931" t="s">
        <v>64</v>
      </c>
      <c r="C21" s="242">
        <v>42.304335488281247</v>
      </c>
      <c r="H21" s="242">
        <v>18.974196078431373</v>
      </c>
      <c r="J21" s="215">
        <v>20.874285714285715</v>
      </c>
      <c r="K21" s="215">
        <v>13.75056</v>
      </c>
      <c r="L21" s="215">
        <v>35.489521739130439</v>
      </c>
      <c r="M21" s="215">
        <v>18.073076923076922</v>
      </c>
      <c r="N21" s="215">
        <v>17.074789473684209</v>
      </c>
      <c r="O21" s="215">
        <v>26.79785</v>
      </c>
      <c r="P21" s="215">
        <v>21.188800000000001</v>
      </c>
      <c r="Q21" s="215">
        <v>25.821000000000002</v>
      </c>
      <c r="R21" s="215">
        <v>37.139906249999996</v>
      </c>
      <c r="S21" s="215">
        <v>18.815727272727273</v>
      </c>
      <c r="T21" s="215">
        <v>18.659444444444446</v>
      </c>
      <c r="U21" s="215">
        <v>19.290150000000001</v>
      </c>
      <c r="V21" s="215">
        <v>18.004320000000003</v>
      </c>
      <c r="W21" s="215">
        <v>24.86277419354839</v>
      </c>
      <c r="X21" s="215">
        <v>11.433172413793104</v>
      </c>
      <c r="Y21" s="215">
        <v>19.632217391304351</v>
      </c>
      <c r="Z21" s="215">
        <v>20.260200000000001</v>
      </c>
      <c r="AA21" s="215">
        <v>23.484075000000001</v>
      </c>
      <c r="AB21" s="215">
        <v>26.413692307692312</v>
      </c>
      <c r="AC21" s="215">
        <v>24.383447368421049</v>
      </c>
      <c r="AD21" s="215">
        <v>23.534806451612901</v>
      </c>
      <c r="AE21" s="215">
        <v>17.240312499999998</v>
      </c>
      <c r="AF21" s="215">
        <v>19.769978723404257</v>
      </c>
      <c r="AG21" s="215">
        <v>19.342138461538458</v>
      </c>
      <c r="AH21" s="215">
        <v>19.849252747252748</v>
      </c>
      <c r="AI21" s="215">
        <v>22.212146788990829</v>
      </c>
      <c r="AJ21" s="215">
        <v>23.89985026737968</v>
      </c>
      <c r="AK21" s="215">
        <v>26.798257894736842</v>
      </c>
      <c r="AL21" s="215">
        <v>28.606157608695653</v>
      </c>
      <c r="AM21" s="215">
        <v>35.155688073394494</v>
      </c>
      <c r="AN21" s="215">
        <v>33.889387832699619</v>
      </c>
      <c r="AO21" s="215">
        <v>32.207853281853282</v>
      </c>
      <c r="AP21" s="215">
        <v>56.422341463414632</v>
      </c>
      <c r="AQ21" s="215">
        <v>17.726983050847458</v>
      </c>
      <c r="AR21" s="215">
        <v>21.821268722466957</v>
      </c>
      <c r="AS21" s="215">
        <v>35.515931372549019</v>
      </c>
      <c r="AT21" s="215">
        <v>34.955541147132173</v>
      </c>
      <c r="AU21" s="215">
        <v>24.26832478632479</v>
      </c>
      <c r="AV21" s="215">
        <v>37.55444862385319</v>
      </c>
      <c r="AW21" s="215">
        <v>32.746966150870406</v>
      </c>
      <c r="AX21" s="215">
        <v>24.983288584905658</v>
      </c>
      <c r="AY21" s="215">
        <v>37.648889482470771</v>
      </c>
      <c r="AZ21" s="215">
        <v>28.570794222222204</v>
      </c>
      <c r="BA21" s="215">
        <v>35.788963502455012</v>
      </c>
      <c r="BB21" s="215">
        <v>45.655823552631546</v>
      </c>
      <c r="BC21" s="215">
        <v>25.342624066390037</v>
      </c>
      <c r="BD21" s="215">
        <v>29.775201716738067</v>
      </c>
      <c r="BE21" s="215">
        <v>38.931382429501063</v>
      </c>
      <c r="BF21" s="215">
        <v>43.324373708920184</v>
      </c>
      <c r="BG21" s="215">
        <v>32.600300941176478</v>
      </c>
      <c r="BH21" s="215">
        <v>30.206767422680414</v>
      </c>
      <c r="BI21" s="215">
        <v>29.99344503131524</v>
      </c>
      <c r="BJ21" s="215">
        <v>30.494364224137932</v>
      </c>
      <c r="BK21" s="215">
        <v>38.639670621468923</v>
      </c>
      <c r="BL21" s="215">
        <v>39.428537920168068</v>
      </c>
      <c r="BM21" s="215">
        <v>49.070957421602849</v>
      </c>
      <c r="BN21" s="215">
        <v>55.063078673966075</v>
      </c>
      <c r="BO21" s="215">
        <v>36.821758055555556</v>
      </c>
      <c r="BP21" s="215">
        <v>38.799073960217001</v>
      </c>
      <c r="BQ21" s="215">
        <v>39.845128571428575</v>
      </c>
      <c r="BR21" s="215">
        <v>39.5758935483871</v>
      </c>
      <c r="BS21" s="215">
        <v>50.248963258785949</v>
      </c>
      <c r="BT21" s="215">
        <v>46.153921713441655</v>
      </c>
      <c r="BU21" s="215">
        <v>41.85024528571428</v>
      </c>
      <c r="BV21" s="215" t="s">
        <v>4378</v>
      </c>
      <c r="BW21" s="215" t="s">
        <v>4378</v>
      </c>
      <c r="BX21" s="215" t="s">
        <v>4378</v>
      </c>
      <c r="BY21" s="215" t="s">
        <v>4378</v>
      </c>
      <c r="BZ21" s="215" t="s">
        <v>4378</v>
      </c>
    </row>
    <row r="22" spans="2:78">
      <c r="B22" s="931" t="s">
        <v>65</v>
      </c>
      <c r="C22" s="242">
        <v>9.5150964464464458</v>
      </c>
      <c r="H22" s="242">
        <v>4.0699700214132761</v>
      </c>
      <c r="J22" s="215">
        <v>13.75</v>
      </c>
      <c r="K22" s="215">
        <v>5.9611666666666672</v>
      </c>
      <c r="L22" s="215">
        <v>14.557755102040817</v>
      </c>
      <c r="M22" s="215">
        <v>2.794384</v>
      </c>
      <c r="N22" s="215">
        <v>4.24</v>
      </c>
      <c r="O22" s="215">
        <v>5.213236641221374</v>
      </c>
      <c r="P22" s="215">
        <v>2.6399360000000001</v>
      </c>
      <c r="Q22" s="215">
        <v>2.5790655737704915</v>
      </c>
      <c r="R22" s="215">
        <v>17.15344360902256</v>
      </c>
      <c r="S22" s="215">
        <v>5.57172</v>
      </c>
      <c r="T22" s="215">
        <v>2.3554834437086094</v>
      </c>
      <c r="U22" s="215">
        <v>4.2725301204819282</v>
      </c>
      <c r="V22" s="215">
        <v>4.0743601895734596</v>
      </c>
      <c r="W22" s="215">
        <v>3.7801588447653431</v>
      </c>
      <c r="X22" s="215">
        <v>2.6223433734939761</v>
      </c>
      <c r="Y22" s="215">
        <v>2.3921091954022988</v>
      </c>
      <c r="Z22" s="215">
        <v>3.1572261580381471</v>
      </c>
      <c r="AA22" s="215">
        <v>4.4084039408866991</v>
      </c>
      <c r="AB22" s="215">
        <v>5.465306122448979</v>
      </c>
      <c r="AC22" s="215">
        <v>3.5913945720250524</v>
      </c>
      <c r="AD22" s="215">
        <v>4.7583636363636366</v>
      </c>
      <c r="AE22" s="215">
        <v>2.5016806722689076</v>
      </c>
      <c r="AF22" s="215">
        <v>2.9511169284467713</v>
      </c>
      <c r="AG22" s="215">
        <v>3.6019066666666664</v>
      </c>
      <c r="AH22" s="215">
        <v>4.1776906666666669</v>
      </c>
      <c r="AI22" s="215">
        <v>4.5387545551982855</v>
      </c>
      <c r="AJ22" s="215">
        <v>7.9557647058823528</v>
      </c>
      <c r="AK22" s="215">
        <v>7.7757950889077057</v>
      </c>
      <c r="AL22" s="215">
        <v>7.2000014947683111</v>
      </c>
      <c r="AM22" s="215">
        <v>9.457217906517446</v>
      </c>
      <c r="AN22" s="215">
        <v>10.499991416309014</v>
      </c>
      <c r="AO22" s="215">
        <v>8.9698025655326266</v>
      </c>
      <c r="AP22" s="215">
        <v>21.742838678328475</v>
      </c>
      <c r="AQ22" s="215">
        <v>3.8946280797809933</v>
      </c>
      <c r="AR22" s="215">
        <v>3.6977069784435512</v>
      </c>
      <c r="AS22" s="215">
        <v>7.3482672263029034</v>
      </c>
      <c r="AT22" s="215">
        <v>8.3723333333333336</v>
      </c>
      <c r="AU22" s="215">
        <v>6.8903128491620107</v>
      </c>
      <c r="AV22" s="215">
        <v>11.215397695421986</v>
      </c>
      <c r="AW22" s="215">
        <v>9.9709729895641495</v>
      </c>
      <c r="AX22" s="215">
        <v>5.7506186115214186</v>
      </c>
      <c r="AY22" s="215">
        <v>12.145447322970639</v>
      </c>
      <c r="AZ22" s="215">
        <v>7.7145528777998296</v>
      </c>
      <c r="BA22" s="215">
        <v>11.240950961798971</v>
      </c>
      <c r="BB22" s="215">
        <v>17.733051462904911</v>
      </c>
      <c r="BC22" s="215">
        <v>3.4993200621278802</v>
      </c>
      <c r="BD22" s="215">
        <v>3.6461306248392904</v>
      </c>
      <c r="BE22" s="215">
        <v>8.5503070429570425</v>
      </c>
      <c r="BF22" s="215">
        <v>8.5271786481967986</v>
      </c>
      <c r="BG22" s="215">
        <v>6.1338628677322209</v>
      </c>
      <c r="BH22" s="215">
        <v>7.634322316258352</v>
      </c>
      <c r="BI22" s="215">
        <v>6.0303776493256267</v>
      </c>
      <c r="BJ22" s="215">
        <v>5.5180582205822057</v>
      </c>
      <c r="BK22" s="215">
        <v>7.7961209992193643</v>
      </c>
      <c r="BL22" s="215">
        <v>6.4413222958057395</v>
      </c>
      <c r="BM22" s="215">
        <v>9.3361269895601637</v>
      </c>
      <c r="BN22" s="215">
        <v>14.49050558704454</v>
      </c>
      <c r="BO22" s="215">
        <v>4.1486935889377747</v>
      </c>
      <c r="BP22" s="215">
        <v>7.2673534923928083</v>
      </c>
      <c r="BQ22" s="215">
        <v>10.642153785798351</v>
      </c>
      <c r="BR22" s="215">
        <v>10.077513680312693</v>
      </c>
      <c r="BS22" s="215">
        <v>13.106718454755407</v>
      </c>
      <c r="BT22" s="215">
        <v>12.486068601583113</v>
      </c>
      <c r="BU22" s="215">
        <v>9.5036963884921448</v>
      </c>
      <c r="BV22" s="215">
        <v>0</v>
      </c>
      <c r="BW22" s="215" t="s">
        <v>4378</v>
      </c>
      <c r="BX22" s="215" t="s">
        <v>4378</v>
      </c>
      <c r="BY22" s="215" t="s">
        <v>4378</v>
      </c>
      <c r="BZ22" s="215" t="s">
        <v>4378</v>
      </c>
    </row>
    <row r="23" spans="2:78">
      <c r="B23" s="931" t="s">
        <v>66</v>
      </c>
      <c r="C23" s="242">
        <v>41.772574291992186</v>
      </c>
      <c r="H23" s="242">
        <v>18.634078431372551</v>
      </c>
      <c r="J23" s="215">
        <v>15.714285714285714</v>
      </c>
      <c r="K23" s="215">
        <v>8.5840800000000002</v>
      </c>
      <c r="L23" s="215">
        <v>31.014347826086958</v>
      </c>
      <c r="M23" s="215">
        <v>13.434538461538462</v>
      </c>
      <c r="N23" s="215">
        <v>15.063157894736841</v>
      </c>
      <c r="O23" s="215">
        <v>17.073349999999998</v>
      </c>
      <c r="P23" s="215">
        <v>16.499600000000001</v>
      </c>
      <c r="Q23" s="215">
        <v>22.474714285714281</v>
      </c>
      <c r="R23" s="215">
        <v>35.647000000000006</v>
      </c>
      <c r="S23" s="215">
        <v>18.994500000000002</v>
      </c>
      <c r="T23" s="215">
        <v>19.759888888888888</v>
      </c>
      <c r="U23" s="215">
        <v>17.731000000000002</v>
      </c>
      <c r="V23" s="215">
        <v>17.1938</v>
      </c>
      <c r="W23" s="215">
        <v>16.888774193548389</v>
      </c>
      <c r="X23" s="215">
        <v>15.010655172413793</v>
      </c>
      <c r="Y23" s="215">
        <v>18.096826086956522</v>
      </c>
      <c r="Z23" s="215">
        <v>19.311699999999998</v>
      </c>
      <c r="AA23" s="215">
        <v>22.37265</v>
      </c>
      <c r="AB23" s="215">
        <v>23.174999999999997</v>
      </c>
      <c r="AC23" s="215">
        <v>22.635236842105265</v>
      </c>
      <c r="AD23" s="215">
        <v>21.105645161290322</v>
      </c>
      <c r="AE23" s="215">
        <v>15.505208333333334</v>
      </c>
      <c r="AF23" s="215">
        <v>17.989255319148935</v>
      </c>
      <c r="AG23" s="215">
        <v>16.624184615384614</v>
      </c>
      <c r="AH23" s="215">
        <v>17.215758241758241</v>
      </c>
      <c r="AI23" s="215">
        <v>19.425036697247709</v>
      </c>
      <c r="AJ23" s="215">
        <v>22.782417112299466</v>
      </c>
      <c r="AK23" s="215">
        <v>24.166352631578949</v>
      </c>
      <c r="AL23" s="215">
        <v>26.178266304347829</v>
      </c>
      <c r="AM23" s="215">
        <v>32.948426605504586</v>
      </c>
      <c r="AN23" s="215">
        <v>32.557958174904947</v>
      </c>
      <c r="AO23" s="215">
        <v>31.047984555984556</v>
      </c>
      <c r="AP23" s="215">
        <v>54.569221951219518</v>
      </c>
      <c r="AQ23" s="215">
        <v>16.878922033898306</v>
      </c>
      <c r="AR23" s="215">
        <v>22.292123348017622</v>
      </c>
      <c r="AS23" s="215">
        <v>34.327934640522876</v>
      </c>
      <c r="AT23" s="215">
        <v>32.44540149625935</v>
      </c>
      <c r="AU23" s="215">
        <v>23.718576923076924</v>
      </c>
      <c r="AV23" s="215">
        <v>33.039121100917434</v>
      </c>
      <c r="AW23" s="215">
        <v>31.417243713733075</v>
      </c>
      <c r="AX23" s="215">
        <v>22.955004716981133</v>
      </c>
      <c r="AY23" s="215">
        <v>35.21976961602671</v>
      </c>
      <c r="AZ23" s="215">
        <v>27.484068686868685</v>
      </c>
      <c r="BA23" s="215">
        <v>33.952823240589197</v>
      </c>
      <c r="BB23" s="215">
        <v>44.659290131578949</v>
      </c>
      <c r="BC23" s="215">
        <v>28.045380497925311</v>
      </c>
      <c r="BD23" s="215">
        <v>30.42875965665236</v>
      </c>
      <c r="BE23" s="215">
        <v>37.131702169197396</v>
      </c>
      <c r="BF23" s="215">
        <v>41.905278169014082</v>
      </c>
      <c r="BG23" s="215">
        <v>31.152807058823527</v>
      </c>
      <c r="BH23" s="215">
        <v>29.448545704467353</v>
      </c>
      <c r="BI23" s="215">
        <v>29.402812108559502</v>
      </c>
      <c r="BJ23" s="215">
        <v>29.00548275862069</v>
      </c>
      <c r="BK23" s="215">
        <v>37.615182674199644</v>
      </c>
      <c r="BL23" s="215">
        <v>36.780491596638655</v>
      </c>
      <c r="BM23" s="215">
        <v>47.518283972125474</v>
      </c>
      <c r="BN23" s="215">
        <v>54.427537712895393</v>
      </c>
      <c r="BO23" s="215">
        <v>36.66984166666667</v>
      </c>
      <c r="BP23" s="215">
        <v>38.005761844484631</v>
      </c>
      <c r="BQ23" s="215">
        <v>38.752642857142853</v>
      </c>
      <c r="BR23" s="215">
        <v>39.505479032258066</v>
      </c>
      <c r="BS23" s="215">
        <v>49.862060702875404</v>
      </c>
      <c r="BT23" s="215">
        <v>45.434903988183159</v>
      </c>
      <c r="BU23" s="215">
        <v>41.587157142857144</v>
      </c>
      <c r="BV23" s="215" t="s">
        <v>4378</v>
      </c>
      <c r="BW23" s="215" t="s">
        <v>4378</v>
      </c>
      <c r="BX23" s="215" t="s">
        <v>4378</v>
      </c>
      <c r="BY23" s="215" t="s">
        <v>4378</v>
      </c>
      <c r="BZ23" s="215" t="s">
        <v>4378</v>
      </c>
    </row>
    <row r="24" spans="2:78">
      <c r="B24" s="931" t="s">
        <v>67</v>
      </c>
      <c r="C24" s="242">
        <v>2.1497802734375</v>
      </c>
      <c r="H24" s="242">
        <v>1.411764705882353</v>
      </c>
      <c r="J24" s="215">
        <v>1.6428571428571428</v>
      </c>
      <c r="K24" s="215">
        <v>1.08</v>
      </c>
      <c r="L24" s="215">
        <v>1.2608695652173914</v>
      </c>
      <c r="M24" s="215">
        <v>1.3076923076923077</v>
      </c>
      <c r="N24" s="215">
        <v>1.263157894736842</v>
      </c>
      <c r="O24" s="215">
        <v>1.45</v>
      </c>
      <c r="P24" s="215">
        <v>1.5</v>
      </c>
      <c r="Q24" s="215">
        <v>2</v>
      </c>
      <c r="R24" s="215">
        <v>2.28125</v>
      </c>
      <c r="S24" s="215">
        <v>1.4545454545454546</v>
      </c>
      <c r="T24" s="215">
        <v>1.2222222222222223</v>
      </c>
      <c r="U24" s="215">
        <v>1.45</v>
      </c>
      <c r="V24" s="215">
        <v>1.44</v>
      </c>
      <c r="W24" s="215">
        <v>1.3225806451612903</v>
      </c>
      <c r="X24" s="215">
        <v>1.2413793103448276</v>
      </c>
      <c r="Y24" s="215">
        <v>1.3478260869565217</v>
      </c>
      <c r="Z24" s="215">
        <v>1.2333333333333334</v>
      </c>
      <c r="AA24" s="215">
        <v>1.3</v>
      </c>
      <c r="AB24" s="215">
        <v>1.4615384615384615</v>
      </c>
      <c r="AC24" s="215">
        <v>1.3947368421052631</v>
      </c>
      <c r="AD24" s="215">
        <v>1.6612903225806452</v>
      </c>
      <c r="AE24" s="215">
        <v>1.0208333333333333</v>
      </c>
      <c r="AF24" s="215">
        <v>1.2340425531914894</v>
      </c>
      <c r="AG24" s="215">
        <v>1.2307692307692308</v>
      </c>
      <c r="AH24" s="215">
        <v>1.2417582417582418</v>
      </c>
      <c r="AI24" s="215">
        <v>1.2201834862385321</v>
      </c>
      <c r="AJ24" s="215">
        <v>1.4224598930481283</v>
      </c>
      <c r="AK24" s="215">
        <v>1.5315789473684212</v>
      </c>
      <c r="AL24" s="215">
        <v>1.5706521739130435</v>
      </c>
      <c r="AM24" s="215">
        <v>1.9862385321100917</v>
      </c>
      <c r="AN24" s="215">
        <v>1.7604562737642586</v>
      </c>
      <c r="AO24" s="215">
        <v>1.803088803088803</v>
      </c>
      <c r="AP24" s="215">
        <v>2.4073170731707316</v>
      </c>
      <c r="AQ24" s="215">
        <v>1.264406779661017</v>
      </c>
      <c r="AR24" s="215">
        <v>1.3964757709251101</v>
      </c>
      <c r="AS24" s="215">
        <v>1.6797385620915033</v>
      </c>
      <c r="AT24" s="215">
        <v>1.6408977556109725</v>
      </c>
      <c r="AU24" s="215">
        <v>1.3760683760683761</v>
      </c>
      <c r="AV24" s="215">
        <v>1.4788990825688073</v>
      </c>
      <c r="AW24" s="215">
        <v>1.5106382978723405</v>
      </c>
      <c r="AX24" s="215">
        <v>1.3985849056603774</v>
      </c>
      <c r="AY24" s="215">
        <v>1.5843071786310519</v>
      </c>
      <c r="AZ24" s="215">
        <v>1.5313131313131314</v>
      </c>
      <c r="BA24" s="215">
        <v>1.9754500818330605</v>
      </c>
      <c r="BB24" s="215">
        <v>2.1157894736842104</v>
      </c>
      <c r="BC24" s="215">
        <v>1.4481327800829875</v>
      </c>
      <c r="BD24" s="215">
        <v>1.4334763948497855</v>
      </c>
      <c r="BE24" s="215">
        <v>1.8980477223427332</v>
      </c>
      <c r="BF24" s="215">
        <v>1.8990610328638498</v>
      </c>
      <c r="BG24" s="215">
        <v>1.5811764705882352</v>
      </c>
      <c r="BH24" s="215">
        <v>1.7663230240549828</v>
      </c>
      <c r="BI24" s="215">
        <v>1.6555323590814197</v>
      </c>
      <c r="BJ24" s="215">
        <v>1.6616379310344827</v>
      </c>
      <c r="BK24" s="215">
        <v>2.0998116760828625</v>
      </c>
      <c r="BL24" s="215">
        <v>1.7731092436974789</v>
      </c>
      <c r="BM24" s="215">
        <v>2.2334494773519165</v>
      </c>
      <c r="BN24" s="215">
        <v>2.3041362530413627</v>
      </c>
      <c r="BO24" s="215">
        <v>1.9166666666666667</v>
      </c>
      <c r="BP24" s="215">
        <v>1.5940325497287522</v>
      </c>
      <c r="BQ24" s="215">
        <v>1.9835714285714285</v>
      </c>
      <c r="BR24" s="215">
        <v>1.939516129032258</v>
      </c>
      <c r="BS24" s="215">
        <v>3.0127795527156551</v>
      </c>
      <c r="BT24" s="215">
        <v>2.3796159527326441</v>
      </c>
      <c r="BU24" s="215">
        <v>2.0464285714285713</v>
      </c>
      <c r="BV24" s="215" t="s">
        <v>4378</v>
      </c>
      <c r="BW24" s="215" t="s">
        <v>4378</v>
      </c>
      <c r="BX24" s="215" t="s">
        <v>4378</v>
      </c>
      <c r="BY24" s="215" t="s">
        <v>4378</v>
      </c>
      <c r="BZ24" s="215" t="s">
        <v>4378</v>
      </c>
    </row>
    <row r="25" spans="2:78">
      <c r="B25" s="931" t="s">
        <v>68</v>
      </c>
      <c r="C25" s="242">
        <v>5.137714285714285</v>
      </c>
      <c r="H25" s="242">
        <v>4.864583333333333</v>
      </c>
      <c r="J25" s="215">
        <v>1.4545454545454546</v>
      </c>
      <c r="K25" s="215">
        <v>3</v>
      </c>
      <c r="L25" s="215">
        <v>3.2666666666666666</v>
      </c>
      <c r="M25" s="215">
        <v>3.90625</v>
      </c>
      <c r="N25" s="215">
        <v>4.5</v>
      </c>
      <c r="O25" s="215">
        <v>4.6785714285714288</v>
      </c>
      <c r="P25" s="215">
        <v>4.8076923076923075</v>
      </c>
      <c r="Q25" s="215">
        <v>4.3571428571428568</v>
      </c>
      <c r="R25" s="215">
        <v>4.15625</v>
      </c>
      <c r="S25" s="215">
        <v>4.166666666666667</v>
      </c>
      <c r="T25" s="215">
        <v>4.71875</v>
      </c>
      <c r="U25" s="215">
        <v>5.1875</v>
      </c>
      <c r="V25" s="215">
        <v>3.403225806451613</v>
      </c>
      <c r="W25" s="215">
        <v>3.7432432432432434</v>
      </c>
      <c r="X25" s="215">
        <v>4.6111111111111107</v>
      </c>
      <c r="Y25" s="215">
        <v>5.2727272727272725</v>
      </c>
      <c r="Z25" s="215">
        <v>4.8289473684210522</v>
      </c>
      <c r="AA25" s="215">
        <v>4.3191489361702127</v>
      </c>
      <c r="AB25" s="215">
        <v>4.3235294117647056</v>
      </c>
      <c r="AC25" s="215">
        <v>4.2767857142857144</v>
      </c>
      <c r="AD25" s="215">
        <v>4.2307692307692308</v>
      </c>
      <c r="AE25" s="215">
        <v>4.6484375</v>
      </c>
      <c r="AF25" s="215">
        <v>4.8559322033898304</v>
      </c>
      <c r="AG25" s="215">
        <v>4.918032786885246</v>
      </c>
      <c r="AH25" s="215">
        <v>4.6296296296296298</v>
      </c>
      <c r="AI25" s="215">
        <v>4.5291262135922334</v>
      </c>
      <c r="AJ25" s="215">
        <v>4.0568181818181817</v>
      </c>
      <c r="AK25" s="215">
        <v>4.0445205479452051</v>
      </c>
      <c r="AL25" s="215">
        <v>4.1552795031055902</v>
      </c>
      <c r="AM25" s="215">
        <v>4.34</v>
      </c>
      <c r="AN25" s="215">
        <v>4.4562841530054644</v>
      </c>
      <c r="AO25" s="215">
        <v>4.5277777777777777</v>
      </c>
      <c r="AP25" s="215">
        <v>4.59375</v>
      </c>
      <c r="AQ25" s="215">
        <v>4.5824372759856633</v>
      </c>
      <c r="AR25" s="215">
        <v>4.8528368794326244</v>
      </c>
      <c r="AS25" s="215">
        <v>4.5094637223974763</v>
      </c>
      <c r="AT25" s="215">
        <v>4.2228260869565215</v>
      </c>
      <c r="AU25" s="215">
        <v>4.1413881748071981</v>
      </c>
      <c r="AV25" s="215">
        <v>4.095663265306122</v>
      </c>
      <c r="AW25" s="215">
        <v>4.0123152709359609</v>
      </c>
      <c r="AX25" s="215">
        <v>4.1482843137254903</v>
      </c>
      <c r="AY25" s="215">
        <v>4.1063829787234045</v>
      </c>
      <c r="AZ25" s="215">
        <v>4.044724770642202</v>
      </c>
      <c r="BA25" s="215">
        <v>4.2523041474654377</v>
      </c>
      <c r="BB25" s="215">
        <v>4.4824355971896956</v>
      </c>
      <c r="BC25" s="215">
        <v>4.4607390300230945</v>
      </c>
      <c r="BD25" s="215">
        <v>4.6742788461538458</v>
      </c>
      <c r="BE25" s="215">
        <v>4.5603644646924826</v>
      </c>
      <c r="BF25" s="215">
        <v>4.6214128035320092</v>
      </c>
      <c r="BG25" s="215">
        <v>4.5442105263157897</v>
      </c>
      <c r="BH25" s="215">
        <v>4.6868475991649268</v>
      </c>
      <c r="BI25" s="215">
        <v>5.1670353982300883</v>
      </c>
      <c r="BJ25" s="215">
        <v>5.2451612903225806</v>
      </c>
      <c r="BK25" s="215">
        <v>5.3710691823899372</v>
      </c>
      <c r="BL25" s="215">
        <v>5.5020242914979756</v>
      </c>
      <c r="BM25" s="215">
        <v>5.4505597014925371</v>
      </c>
      <c r="BN25" s="215">
        <v>5.6444241316270567</v>
      </c>
      <c r="BO25" s="215">
        <v>5.743682310469314</v>
      </c>
      <c r="BP25" s="215">
        <v>4.82</v>
      </c>
      <c r="BQ25" s="215">
        <v>4.305743243243243</v>
      </c>
      <c r="BR25" s="215">
        <v>4.4514652014652016</v>
      </c>
      <c r="BS25" s="215">
        <v>4.4597378277153554</v>
      </c>
      <c r="BT25" s="215">
        <v>4.7834951456310684</v>
      </c>
      <c r="BU25" s="215">
        <v>4.9009999999999998</v>
      </c>
      <c r="BV25" s="215" t="s">
        <v>4378</v>
      </c>
      <c r="BW25" s="215" t="s">
        <v>4378</v>
      </c>
      <c r="BX25" s="215" t="s">
        <v>4378</v>
      </c>
      <c r="BY25" s="215" t="s">
        <v>4378</v>
      </c>
      <c r="BZ25" s="215" t="s">
        <v>4378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27">
        <v>42036</v>
      </c>
      <c r="AS28" s="211">
        <v>42064</v>
      </c>
      <c r="AT28" s="211">
        <v>42095</v>
      </c>
      <c r="AU28" s="211">
        <v>42155</v>
      </c>
      <c r="AV28" s="211">
        <v>42185</v>
      </c>
      <c r="AW28" s="211">
        <v>42216</v>
      </c>
      <c r="AX28" s="211">
        <v>42247</v>
      </c>
      <c r="AY28" s="211">
        <v>42277</v>
      </c>
      <c r="AZ28" s="211">
        <v>42308</v>
      </c>
      <c r="BA28" s="211">
        <v>42338</v>
      </c>
      <c r="BB28" s="211"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v>37.142857142857146</v>
      </c>
      <c r="H29" s="243">
        <v>9.3333333333333339</v>
      </c>
      <c r="J29" s="937">
        <v>21</v>
      </c>
      <c r="K29" s="937">
        <v>7</v>
      </c>
      <c r="L29" s="937">
        <v>15</v>
      </c>
      <c r="M29" s="937">
        <v>9</v>
      </c>
      <c r="N29" s="937">
        <v>4</v>
      </c>
      <c r="O29" s="937">
        <v>2</v>
      </c>
      <c r="P29" s="937">
        <v>6</v>
      </c>
      <c r="Q29" s="937">
        <v>3</v>
      </c>
      <c r="R29" s="937">
        <v>12</v>
      </c>
      <c r="S29" s="937">
        <v>8</v>
      </c>
      <c r="T29" s="937">
        <v>1</v>
      </c>
      <c r="U29" s="937">
        <v>19</v>
      </c>
      <c r="V29" s="937">
        <v>27</v>
      </c>
      <c r="W29" s="937">
        <v>35</v>
      </c>
      <c r="X29" s="937">
        <v>24</v>
      </c>
      <c r="Y29" s="937">
        <v>17</v>
      </c>
      <c r="Z29" s="937">
        <v>23</v>
      </c>
      <c r="AA29" s="937">
        <v>38</v>
      </c>
      <c r="AB29" s="937">
        <v>29</v>
      </c>
      <c r="AC29" s="937">
        <v>26</v>
      </c>
      <c r="AD29" s="937">
        <v>38</v>
      </c>
      <c r="AE29" s="935">
        <v>16</v>
      </c>
      <c r="AF29" s="935">
        <v>20</v>
      </c>
      <c r="AG29" s="935">
        <v>40</v>
      </c>
      <c r="AH29" s="935">
        <v>82</v>
      </c>
      <c r="AI29" s="935">
        <v>102</v>
      </c>
    </row>
    <row r="30" spans="2:78">
      <c r="B30" s="1592" t="s">
        <v>153</v>
      </c>
      <c r="C30" s="243">
        <v>27.571428571428573</v>
      </c>
      <c r="H30" s="243">
        <v>7.333333333333333</v>
      </c>
      <c r="K30" s="937">
        <v>21</v>
      </c>
      <c r="L30" s="937">
        <v>7</v>
      </c>
      <c r="M30" s="937">
        <v>15</v>
      </c>
      <c r="N30" s="937">
        <v>7</v>
      </c>
      <c r="O30" s="937">
        <v>4</v>
      </c>
      <c r="P30" s="937">
        <v>2</v>
      </c>
      <c r="Q30" s="937">
        <v>6</v>
      </c>
      <c r="R30" s="937">
        <v>3</v>
      </c>
      <c r="S30" s="937">
        <v>12</v>
      </c>
      <c r="T30" s="937">
        <v>8</v>
      </c>
      <c r="U30" s="937">
        <v>2</v>
      </c>
      <c r="V30" s="937">
        <v>19</v>
      </c>
      <c r="W30" s="937">
        <v>27</v>
      </c>
      <c r="X30" s="937">
        <v>33</v>
      </c>
      <c r="Y30" s="937">
        <v>24</v>
      </c>
      <c r="Z30" s="937">
        <v>17</v>
      </c>
      <c r="AA30" s="937">
        <v>23</v>
      </c>
      <c r="AB30" s="937">
        <v>38</v>
      </c>
      <c r="AC30" s="937">
        <v>29</v>
      </c>
      <c r="AD30" s="937">
        <v>26</v>
      </c>
      <c r="AE30" s="935">
        <v>38</v>
      </c>
      <c r="AF30" s="935">
        <v>17</v>
      </c>
      <c r="AG30" s="935">
        <v>20</v>
      </c>
      <c r="AH30" s="935">
        <v>40</v>
      </c>
      <c r="AI30" s="935">
        <v>78</v>
      </c>
    </row>
    <row r="31" spans="2:78">
      <c r="B31" s="1592" t="s">
        <v>70</v>
      </c>
      <c r="C31" s="243">
        <v>19.571428571428573</v>
      </c>
      <c r="H31" s="243">
        <v>7.333333333333333</v>
      </c>
      <c r="L31" s="937">
        <v>21</v>
      </c>
      <c r="M31" s="937">
        <v>7</v>
      </c>
      <c r="N31" s="937">
        <v>16</v>
      </c>
      <c r="O31" s="937">
        <v>8</v>
      </c>
      <c r="P31" s="937">
        <v>4</v>
      </c>
      <c r="Q31" s="937">
        <v>2</v>
      </c>
      <c r="R31" s="937">
        <v>6</v>
      </c>
      <c r="S31" s="937">
        <v>3</v>
      </c>
      <c r="T31" s="937">
        <v>12</v>
      </c>
      <c r="U31" s="937">
        <v>7</v>
      </c>
      <c r="V31" s="937">
        <v>2</v>
      </c>
      <c r="W31" s="937">
        <v>19</v>
      </c>
      <c r="X31" s="937">
        <v>23</v>
      </c>
      <c r="Y31" s="937">
        <v>32</v>
      </c>
      <c r="Z31" s="937">
        <v>24</v>
      </c>
      <c r="AA31" s="937">
        <v>17</v>
      </c>
      <c r="AB31" s="937">
        <v>23</v>
      </c>
      <c r="AC31" s="937">
        <v>38</v>
      </c>
      <c r="AD31" s="937">
        <v>29</v>
      </c>
      <c r="AE31" s="935">
        <v>26</v>
      </c>
      <c r="AF31" s="935">
        <v>37</v>
      </c>
      <c r="AG31" s="935">
        <v>16</v>
      </c>
      <c r="AH31" s="935">
        <v>20</v>
      </c>
      <c r="AI31" s="935">
        <v>38</v>
      </c>
    </row>
    <row r="32" spans="2:78">
      <c r="B32" s="1592" t="s">
        <v>71</v>
      </c>
      <c r="C32" s="243">
        <v>52.857142857142854</v>
      </c>
      <c r="H32" s="243">
        <v>13</v>
      </c>
      <c r="M32" s="937">
        <v>20</v>
      </c>
      <c r="N32" s="937">
        <v>26</v>
      </c>
      <c r="O32" s="937">
        <v>35</v>
      </c>
      <c r="P32" s="937">
        <v>23</v>
      </c>
      <c r="Q32" s="937">
        <v>19</v>
      </c>
      <c r="R32" s="937">
        <v>11</v>
      </c>
      <c r="S32" s="937">
        <v>12</v>
      </c>
      <c r="T32" s="937">
        <v>9</v>
      </c>
      <c r="U32" s="937">
        <v>18</v>
      </c>
      <c r="V32" s="937">
        <v>19</v>
      </c>
      <c r="W32" s="937">
        <v>19</v>
      </c>
      <c r="X32" s="937">
        <v>28</v>
      </c>
      <c r="Y32" s="937">
        <v>32</v>
      </c>
      <c r="Z32" s="937">
        <v>54</v>
      </c>
      <c r="AA32" s="937">
        <v>47</v>
      </c>
      <c r="AB32" s="937">
        <v>42</v>
      </c>
      <c r="AC32" s="937">
        <v>48</v>
      </c>
      <c r="AD32" s="937">
        <v>70</v>
      </c>
      <c r="AE32" s="935">
        <v>75</v>
      </c>
      <c r="AF32" s="935">
        <v>69</v>
      </c>
      <c r="AG32" s="935">
        <v>84</v>
      </c>
      <c r="AH32" s="935">
        <v>78</v>
      </c>
      <c r="AI32" s="935">
        <v>64</v>
      </c>
    </row>
    <row r="33" spans="1:90">
      <c r="B33" s="1592" t="s">
        <v>72</v>
      </c>
      <c r="C33" s="243">
        <v>45.428571428571431</v>
      </c>
      <c r="H33" s="243">
        <v>25.666666666666668</v>
      </c>
      <c r="P33" s="937">
        <v>13</v>
      </c>
      <c r="Q33" s="937">
        <v>15</v>
      </c>
      <c r="R33" s="937">
        <v>24</v>
      </c>
      <c r="S33" s="937">
        <v>24</v>
      </c>
      <c r="T33" s="937">
        <v>28</v>
      </c>
      <c r="U33" s="937">
        <v>25</v>
      </c>
      <c r="V33" s="937">
        <v>11</v>
      </c>
      <c r="W33" s="937">
        <v>10</v>
      </c>
      <c r="X33" s="937">
        <v>17</v>
      </c>
      <c r="Y33" s="937">
        <v>16</v>
      </c>
      <c r="Z33" s="937">
        <v>16</v>
      </c>
      <c r="AA33" s="937">
        <v>20</v>
      </c>
      <c r="AB33" s="937">
        <v>25</v>
      </c>
      <c r="AC33" s="937">
        <v>33</v>
      </c>
      <c r="AD33" s="937">
        <v>43</v>
      </c>
      <c r="AE33" s="935">
        <v>46</v>
      </c>
      <c r="AF33" s="935">
        <v>46</v>
      </c>
      <c r="AG33" s="935">
        <v>64</v>
      </c>
      <c r="AH33" s="935">
        <v>82</v>
      </c>
      <c r="AI33" s="935">
        <v>80</v>
      </c>
    </row>
    <row r="34" spans="1:90">
      <c r="B34" s="1592" t="s">
        <v>73</v>
      </c>
      <c r="C34" s="243">
        <v>74.285714285714292</v>
      </c>
      <c r="H34" s="243">
        <v>18.333333333333332</v>
      </c>
      <c r="J34" s="937">
        <v>11</v>
      </c>
      <c r="K34" s="937">
        <v>12</v>
      </c>
      <c r="L34" s="937">
        <v>15</v>
      </c>
      <c r="M34" s="937">
        <v>16</v>
      </c>
      <c r="N34" s="937">
        <v>15</v>
      </c>
      <c r="O34" s="937">
        <v>14</v>
      </c>
      <c r="P34" s="937">
        <v>14</v>
      </c>
      <c r="Q34" s="937">
        <v>15</v>
      </c>
      <c r="R34" s="937">
        <v>17</v>
      </c>
      <c r="S34" s="937">
        <v>18</v>
      </c>
      <c r="T34" s="937">
        <v>16</v>
      </c>
      <c r="U34" s="937">
        <v>21</v>
      </c>
      <c r="V34" s="937">
        <v>41</v>
      </c>
      <c r="W34" s="937">
        <v>48</v>
      </c>
      <c r="X34" s="937">
        <v>49</v>
      </c>
      <c r="Y34" s="937">
        <v>53</v>
      </c>
      <c r="Z34" s="937">
        <v>59</v>
      </c>
      <c r="AA34" s="937">
        <v>68</v>
      </c>
      <c r="AB34" s="937">
        <v>71</v>
      </c>
      <c r="AC34" s="937">
        <v>77</v>
      </c>
      <c r="AD34" s="937">
        <v>93</v>
      </c>
      <c r="AE34" s="935">
        <v>95</v>
      </c>
      <c r="AF34" s="935">
        <v>86</v>
      </c>
      <c r="AG34" s="935">
        <v>91</v>
      </c>
      <c r="AH34" s="935">
        <v>115</v>
      </c>
      <c r="AI34" s="935">
        <v>133</v>
      </c>
    </row>
    <row r="35" spans="1:90" s="956" customFormat="1">
      <c r="A35" s="935"/>
      <c r="B35" s="1592" t="s">
        <v>74</v>
      </c>
      <c r="C35" s="953">
        <v>4.4285714285714288</v>
      </c>
      <c r="D35" s="932"/>
      <c r="E35" s="954"/>
      <c r="F35" s="954"/>
      <c r="G35" s="954"/>
      <c r="H35" s="953"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  <c r="AF35" s="956">
        <v>2</v>
      </c>
      <c r="AG35" s="956">
        <v>8</v>
      </c>
      <c r="AH35" s="956">
        <v>10</v>
      </c>
      <c r="AI35" s="956">
        <v>11</v>
      </c>
      <c r="BU35" s="2373"/>
      <c r="BV35" s="2373"/>
      <c r="BW35" s="2373"/>
      <c r="BX35" s="2373"/>
      <c r="BY35" s="2373"/>
      <c r="BZ35" s="2373"/>
    </row>
    <row r="36" spans="1:90" s="1318" customFormat="1">
      <c r="A36" s="935" t="s">
        <v>4273</v>
      </c>
      <c r="B36" s="1313" t="s">
        <v>49</v>
      </c>
      <c r="C36" s="1314">
        <v>2410</v>
      </c>
      <c r="D36" s="1315"/>
      <c r="E36" s="1314"/>
      <c r="F36" s="1314"/>
      <c r="G36" s="1314"/>
      <c r="H36" s="1314">
        <v>81</v>
      </c>
      <c r="I36" s="1316"/>
      <c r="J36" s="1317">
        <v>32</v>
      </c>
      <c r="K36" s="1317">
        <v>40</v>
      </c>
      <c r="L36" s="1317">
        <v>58</v>
      </c>
      <c r="M36" s="1317">
        <v>67</v>
      </c>
      <c r="N36" s="1317">
        <v>68</v>
      </c>
      <c r="O36" s="1317">
        <v>63</v>
      </c>
      <c r="P36" s="1317">
        <v>62</v>
      </c>
      <c r="Q36" s="1317">
        <v>60</v>
      </c>
      <c r="R36" s="1317">
        <v>73</v>
      </c>
      <c r="S36" s="1317">
        <v>77</v>
      </c>
      <c r="T36" s="1317">
        <v>74</v>
      </c>
      <c r="U36" s="1317">
        <v>92</v>
      </c>
      <c r="V36" s="1317">
        <v>119</v>
      </c>
      <c r="W36" s="1317">
        <v>158</v>
      </c>
      <c r="X36" s="1317">
        <v>174</v>
      </c>
      <c r="Y36" s="1317">
        <v>174</v>
      </c>
      <c r="Z36" s="1317">
        <v>193</v>
      </c>
      <c r="AA36" s="1317">
        <v>213</v>
      </c>
      <c r="AB36" s="1317">
        <v>228</v>
      </c>
      <c r="AC36" s="1317">
        <v>251</v>
      </c>
      <c r="AD36" s="1317">
        <v>299</v>
      </c>
      <c r="AE36" s="1317">
        <v>296</v>
      </c>
      <c r="AF36" s="1317">
        <v>277</v>
      </c>
      <c r="AG36" s="1317">
        <v>323</v>
      </c>
      <c r="AH36" s="1317">
        <v>427</v>
      </c>
      <c r="AI36" s="1317">
        <v>506</v>
      </c>
      <c r="AJ36" s="1317">
        <v>565</v>
      </c>
      <c r="AK36" s="1317">
        <v>616</v>
      </c>
      <c r="AL36" s="1317">
        <v>722</v>
      </c>
      <c r="AM36" s="1317">
        <v>797</v>
      </c>
      <c r="AN36" s="1317">
        <v>834</v>
      </c>
      <c r="AO36" s="1317">
        <v>959</v>
      </c>
      <c r="AP36" s="1317">
        <v>1099</v>
      </c>
      <c r="AQ36" s="1317">
        <v>1354</v>
      </c>
      <c r="AR36" s="1317">
        <v>1383</v>
      </c>
      <c r="AS36" s="1317">
        <v>1476</v>
      </c>
      <c r="AT36" s="1317">
        <v>1632</v>
      </c>
      <c r="AU36" s="1317">
        <v>1590</v>
      </c>
      <c r="AV36" s="1317">
        <v>1621</v>
      </c>
      <c r="AW36" s="1317">
        <v>1650</v>
      </c>
      <c r="AX36" s="1317">
        <v>1751</v>
      </c>
      <c r="AY36" s="1317">
        <v>1734</v>
      </c>
      <c r="AZ36" s="1317">
        <v>1802</v>
      </c>
      <c r="BA36" s="1317">
        <v>1892</v>
      </c>
      <c r="BB36" s="1317">
        <v>1928</v>
      </c>
      <c r="BC36" s="1902">
        <v>1939</v>
      </c>
      <c r="BD36" s="1902">
        <v>1938</v>
      </c>
      <c r="BE36" s="1902">
        <v>2068</v>
      </c>
      <c r="BF36" s="1902">
        <v>2121</v>
      </c>
      <c r="BG36" s="1902">
        <v>2197</v>
      </c>
      <c r="BH36" s="1902">
        <v>2295</v>
      </c>
      <c r="BI36" s="1902">
        <v>2378</v>
      </c>
      <c r="BJ36" s="1317">
        <v>2500</v>
      </c>
      <c r="BK36" s="1317">
        <v>2624</v>
      </c>
      <c r="BL36" s="1317">
        <v>2812</v>
      </c>
      <c r="BM36" s="1317">
        <v>3031</v>
      </c>
      <c r="BN36" s="1317">
        <v>3144</v>
      </c>
      <c r="BO36" s="1903">
        <v>3220</v>
      </c>
      <c r="BP36" s="1903">
        <v>2564</v>
      </c>
      <c r="BQ36" s="1903">
        <v>2534</v>
      </c>
      <c r="BR36" s="1903">
        <v>2327</v>
      </c>
      <c r="BS36" s="1903">
        <v>2436</v>
      </c>
      <c r="BT36" s="1903">
        <v>2491</v>
      </c>
      <c r="BU36" s="1903">
        <v>2410</v>
      </c>
      <c r="BV36" s="1903">
        <v>0</v>
      </c>
      <c r="BW36" s="1903">
        <v>0</v>
      </c>
      <c r="BX36" s="1903">
        <v>0</v>
      </c>
      <c r="BY36" s="1903">
        <v>0</v>
      </c>
      <c r="BZ36" s="1903">
        <v>0</v>
      </c>
      <c r="CA36" s="1903"/>
      <c r="CB36" s="1903"/>
      <c r="CC36" s="1903"/>
      <c r="CD36" s="1903"/>
      <c r="CE36" s="1903"/>
      <c r="CF36" s="1903"/>
      <c r="CG36" s="1903"/>
    </row>
    <row r="38" spans="1:90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27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v>42247</v>
      </c>
      <c r="AY38" s="211">
        <v>42277</v>
      </c>
      <c r="AZ38" s="211">
        <v>42308</v>
      </c>
      <c r="BA38" s="211">
        <v>42338</v>
      </c>
      <c r="BB38" s="211"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90" s="1203" customFormat="1">
      <c r="A39" s="935" t="s">
        <v>4274</v>
      </c>
      <c r="B39" s="1199" t="s">
        <v>154</v>
      </c>
      <c r="C39" s="1899">
        <v>1899</v>
      </c>
      <c r="D39" s="1200"/>
      <c r="E39" s="1201"/>
      <c r="F39" s="1201"/>
      <c r="G39" s="1201"/>
      <c r="H39" s="918">
        <v>63.333333333333336</v>
      </c>
      <c r="I39" s="1200"/>
      <c r="J39" s="1202">
        <v>21</v>
      </c>
      <c r="K39" s="1202">
        <v>28</v>
      </c>
      <c r="L39" s="1202">
        <v>43</v>
      </c>
      <c r="M39" s="1202">
        <v>51</v>
      </c>
      <c r="N39" s="1202">
        <v>53</v>
      </c>
      <c r="O39" s="1202">
        <v>49</v>
      </c>
      <c r="P39" s="1202">
        <v>48</v>
      </c>
      <c r="Q39" s="1202">
        <v>45</v>
      </c>
      <c r="R39" s="1202">
        <v>56</v>
      </c>
      <c r="S39" s="1202">
        <v>58</v>
      </c>
      <c r="T39" s="1202">
        <v>57</v>
      </c>
      <c r="U39" s="1202">
        <v>75</v>
      </c>
      <c r="V39" s="1202">
        <v>80</v>
      </c>
      <c r="W39" s="1202">
        <v>113</v>
      </c>
      <c r="X39" s="1202">
        <v>130</v>
      </c>
      <c r="Y39" s="1202">
        <v>132</v>
      </c>
      <c r="Z39" s="1202">
        <v>146</v>
      </c>
      <c r="AA39" s="1202">
        <v>161</v>
      </c>
      <c r="AB39" s="1202">
        <v>174</v>
      </c>
      <c r="AC39" s="1202">
        <v>192</v>
      </c>
      <c r="AD39" s="1202">
        <v>226</v>
      </c>
      <c r="AE39" s="1203">
        <v>224</v>
      </c>
      <c r="AF39" s="1203">
        <v>210</v>
      </c>
      <c r="AG39" s="1203">
        <v>252</v>
      </c>
      <c r="AH39" s="1203">
        <v>335</v>
      </c>
      <c r="AI39" s="1203">
        <v>394</v>
      </c>
      <c r="AJ39" s="1203">
        <v>425</v>
      </c>
      <c r="AK39" s="1203">
        <v>461</v>
      </c>
      <c r="AL39" s="1203">
        <v>550</v>
      </c>
      <c r="AM39" s="1203">
        <v>609</v>
      </c>
      <c r="AN39" s="1203">
        <v>640</v>
      </c>
      <c r="AO39" s="1203">
        <v>742</v>
      </c>
      <c r="AP39" s="1203">
        <v>843</v>
      </c>
      <c r="AQ39" s="1203">
        <v>1025</v>
      </c>
      <c r="AR39" s="1203">
        <v>1043</v>
      </c>
      <c r="AS39" s="1203">
        <v>1088</v>
      </c>
      <c r="AT39" s="1203">
        <v>1193</v>
      </c>
      <c r="AU39" s="1203">
        <v>1125</v>
      </c>
      <c r="AV39" s="1203">
        <v>1155</v>
      </c>
      <c r="AW39" s="1203">
        <v>1179</v>
      </c>
      <c r="AX39" s="1203">
        <v>1278</v>
      </c>
      <c r="AY39" s="1203">
        <v>1248</v>
      </c>
      <c r="AZ39" s="1203">
        <v>1295</v>
      </c>
      <c r="BA39" s="1203">
        <v>1380</v>
      </c>
      <c r="BB39" s="1203">
        <v>1422</v>
      </c>
      <c r="BC39" s="1203">
        <v>1429</v>
      </c>
      <c r="BD39" s="1203">
        <v>1443</v>
      </c>
      <c r="BE39" s="1203">
        <v>1545</v>
      </c>
      <c r="BF39" s="1203">
        <v>1574</v>
      </c>
      <c r="BG39" s="1203">
        <v>1627</v>
      </c>
      <c r="BH39" s="1203">
        <v>1730</v>
      </c>
      <c r="BI39" s="1203">
        <v>1845</v>
      </c>
      <c r="BJ39" s="1203">
        <v>1944</v>
      </c>
      <c r="BK39" s="1203">
        <v>2064</v>
      </c>
      <c r="BL39" s="1203">
        <v>2227</v>
      </c>
      <c r="BM39" s="1203">
        <v>2410</v>
      </c>
      <c r="BN39" s="1203">
        <v>2513</v>
      </c>
      <c r="BO39" s="1657">
        <v>2581</v>
      </c>
      <c r="BP39" s="1657">
        <v>1867</v>
      </c>
      <c r="BQ39" s="1657">
        <v>1817</v>
      </c>
      <c r="BR39" s="1657">
        <v>1650</v>
      </c>
      <c r="BS39" s="1657">
        <v>1756</v>
      </c>
      <c r="BT39" s="1657">
        <v>1833</v>
      </c>
      <c r="BU39" s="1657">
        <v>1789</v>
      </c>
      <c r="BV39" s="1657">
        <v>0</v>
      </c>
      <c r="BW39" s="1657">
        <v>0</v>
      </c>
      <c r="BX39" s="1657">
        <v>0</v>
      </c>
      <c r="BY39" s="1657">
        <v>0</v>
      </c>
      <c r="BZ39" s="1657">
        <v>0</v>
      </c>
      <c r="CA39" s="1657"/>
      <c r="CB39" s="1657"/>
      <c r="CC39" s="1657"/>
      <c r="CD39" s="1657"/>
      <c r="CE39" s="1657"/>
      <c r="CF39" s="1657"/>
      <c r="CG39" s="1657"/>
      <c r="CH39" s="1657"/>
    </row>
    <row r="40" spans="1:90" s="1203" customFormat="1">
      <c r="A40" s="935" t="s">
        <v>4275</v>
      </c>
      <c r="B40" s="1199" t="s">
        <v>155</v>
      </c>
      <c r="C40" s="1899">
        <v>121.14285714285714</v>
      </c>
      <c r="D40" s="1200"/>
      <c r="E40" s="1201"/>
      <c r="F40" s="1201"/>
      <c r="G40" s="1201"/>
      <c r="H40" s="918">
        <v>1</v>
      </c>
      <c r="I40" s="1200"/>
      <c r="J40" s="1202"/>
      <c r="K40" s="1202"/>
      <c r="L40" s="1202"/>
      <c r="M40" s="1202"/>
      <c r="N40" s="1202"/>
      <c r="O40" s="1202"/>
      <c r="P40" s="1202">
        <v>1</v>
      </c>
      <c r="Q40" s="1202">
        <v>1</v>
      </c>
      <c r="R40" s="1202">
        <v>1</v>
      </c>
      <c r="S40" s="1202">
        <v>1</v>
      </c>
      <c r="T40" s="1202">
        <v>1</v>
      </c>
      <c r="U40" s="1202">
        <v>1</v>
      </c>
      <c r="V40" s="1202">
        <v>8</v>
      </c>
      <c r="W40" s="1202">
        <v>8</v>
      </c>
      <c r="X40" s="1202">
        <v>8</v>
      </c>
      <c r="Y40" s="1202">
        <v>9</v>
      </c>
      <c r="Z40" s="1202">
        <v>9</v>
      </c>
      <c r="AA40" s="1202">
        <v>5</v>
      </c>
      <c r="AB40" s="1202">
        <v>3</v>
      </c>
      <c r="AC40" s="1202">
        <v>3</v>
      </c>
      <c r="AD40" s="1202">
        <v>8</v>
      </c>
      <c r="AE40" s="1203">
        <v>8</v>
      </c>
      <c r="AF40" s="1203">
        <v>8</v>
      </c>
      <c r="AG40" s="1203">
        <v>10</v>
      </c>
      <c r="AH40" s="1203">
        <v>11</v>
      </c>
      <c r="AI40" s="1203">
        <v>9</v>
      </c>
      <c r="AJ40" s="1203">
        <v>8</v>
      </c>
      <c r="AK40" s="1203">
        <v>9</v>
      </c>
      <c r="AL40" s="1203">
        <v>11</v>
      </c>
      <c r="AM40" s="1203">
        <v>13</v>
      </c>
      <c r="AN40" s="1203">
        <v>11</v>
      </c>
      <c r="AO40" s="1203">
        <v>19</v>
      </c>
      <c r="AP40" s="1203">
        <v>32</v>
      </c>
      <c r="AQ40" s="1203">
        <v>50</v>
      </c>
      <c r="AR40" s="1203">
        <v>58</v>
      </c>
      <c r="AS40" s="1203">
        <v>71</v>
      </c>
      <c r="AT40" s="1203">
        <v>71</v>
      </c>
      <c r="AU40" s="1203">
        <v>76</v>
      </c>
      <c r="AV40" s="1203">
        <v>74</v>
      </c>
      <c r="AW40" s="1203">
        <v>65</v>
      </c>
      <c r="AX40" s="1203">
        <v>65</v>
      </c>
      <c r="AY40" s="1203">
        <v>63</v>
      </c>
      <c r="AZ40" s="1203">
        <v>71</v>
      </c>
      <c r="BA40" s="1203">
        <v>78</v>
      </c>
      <c r="BB40" s="1203">
        <v>79</v>
      </c>
      <c r="BC40" s="1203">
        <v>77</v>
      </c>
      <c r="BD40" s="1203">
        <v>79</v>
      </c>
      <c r="BE40" s="1203">
        <v>84</v>
      </c>
      <c r="BF40" s="1203">
        <v>94</v>
      </c>
      <c r="BG40" s="1203">
        <v>95</v>
      </c>
      <c r="BH40" s="1203">
        <v>86</v>
      </c>
      <c r="BI40" s="1203">
        <v>81</v>
      </c>
      <c r="BJ40" s="1203">
        <v>91</v>
      </c>
      <c r="BK40" s="1203">
        <v>83</v>
      </c>
      <c r="BL40" s="1203">
        <v>91</v>
      </c>
      <c r="BM40" s="1203">
        <v>85</v>
      </c>
      <c r="BN40" s="1203">
        <v>84</v>
      </c>
      <c r="BO40" s="1657">
        <v>85</v>
      </c>
      <c r="BP40" s="1657">
        <v>97</v>
      </c>
      <c r="BQ40" s="1657">
        <v>125</v>
      </c>
      <c r="BR40" s="1657">
        <v>131</v>
      </c>
      <c r="BS40" s="1657">
        <v>146</v>
      </c>
      <c r="BT40" s="1657">
        <v>143</v>
      </c>
      <c r="BU40" s="1657">
        <v>121</v>
      </c>
      <c r="BV40" s="1657">
        <v>0</v>
      </c>
      <c r="BW40" s="1657">
        <v>0</v>
      </c>
      <c r="BX40" s="1657">
        <v>0</v>
      </c>
      <c r="BY40" s="1657">
        <v>0</v>
      </c>
      <c r="BZ40" s="1657">
        <v>0</v>
      </c>
      <c r="CA40" s="1657"/>
      <c r="CB40" s="1657"/>
      <c r="CC40" s="1657"/>
      <c r="CD40" s="1657"/>
      <c r="CE40" s="1657"/>
      <c r="CF40" s="1657"/>
      <c r="CG40" s="1657"/>
      <c r="CH40" s="1657"/>
    </row>
    <row r="41" spans="1:90" s="1203" customFormat="1">
      <c r="A41" s="935" t="s">
        <v>4276</v>
      </c>
      <c r="B41" s="1199" t="s">
        <v>156</v>
      </c>
      <c r="C41" s="1899">
        <v>346.85714285714283</v>
      </c>
      <c r="D41" s="1200"/>
      <c r="E41" s="1201"/>
      <c r="F41" s="1201"/>
      <c r="G41" s="1201"/>
      <c r="H41" s="918">
        <v>16.666666666666668</v>
      </c>
      <c r="I41" s="1200"/>
      <c r="J41" s="1202">
        <v>11</v>
      </c>
      <c r="K41" s="1202">
        <v>12</v>
      </c>
      <c r="L41" s="1202">
        <v>15</v>
      </c>
      <c r="M41" s="1202">
        <v>16</v>
      </c>
      <c r="N41" s="1202">
        <v>15</v>
      </c>
      <c r="O41" s="1202">
        <v>14</v>
      </c>
      <c r="P41" s="1202">
        <v>13</v>
      </c>
      <c r="Q41" s="1202">
        <v>14</v>
      </c>
      <c r="R41" s="1202">
        <v>16</v>
      </c>
      <c r="S41" s="1202">
        <v>18</v>
      </c>
      <c r="T41" s="1202">
        <v>16</v>
      </c>
      <c r="U41" s="1202">
        <v>16</v>
      </c>
      <c r="V41" s="1202">
        <v>21</v>
      </c>
      <c r="W41" s="1202">
        <v>26</v>
      </c>
      <c r="X41" s="1202">
        <v>27</v>
      </c>
      <c r="Y41" s="1202">
        <v>21</v>
      </c>
      <c r="Z41" s="1202">
        <v>25</v>
      </c>
      <c r="AA41" s="1202">
        <v>32</v>
      </c>
      <c r="AB41" s="1202">
        <v>37</v>
      </c>
      <c r="AC41" s="1202">
        <v>40</v>
      </c>
      <c r="AD41" s="1202">
        <v>46</v>
      </c>
      <c r="AE41" s="1203">
        <v>46</v>
      </c>
      <c r="AF41" s="1203">
        <v>42</v>
      </c>
      <c r="AG41" s="1203">
        <v>44</v>
      </c>
      <c r="AH41" s="1203">
        <v>62</v>
      </c>
      <c r="AI41" s="1203">
        <v>76</v>
      </c>
      <c r="AJ41" s="1203">
        <v>90</v>
      </c>
      <c r="AK41" s="1203">
        <v>99</v>
      </c>
      <c r="AL41" s="1203">
        <v>110</v>
      </c>
      <c r="AM41" s="1203">
        <v>117</v>
      </c>
      <c r="AN41" s="1203">
        <v>119</v>
      </c>
      <c r="AO41" s="1203">
        <v>131</v>
      </c>
      <c r="AP41" s="1203">
        <v>141</v>
      </c>
      <c r="AQ41" s="1203">
        <v>177</v>
      </c>
      <c r="AR41" s="1203">
        <v>179</v>
      </c>
      <c r="AS41" s="1203">
        <v>204</v>
      </c>
      <c r="AT41" s="1203">
        <v>233</v>
      </c>
      <c r="AU41" s="1203">
        <v>251</v>
      </c>
      <c r="AV41" s="1203">
        <v>247</v>
      </c>
      <c r="AW41" s="1203">
        <v>256</v>
      </c>
      <c r="AX41" s="1203">
        <v>260</v>
      </c>
      <c r="AY41" s="1203">
        <v>273</v>
      </c>
      <c r="AZ41" s="1203">
        <v>280</v>
      </c>
      <c r="BA41" s="1203">
        <v>281</v>
      </c>
      <c r="BB41" s="1203">
        <v>272</v>
      </c>
      <c r="BC41" s="1203">
        <v>272</v>
      </c>
      <c r="BD41" s="1203">
        <v>258</v>
      </c>
      <c r="BE41" s="1203">
        <v>272</v>
      </c>
      <c r="BF41" s="1203">
        <v>284</v>
      </c>
      <c r="BG41" s="1203">
        <v>304</v>
      </c>
      <c r="BH41" s="1203">
        <v>299</v>
      </c>
      <c r="BI41" s="1203">
        <v>275</v>
      </c>
      <c r="BJ41" s="1203">
        <v>290</v>
      </c>
      <c r="BK41" s="1203">
        <v>299</v>
      </c>
      <c r="BL41" s="1203">
        <v>313</v>
      </c>
      <c r="BM41" s="1203">
        <v>347</v>
      </c>
      <c r="BN41" s="1203">
        <v>355</v>
      </c>
      <c r="BO41" s="1657">
        <v>356</v>
      </c>
      <c r="BP41" s="1657">
        <v>388</v>
      </c>
      <c r="BQ41" s="1657">
        <v>387</v>
      </c>
      <c r="BR41" s="1657">
        <v>336</v>
      </c>
      <c r="BS41" s="1657">
        <v>325</v>
      </c>
      <c r="BT41" s="1657">
        <v>316</v>
      </c>
      <c r="BU41" s="1657">
        <v>320</v>
      </c>
      <c r="BV41" s="1657">
        <v>0</v>
      </c>
      <c r="BW41" s="1657">
        <v>0</v>
      </c>
      <c r="BX41" s="1657">
        <v>0</v>
      </c>
      <c r="BY41" s="1657">
        <v>0</v>
      </c>
      <c r="BZ41" s="1657">
        <v>0</v>
      </c>
      <c r="CA41" s="1657"/>
      <c r="CB41" s="1657"/>
      <c r="CC41" s="1657"/>
      <c r="CD41" s="1657"/>
      <c r="CE41" s="1657"/>
      <c r="CF41" s="1657"/>
      <c r="CG41" s="1657"/>
      <c r="CH41" s="1657"/>
    </row>
    <row r="42" spans="1:90" s="1203" customFormat="1">
      <c r="A42" s="935" t="s">
        <v>4277</v>
      </c>
      <c r="B42" s="1199" t="s">
        <v>157</v>
      </c>
      <c r="C42" s="1899">
        <v>140</v>
      </c>
      <c r="D42" s="1200"/>
      <c r="E42" s="1201"/>
      <c r="F42" s="1201"/>
      <c r="G42" s="1201"/>
      <c r="H42" s="918">
        <v>0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>
        <v>6</v>
      </c>
      <c r="W42" s="1202">
        <v>7</v>
      </c>
      <c r="X42" s="1202">
        <v>5</v>
      </c>
      <c r="Y42" s="1202">
        <v>8</v>
      </c>
      <c r="Z42" s="1202">
        <v>9</v>
      </c>
      <c r="AA42" s="1202">
        <v>10</v>
      </c>
      <c r="AB42" s="1202">
        <v>9</v>
      </c>
      <c r="AC42" s="1202">
        <v>11</v>
      </c>
      <c r="AD42" s="1202">
        <v>13</v>
      </c>
      <c r="AE42" s="1203">
        <v>12</v>
      </c>
      <c r="AF42" s="1203">
        <v>11</v>
      </c>
      <c r="AG42" s="1203">
        <v>9</v>
      </c>
      <c r="AH42" s="1203">
        <v>10</v>
      </c>
      <c r="AI42" s="1203">
        <v>14</v>
      </c>
      <c r="AJ42" s="1203">
        <v>21</v>
      </c>
      <c r="AK42" s="1203">
        <v>26</v>
      </c>
      <c r="AL42" s="1203">
        <v>29</v>
      </c>
      <c r="AM42" s="1203">
        <v>34</v>
      </c>
      <c r="AN42" s="1203">
        <v>37</v>
      </c>
      <c r="AO42" s="1203">
        <v>39</v>
      </c>
      <c r="AP42" s="1203">
        <v>46</v>
      </c>
      <c r="AQ42" s="1203">
        <v>59</v>
      </c>
      <c r="AR42" s="1203">
        <v>59</v>
      </c>
      <c r="AS42" s="1203">
        <v>65</v>
      </c>
      <c r="AT42" s="1203">
        <v>82</v>
      </c>
      <c r="AU42" s="1203">
        <v>82</v>
      </c>
      <c r="AV42" s="1203">
        <v>89</v>
      </c>
      <c r="AW42" s="1203">
        <v>96</v>
      </c>
      <c r="AX42" s="1203">
        <v>95</v>
      </c>
      <c r="AY42" s="1203">
        <v>97</v>
      </c>
      <c r="AZ42" s="1203">
        <v>103</v>
      </c>
      <c r="BA42" s="1203">
        <v>103</v>
      </c>
      <c r="BB42" s="1203">
        <v>105</v>
      </c>
      <c r="BC42" s="1203">
        <v>110</v>
      </c>
      <c r="BD42" s="1203">
        <v>109</v>
      </c>
      <c r="BE42" s="1203">
        <v>117</v>
      </c>
      <c r="BF42" s="1203">
        <v>121</v>
      </c>
      <c r="BG42" s="1203">
        <v>124</v>
      </c>
      <c r="BH42" s="1203">
        <v>129</v>
      </c>
      <c r="BI42" s="1203">
        <v>126</v>
      </c>
      <c r="BJ42" s="1203">
        <v>125</v>
      </c>
      <c r="BK42" s="1203">
        <v>129</v>
      </c>
      <c r="BL42" s="1203">
        <v>130</v>
      </c>
      <c r="BM42" s="1203">
        <v>136</v>
      </c>
      <c r="BN42" s="1203">
        <v>142</v>
      </c>
      <c r="BO42" s="1657">
        <v>143</v>
      </c>
      <c r="BP42" s="1657">
        <v>151</v>
      </c>
      <c r="BQ42" s="1657">
        <v>144</v>
      </c>
      <c r="BR42" s="1657">
        <v>147</v>
      </c>
      <c r="BS42" s="1657">
        <v>144</v>
      </c>
      <c r="BT42" s="1657">
        <v>134</v>
      </c>
      <c r="BU42" s="1657">
        <v>117</v>
      </c>
      <c r="BV42" s="1657">
        <v>0</v>
      </c>
      <c r="BW42" s="1657">
        <v>0</v>
      </c>
      <c r="BX42" s="1657">
        <v>0</v>
      </c>
      <c r="BY42" s="1657">
        <v>0</v>
      </c>
      <c r="BZ42" s="1657">
        <v>0</v>
      </c>
      <c r="CA42" s="1657"/>
      <c r="CB42" s="1657"/>
      <c r="CC42" s="1657"/>
      <c r="CD42" s="1657"/>
      <c r="CE42" s="1657"/>
      <c r="CF42" s="1657"/>
      <c r="CG42" s="1657"/>
      <c r="CH42" s="1657"/>
    </row>
    <row r="43" spans="1:90" s="1309" customFormat="1">
      <c r="A43" s="935" t="s">
        <v>4278</v>
      </c>
      <c r="B43" s="1199" t="s">
        <v>158</v>
      </c>
      <c r="C43" s="1899">
        <v>40.571428571428569</v>
      </c>
      <c r="D43" s="1200"/>
      <c r="E43" s="1308"/>
      <c r="F43" s="1308"/>
      <c r="G43" s="1308"/>
      <c r="H43" s="1307">
        <v>0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/>
      <c r="V43" s="1311">
        <v>4</v>
      </c>
      <c r="W43" s="1311">
        <v>4</v>
      </c>
      <c r="X43" s="1311">
        <v>4</v>
      </c>
      <c r="Y43" s="1311">
        <v>4</v>
      </c>
      <c r="Z43" s="1311">
        <v>4</v>
      </c>
      <c r="AA43" s="1311">
        <v>5</v>
      </c>
      <c r="AB43" s="1311">
        <v>5</v>
      </c>
      <c r="AC43" s="1311">
        <v>5</v>
      </c>
      <c r="AD43" s="1311">
        <v>6</v>
      </c>
      <c r="AE43" s="1312">
        <v>6</v>
      </c>
      <c r="AF43" s="1312">
        <v>6</v>
      </c>
      <c r="AG43" s="1312">
        <v>8</v>
      </c>
      <c r="AH43" s="1312">
        <v>9</v>
      </c>
      <c r="AI43" s="1312">
        <v>13</v>
      </c>
      <c r="AJ43" s="1312">
        <v>19</v>
      </c>
      <c r="AK43" s="1312">
        <v>19</v>
      </c>
      <c r="AL43" s="1312">
        <v>20</v>
      </c>
      <c r="AM43" s="1312">
        <v>21</v>
      </c>
      <c r="AN43" s="1312">
        <v>24</v>
      </c>
      <c r="AO43" s="1312">
        <v>25</v>
      </c>
      <c r="AP43" s="1312">
        <v>33</v>
      </c>
      <c r="AQ43" s="1312">
        <v>39</v>
      </c>
      <c r="AR43" s="1312">
        <v>40</v>
      </c>
      <c r="AS43" s="1312">
        <v>43</v>
      </c>
      <c r="AT43" s="1203">
        <v>45</v>
      </c>
      <c r="AU43" s="1203">
        <v>47</v>
      </c>
      <c r="AV43" s="1203">
        <v>47</v>
      </c>
      <c r="AW43" s="1203">
        <v>46</v>
      </c>
      <c r="AX43" s="1203">
        <v>45</v>
      </c>
      <c r="AY43" s="1312">
        <v>44</v>
      </c>
      <c r="AZ43" s="1312">
        <v>43</v>
      </c>
      <c r="BA43" s="1312">
        <v>40</v>
      </c>
      <c r="BB43" s="1312">
        <v>40</v>
      </c>
      <c r="BC43" s="1312">
        <v>40</v>
      </c>
      <c r="BD43" s="1312">
        <v>38</v>
      </c>
      <c r="BE43" s="1312">
        <v>39</v>
      </c>
      <c r="BF43" s="1312">
        <v>37</v>
      </c>
      <c r="BG43" s="1312">
        <v>36</v>
      </c>
      <c r="BH43" s="1312">
        <v>40</v>
      </c>
      <c r="BI43" s="1312">
        <v>39</v>
      </c>
      <c r="BJ43" s="1312">
        <v>38</v>
      </c>
      <c r="BK43" s="1312">
        <v>37</v>
      </c>
      <c r="BL43" s="1203">
        <v>38</v>
      </c>
      <c r="BM43" s="1203">
        <v>39</v>
      </c>
      <c r="BN43" s="1312">
        <v>36</v>
      </c>
      <c r="BO43" s="1657">
        <v>37</v>
      </c>
      <c r="BP43" s="1657">
        <v>40</v>
      </c>
      <c r="BQ43" s="1657">
        <v>40</v>
      </c>
      <c r="BR43" s="1961">
        <v>42</v>
      </c>
      <c r="BS43" s="1961">
        <v>43</v>
      </c>
      <c r="BT43" s="1961">
        <v>42</v>
      </c>
      <c r="BU43" s="1657">
        <v>40</v>
      </c>
      <c r="BV43" s="1657">
        <v>0</v>
      </c>
      <c r="BW43" s="1657">
        <v>0</v>
      </c>
      <c r="BX43" s="1657">
        <v>0</v>
      </c>
      <c r="BY43" s="1657">
        <v>0</v>
      </c>
      <c r="BZ43" s="1657">
        <v>0</v>
      </c>
      <c r="CA43" s="1657"/>
      <c r="CB43" s="1657"/>
      <c r="CC43" s="1657"/>
      <c r="CD43" s="1657"/>
      <c r="CE43" s="1657"/>
      <c r="CF43" s="1657"/>
      <c r="CG43" s="1657"/>
      <c r="CH43" s="1657"/>
      <c r="CI43" s="1312"/>
      <c r="CJ43" s="1312"/>
      <c r="CK43" s="1312"/>
      <c r="CL43" s="1312"/>
    </row>
    <row r="44" spans="1:90" s="1321" customFormat="1">
      <c r="A44" s="935" t="s">
        <v>4279</v>
      </c>
      <c r="B44" s="1199" t="s">
        <v>739</v>
      </c>
      <c r="C44" s="1899">
        <v>21.285714285714285</v>
      </c>
      <c r="D44" s="1200"/>
      <c r="E44" s="1200"/>
      <c r="F44" s="1200"/>
      <c r="G44" s="1200"/>
      <c r="H44" s="1310"/>
      <c r="I44" s="1200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2</v>
      </c>
      <c r="AM44" s="1321">
        <v>3</v>
      </c>
      <c r="AN44" s="1321">
        <v>3</v>
      </c>
      <c r="AO44" s="1321">
        <v>3</v>
      </c>
      <c r="AP44" s="1321">
        <v>4</v>
      </c>
      <c r="AQ44" s="1321">
        <v>4</v>
      </c>
      <c r="AR44" s="1321">
        <v>4</v>
      </c>
      <c r="AS44" s="1321">
        <v>5</v>
      </c>
      <c r="AT44" s="1203">
        <v>8</v>
      </c>
      <c r="AU44" s="1203">
        <v>9</v>
      </c>
      <c r="AV44" s="1203">
        <v>9</v>
      </c>
      <c r="AW44" s="1203">
        <v>8</v>
      </c>
      <c r="AX44" s="1203">
        <v>8</v>
      </c>
      <c r="AY44" s="1321">
        <v>9</v>
      </c>
      <c r="AZ44" s="1321">
        <v>10</v>
      </c>
      <c r="BA44" s="1321">
        <v>10</v>
      </c>
      <c r="BB44" s="1321">
        <v>10</v>
      </c>
      <c r="BC44" s="1321">
        <v>11</v>
      </c>
      <c r="BD44" s="1321">
        <v>11</v>
      </c>
      <c r="BE44" s="1321">
        <v>11</v>
      </c>
      <c r="BF44" s="1321">
        <v>11</v>
      </c>
      <c r="BG44" s="1321">
        <v>11</v>
      </c>
      <c r="BH44" s="1321">
        <v>11</v>
      </c>
      <c r="BI44" s="1321">
        <v>12</v>
      </c>
      <c r="BJ44" s="1321">
        <v>12</v>
      </c>
      <c r="BK44" s="1321">
        <v>12</v>
      </c>
      <c r="BL44" s="1203">
        <v>13</v>
      </c>
      <c r="BM44" s="1203">
        <v>14</v>
      </c>
      <c r="BN44" s="1321">
        <v>14</v>
      </c>
      <c r="BO44" s="1657">
        <v>18</v>
      </c>
      <c r="BP44" s="1657">
        <v>21</v>
      </c>
      <c r="BQ44" s="1657">
        <v>21</v>
      </c>
      <c r="BR44" s="1962">
        <v>21</v>
      </c>
      <c r="BS44" s="1962">
        <v>22</v>
      </c>
      <c r="BT44" s="1962">
        <v>23</v>
      </c>
      <c r="BU44" s="1657">
        <v>23</v>
      </c>
      <c r="BV44" s="1657">
        <v>0</v>
      </c>
      <c r="BW44" s="1657">
        <v>0</v>
      </c>
      <c r="BX44" s="1657">
        <v>0</v>
      </c>
      <c r="BY44" s="1657">
        <v>0</v>
      </c>
      <c r="BZ44" s="1657">
        <v>0</v>
      </c>
      <c r="CA44" s="1657"/>
      <c r="CB44" s="1657"/>
      <c r="CC44" s="1657"/>
      <c r="CD44" s="1657"/>
      <c r="CE44" s="1657"/>
      <c r="CF44" s="1657"/>
      <c r="CG44" s="1657"/>
      <c r="CH44" s="1657"/>
    </row>
    <row r="45" spans="1:90" s="1312" customFormat="1">
      <c r="A45" s="935" t="s">
        <v>4280</v>
      </c>
      <c r="B45" s="2197" t="s">
        <v>4197</v>
      </c>
      <c r="C45" s="1899"/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T45" s="1203"/>
      <c r="AU45" s="1203"/>
      <c r="AV45" s="1203"/>
      <c r="AW45" s="1203"/>
      <c r="AX45" s="1203"/>
      <c r="BL45" s="1203"/>
      <c r="BM45" s="1203"/>
      <c r="BO45" s="1657">
        <v>0</v>
      </c>
      <c r="BP45" s="1657">
        <v>799</v>
      </c>
      <c r="BQ45" s="1657">
        <v>902</v>
      </c>
      <c r="BR45" s="1961">
        <v>1130</v>
      </c>
      <c r="BS45" s="1961">
        <v>1301</v>
      </c>
      <c r="BT45" s="1961">
        <v>1550</v>
      </c>
      <c r="BU45" s="1657">
        <v>1761</v>
      </c>
      <c r="BV45" s="1657">
        <v>0</v>
      </c>
      <c r="BW45" s="1657">
        <v>0</v>
      </c>
      <c r="BX45" s="1657">
        <v>0</v>
      </c>
      <c r="BY45" s="1657">
        <v>0</v>
      </c>
      <c r="BZ45" s="1657">
        <v>0</v>
      </c>
    </row>
    <row r="46" spans="1:90" s="1318" customFormat="1">
      <c r="A46" s="935"/>
      <c r="B46" s="1313" t="s">
        <v>4208</v>
      </c>
      <c r="C46" s="1314">
        <v>2410</v>
      </c>
      <c r="D46" s="1315"/>
      <c r="E46" s="1314"/>
      <c r="F46" s="1314"/>
      <c r="G46" s="1314"/>
      <c r="H46" s="1314">
        <v>81</v>
      </c>
      <c r="I46" s="1316"/>
      <c r="J46" s="1317">
        <v>32</v>
      </c>
      <c r="K46" s="1317">
        <v>40</v>
      </c>
      <c r="L46" s="1317">
        <v>58</v>
      </c>
      <c r="M46" s="1317">
        <v>67</v>
      </c>
      <c r="N46" s="1317">
        <v>68</v>
      </c>
      <c r="O46" s="1317">
        <v>63</v>
      </c>
      <c r="P46" s="1317">
        <v>62</v>
      </c>
      <c r="Q46" s="1317">
        <v>60</v>
      </c>
      <c r="R46" s="1317">
        <v>73</v>
      </c>
      <c r="S46" s="1317">
        <v>77</v>
      </c>
      <c r="T46" s="1317">
        <v>74</v>
      </c>
      <c r="U46" s="1317">
        <v>92</v>
      </c>
      <c r="V46" s="1317">
        <v>119</v>
      </c>
      <c r="W46" s="1317">
        <v>158</v>
      </c>
      <c r="X46" s="1317">
        <v>174</v>
      </c>
      <c r="Y46" s="1317">
        <v>174</v>
      </c>
      <c r="Z46" s="1317">
        <v>193</v>
      </c>
      <c r="AA46" s="1317">
        <v>213</v>
      </c>
      <c r="AB46" s="1317">
        <v>228</v>
      </c>
      <c r="AC46" s="1317">
        <v>251</v>
      </c>
      <c r="AD46" s="1317">
        <v>299</v>
      </c>
      <c r="AE46" s="1317">
        <v>296</v>
      </c>
      <c r="AF46" s="1317">
        <v>277</v>
      </c>
      <c r="AG46" s="1317">
        <v>323</v>
      </c>
      <c r="AH46" s="1317">
        <v>427</v>
      </c>
      <c r="AI46" s="1317">
        <v>506</v>
      </c>
      <c r="AJ46" s="1317">
        <v>565</v>
      </c>
      <c r="AK46" s="1317">
        <v>616</v>
      </c>
      <c r="AL46" s="1317">
        <v>722</v>
      </c>
      <c r="AM46" s="1317">
        <v>797</v>
      </c>
      <c r="AN46" s="1317">
        <v>834</v>
      </c>
      <c r="AO46" s="1317">
        <v>959</v>
      </c>
      <c r="AP46" s="1317">
        <v>1099</v>
      </c>
      <c r="AQ46" s="1317">
        <v>1354</v>
      </c>
      <c r="AR46" s="1317">
        <v>1383</v>
      </c>
      <c r="AS46" s="1317">
        <v>1476</v>
      </c>
      <c r="AT46" s="1317">
        <v>1632</v>
      </c>
      <c r="AU46" s="1317">
        <v>1590</v>
      </c>
      <c r="AV46" s="1317">
        <v>1621</v>
      </c>
      <c r="AW46" s="1317">
        <v>1650</v>
      </c>
      <c r="AX46" s="1317">
        <v>1751</v>
      </c>
      <c r="AY46" s="1317">
        <v>1734</v>
      </c>
      <c r="AZ46" s="1317">
        <v>1802</v>
      </c>
      <c r="BA46" s="1317">
        <v>1892</v>
      </c>
      <c r="BB46" s="1317">
        <v>1928</v>
      </c>
      <c r="BC46" s="1902">
        <v>1939</v>
      </c>
      <c r="BD46" s="1902">
        <v>1938</v>
      </c>
      <c r="BE46" s="1902">
        <v>2068</v>
      </c>
      <c r="BF46" s="1902">
        <v>2121</v>
      </c>
      <c r="BG46" s="1902">
        <v>2197</v>
      </c>
      <c r="BH46" s="1902">
        <v>2295</v>
      </c>
      <c r="BI46" s="1902">
        <v>2378</v>
      </c>
      <c r="BJ46" s="1902">
        <v>2500</v>
      </c>
      <c r="BK46" s="1902">
        <v>2624</v>
      </c>
      <c r="BL46" s="1902">
        <v>2812</v>
      </c>
      <c r="BM46" s="1902">
        <v>3031</v>
      </c>
      <c r="BN46" s="1902">
        <v>3144</v>
      </c>
      <c r="BO46" s="1902">
        <v>3220</v>
      </c>
      <c r="BP46" s="1902">
        <v>2564</v>
      </c>
      <c r="BQ46" s="1902">
        <v>2534</v>
      </c>
      <c r="BR46" s="1902">
        <v>2327</v>
      </c>
      <c r="BS46" s="1902">
        <v>2436</v>
      </c>
      <c r="BT46" s="1902">
        <v>2491</v>
      </c>
      <c r="BU46" s="1902">
        <v>2410</v>
      </c>
      <c r="BV46" s="1902">
        <v>0</v>
      </c>
      <c r="BW46" s="1902">
        <v>0</v>
      </c>
      <c r="BX46" s="1902">
        <v>0</v>
      </c>
      <c r="BY46" s="1902">
        <v>0</v>
      </c>
      <c r="BZ46" s="1902">
        <v>0</v>
      </c>
    </row>
    <row r="48" spans="1:90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27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42186</v>
      </c>
      <c r="AX48" s="211">
        <v>42247</v>
      </c>
      <c r="AY48" s="211">
        <v>42277</v>
      </c>
      <c r="AZ48" s="211">
        <v>42308</v>
      </c>
      <c r="BA48" s="211">
        <v>42338</v>
      </c>
      <c r="BB48" s="211"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90" s="1203" customFormat="1">
      <c r="A49" s="935" t="s">
        <v>4281</v>
      </c>
      <c r="B49" s="1199" t="s">
        <v>154</v>
      </c>
      <c r="C49" s="918">
        <v>2108</v>
      </c>
      <c r="D49" s="1200"/>
      <c r="E49" s="1201"/>
      <c r="F49" s="1201"/>
      <c r="G49" s="1201"/>
      <c r="H49" s="918">
        <v>28</v>
      </c>
      <c r="I49" s="1200"/>
      <c r="J49" s="1202">
        <v>21</v>
      </c>
      <c r="K49" s="1202">
        <v>7</v>
      </c>
      <c r="L49" s="1202">
        <v>15</v>
      </c>
      <c r="M49" s="1202">
        <v>9</v>
      </c>
      <c r="N49" s="1202">
        <v>4</v>
      </c>
      <c r="O49" s="1202">
        <v>2</v>
      </c>
      <c r="P49" s="1202">
        <v>6</v>
      </c>
      <c r="Q49" s="1202">
        <v>3</v>
      </c>
      <c r="R49" s="1202">
        <v>12</v>
      </c>
      <c r="S49" s="1202">
        <v>8</v>
      </c>
      <c r="T49" s="1202">
        <v>1</v>
      </c>
      <c r="U49" s="1202">
        <v>19</v>
      </c>
      <c r="V49" s="1202">
        <v>27</v>
      </c>
      <c r="W49" s="1202">
        <v>35</v>
      </c>
      <c r="X49" s="1202">
        <v>24</v>
      </c>
      <c r="Y49" s="1202">
        <v>17</v>
      </c>
      <c r="Z49" s="1202">
        <v>23</v>
      </c>
      <c r="AA49" s="1202">
        <v>38</v>
      </c>
      <c r="AB49" s="1202">
        <v>29</v>
      </c>
      <c r="AC49" s="1202">
        <v>26</v>
      </c>
      <c r="AD49" s="1202">
        <v>38</v>
      </c>
      <c r="AE49" s="1202">
        <v>16</v>
      </c>
      <c r="AF49" s="1202">
        <v>20</v>
      </c>
      <c r="AG49" s="1203">
        <v>40</v>
      </c>
      <c r="AH49" s="1202">
        <v>82</v>
      </c>
      <c r="AI49" s="1203">
        <v>102</v>
      </c>
      <c r="AJ49" s="1203">
        <v>105</v>
      </c>
      <c r="AK49" s="1203">
        <v>84</v>
      </c>
      <c r="AL49" s="1203">
        <v>138</v>
      </c>
      <c r="AM49" s="1203">
        <v>120</v>
      </c>
      <c r="AN49" s="1203">
        <v>75</v>
      </c>
      <c r="AO49" s="1203">
        <v>158</v>
      </c>
      <c r="AP49" s="1203">
        <v>188</v>
      </c>
      <c r="AQ49" s="1203">
        <v>175</v>
      </c>
      <c r="AR49" s="1203">
        <v>58</v>
      </c>
      <c r="AS49" s="1203">
        <v>178</v>
      </c>
      <c r="AT49" s="1203">
        <v>247</v>
      </c>
      <c r="AU49" s="1203">
        <v>187</v>
      </c>
      <c r="AV49" s="1203">
        <v>220</v>
      </c>
      <c r="AW49" s="1203">
        <v>206</v>
      </c>
      <c r="AX49" s="1203">
        <v>204</v>
      </c>
      <c r="AY49" s="1203">
        <v>190</v>
      </c>
      <c r="AZ49" s="1203">
        <v>160</v>
      </c>
      <c r="BA49" s="1203">
        <v>295</v>
      </c>
      <c r="BB49" s="1203">
        <v>239</v>
      </c>
      <c r="BC49" s="1203">
        <v>66</v>
      </c>
      <c r="BD49" s="1203">
        <v>71</v>
      </c>
      <c r="BE49" s="1203">
        <v>287</v>
      </c>
      <c r="BF49" s="1203">
        <v>189</v>
      </c>
      <c r="BG49" s="1203">
        <v>173</v>
      </c>
      <c r="BH49" s="1203">
        <v>271</v>
      </c>
      <c r="BI49" s="1203">
        <v>224</v>
      </c>
      <c r="BJ49" s="1203">
        <v>211</v>
      </c>
      <c r="BK49" s="1657">
        <v>289</v>
      </c>
      <c r="BL49" s="1657">
        <v>253</v>
      </c>
      <c r="BM49" s="1657">
        <v>307</v>
      </c>
      <c r="BN49" s="1657">
        <v>344</v>
      </c>
      <c r="BO49" s="1203">
        <v>150</v>
      </c>
      <c r="BP49" s="1203">
        <v>323</v>
      </c>
      <c r="BQ49" s="1203">
        <v>328</v>
      </c>
      <c r="BR49" s="1203">
        <v>272</v>
      </c>
      <c r="BS49" s="1203">
        <v>334</v>
      </c>
      <c r="BT49" s="1203">
        <v>392</v>
      </c>
      <c r="BU49" s="1657">
        <v>309</v>
      </c>
      <c r="BV49" s="1657">
        <v>0</v>
      </c>
      <c r="BW49" s="1657">
        <v>0</v>
      </c>
      <c r="BX49" s="1657">
        <v>0</v>
      </c>
      <c r="BY49" s="1657">
        <v>0</v>
      </c>
      <c r="BZ49" s="1657">
        <v>0</v>
      </c>
    </row>
    <row r="50" spans="1:90" s="1203" customFormat="1">
      <c r="A50" s="935" t="s">
        <v>4282</v>
      </c>
      <c r="B50" s="1199" t="s">
        <v>155</v>
      </c>
      <c r="C50" s="918">
        <v>0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0</v>
      </c>
      <c r="AP50" s="1203">
        <v>3</v>
      </c>
      <c r="AQ50" s="1203">
        <v>11</v>
      </c>
      <c r="AR50" s="1203">
        <v>4</v>
      </c>
      <c r="AS50" s="1203">
        <v>14</v>
      </c>
      <c r="AT50" s="1203">
        <v>5</v>
      </c>
      <c r="AU50" s="1203">
        <v>3</v>
      </c>
      <c r="AV50" s="1203">
        <v>2</v>
      </c>
      <c r="BE50" s="1203">
        <v>0</v>
      </c>
      <c r="BL50" s="1657">
        <v>0</v>
      </c>
      <c r="BM50" s="1657">
        <v>0</v>
      </c>
      <c r="BN50" s="1657">
        <v>0</v>
      </c>
      <c r="BO50" s="1203">
        <v>0</v>
      </c>
      <c r="BP50" s="1203">
        <v>0</v>
      </c>
      <c r="BQ50" s="1203">
        <v>0</v>
      </c>
      <c r="BR50" s="1203">
        <v>0</v>
      </c>
      <c r="BS50" s="1203">
        <v>0</v>
      </c>
      <c r="BT50" s="1203">
        <v>0</v>
      </c>
      <c r="BU50" s="1657">
        <v>0</v>
      </c>
      <c r="BV50" s="1657">
        <v>0</v>
      </c>
      <c r="BW50" s="1657">
        <v>0</v>
      </c>
      <c r="BX50" s="1657">
        <v>0</v>
      </c>
      <c r="BY50" s="1657">
        <v>0</v>
      </c>
      <c r="BZ50" s="1657">
        <v>0</v>
      </c>
    </row>
    <row r="51" spans="1:90" s="1203" customFormat="1">
      <c r="A51" s="935" t="s">
        <v>4283</v>
      </c>
      <c r="B51" s="1199" t="s">
        <v>143</v>
      </c>
      <c r="C51" s="918">
        <v>137</v>
      </c>
      <c r="D51" s="1200"/>
      <c r="E51" s="1201"/>
      <c r="F51" s="1201"/>
      <c r="G51" s="1201"/>
      <c r="H51" s="918">
        <v>3</v>
      </c>
      <c r="I51" s="1200"/>
      <c r="J51" s="1202">
        <v>1</v>
      </c>
      <c r="K51" s="1202">
        <v>1</v>
      </c>
      <c r="L51" s="1202">
        <v>3</v>
      </c>
      <c r="M51" s="1202">
        <v>1</v>
      </c>
      <c r="N51" s="1202"/>
      <c r="O51" s="1202"/>
      <c r="P51" s="1202">
        <v>1</v>
      </c>
      <c r="Q51" s="1202">
        <v>3</v>
      </c>
      <c r="R51" s="1202">
        <v>2</v>
      </c>
      <c r="S51" s="1202">
        <v>3</v>
      </c>
      <c r="T51" s="1202">
        <v>0</v>
      </c>
      <c r="U51" s="1202">
        <v>0</v>
      </c>
      <c r="V51" s="1202">
        <v>5</v>
      </c>
      <c r="W51" s="1202">
        <v>5</v>
      </c>
      <c r="X51" s="1202">
        <v>2</v>
      </c>
      <c r="Y51" s="1202">
        <v>4</v>
      </c>
      <c r="Z51" s="1202">
        <v>6</v>
      </c>
      <c r="AA51" s="1202">
        <v>7</v>
      </c>
      <c r="AB51" s="1202">
        <v>3</v>
      </c>
      <c r="AC51" s="1202">
        <v>6</v>
      </c>
      <c r="AD51" s="1202">
        <v>8</v>
      </c>
      <c r="AE51" s="1202">
        <v>0</v>
      </c>
      <c r="AF51" s="1202">
        <v>2</v>
      </c>
      <c r="AG51" s="1203">
        <v>8</v>
      </c>
      <c r="AH51" s="1202">
        <v>19</v>
      </c>
      <c r="AI51" s="1203">
        <v>18</v>
      </c>
      <c r="AJ51" s="1203">
        <v>14</v>
      </c>
      <c r="AK51" s="1203">
        <v>13</v>
      </c>
      <c r="AL51" s="1203">
        <v>11</v>
      </c>
      <c r="AM51" s="1203">
        <v>12</v>
      </c>
      <c r="AN51" s="1203">
        <v>6</v>
      </c>
      <c r="AO51" s="1203">
        <v>19</v>
      </c>
      <c r="AP51" s="1203">
        <v>22</v>
      </c>
      <c r="AQ51" s="1203">
        <v>23</v>
      </c>
      <c r="AR51" s="1203">
        <v>9</v>
      </c>
      <c r="AS51" s="1203">
        <v>25</v>
      </c>
      <c r="AT51" s="1203">
        <v>38</v>
      </c>
      <c r="AU51" s="1203">
        <v>28</v>
      </c>
      <c r="AV51" s="1203">
        <v>27</v>
      </c>
      <c r="AW51" s="1203">
        <v>19</v>
      </c>
      <c r="AX51" s="1203">
        <v>20</v>
      </c>
      <c r="AY51" s="1203">
        <v>27</v>
      </c>
      <c r="AZ51" s="1203">
        <v>19</v>
      </c>
      <c r="BA51" s="1203">
        <v>17</v>
      </c>
      <c r="BB51" s="1203">
        <v>16</v>
      </c>
      <c r="BC51" s="1203">
        <v>5</v>
      </c>
      <c r="BD51" s="1203">
        <v>2</v>
      </c>
      <c r="BE51" s="1203">
        <v>22</v>
      </c>
      <c r="BF51" s="1203">
        <v>16</v>
      </c>
      <c r="BG51" s="1203">
        <v>29</v>
      </c>
      <c r="BH51" s="1203">
        <v>31</v>
      </c>
      <c r="BI51" s="1203">
        <v>19</v>
      </c>
      <c r="BJ51" s="1203">
        <v>24</v>
      </c>
      <c r="BK51" s="1657">
        <v>29</v>
      </c>
      <c r="BL51" s="1657">
        <v>41</v>
      </c>
      <c r="BM51" s="1657">
        <v>57</v>
      </c>
      <c r="BN51" s="1657">
        <v>32</v>
      </c>
      <c r="BO51" s="1203">
        <v>21</v>
      </c>
      <c r="BP51" s="1203">
        <v>41</v>
      </c>
      <c r="BQ51" s="1203">
        <v>13</v>
      </c>
      <c r="BR51" s="1203">
        <v>14</v>
      </c>
      <c r="BS51" s="1203">
        <v>10</v>
      </c>
      <c r="BT51" s="1203">
        <v>15</v>
      </c>
      <c r="BU51" s="1657">
        <v>23</v>
      </c>
      <c r="BV51" s="1657">
        <v>0</v>
      </c>
      <c r="BW51" s="1657">
        <v>0</v>
      </c>
      <c r="BX51" s="1657">
        <v>0</v>
      </c>
      <c r="BY51" s="1657">
        <v>0</v>
      </c>
      <c r="BZ51" s="1657">
        <v>0</v>
      </c>
    </row>
    <row r="52" spans="1:90" s="1203" customFormat="1">
      <c r="A52" s="935" t="s">
        <v>4284</v>
      </c>
      <c r="B52" s="1199" t="s">
        <v>145</v>
      </c>
      <c r="C52" s="918">
        <v>41</v>
      </c>
      <c r="D52" s="1200"/>
      <c r="E52" s="1201"/>
      <c r="F52" s="1201"/>
      <c r="G52" s="1201"/>
      <c r="H52" s="918">
        <v>0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>
        <v>6</v>
      </c>
      <c r="W52" s="1202">
        <v>1</v>
      </c>
      <c r="X52" s="1202">
        <v>0</v>
      </c>
      <c r="Y52" s="1202">
        <v>3</v>
      </c>
      <c r="Z52" s="1202">
        <v>1</v>
      </c>
      <c r="AA52" s="1202">
        <v>1</v>
      </c>
      <c r="AB52" s="1202">
        <v>1</v>
      </c>
      <c r="AC52" s="1202">
        <v>2</v>
      </c>
      <c r="AD52" s="1202">
        <v>2</v>
      </c>
      <c r="AE52" s="1202">
        <v>0</v>
      </c>
      <c r="AF52" s="1202">
        <v>0</v>
      </c>
      <c r="AG52" s="1203">
        <v>1</v>
      </c>
      <c r="AH52" s="1202">
        <v>1</v>
      </c>
      <c r="AI52" s="1203">
        <v>4</v>
      </c>
      <c r="AJ52" s="1203">
        <v>5</v>
      </c>
      <c r="AK52" s="1203">
        <v>6</v>
      </c>
      <c r="AL52" s="1203">
        <v>3</v>
      </c>
      <c r="AM52" s="1203">
        <v>3</v>
      </c>
      <c r="AN52" s="1203">
        <v>1</v>
      </c>
      <c r="AO52" s="1203">
        <v>3</v>
      </c>
      <c r="AP52" s="1203">
        <v>5</v>
      </c>
      <c r="AQ52" s="1203">
        <v>5</v>
      </c>
      <c r="AR52" s="1203">
        <v>1</v>
      </c>
      <c r="AS52" s="1203">
        <v>7</v>
      </c>
      <c r="AT52" s="1203">
        <v>16</v>
      </c>
      <c r="AU52" s="1203">
        <v>2</v>
      </c>
      <c r="AV52" s="1203">
        <v>7</v>
      </c>
      <c r="AW52" s="1203">
        <v>5</v>
      </c>
      <c r="AX52" s="1203">
        <v>3</v>
      </c>
      <c r="AY52" s="1203">
        <v>5</v>
      </c>
      <c r="AZ52" s="1203">
        <v>5</v>
      </c>
      <c r="BA52" s="1203">
        <v>1</v>
      </c>
      <c r="BB52" s="1203">
        <v>5</v>
      </c>
      <c r="BE52" s="1203">
        <v>8</v>
      </c>
      <c r="BF52" s="1203">
        <v>1</v>
      </c>
      <c r="BG52" s="1203">
        <v>7</v>
      </c>
      <c r="BH52" s="1203">
        <v>9</v>
      </c>
      <c r="BI52" s="1203">
        <v>1</v>
      </c>
      <c r="BJ52" s="1203">
        <v>4</v>
      </c>
      <c r="BK52" s="1657">
        <v>9</v>
      </c>
      <c r="BL52" s="1657">
        <v>8</v>
      </c>
      <c r="BM52" s="1657">
        <v>10</v>
      </c>
      <c r="BN52" s="1657">
        <v>7</v>
      </c>
      <c r="BO52" s="1203">
        <v>12</v>
      </c>
      <c r="BP52" s="1203">
        <v>10</v>
      </c>
      <c r="BQ52" s="1203">
        <v>5</v>
      </c>
      <c r="BR52" s="1203">
        <v>3</v>
      </c>
      <c r="BS52" s="1203">
        <v>5</v>
      </c>
      <c r="BT52" s="1203">
        <v>3</v>
      </c>
      <c r="BU52" s="1657">
        <v>3</v>
      </c>
      <c r="BV52" s="1657">
        <v>0</v>
      </c>
      <c r="BW52" s="1657">
        <v>0</v>
      </c>
      <c r="BX52" s="1657">
        <v>0</v>
      </c>
      <c r="BY52" s="1657">
        <v>0</v>
      </c>
      <c r="BZ52" s="1657">
        <v>0</v>
      </c>
    </row>
    <row r="53" spans="1:90" s="1309" customFormat="1">
      <c r="A53" s="935" t="s">
        <v>4285</v>
      </c>
      <c r="B53" s="1199" t="s">
        <v>144</v>
      </c>
      <c r="C53" s="918">
        <v>17</v>
      </c>
      <c r="D53" s="1200"/>
      <c r="E53" s="1308"/>
      <c r="F53" s="1308"/>
      <c r="G53" s="1308"/>
      <c r="H53" s="1307">
        <v>0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/>
      <c r="V53" s="1311">
        <v>4</v>
      </c>
      <c r="W53" s="1311">
        <v>0</v>
      </c>
      <c r="X53" s="1311">
        <v>1</v>
      </c>
      <c r="Y53" s="1311">
        <v>0</v>
      </c>
      <c r="Z53" s="1311">
        <v>0</v>
      </c>
      <c r="AA53" s="1311">
        <v>1</v>
      </c>
      <c r="AB53" s="1311">
        <v>1</v>
      </c>
      <c r="AC53" s="1311">
        <v>0</v>
      </c>
      <c r="AD53" s="1311">
        <v>1</v>
      </c>
      <c r="AE53" s="1312">
        <v>0</v>
      </c>
      <c r="AF53" s="1312">
        <v>0</v>
      </c>
      <c r="AG53" s="1312">
        <v>2</v>
      </c>
      <c r="AH53" s="1312">
        <v>3</v>
      </c>
      <c r="AI53" s="1312">
        <v>4</v>
      </c>
      <c r="AJ53" s="1312">
        <v>4</v>
      </c>
      <c r="AK53" s="1312">
        <v>1</v>
      </c>
      <c r="AL53" s="1312"/>
      <c r="AM53" s="1312">
        <v>3</v>
      </c>
      <c r="AN53" s="1312">
        <v>3</v>
      </c>
      <c r="AO53" s="1312">
        <v>1</v>
      </c>
      <c r="AP53" s="1312">
        <v>7</v>
      </c>
      <c r="AQ53" s="1203">
        <v>4</v>
      </c>
      <c r="AR53" s="1203">
        <v>1</v>
      </c>
      <c r="AS53" s="1312">
        <v>4</v>
      </c>
      <c r="AT53" s="1203">
        <v>4</v>
      </c>
      <c r="AU53" s="1203">
        <v>2</v>
      </c>
      <c r="AV53" s="1203">
        <v>2</v>
      </c>
      <c r="AW53" s="1203">
        <v>1</v>
      </c>
      <c r="AX53" s="1203">
        <v>1</v>
      </c>
      <c r="AY53" s="1312">
        <v>2</v>
      </c>
      <c r="AZ53" s="1312"/>
      <c r="BA53" s="1312"/>
      <c r="BB53" s="1312"/>
      <c r="BC53" s="1312">
        <v>1</v>
      </c>
      <c r="BD53" s="1312"/>
      <c r="BE53" s="1312">
        <v>3</v>
      </c>
      <c r="BF53" s="1312"/>
      <c r="BG53" s="1312">
        <v>3</v>
      </c>
      <c r="BH53" s="1312">
        <v>3</v>
      </c>
      <c r="BI53" s="1312">
        <v>2</v>
      </c>
      <c r="BJ53" s="1312"/>
      <c r="BK53" s="1961">
        <v>1</v>
      </c>
      <c r="BL53" s="1657">
        <v>4</v>
      </c>
      <c r="BM53" s="1657">
        <v>2</v>
      </c>
      <c r="BN53" s="1961">
        <v>0</v>
      </c>
      <c r="BO53" s="1203">
        <v>3</v>
      </c>
      <c r="BP53" s="1203">
        <v>3</v>
      </c>
      <c r="BQ53" s="1203">
        <v>2</v>
      </c>
      <c r="BR53" s="1312">
        <v>4</v>
      </c>
      <c r="BS53" s="1312">
        <v>2</v>
      </c>
      <c r="BT53" s="1312">
        <v>1</v>
      </c>
      <c r="BU53" s="1657">
        <v>2</v>
      </c>
      <c r="BV53" s="1657">
        <v>0</v>
      </c>
      <c r="BW53" s="1657">
        <v>0</v>
      </c>
      <c r="BX53" s="1657">
        <v>0</v>
      </c>
      <c r="BY53" s="1657">
        <v>0</v>
      </c>
      <c r="BZ53" s="1657">
        <v>0</v>
      </c>
      <c r="CA53" s="1203"/>
      <c r="CB53" s="1203"/>
      <c r="CC53" s="1203"/>
      <c r="CD53" s="1203"/>
      <c r="CE53" s="1203"/>
      <c r="CF53" s="1203"/>
      <c r="CG53" s="1203"/>
      <c r="CH53" s="1203"/>
      <c r="CI53" s="1203"/>
      <c r="CJ53" s="1312"/>
      <c r="CK53" s="1312"/>
      <c r="CL53" s="1312"/>
    </row>
    <row r="54" spans="1:90" s="1321" customFormat="1">
      <c r="A54" s="935" t="s">
        <v>4286</v>
      </c>
      <c r="B54" s="1199" t="s">
        <v>758</v>
      </c>
      <c r="C54" s="918">
        <v>11</v>
      </c>
      <c r="D54" s="1200"/>
      <c r="E54" s="1200"/>
      <c r="F54" s="1200"/>
      <c r="G54" s="1200"/>
      <c r="H54" s="1310"/>
      <c r="I54" s="1200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J54" s="1321">
        <v>2</v>
      </c>
      <c r="AP54" s="1321">
        <v>1</v>
      </c>
      <c r="AQ54" s="1203">
        <v>0</v>
      </c>
      <c r="AR54" s="1203">
        <v>0</v>
      </c>
      <c r="AS54" s="1321">
        <v>0</v>
      </c>
      <c r="AT54" s="1203">
        <v>2</v>
      </c>
      <c r="AU54" s="1203">
        <v>1</v>
      </c>
      <c r="AV54" s="1203">
        <v>0</v>
      </c>
      <c r="AW54" s="1203"/>
      <c r="AX54" s="1203"/>
      <c r="AY54" s="1321">
        <v>1</v>
      </c>
      <c r="AZ54" s="1321">
        <v>1</v>
      </c>
      <c r="BE54" s="1321">
        <v>1</v>
      </c>
      <c r="BG54" s="1321">
        <v>1</v>
      </c>
      <c r="BH54" s="1321">
        <v>1</v>
      </c>
      <c r="BK54" s="1962">
        <v>2</v>
      </c>
      <c r="BL54" s="1657">
        <v>1</v>
      </c>
      <c r="BM54" s="1657">
        <v>1</v>
      </c>
      <c r="BN54" s="1962">
        <v>0</v>
      </c>
      <c r="BO54" s="1203">
        <v>3</v>
      </c>
      <c r="BP54" s="1203">
        <v>4</v>
      </c>
      <c r="BQ54" s="1203">
        <v>0</v>
      </c>
      <c r="BR54" s="1321">
        <v>1</v>
      </c>
      <c r="BS54" s="1321">
        <v>1</v>
      </c>
      <c r="BT54" s="1321">
        <v>1</v>
      </c>
      <c r="BU54" s="1657">
        <v>1</v>
      </c>
      <c r="BV54" s="1657">
        <v>0</v>
      </c>
      <c r="BW54" s="1657">
        <v>0</v>
      </c>
      <c r="BX54" s="1657">
        <v>0</v>
      </c>
      <c r="BY54" s="1657">
        <v>0</v>
      </c>
      <c r="BZ54" s="1657">
        <v>0</v>
      </c>
      <c r="CA54" s="1203"/>
      <c r="CB54" s="1203"/>
      <c r="CC54" s="1203"/>
      <c r="CD54" s="1203"/>
      <c r="CE54" s="1203"/>
      <c r="CF54" s="1203"/>
      <c r="CG54" s="1203"/>
      <c r="CH54" s="1203"/>
      <c r="CI54" s="1203"/>
    </row>
    <row r="55" spans="1:90" s="1787" customFormat="1">
      <c r="A55" s="935"/>
      <c r="B55" s="1313" t="s">
        <v>49</v>
      </c>
      <c r="C55" s="1314">
        <v>2314</v>
      </c>
      <c r="D55" s="1788"/>
      <c r="E55" s="1789"/>
      <c r="F55" s="1789"/>
      <c r="G55" s="1789"/>
      <c r="H55" s="1314">
        <v>31</v>
      </c>
      <c r="I55" s="1788"/>
      <c r="J55" s="1783">
        <v>22</v>
      </c>
      <c r="K55" s="1783">
        <v>8</v>
      </c>
      <c r="L55" s="1783">
        <v>18</v>
      </c>
      <c r="M55" s="1783">
        <v>10</v>
      </c>
      <c r="N55" s="1783">
        <v>4</v>
      </c>
      <c r="O55" s="1783">
        <v>2</v>
      </c>
      <c r="P55" s="1783">
        <v>7</v>
      </c>
      <c r="Q55" s="1783">
        <v>6</v>
      </c>
      <c r="R55" s="1783">
        <v>14</v>
      </c>
      <c r="S55" s="1783">
        <v>11</v>
      </c>
      <c r="T55" s="1783">
        <v>1</v>
      </c>
      <c r="U55" s="1783">
        <v>19</v>
      </c>
      <c r="V55" s="1783">
        <v>42</v>
      </c>
      <c r="W55" s="1783">
        <v>41</v>
      </c>
      <c r="X55" s="1783">
        <v>27</v>
      </c>
      <c r="Y55" s="1783">
        <v>24</v>
      </c>
      <c r="Z55" s="1783">
        <v>30</v>
      </c>
      <c r="AA55" s="1783">
        <v>47</v>
      </c>
      <c r="AB55" s="1783">
        <v>34</v>
      </c>
      <c r="AC55" s="1783">
        <v>34</v>
      </c>
      <c r="AD55" s="1783">
        <v>49</v>
      </c>
      <c r="AE55" s="1783">
        <v>16</v>
      </c>
      <c r="AF55" s="1783">
        <v>22</v>
      </c>
      <c r="AG55" s="1783">
        <v>51</v>
      </c>
      <c r="AH55" s="1783">
        <v>105</v>
      </c>
      <c r="AI55" s="1783">
        <v>128</v>
      </c>
      <c r="AJ55" s="1783">
        <v>130</v>
      </c>
      <c r="AK55" s="1783">
        <v>104</v>
      </c>
      <c r="AL55" s="1783">
        <v>152</v>
      </c>
      <c r="AM55" s="1783">
        <v>138</v>
      </c>
      <c r="AN55" s="1783">
        <v>85</v>
      </c>
      <c r="AO55" s="1783">
        <v>181</v>
      </c>
      <c r="AP55" s="1783">
        <v>226</v>
      </c>
      <c r="AQ55" s="1783">
        <v>218</v>
      </c>
      <c r="AR55" s="1783">
        <v>73</v>
      </c>
      <c r="AS55" s="1783">
        <v>228</v>
      </c>
      <c r="AT55" s="1783">
        <v>312</v>
      </c>
      <c r="AU55" s="1783">
        <v>223</v>
      </c>
      <c r="AV55" s="1783">
        <v>258</v>
      </c>
      <c r="AW55" s="1783">
        <v>231</v>
      </c>
      <c r="AX55" s="1783">
        <v>228</v>
      </c>
      <c r="AY55" s="1783">
        <v>225</v>
      </c>
      <c r="AZ55" s="1783">
        <v>185</v>
      </c>
      <c r="BA55" s="1783">
        <v>313</v>
      </c>
      <c r="BB55" s="1783">
        <v>260</v>
      </c>
      <c r="BC55" s="1901">
        <v>72</v>
      </c>
      <c r="BD55" s="1901">
        <v>73</v>
      </c>
      <c r="BE55" s="1901">
        <v>321</v>
      </c>
      <c r="BF55" s="1901">
        <v>206</v>
      </c>
      <c r="BG55" s="1901">
        <v>213</v>
      </c>
      <c r="BH55" s="1901">
        <v>315</v>
      </c>
      <c r="BI55" s="1901">
        <v>246</v>
      </c>
      <c r="BJ55" s="1901">
        <v>239</v>
      </c>
      <c r="BK55" s="1901">
        <v>330</v>
      </c>
      <c r="BL55" s="1901">
        <v>307</v>
      </c>
      <c r="BM55" s="1901">
        <v>377</v>
      </c>
      <c r="BN55" s="1901">
        <v>383</v>
      </c>
      <c r="BO55" s="1901">
        <v>189</v>
      </c>
      <c r="BP55" s="1901">
        <v>381</v>
      </c>
      <c r="BQ55" s="1901">
        <v>348</v>
      </c>
      <c r="BR55" s="1901">
        <v>294</v>
      </c>
      <c r="BS55" s="1901">
        <v>352</v>
      </c>
      <c r="BT55" s="1901">
        <v>412</v>
      </c>
      <c r="BU55" s="1901">
        <v>338</v>
      </c>
      <c r="BV55" s="1901">
        <v>0</v>
      </c>
      <c r="BW55" s="1901">
        <v>0</v>
      </c>
      <c r="BX55" s="1901">
        <v>0</v>
      </c>
      <c r="BY55" s="1901">
        <v>0</v>
      </c>
      <c r="BZ55" s="1901">
        <v>0</v>
      </c>
    </row>
    <row r="56" spans="1:90">
      <c r="BE56" s="1312"/>
    </row>
    <row r="57" spans="1:90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27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v>42247</v>
      </c>
      <c r="AY57" s="211">
        <v>42277</v>
      </c>
      <c r="AZ57" s="211">
        <v>42308</v>
      </c>
      <c r="BA57" s="211">
        <v>42338</v>
      </c>
      <c r="BB57" s="211"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90">
      <c r="B58" s="931" t="s">
        <v>169</v>
      </c>
      <c r="C58" s="243">
        <v>669.85714285714289</v>
      </c>
      <c r="H58" s="243">
        <v>17.666666666666668</v>
      </c>
      <c r="J58" s="937">
        <v>11</v>
      </c>
      <c r="K58" s="937">
        <v>12</v>
      </c>
      <c r="L58" s="937">
        <v>15</v>
      </c>
      <c r="M58" s="937">
        <v>16</v>
      </c>
      <c r="N58" s="937">
        <v>15</v>
      </c>
      <c r="O58" s="937">
        <v>14</v>
      </c>
      <c r="P58" s="937">
        <v>14</v>
      </c>
      <c r="Q58" s="937">
        <v>15</v>
      </c>
      <c r="R58" s="937">
        <v>17</v>
      </c>
      <c r="S58" s="937">
        <v>19</v>
      </c>
      <c r="T58" s="937">
        <v>17</v>
      </c>
      <c r="U58" s="937">
        <v>17</v>
      </c>
      <c r="V58" s="937">
        <v>39</v>
      </c>
      <c r="W58" s="937">
        <v>45</v>
      </c>
      <c r="X58" s="937">
        <v>44</v>
      </c>
      <c r="Y58" s="937">
        <v>42</v>
      </c>
      <c r="Z58" s="937">
        <v>47</v>
      </c>
      <c r="AA58" s="937">
        <v>52</v>
      </c>
      <c r="AB58" s="937">
        <v>54</v>
      </c>
      <c r="AC58" s="937">
        <v>59</v>
      </c>
      <c r="AD58" s="937">
        <v>73</v>
      </c>
      <c r="AE58" s="937">
        <v>72</v>
      </c>
      <c r="AF58" s="937">
        <v>67</v>
      </c>
      <c r="AG58" s="937">
        <v>71</v>
      </c>
      <c r="AH58" s="937">
        <v>92</v>
      </c>
      <c r="AI58" s="937">
        <v>112</v>
      </c>
      <c r="AJ58" s="937">
        <v>140</v>
      </c>
      <c r="AK58" s="937">
        <v>153</v>
      </c>
      <c r="AL58" s="937">
        <v>170</v>
      </c>
      <c r="AM58" s="937">
        <v>185</v>
      </c>
      <c r="AN58" s="937">
        <v>191</v>
      </c>
      <c r="AO58" s="937">
        <v>214</v>
      </c>
      <c r="AP58" s="937">
        <v>252</v>
      </c>
      <c r="AQ58" s="937">
        <v>325</v>
      </c>
      <c r="AR58" s="937">
        <v>336</v>
      </c>
      <c r="AS58" s="937">
        <v>383</v>
      </c>
      <c r="AT58" s="937">
        <v>431</v>
      </c>
      <c r="AU58" s="937">
        <v>456</v>
      </c>
      <c r="AV58" s="937">
        <v>457</v>
      </c>
      <c r="AW58" s="937">
        <v>463</v>
      </c>
      <c r="AX58" s="937">
        <v>465</v>
      </c>
      <c r="AY58" s="937">
        <v>477</v>
      </c>
      <c r="AZ58" s="937">
        <v>497</v>
      </c>
      <c r="BA58" s="937">
        <v>502</v>
      </c>
      <c r="BB58" s="937">
        <v>496</v>
      </c>
      <c r="BC58" s="1656">
        <v>510</v>
      </c>
      <c r="BD58" s="1656">
        <v>495</v>
      </c>
      <c r="BE58" s="1656">
        <v>523</v>
      </c>
      <c r="BF58" s="1656">
        <v>547</v>
      </c>
      <c r="BG58" s="1656">
        <v>570</v>
      </c>
      <c r="BH58" s="1656">
        <v>565</v>
      </c>
      <c r="BI58" s="1656">
        <v>533</v>
      </c>
      <c r="BJ58" s="1656">
        <v>556</v>
      </c>
      <c r="BK58" s="1656">
        <v>560</v>
      </c>
      <c r="BL58" s="1656">
        <v>585</v>
      </c>
      <c r="BM58" s="1656">
        <v>621</v>
      </c>
      <c r="BN58" s="1656">
        <v>631</v>
      </c>
      <c r="BO58" s="1656">
        <v>639</v>
      </c>
      <c r="BP58" s="1656">
        <v>697</v>
      </c>
      <c r="BQ58" s="1656">
        <v>717</v>
      </c>
      <c r="BR58" s="1656">
        <v>677</v>
      </c>
      <c r="BS58" s="1656">
        <v>680</v>
      </c>
      <c r="BT58" s="1656">
        <v>658</v>
      </c>
      <c r="BU58" s="1656">
        <v>621</v>
      </c>
      <c r="BV58" s="1656">
        <v>0</v>
      </c>
      <c r="BW58" s="1656">
        <v>0</v>
      </c>
      <c r="BX58" s="1656">
        <v>0</v>
      </c>
      <c r="BY58" s="1656">
        <v>0</v>
      </c>
      <c r="BZ58" s="1656">
        <v>0</v>
      </c>
    </row>
    <row r="59" spans="1:90" s="1203" customFormat="1">
      <c r="A59" s="2376" t="s">
        <v>4327</v>
      </c>
      <c r="B59" s="1199" t="s">
        <v>141</v>
      </c>
      <c r="C59" s="918">
        <v>157.28571428571428</v>
      </c>
      <c r="D59" s="1200"/>
      <c r="E59" s="1201"/>
      <c r="F59" s="1201"/>
      <c r="G59" s="1201"/>
      <c r="H59" s="1201">
        <v>15</v>
      </c>
      <c r="I59" s="1200"/>
      <c r="J59" s="1202">
        <v>7</v>
      </c>
      <c r="K59" s="1202">
        <v>5</v>
      </c>
      <c r="L59" s="1202">
        <v>7</v>
      </c>
      <c r="M59" s="1202">
        <v>7</v>
      </c>
      <c r="N59" s="1202">
        <v>3</v>
      </c>
      <c r="O59" s="1202">
        <v>2</v>
      </c>
      <c r="P59" s="1202">
        <v>6</v>
      </c>
      <c r="Q59" s="1202">
        <v>2</v>
      </c>
      <c r="R59" s="1202">
        <v>4</v>
      </c>
      <c r="S59" s="1202">
        <v>5</v>
      </c>
      <c r="T59" s="1202">
        <v>1</v>
      </c>
      <c r="U59" s="1202">
        <v>9</v>
      </c>
      <c r="V59" s="1202">
        <v>17</v>
      </c>
      <c r="W59" s="1202">
        <v>20</v>
      </c>
      <c r="X59" s="1202">
        <v>12</v>
      </c>
      <c r="Y59" s="1202">
        <v>13</v>
      </c>
      <c r="Z59" s="1202">
        <v>15</v>
      </c>
      <c r="AA59" s="1202">
        <v>22</v>
      </c>
      <c r="AB59" s="1202">
        <v>25</v>
      </c>
      <c r="AC59" s="1202">
        <v>16</v>
      </c>
      <c r="AD59" s="1202">
        <v>26</v>
      </c>
      <c r="AE59" s="1202">
        <v>10</v>
      </c>
      <c r="AF59" s="1202">
        <v>15</v>
      </c>
      <c r="AG59" s="1202">
        <v>22</v>
      </c>
      <c r="AH59" s="1202">
        <v>48</v>
      </c>
      <c r="AI59" s="1202">
        <v>58</v>
      </c>
      <c r="AJ59" s="1203">
        <v>62</v>
      </c>
      <c r="AK59" s="1203">
        <v>84</v>
      </c>
      <c r="AL59" s="1203">
        <v>77</v>
      </c>
      <c r="AM59" s="1203">
        <v>69</v>
      </c>
      <c r="AN59" s="1203">
        <v>56</v>
      </c>
      <c r="AO59" s="1203">
        <v>85</v>
      </c>
      <c r="AP59" s="1203">
        <v>108</v>
      </c>
      <c r="AQ59" s="1203">
        <v>119</v>
      </c>
      <c r="AR59" s="1203">
        <v>45</v>
      </c>
      <c r="AS59" s="1203">
        <v>115</v>
      </c>
      <c r="AT59" s="1203">
        <v>158</v>
      </c>
      <c r="AU59" s="1203">
        <v>126</v>
      </c>
      <c r="AV59" s="1203">
        <v>149</v>
      </c>
      <c r="AW59" s="1203">
        <v>140</v>
      </c>
      <c r="AX59" s="1203">
        <v>151</v>
      </c>
      <c r="AY59" s="1203">
        <v>123</v>
      </c>
      <c r="AZ59" s="1203">
        <v>108</v>
      </c>
      <c r="BA59" s="1203">
        <v>166</v>
      </c>
      <c r="BB59" s="1203">
        <v>147</v>
      </c>
      <c r="BC59" s="1203">
        <v>54</v>
      </c>
      <c r="BD59" s="1203">
        <v>48</v>
      </c>
      <c r="BE59" s="1203">
        <v>154</v>
      </c>
      <c r="BF59" s="1203">
        <v>117</v>
      </c>
      <c r="BG59" s="1203">
        <v>109</v>
      </c>
      <c r="BH59" s="1203">
        <v>155</v>
      </c>
      <c r="BI59" s="1203">
        <v>113</v>
      </c>
      <c r="BJ59" s="1203">
        <v>110</v>
      </c>
      <c r="BK59" s="1203">
        <v>162</v>
      </c>
      <c r="BL59" s="1203">
        <v>149</v>
      </c>
      <c r="BM59" s="1203">
        <v>182</v>
      </c>
      <c r="BN59" s="1203">
        <v>183</v>
      </c>
      <c r="BO59" s="1203">
        <v>108</v>
      </c>
      <c r="BP59" s="1203">
        <v>170</v>
      </c>
      <c r="BQ59" s="1203">
        <v>180</v>
      </c>
      <c r="BR59" s="1203">
        <v>155</v>
      </c>
      <c r="BS59" s="1203">
        <v>154</v>
      </c>
      <c r="BT59" s="1203">
        <v>185</v>
      </c>
      <c r="BU59" s="1657">
        <v>149</v>
      </c>
      <c r="BV59" s="1657"/>
      <c r="BW59" s="1657"/>
      <c r="BX59" s="1657"/>
      <c r="BY59" s="1657"/>
      <c r="BZ59" s="1657"/>
    </row>
    <row r="60" spans="1:90">
      <c r="B60" s="931" t="s">
        <v>140</v>
      </c>
      <c r="C60" s="245">
        <v>0.23435357076710223</v>
      </c>
      <c r="H60" s="245">
        <v>0.12129380053908355</v>
      </c>
      <c r="J60" s="240">
        <v>0.63636363636363635</v>
      </c>
      <c r="K60" s="240">
        <v>0.41666666666666669</v>
      </c>
      <c r="L60" s="240">
        <v>0.46666666666666667</v>
      </c>
      <c r="M60" s="240">
        <v>0.4375</v>
      </c>
      <c r="N60" s="240">
        <v>0.2</v>
      </c>
      <c r="O60" s="240">
        <v>0.14285714285714285</v>
      </c>
      <c r="P60" s="240">
        <v>0.42857142857142855</v>
      </c>
      <c r="Q60" s="240">
        <v>0.13333333333333333</v>
      </c>
      <c r="R60" s="240">
        <v>0.23529411764705882</v>
      </c>
      <c r="S60" s="240">
        <v>0.26315789473684209</v>
      </c>
      <c r="T60" s="240">
        <v>5.8823529411764705E-2</v>
      </c>
      <c r="U60" s="240">
        <v>0.52941176470588236</v>
      </c>
      <c r="V60" s="240">
        <v>0.4358974358974359</v>
      </c>
      <c r="W60" s="240">
        <v>0.44444444444444442</v>
      </c>
      <c r="X60" s="240">
        <v>0.27272727272727271</v>
      </c>
      <c r="Y60" s="240">
        <v>0.30952380952380953</v>
      </c>
      <c r="Z60" s="240">
        <v>0.31914893617021278</v>
      </c>
      <c r="AA60" s="240">
        <v>0.42307692307692307</v>
      </c>
      <c r="AB60" s="240">
        <v>0.46296296296296297</v>
      </c>
      <c r="AC60" s="570">
        <v>0.2711864406779661</v>
      </c>
      <c r="AD60" s="584">
        <v>0.35616438356164382</v>
      </c>
      <c r="AE60" s="584">
        <v>0.1388888888888889</v>
      </c>
      <c r="AF60" s="584">
        <v>0.22388059701492538</v>
      </c>
      <c r="AG60" s="584">
        <v>0.30985915492957744</v>
      </c>
      <c r="AH60" s="584">
        <v>0.52173913043478259</v>
      </c>
      <c r="AI60" s="584">
        <v>0.5178571428571429</v>
      </c>
      <c r="AJ60" s="584">
        <v>0.44285714285714284</v>
      </c>
      <c r="AK60" s="584">
        <v>0.5490196078431373</v>
      </c>
      <c r="AL60" s="584">
        <v>0.45294117647058824</v>
      </c>
      <c r="AM60" s="584">
        <v>0.37297297297297299</v>
      </c>
      <c r="AN60" s="584">
        <v>0.29319371727748689</v>
      </c>
      <c r="AO60" s="584">
        <v>0.39719626168224298</v>
      </c>
      <c r="AP60" s="584">
        <v>0.42857142857142855</v>
      </c>
      <c r="AQ60" s="584">
        <v>0.36615384615384616</v>
      </c>
      <c r="AR60" s="584">
        <v>0.13392857142857142</v>
      </c>
      <c r="AS60" s="584">
        <v>0.30026109660574413</v>
      </c>
      <c r="AT60" s="584">
        <v>0.36658932714617171</v>
      </c>
      <c r="AU60" s="584">
        <v>0.27631578947368424</v>
      </c>
      <c r="AV60" s="584">
        <v>0.32603938730853393</v>
      </c>
      <c r="AW60" s="584">
        <v>0.30237580993520519</v>
      </c>
      <c r="AX60" s="584">
        <v>0.3247311827956989</v>
      </c>
      <c r="AY60" s="584">
        <v>0.25786163522012578</v>
      </c>
      <c r="AZ60" s="584">
        <v>0.21730382293762576</v>
      </c>
      <c r="BA60" s="584">
        <v>0.33067729083665337</v>
      </c>
      <c r="BB60" s="584">
        <v>0.2963709677419355</v>
      </c>
      <c r="BC60" s="584">
        <v>0.10588235294117647</v>
      </c>
      <c r="BD60" s="584">
        <v>9.696969696969697E-2</v>
      </c>
      <c r="BE60" s="584">
        <v>0.29445506692160611</v>
      </c>
      <c r="BF60" s="584">
        <v>0.21389396709323583</v>
      </c>
      <c r="BG60" s="584">
        <v>0.19122807017543861</v>
      </c>
      <c r="BH60" s="584">
        <v>0.27433628318584069</v>
      </c>
      <c r="BI60" s="584">
        <v>0.21200750469043153</v>
      </c>
      <c r="BJ60" s="584">
        <v>0.19784172661870503</v>
      </c>
      <c r="BK60" s="584">
        <v>0.28928571428571431</v>
      </c>
      <c r="BL60" s="584">
        <v>0.25470085470085468</v>
      </c>
      <c r="BM60" s="584">
        <v>0.29307568438003223</v>
      </c>
      <c r="BN60" s="584">
        <v>0.2900158478605388</v>
      </c>
      <c r="BO60" s="584">
        <v>0.16901408450704225</v>
      </c>
      <c r="BP60" s="584">
        <v>0.24390243902439024</v>
      </c>
      <c r="BQ60" s="584">
        <v>0.2510460251046025</v>
      </c>
      <c r="BR60" s="584">
        <v>0.22895125553914328</v>
      </c>
      <c r="BS60" s="584">
        <v>0.22647058823529412</v>
      </c>
      <c r="BT60" s="584">
        <v>0.28115501519756841</v>
      </c>
      <c r="BU60" s="584">
        <v>0.23993558776167473</v>
      </c>
      <c r="BV60" s="584">
        <v>0</v>
      </c>
      <c r="BW60" s="584">
        <v>0</v>
      </c>
      <c r="BX60" s="584">
        <v>0</v>
      </c>
      <c r="BY60" s="584">
        <v>0</v>
      </c>
      <c r="BZ60" s="584">
        <v>0</v>
      </c>
    </row>
    <row r="61" spans="1:90">
      <c r="B61" s="931" t="s">
        <v>142</v>
      </c>
      <c r="C61" s="242">
        <v>1.8896464874134746</v>
      </c>
      <c r="H61" s="242">
        <v>1.8666666666666667</v>
      </c>
      <c r="J61" s="215">
        <v>3</v>
      </c>
      <c r="K61" s="215">
        <v>1.4</v>
      </c>
      <c r="L61" s="215">
        <v>2.1428571428571428</v>
      </c>
      <c r="M61" s="215">
        <v>1.2857142857142858</v>
      </c>
      <c r="N61" s="215">
        <v>1.3333333333333333</v>
      </c>
      <c r="O61" s="215">
        <v>1</v>
      </c>
      <c r="P61" s="215">
        <v>1</v>
      </c>
      <c r="Q61" s="215">
        <v>1.5</v>
      </c>
      <c r="R61" s="215">
        <v>3</v>
      </c>
      <c r="S61" s="215">
        <v>1.6</v>
      </c>
      <c r="T61" s="215">
        <v>1</v>
      </c>
      <c r="U61" s="215">
        <v>2.1111111111111112</v>
      </c>
      <c r="V61" s="215">
        <v>1.588235294117647</v>
      </c>
      <c r="W61" s="215">
        <v>1.75</v>
      </c>
      <c r="X61" s="215">
        <v>2</v>
      </c>
      <c r="Y61" s="215">
        <v>1.3076923076923077</v>
      </c>
      <c r="Z61" s="215">
        <v>1.5333333333333334</v>
      </c>
      <c r="AA61" s="215">
        <v>1.7272727272727273</v>
      </c>
      <c r="AB61" s="215">
        <v>1.1599999999999999</v>
      </c>
      <c r="AC61" s="215">
        <v>1.625</v>
      </c>
      <c r="AD61" s="215">
        <v>1.4615384615384615</v>
      </c>
      <c r="AE61" s="215">
        <v>1.6</v>
      </c>
      <c r="AF61" s="215">
        <v>1.3333333333333333</v>
      </c>
      <c r="AG61" s="215">
        <v>1.8181818181818181</v>
      </c>
      <c r="AH61" s="215">
        <v>1.7083333333333333</v>
      </c>
      <c r="AI61" s="215">
        <v>1.7586206896551724</v>
      </c>
      <c r="AJ61" s="215">
        <v>1.6935483870967742</v>
      </c>
      <c r="AK61" s="215">
        <v>1</v>
      </c>
      <c r="AL61" s="215">
        <v>1.7922077922077921</v>
      </c>
      <c r="AM61" s="215">
        <v>1.7391304347826086</v>
      </c>
      <c r="AN61" s="215">
        <v>1.3392857142857142</v>
      </c>
      <c r="AO61" s="215">
        <v>1.8588235294117648</v>
      </c>
      <c r="AP61" s="215">
        <v>1.7407407407407407</v>
      </c>
      <c r="AQ61" s="215">
        <v>1.4705882352941178</v>
      </c>
      <c r="AR61" s="215">
        <v>1.288888888888889</v>
      </c>
      <c r="AS61" s="215">
        <v>1.5478260869565217</v>
      </c>
      <c r="AT61" s="215">
        <v>1.5632911392405062</v>
      </c>
      <c r="AU61" s="215">
        <v>1.4841269841269842</v>
      </c>
      <c r="AV61" s="215">
        <v>1.476510067114094</v>
      </c>
      <c r="AW61" s="215">
        <v>1.4714285714285715</v>
      </c>
      <c r="AX61" s="215">
        <v>1.3509933774834437</v>
      </c>
      <c r="AY61" s="215">
        <v>1.5447154471544715</v>
      </c>
      <c r="AZ61" s="215">
        <v>1.4814814814814814</v>
      </c>
      <c r="BA61" s="215">
        <v>1.7771084337349397</v>
      </c>
      <c r="BB61" s="215">
        <v>1.6258503401360545</v>
      </c>
      <c r="BC61" s="215">
        <v>1.2222222222222223</v>
      </c>
      <c r="BD61" s="215">
        <v>1.4791666666666667</v>
      </c>
      <c r="BE61" s="215">
        <v>1.8636363636363635</v>
      </c>
      <c r="BF61" s="215">
        <v>1.6153846153846154</v>
      </c>
      <c r="BG61" s="215">
        <v>1.5871559633027523</v>
      </c>
      <c r="BH61" s="215">
        <v>1.7483870967741935</v>
      </c>
      <c r="BI61" s="215">
        <v>1.9823008849557522</v>
      </c>
      <c r="BJ61" s="215">
        <v>1.9181818181818182</v>
      </c>
      <c r="BK61" s="215">
        <v>1.7839506172839505</v>
      </c>
      <c r="BL61" s="215">
        <v>1.6979865771812082</v>
      </c>
      <c r="BM61" s="215">
        <v>1.6868131868131868</v>
      </c>
      <c r="BN61" s="215">
        <v>1.8797814207650274</v>
      </c>
      <c r="BO61" s="215">
        <v>1.3888888888888888</v>
      </c>
      <c r="BP61" s="215">
        <v>1.9</v>
      </c>
      <c r="BQ61" s="215">
        <v>1.8222222222222222</v>
      </c>
      <c r="BR61" s="215">
        <v>1.7548387096774194</v>
      </c>
      <c r="BS61" s="215">
        <v>2.168831168831169</v>
      </c>
      <c r="BT61" s="215">
        <v>2.118918918918919</v>
      </c>
      <c r="BU61" s="215">
        <v>2.0738255033557045</v>
      </c>
      <c r="BV61" s="215" t="s">
        <v>4378</v>
      </c>
      <c r="BW61" s="215" t="s">
        <v>4378</v>
      </c>
      <c r="BX61" s="215" t="s">
        <v>4378</v>
      </c>
      <c r="BY61" s="215" t="s">
        <v>4378</v>
      </c>
      <c r="BZ61" s="215" t="s">
        <v>4378</v>
      </c>
    </row>
    <row r="62" spans="1:90">
      <c r="B62" s="931" t="s">
        <v>184</v>
      </c>
      <c r="C62" s="242">
        <v>0</v>
      </c>
      <c r="H62" s="242">
        <v>0.62222222222222223</v>
      </c>
      <c r="J62" s="215">
        <v>1.9090909090909092</v>
      </c>
      <c r="K62" s="215">
        <v>0.58333333333333337</v>
      </c>
      <c r="L62" s="215">
        <v>1</v>
      </c>
      <c r="M62" s="215">
        <v>0.5625</v>
      </c>
      <c r="N62" s="215">
        <v>0.26666666666666666</v>
      </c>
      <c r="O62" s="215">
        <v>0.14285714285714285</v>
      </c>
      <c r="P62" s="215">
        <v>0.42857142857142855</v>
      </c>
      <c r="Q62" s="215">
        <v>0.2</v>
      </c>
      <c r="R62" s="215">
        <v>0.70588235294117652</v>
      </c>
      <c r="S62" s="215">
        <v>0.42105263157894735</v>
      </c>
      <c r="T62" s="215">
        <v>5.8823529411764705E-2</v>
      </c>
      <c r="U62" s="215">
        <v>1.1176470588235294</v>
      </c>
      <c r="V62" s="215">
        <v>0.69230769230769229</v>
      </c>
      <c r="W62" s="215">
        <v>0.77777777777777779</v>
      </c>
      <c r="X62" s="215">
        <v>0.54545454545454541</v>
      </c>
      <c r="Y62" s="215">
        <v>0.40476190476190477</v>
      </c>
      <c r="Z62" s="215">
        <v>0.48936170212765956</v>
      </c>
      <c r="AA62" s="215">
        <v>0.73076923076923073</v>
      </c>
      <c r="AB62" s="215">
        <v>0.53703703703703709</v>
      </c>
      <c r="AC62" s="215">
        <v>0.44067796610169491</v>
      </c>
      <c r="AD62" s="215">
        <v>0.52054794520547942</v>
      </c>
      <c r="AE62" s="215">
        <v>0.22222222222222221</v>
      </c>
      <c r="AF62" s="215">
        <v>0.29850746268656714</v>
      </c>
      <c r="AG62" s="215">
        <v>0.56338028169014087</v>
      </c>
      <c r="AH62" s="215">
        <v>0.89130434782608692</v>
      </c>
      <c r="AI62" s="215">
        <v>0.9107142857142857</v>
      </c>
    </row>
    <row r="63" spans="1:90">
      <c r="B63" s="931" t="s">
        <v>251</v>
      </c>
      <c r="C63" s="1898">
        <v>621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82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82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27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v>42247</v>
      </c>
      <c r="AY66" s="211">
        <v>42277</v>
      </c>
      <c r="AZ66" s="211">
        <v>42308</v>
      </c>
      <c r="BA66" s="211">
        <v>42338</v>
      </c>
      <c r="BB66" s="211"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82">
      <c r="B67" s="1592" t="s">
        <v>152</v>
      </c>
      <c r="C67" s="242">
        <v>1183.5889999999999</v>
      </c>
      <c r="H67" s="242">
        <v>138.691</v>
      </c>
      <c r="J67" s="321">
        <v>173.05699999999999</v>
      </c>
      <c r="K67" s="321">
        <v>90.444000000000003</v>
      </c>
      <c r="L67" s="321">
        <v>26.955999999999996</v>
      </c>
      <c r="M67" s="321">
        <v>21.574999999999999</v>
      </c>
      <c r="N67" s="321">
        <v>40.497999999999998</v>
      </c>
      <c r="O67" s="321">
        <v>16.643999999999998</v>
      </c>
      <c r="P67" s="321">
        <v>34.04</v>
      </c>
      <c r="Q67" s="321">
        <v>0</v>
      </c>
      <c r="R67" s="321">
        <v>432.70600000000002</v>
      </c>
      <c r="S67" s="321">
        <v>46.716000000000001</v>
      </c>
      <c r="T67" s="321"/>
      <c r="U67" s="321">
        <v>91.974999999999994</v>
      </c>
      <c r="V67" s="321">
        <v>132.09800000000001</v>
      </c>
      <c r="W67" s="321">
        <v>72.552000000000007</v>
      </c>
      <c r="X67" s="321">
        <v>114.491</v>
      </c>
      <c r="Y67" s="321">
        <v>185.40600000000001</v>
      </c>
      <c r="Z67" s="321">
        <v>120.79</v>
      </c>
      <c r="AA67" s="321">
        <v>229.739</v>
      </c>
      <c r="AB67" s="522">
        <v>362.69099999999997</v>
      </c>
      <c r="AC67" s="321">
        <v>87.858000000000004</v>
      </c>
      <c r="AD67" s="321">
        <v>268.22199999999998</v>
      </c>
      <c r="AE67" s="775">
        <v>118.017</v>
      </c>
      <c r="AF67" s="818">
        <v>128.90700000000001</v>
      </c>
      <c r="AG67" s="818">
        <v>171.114</v>
      </c>
      <c r="AH67" s="818">
        <v>379.536</v>
      </c>
      <c r="AI67" s="818">
        <v>386.01499999999999</v>
      </c>
    </row>
    <row r="68" spans="1:82">
      <c r="B68" s="1592" t="s">
        <v>153</v>
      </c>
      <c r="C68" s="242">
        <v>825.09799999999996</v>
      </c>
      <c r="H68" s="242">
        <v>145.05500000000001</v>
      </c>
      <c r="J68" s="321"/>
      <c r="K68" s="321">
        <v>133.339</v>
      </c>
      <c r="L68" s="321">
        <v>126.37899999999999</v>
      </c>
      <c r="M68" s="321">
        <v>16.544999999999998</v>
      </c>
      <c r="N68" s="321">
        <v>72.686000000000007</v>
      </c>
      <c r="O68" s="321">
        <v>36.513999999999996</v>
      </c>
      <c r="P68" s="321"/>
      <c r="Q68" s="321">
        <v>0</v>
      </c>
      <c r="R68" s="321">
        <v>21.294</v>
      </c>
      <c r="S68" s="321">
        <v>145.05500000000001</v>
      </c>
      <c r="T68" s="321"/>
      <c r="U68" s="321"/>
      <c r="V68" s="321">
        <v>29.201000000000001</v>
      </c>
      <c r="W68" s="321">
        <v>203.80799999999999</v>
      </c>
      <c r="X68" s="321">
        <v>44.304000000000002</v>
      </c>
      <c r="Y68" s="321">
        <v>127.22499999999999</v>
      </c>
      <c r="Z68" s="321">
        <v>149.708</v>
      </c>
      <c r="AA68" s="321">
        <v>72.727999999999994</v>
      </c>
      <c r="AB68" s="522">
        <v>341.00700000000001</v>
      </c>
      <c r="AC68" s="321">
        <v>97.847999999999999</v>
      </c>
      <c r="AD68" s="321">
        <v>116.15900000000001</v>
      </c>
      <c r="AE68" s="775">
        <v>117.117</v>
      </c>
      <c r="AF68" s="818">
        <v>78.343000000000004</v>
      </c>
      <c r="AG68" s="818">
        <v>52.136000000000003</v>
      </c>
      <c r="AH68" s="818">
        <v>205.405</v>
      </c>
      <c r="AI68" s="818">
        <v>372.09699999999998</v>
      </c>
    </row>
    <row r="69" spans="1:82">
      <c r="B69" s="1592" t="s">
        <v>70</v>
      </c>
      <c r="C69" s="242">
        <v>305.791</v>
      </c>
      <c r="H69" s="242">
        <v>61.686999999999998</v>
      </c>
      <c r="J69" s="321"/>
      <c r="K69" s="321"/>
      <c r="L69" s="321">
        <v>148.17250000000001</v>
      </c>
      <c r="M69" s="321">
        <v>61.872999999999998</v>
      </c>
      <c r="N69" s="321">
        <v>11.02</v>
      </c>
      <c r="O69" s="321">
        <v>177.84100000000001</v>
      </c>
      <c r="P69" s="321">
        <v>21.707999999999998</v>
      </c>
      <c r="Q69" s="321">
        <v>0</v>
      </c>
      <c r="R69" s="321">
        <v>29.55</v>
      </c>
      <c r="S69" s="321"/>
      <c r="T69" s="321">
        <v>51.454999999999998</v>
      </c>
      <c r="U69" s="321">
        <v>10.231999999999999</v>
      </c>
      <c r="V69" s="321"/>
      <c r="W69" s="321">
        <v>54.26</v>
      </c>
      <c r="X69" s="321">
        <v>59.848999999999997</v>
      </c>
      <c r="Y69" s="321">
        <v>7.47</v>
      </c>
      <c r="Z69" s="321">
        <v>48.363</v>
      </c>
      <c r="AA69" s="321">
        <v>31.047000000000001</v>
      </c>
      <c r="AB69" s="522">
        <v>153.239</v>
      </c>
      <c r="AC69" s="321">
        <v>143.761</v>
      </c>
      <c r="AD69" s="321">
        <v>141.44</v>
      </c>
      <c r="AE69" s="775">
        <v>73.085999999999999</v>
      </c>
      <c r="AF69" s="818">
        <v>66.861000000000004</v>
      </c>
      <c r="AG69" s="818">
        <v>52.96</v>
      </c>
      <c r="AH69" s="818">
        <v>22.434999999999999</v>
      </c>
      <c r="AI69" s="818">
        <v>90.448999999999998</v>
      </c>
    </row>
    <row r="70" spans="1:82">
      <c r="B70" s="1592" t="s">
        <v>71</v>
      </c>
      <c r="C70" s="242">
        <v>1234.7245</v>
      </c>
      <c r="H70" s="242">
        <v>88.187999999999988</v>
      </c>
      <c r="J70" s="321"/>
      <c r="K70" s="321"/>
      <c r="L70" s="321"/>
      <c r="M70" s="321">
        <v>22.585000000000001</v>
      </c>
      <c r="N70" s="321">
        <v>133.28899999999999</v>
      </c>
      <c r="O70" s="321">
        <v>208.447</v>
      </c>
      <c r="P70" s="321">
        <v>58.027999999999999</v>
      </c>
      <c r="Q70" s="321">
        <v>0</v>
      </c>
      <c r="R70" s="321">
        <v>16.177</v>
      </c>
      <c r="S70" s="321">
        <v>0</v>
      </c>
      <c r="T70" s="321">
        <v>10.792999999999999</v>
      </c>
      <c r="U70" s="321">
        <v>77.394999999999996</v>
      </c>
      <c r="V70" s="321">
        <v>17.321000000000002</v>
      </c>
      <c r="W70" s="321">
        <v>34.898000000000003</v>
      </c>
      <c r="X70" s="321">
        <v>15.349</v>
      </c>
      <c r="Y70" s="321">
        <v>34.432000000000002</v>
      </c>
      <c r="Z70" s="321">
        <v>40.99</v>
      </c>
      <c r="AA70" s="321">
        <v>232.803</v>
      </c>
      <c r="AB70" s="522">
        <v>51.32</v>
      </c>
      <c r="AC70" s="321">
        <v>190.02099999999999</v>
      </c>
      <c r="AD70" s="321">
        <v>342.60399999999998</v>
      </c>
      <c r="AE70" s="775">
        <v>223.958</v>
      </c>
      <c r="AF70" s="818">
        <v>193.273</v>
      </c>
      <c r="AG70" s="818">
        <v>346.73599999999999</v>
      </c>
      <c r="AH70" s="818">
        <v>207.97</v>
      </c>
      <c r="AI70" s="818">
        <v>262.78750000000002</v>
      </c>
    </row>
    <row r="71" spans="1:82">
      <c r="B71" s="1592" t="s">
        <v>72</v>
      </c>
      <c r="C71" s="242">
        <v>740.57550000000003</v>
      </c>
      <c r="H71" s="242">
        <v>207.89449999999999</v>
      </c>
      <c r="J71" s="321"/>
      <c r="K71" s="321"/>
      <c r="L71" s="321"/>
      <c r="M71" s="321"/>
      <c r="N71" s="321"/>
      <c r="O71" s="321"/>
      <c r="P71" s="321">
        <v>5.8460000000000001</v>
      </c>
      <c r="Q71" s="321">
        <v>50.889000000000003</v>
      </c>
      <c r="R71" s="321">
        <v>144.04300000000001</v>
      </c>
      <c r="S71" s="321">
        <v>70.334500000000006</v>
      </c>
      <c r="T71" s="321">
        <v>46.292000000000002</v>
      </c>
      <c r="U71" s="321">
        <v>91.268000000000001</v>
      </c>
      <c r="V71" s="321">
        <v>11.662000000000001</v>
      </c>
      <c r="W71" s="321">
        <v>0</v>
      </c>
      <c r="X71" s="321">
        <v>7.3719999999999999</v>
      </c>
      <c r="Y71" s="321">
        <v>10.473000000000001</v>
      </c>
      <c r="Z71" s="321">
        <v>0</v>
      </c>
      <c r="AA71" s="321">
        <v>0</v>
      </c>
      <c r="AB71" s="522">
        <v>63.244999999999997</v>
      </c>
      <c r="AC71" s="321">
        <v>12.584</v>
      </c>
      <c r="AD71" s="321">
        <v>128.94999999999999</v>
      </c>
      <c r="AE71" s="775">
        <v>-2.7879999999999998</v>
      </c>
      <c r="AF71" s="818">
        <v>83.97</v>
      </c>
      <c r="AG71" s="818">
        <v>139.21700000000001</v>
      </c>
      <c r="AH71" s="818">
        <v>323.60000000000002</v>
      </c>
      <c r="AI71" s="818">
        <v>196.57650000000001</v>
      </c>
    </row>
    <row r="72" spans="1:82">
      <c r="B72" s="1592" t="s">
        <v>73</v>
      </c>
      <c r="C72" s="242">
        <v>2876.9900000000002</v>
      </c>
      <c r="H72" s="242">
        <v>326.16849999999999</v>
      </c>
      <c r="J72" s="321">
        <v>119.18300000000002</v>
      </c>
      <c r="K72" s="321">
        <v>119.98099999999999</v>
      </c>
      <c r="L72" s="321">
        <v>514.75149999999996</v>
      </c>
      <c r="M72" s="321">
        <v>112.37199999999999</v>
      </c>
      <c r="N72" s="321">
        <v>66.927999999999997</v>
      </c>
      <c r="O72" s="321">
        <v>96.510999999999996</v>
      </c>
      <c r="P72" s="321">
        <v>92.266000000000005</v>
      </c>
      <c r="Q72" s="321">
        <v>129.858</v>
      </c>
      <c r="R72" s="321">
        <v>544.70699999999999</v>
      </c>
      <c r="S72" s="321">
        <v>151.84049999999999</v>
      </c>
      <c r="T72" s="321">
        <v>59.395000000000003</v>
      </c>
      <c r="U72" s="321">
        <v>114.93300000000001</v>
      </c>
      <c r="V72" s="321">
        <v>259.82600000000002</v>
      </c>
      <c r="W72" s="321">
        <v>405.22800000000001</v>
      </c>
      <c r="X72" s="321">
        <v>90.197000000000003</v>
      </c>
      <c r="Y72" s="321">
        <v>86.534999999999997</v>
      </c>
      <c r="Z72" s="321">
        <v>247.95500000000001</v>
      </c>
      <c r="AA72" s="321">
        <v>373.04599999999999</v>
      </c>
      <c r="AB72" s="522">
        <v>402.01</v>
      </c>
      <c r="AC72" s="321">
        <v>394.49900000000002</v>
      </c>
      <c r="AD72" s="321">
        <v>461.78300000000002</v>
      </c>
      <c r="AE72" s="775">
        <v>298.14499999999998</v>
      </c>
      <c r="AF72" s="818">
        <v>377.83499999999998</v>
      </c>
      <c r="AG72" s="818">
        <v>453.01799999999997</v>
      </c>
      <c r="AH72" s="818">
        <v>654.14800000000002</v>
      </c>
      <c r="AI72" s="818">
        <v>1093.8440000000001</v>
      </c>
    </row>
    <row r="73" spans="1:82" s="956" customFormat="1">
      <c r="A73" s="935"/>
      <c r="B73" s="1592" t="s">
        <v>75</v>
      </c>
      <c r="C73" s="961">
        <v>74.600999999999999</v>
      </c>
      <c r="D73" s="932"/>
      <c r="E73" s="954"/>
      <c r="F73" s="954"/>
      <c r="G73" s="954"/>
      <c r="H73" s="961"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G73" s="1196">
        <v>42.058</v>
      </c>
      <c r="AH73" s="1196">
        <v>13.188000000000001</v>
      </c>
      <c r="AI73" s="1196">
        <v>19.355</v>
      </c>
      <c r="BU73" s="2373"/>
      <c r="BV73" s="2373"/>
      <c r="BW73" s="2373"/>
      <c r="BX73" s="2373"/>
      <c r="BY73" s="2373"/>
      <c r="BZ73" s="2373"/>
    </row>
    <row r="74" spans="1:82" s="2200" customFormat="1">
      <c r="A74" s="935" t="s">
        <v>4287</v>
      </c>
      <c r="B74" s="1592" t="s">
        <v>4197</v>
      </c>
      <c r="C74" s="778"/>
      <c r="D74" s="932"/>
      <c r="E74" s="932"/>
      <c r="F74" s="932"/>
      <c r="G74" s="932"/>
      <c r="H74" s="778"/>
      <c r="I74" s="932"/>
      <c r="J74" s="2203"/>
      <c r="K74" s="2203"/>
      <c r="L74" s="2203"/>
      <c r="M74" s="2203"/>
      <c r="N74" s="2203"/>
      <c r="O74" s="2203"/>
      <c r="P74" s="2203"/>
      <c r="Q74" s="2203"/>
      <c r="R74" s="2203"/>
      <c r="S74" s="2203"/>
      <c r="T74" s="2203"/>
      <c r="U74" s="2199"/>
      <c r="V74" s="2199"/>
      <c r="W74" s="2199"/>
      <c r="X74" s="2199"/>
      <c r="Y74" s="2199"/>
      <c r="Z74" s="2199"/>
      <c r="AA74" s="2199"/>
      <c r="AB74" s="2206"/>
      <c r="AC74" s="2199"/>
      <c r="AD74" s="2199"/>
      <c r="AG74" s="2202"/>
      <c r="AH74" s="2202"/>
      <c r="AI74" s="2202"/>
      <c r="BO74" s="2200">
        <v>0</v>
      </c>
      <c r="BP74" s="2201">
        <v>541.452</v>
      </c>
      <c r="BQ74" s="2201">
        <v>608.25</v>
      </c>
      <c r="BR74" s="2201">
        <v>830.04849999999999</v>
      </c>
      <c r="BS74" s="2201">
        <v>482.97</v>
      </c>
      <c r="BT74" s="2201">
        <v>254.37</v>
      </c>
      <c r="BU74" s="2201">
        <v>387.68799999999999</v>
      </c>
      <c r="BV74" s="2201">
        <v>0</v>
      </c>
      <c r="BW74" s="2201">
        <v>0</v>
      </c>
      <c r="BX74" s="2201">
        <v>0</v>
      </c>
      <c r="BY74" s="2201">
        <v>0</v>
      </c>
      <c r="BZ74" s="2201">
        <v>0</v>
      </c>
      <c r="CA74" s="2201"/>
      <c r="CB74" s="2201"/>
      <c r="CC74" s="2201"/>
      <c r="CD74" s="2201"/>
    </row>
    <row r="75" spans="1:82" s="976" customFormat="1">
      <c r="A75" s="2377" t="s">
        <v>4328</v>
      </c>
      <c r="B75" s="971" t="s">
        <v>4208</v>
      </c>
      <c r="C75" s="1305">
        <v>173278.55816000002</v>
      </c>
      <c r="D75" s="972"/>
      <c r="E75" s="973"/>
      <c r="F75" s="973"/>
      <c r="G75" s="973"/>
      <c r="H75" s="1305">
        <v>967.68400000000008</v>
      </c>
      <c r="I75" s="972"/>
      <c r="J75" s="1306">
        <v>292.24</v>
      </c>
      <c r="K75" s="1306">
        <v>343.76400000000001</v>
      </c>
      <c r="L75" s="1306">
        <v>816.25900000000001</v>
      </c>
      <c r="M75" s="1306">
        <v>234.95</v>
      </c>
      <c r="N75" s="1306">
        <v>324.42099999999999</v>
      </c>
      <c r="O75" s="1306">
        <v>535.95699999999999</v>
      </c>
      <c r="P75" s="1306">
        <v>211.88800000000001</v>
      </c>
      <c r="Q75" s="1306">
        <v>180.74700000000001</v>
      </c>
      <c r="R75" s="1306">
        <v>1188.4769999999999</v>
      </c>
      <c r="S75" s="1306">
        <v>413.94600000000003</v>
      </c>
      <c r="T75" s="1306">
        <v>167.935</v>
      </c>
      <c r="U75" s="1306">
        <v>385.803</v>
      </c>
      <c r="V75" s="1306">
        <v>450.10800000000006</v>
      </c>
      <c r="W75" s="1306">
        <v>770.74600000000009</v>
      </c>
      <c r="X75" s="1306">
        <v>331.56200000000001</v>
      </c>
      <c r="Y75" s="1306">
        <v>451.54100000000005</v>
      </c>
      <c r="Z75" s="1306">
        <v>607.80600000000004</v>
      </c>
      <c r="AA75" s="1306">
        <v>939.36300000000006</v>
      </c>
      <c r="AB75" s="929">
        <v>1373.5120000000002</v>
      </c>
      <c r="AC75" s="929">
        <v>926.57099999999991</v>
      </c>
      <c r="AD75" s="929">
        <v>1459.1579999999999</v>
      </c>
      <c r="AE75" s="929">
        <v>827.53499999999997</v>
      </c>
      <c r="AF75" s="929">
        <v>929.18900000000008</v>
      </c>
      <c r="AG75" s="929">
        <v>1257.2389999999998</v>
      </c>
      <c r="AH75" s="929">
        <v>1806.2820000000002</v>
      </c>
      <c r="AI75" s="929">
        <v>2421.1240000000003</v>
      </c>
      <c r="AJ75" s="929">
        <v>4469.2719999999999</v>
      </c>
      <c r="AK75" s="929">
        <v>5091.6689999999999</v>
      </c>
      <c r="AL75" s="929">
        <v>5263.5330000000004</v>
      </c>
      <c r="AM75" s="929">
        <v>7663.94</v>
      </c>
      <c r="AN75" s="929">
        <v>8912.9089999999997</v>
      </c>
      <c r="AO75" s="929">
        <v>8341.8340000000007</v>
      </c>
      <c r="AP75" s="929">
        <v>23133.16</v>
      </c>
      <c r="AQ75" s="929">
        <v>5229.46</v>
      </c>
      <c r="AR75" s="929">
        <v>4953.427999999999</v>
      </c>
      <c r="AS75" s="929">
        <v>10947.14</v>
      </c>
      <c r="AT75" s="929">
        <v>14127.838900000002</v>
      </c>
      <c r="AU75" s="929">
        <v>11378.866000000002</v>
      </c>
      <c r="AV75" s="929">
        <v>20467.17449999999</v>
      </c>
      <c r="AW75" s="929">
        <v>16930.181499999999</v>
      </c>
      <c r="AX75" s="929">
        <v>10592.914359999999</v>
      </c>
      <c r="AY75" s="1871">
        <v>22551.684799999992</v>
      </c>
      <c r="AZ75" s="1871">
        <v>14142.543139999991</v>
      </c>
      <c r="BA75" s="1871">
        <v>21867.056700000012</v>
      </c>
      <c r="BB75" s="1871">
        <v>34698.425899999973</v>
      </c>
      <c r="BC75" s="1871">
        <v>6107.5723999999991</v>
      </c>
      <c r="BD75" s="1871">
        <v>6937.6219999999694</v>
      </c>
      <c r="BE75" s="1871">
        <v>17947.367299999991</v>
      </c>
      <c r="BF75" s="1871">
        <v>18456.183199999999</v>
      </c>
      <c r="BG75" s="1871">
        <v>13855.127900000003</v>
      </c>
      <c r="BH75" s="1871">
        <v>17580.338640000002</v>
      </c>
      <c r="BI75" s="1871">
        <v>14366.86017</v>
      </c>
      <c r="BJ75" s="1871">
        <v>14149.385</v>
      </c>
      <c r="BK75" s="1871">
        <v>20517.665099999998</v>
      </c>
      <c r="BL75" s="1871">
        <v>18767.984049999999</v>
      </c>
      <c r="BM75" s="1871">
        <v>28166.729560000036</v>
      </c>
      <c r="BN75" s="1871">
        <v>45261.850670000116</v>
      </c>
      <c r="BO75" s="1871">
        <v>13255.832900000001</v>
      </c>
      <c r="BP75" s="1871">
        <v>20914.4359</v>
      </c>
      <c r="BQ75" s="1871">
        <v>27283.34</v>
      </c>
      <c r="BR75" s="1871">
        <v>23707.005499999999</v>
      </c>
      <c r="BS75" s="1871">
        <v>30972.881000000001</v>
      </c>
      <c r="BT75" s="1871">
        <v>30991.834999999999</v>
      </c>
      <c r="BU75" s="1871">
        <v>23048.449359999999</v>
      </c>
      <c r="BV75" s="1871">
        <v>0</v>
      </c>
      <c r="BW75" s="1871">
        <v>0</v>
      </c>
      <c r="BX75" s="1871">
        <v>0</v>
      </c>
      <c r="BY75" s="1871">
        <v>0</v>
      </c>
      <c r="BZ75" s="1871">
        <v>0</v>
      </c>
    </row>
    <row r="77" spans="1:82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27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82">
      <c r="B78" s="1592" t="s">
        <v>152</v>
      </c>
      <c r="C78" s="243">
        <v>72</v>
      </c>
      <c r="H78" s="243">
        <v>7</v>
      </c>
      <c r="J78" s="937">
        <v>9</v>
      </c>
      <c r="K78" s="937">
        <v>6</v>
      </c>
      <c r="L78" s="937">
        <v>2</v>
      </c>
      <c r="M78" s="937">
        <v>1</v>
      </c>
      <c r="N78" s="937">
        <v>3</v>
      </c>
      <c r="O78" s="937">
        <v>1</v>
      </c>
      <c r="P78" s="937">
        <v>2</v>
      </c>
      <c r="Q78" s="937">
        <v>0</v>
      </c>
      <c r="R78" s="937">
        <v>9</v>
      </c>
      <c r="S78" s="937">
        <v>3</v>
      </c>
      <c r="T78" s="937">
        <v>0</v>
      </c>
      <c r="U78" s="937">
        <v>4</v>
      </c>
      <c r="V78" s="937">
        <v>8</v>
      </c>
      <c r="W78" s="937">
        <v>6</v>
      </c>
      <c r="X78" s="937">
        <v>5</v>
      </c>
      <c r="Y78" s="937">
        <v>6</v>
      </c>
      <c r="Z78" s="937">
        <v>9</v>
      </c>
      <c r="AA78" s="937">
        <v>6</v>
      </c>
      <c r="AB78" s="937">
        <v>12</v>
      </c>
      <c r="AC78" s="937">
        <v>7</v>
      </c>
      <c r="AD78" s="937">
        <v>13</v>
      </c>
      <c r="AE78" s="935">
        <v>6</v>
      </c>
      <c r="AF78" s="935">
        <v>8</v>
      </c>
      <c r="AG78" s="935">
        <v>11</v>
      </c>
      <c r="AH78" s="935">
        <v>22</v>
      </c>
      <c r="AI78" s="935">
        <v>25</v>
      </c>
    </row>
    <row r="79" spans="1:82">
      <c r="B79" s="1592" t="s">
        <v>153</v>
      </c>
      <c r="C79" s="243">
        <v>47</v>
      </c>
      <c r="H79" s="243">
        <v>6</v>
      </c>
      <c r="K79" s="937">
        <v>12</v>
      </c>
      <c r="L79" s="937">
        <v>5</v>
      </c>
      <c r="M79" s="937">
        <v>2</v>
      </c>
      <c r="N79" s="937">
        <v>3</v>
      </c>
      <c r="O79" s="937">
        <v>2</v>
      </c>
      <c r="P79" s="937">
        <v>0</v>
      </c>
      <c r="Q79" s="937">
        <v>0</v>
      </c>
      <c r="R79" s="937">
        <v>2</v>
      </c>
      <c r="S79" s="937">
        <v>6</v>
      </c>
      <c r="T79" s="937">
        <v>0</v>
      </c>
      <c r="U79" s="937">
        <v>0</v>
      </c>
      <c r="V79" s="937">
        <v>3</v>
      </c>
      <c r="W79" s="937">
        <v>11</v>
      </c>
      <c r="X79" s="937">
        <v>6</v>
      </c>
      <c r="Y79" s="937">
        <v>7</v>
      </c>
      <c r="Z79" s="937">
        <v>3</v>
      </c>
      <c r="AA79" s="937">
        <v>5</v>
      </c>
      <c r="AB79" s="937">
        <v>12</v>
      </c>
      <c r="AC79" s="937">
        <v>6</v>
      </c>
      <c r="AD79" s="937">
        <v>4</v>
      </c>
      <c r="AE79" s="935">
        <v>8</v>
      </c>
      <c r="AF79" s="935">
        <v>5</v>
      </c>
      <c r="AG79" s="935">
        <v>5</v>
      </c>
      <c r="AH79" s="935">
        <v>11</v>
      </c>
      <c r="AI79" s="935">
        <v>18</v>
      </c>
    </row>
    <row r="80" spans="1:82">
      <c r="B80" s="1592" t="s">
        <v>70</v>
      </c>
      <c r="C80" s="243">
        <v>18</v>
      </c>
      <c r="H80" s="243">
        <v>4</v>
      </c>
      <c r="L80" s="937">
        <v>8</v>
      </c>
      <c r="M80" s="937">
        <v>4</v>
      </c>
      <c r="N80" s="937">
        <v>1</v>
      </c>
      <c r="O80" s="937">
        <v>3</v>
      </c>
      <c r="P80" s="937">
        <v>2</v>
      </c>
      <c r="Q80" s="937">
        <v>0</v>
      </c>
      <c r="R80" s="937">
        <v>3</v>
      </c>
      <c r="S80" s="937">
        <v>0</v>
      </c>
      <c r="T80" s="937">
        <v>3</v>
      </c>
      <c r="U80" s="937">
        <v>1</v>
      </c>
      <c r="V80" s="937">
        <v>0</v>
      </c>
      <c r="W80" s="937">
        <v>2</v>
      </c>
      <c r="X80" s="937">
        <v>3</v>
      </c>
      <c r="Y80" s="937">
        <v>1</v>
      </c>
      <c r="Z80" s="937">
        <v>4</v>
      </c>
      <c r="AA80" s="937">
        <v>2</v>
      </c>
      <c r="AB80" s="937">
        <v>6</v>
      </c>
      <c r="AC80" s="937">
        <v>5</v>
      </c>
      <c r="AD80" s="937">
        <v>9</v>
      </c>
      <c r="AE80" s="935">
        <v>4</v>
      </c>
      <c r="AF80" s="935">
        <v>4</v>
      </c>
      <c r="AG80" s="935">
        <v>4</v>
      </c>
      <c r="AH80" s="935">
        <v>2</v>
      </c>
      <c r="AI80" s="935">
        <v>4</v>
      </c>
    </row>
    <row r="81" spans="1:87">
      <c r="B81" s="1592" t="s">
        <v>71</v>
      </c>
      <c r="C81" s="243">
        <v>47</v>
      </c>
      <c r="H81" s="243">
        <v>6</v>
      </c>
      <c r="M81" s="937">
        <v>2</v>
      </c>
      <c r="N81" s="937">
        <v>7</v>
      </c>
      <c r="O81" s="937">
        <v>9</v>
      </c>
      <c r="P81" s="937">
        <v>2</v>
      </c>
      <c r="Q81" s="937">
        <v>0</v>
      </c>
      <c r="R81" s="937">
        <v>2</v>
      </c>
      <c r="S81" s="937">
        <v>0</v>
      </c>
      <c r="T81" s="937">
        <v>1</v>
      </c>
      <c r="U81" s="937">
        <v>5</v>
      </c>
      <c r="V81" s="937">
        <v>1</v>
      </c>
      <c r="W81" s="937">
        <v>3</v>
      </c>
      <c r="X81" s="937">
        <v>2</v>
      </c>
      <c r="Y81" s="937">
        <v>2</v>
      </c>
      <c r="Z81" s="937">
        <v>3</v>
      </c>
      <c r="AA81" s="937">
        <v>9</v>
      </c>
      <c r="AB81" s="937">
        <v>3</v>
      </c>
      <c r="AC81" s="937">
        <v>6</v>
      </c>
      <c r="AD81" s="937">
        <v>11</v>
      </c>
      <c r="AE81" s="935">
        <v>13</v>
      </c>
      <c r="AF81" s="935">
        <v>7</v>
      </c>
      <c r="AG81" s="935">
        <v>10</v>
      </c>
      <c r="AH81" s="935">
        <v>11</v>
      </c>
      <c r="AI81" s="935">
        <v>6</v>
      </c>
    </row>
    <row r="82" spans="1:87">
      <c r="B82" s="1592" t="s">
        <v>72</v>
      </c>
      <c r="C82" s="243">
        <v>45</v>
      </c>
      <c r="H82" s="243">
        <v>12</v>
      </c>
      <c r="P82" s="937">
        <v>1</v>
      </c>
      <c r="Q82" s="937">
        <v>3</v>
      </c>
      <c r="R82" s="937">
        <v>4</v>
      </c>
      <c r="S82" s="937">
        <v>6</v>
      </c>
      <c r="T82" s="937">
        <v>1</v>
      </c>
      <c r="U82" s="937">
        <v>5</v>
      </c>
      <c r="V82" s="937">
        <v>1</v>
      </c>
      <c r="W82" s="937">
        <v>0</v>
      </c>
      <c r="X82" s="937">
        <v>1</v>
      </c>
      <c r="Y82" s="937">
        <v>1</v>
      </c>
      <c r="Z82" s="937">
        <v>0</v>
      </c>
      <c r="AA82" s="937">
        <v>0</v>
      </c>
      <c r="AB82" s="937">
        <v>5</v>
      </c>
      <c r="AC82" s="937">
        <v>1</v>
      </c>
      <c r="AD82" s="937">
        <v>7</v>
      </c>
      <c r="AE82" s="935">
        <v>1</v>
      </c>
      <c r="AF82" s="935">
        <v>5</v>
      </c>
      <c r="AG82" s="935">
        <v>10</v>
      </c>
      <c r="AH82" s="935">
        <v>15</v>
      </c>
      <c r="AI82" s="935">
        <v>14</v>
      </c>
    </row>
    <row r="83" spans="1:87">
      <c r="B83" s="1592" t="s">
        <v>73</v>
      </c>
      <c r="C83" s="243">
        <v>128</v>
      </c>
      <c r="H83" s="243">
        <v>16</v>
      </c>
      <c r="J83" s="937">
        <v>5</v>
      </c>
      <c r="K83" s="937">
        <v>7</v>
      </c>
      <c r="L83" s="937">
        <v>8</v>
      </c>
      <c r="M83" s="937">
        <v>4</v>
      </c>
      <c r="N83" s="937">
        <v>5</v>
      </c>
      <c r="O83" s="937">
        <v>5</v>
      </c>
      <c r="P83" s="937">
        <v>3</v>
      </c>
      <c r="Q83" s="937">
        <v>4</v>
      </c>
      <c r="R83" s="937">
        <v>12</v>
      </c>
      <c r="S83" s="937">
        <v>7</v>
      </c>
      <c r="T83" s="937">
        <v>4</v>
      </c>
      <c r="U83" s="937">
        <v>5</v>
      </c>
      <c r="V83" s="937">
        <v>12</v>
      </c>
      <c r="W83" s="937">
        <v>9</v>
      </c>
      <c r="X83" s="937">
        <v>12</v>
      </c>
      <c r="Y83" s="937">
        <v>6</v>
      </c>
      <c r="Z83" s="937">
        <v>11</v>
      </c>
      <c r="AA83" s="937">
        <v>18</v>
      </c>
      <c r="AB83" s="937">
        <v>14</v>
      </c>
      <c r="AC83" s="937">
        <v>13</v>
      </c>
      <c r="AD83" s="937">
        <v>18</v>
      </c>
      <c r="AE83" s="935">
        <v>16</v>
      </c>
      <c r="AF83" s="935">
        <v>18</v>
      </c>
      <c r="AG83" s="935">
        <v>24</v>
      </c>
      <c r="AH83" s="935">
        <v>29</v>
      </c>
      <c r="AI83" s="935">
        <v>41</v>
      </c>
    </row>
    <row r="84" spans="1:87" s="956" customFormat="1">
      <c r="A84" s="935"/>
      <c r="B84" s="1592" t="s">
        <v>75</v>
      </c>
      <c r="C84" s="953">
        <v>3</v>
      </c>
      <c r="D84" s="932"/>
      <c r="E84" s="954"/>
      <c r="F84" s="954"/>
      <c r="G84" s="954"/>
      <c r="H84" s="953"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  <c r="AF84" s="956">
        <v>0</v>
      </c>
      <c r="AG84" s="956">
        <v>1</v>
      </c>
      <c r="AH84" s="956">
        <v>1</v>
      </c>
      <c r="AI84" s="956">
        <v>1</v>
      </c>
      <c r="BU84" s="2373"/>
      <c r="BV84" s="2373"/>
      <c r="BW84" s="2373"/>
      <c r="BX84" s="2373"/>
      <c r="BY84" s="2373"/>
      <c r="BZ84" s="2373"/>
    </row>
    <row r="85" spans="1:87" s="2200" customFormat="1">
      <c r="A85" s="935" t="s">
        <v>4288</v>
      </c>
      <c r="B85" s="2197" t="s">
        <v>4197</v>
      </c>
      <c r="C85" s="776"/>
      <c r="D85" s="932"/>
      <c r="E85" s="932"/>
      <c r="F85" s="932"/>
      <c r="G85" s="932"/>
      <c r="H85" s="776"/>
      <c r="I85" s="932"/>
      <c r="J85" s="2199"/>
      <c r="K85" s="2199"/>
      <c r="L85" s="2199"/>
      <c r="M85" s="2199"/>
      <c r="N85" s="2199"/>
      <c r="O85" s="2199"/>
      <c r="P85" s="2199"/>
      <c r="Q85" s="2199"/>
      <c r="R85" s="2199"/>
      <c r="S85" s="2199"/>
      <c r="T85" s="2199"/>
      <c r="U85" s="2199"/>
      <c r="V85" s="2199"/>
      <c r="W85" s="2199"/>
      <c r="X85" s="2199"/>
      <c r="Y85" s="2199"/>
      <c r="Z85" s="2199"/>
      <c r="AA85" s="2199"/>
      <c r="AB85" s="2199"/>
      <c r="AC85" s="2199"/>
      <c r="AD85" s="2199"/>
      <c r="BO85" s="2200">
        <v>0</v>
      </c>
      <c r="BP85" s="2201">
        <v>31</v>
      </c>
      <c r="BQ85" s="2201">
        <v>31</v>
      </c>
      <c r="BR85" s="2201">
        <v>35</v>
      </c>
      <c r="BS85" s="2201">
        <v>23</v>
      </c>
      <c r="BT85" s="2201">
        <v>15</v>
      </c>
      <c r="BU85" s="2201">
        <v>20</v>
      </c>
      <c r="BV85" s="2201">
        <v>0</v>
      </c>
      <c r="BW85" s="2201">
        <v>0</v>
      </c>
      <c r="BX85" s="2201">
        <v>0</v>
      </c>
      <c r="BY85" s="2201">
        <v>0</v>
      </c>
      <c r="BZ85" s="2201">
        <v>0</v>
      </c>
      <c r="CA85" s="2201"/>
      <c r="CB85" s="2201"/>
      <c r="CC85" s="2201"/>
      <c r="CD85" s="2201"/>
      <c r="CE85" s="2201"/>
      <c r="CF85" s="2201"/>
      <c r="CG85" s="2201"/>
      <c r="CH85" s="2201"/>
      <c r="CI85" s="2201"/>
    </row>
    <row r="86" spans="1:87" s="976" customFormat="1">
      <c r="A86" s="935" t="s">
        <v>4385</v>
      </c>
      <c r="B86" s="1313" t="s">
        <v>4208</v>
      </c>
      <c r="C86" s="925">
        <v>4096</v>
      </c>
      <c r="D86" s="972"/>
      <c r="E86" s="973"/>
      <c r="F86" s="973"/>
      <c r="G86" s="973"/>
      <c r="H86" s="973">
        <v>51</v>
      </c>
      <c r="I86" s="972"/>
      <c r="J86" s="974">
        <v>14</v>
      </c>
      <c r="K86" s="975">
        <v>25</v>
      </c>
      <c r="L86" s="975">
        <v>23</v>
      </c>
      <c r="M86" s="975">
        <v>13</v>
      </c>
      <c r="N86" s="975">
        <v>19</v>
      </c>
      <c r="O86" s="975">
        <v>20</v>
      </c>
      <c r="P86" s="975">
        <v>10</v>
      </c>
      <c r="Q86" s="975">
        <v>7</v>
      </c>
      <c r="R86" s="975">
        <v>32</v>
      </c>
      <c r="S86" s="975">
        <v>22</v>
      </c>
      <c r="T86" s="975">
        <v>9</v>
      </c>
      <c r="U86" s="975">
        <v>20</v>
      </c>
      <c r="V86" s="975">
        <v>25</v>
      </c>
      <c r="W86" s="975">
        <v>31</v>
      </c>
      <c r="X86" s="975">
        <v>29</v>
      </c>
      <c r="Y86" s="975">
        <v>23</v>
      </c>
      <c r="Z86" s="975">
        <v>30</v>
      </c>
      <c r="AA86" s="975">
        <v>40</v>
      </c>
      <c r="AB86" s="975">
        <v>52</v>
      </c>
      <c r="AC86" s="975">
        <v>38</v>
      </c>
      <c r="AD86" s="975">
        <v>62</v>
      </c>
      <c r="AE86" s="975">
        <v>48</v>
      </c>
      <c r="AF86" s="975">
        <v>47</v>
      </c>
      <c r="AG86" s="975">
        <v>65</v>
      </c>
      <c r="AH86" s="975">
        <v>91</v>
      </c>
      <c r="AI86" s="975">
        <v>109</v>
      </c>
      <c r="AJ86" s="975">
        <v>187</v>
      </c>
      <c r="AK86" s="975">
        <v>190</v>
      </c>
      <c r="AL86" s="975">
        <v>184</v>
      </c>
      <c r="AM86" s="975">
        <v>218</v>
      </c>
      <c r="AN86" s="975">
        <v>263</v>
      </c>
      <c r="AO86" s="975">
        <v>259</v>
      </c>
      <c r="AP86" s="975">
        <v>410</v>
      </c>
      <c r="AQ86" s="975">
        <v>295</v>
      </c>
      <c r="AR86" s="976">
        <v>227</v>
      </c>
      <c r="AS86" s="976">
        <v>306</v>
      </c>
      <c r="AT86" s="976">
        <v>401</v>
      </c>
      <c r="AU86" s="976">
        <v>468</v>
      </c>
      <c r="AV86" s="976">
        <v>545</v>
      </c>
      <c r="AW86" s="976">
        <v>517</v>
      </c>
      <c r="AX86" s="976">
        <v>424</v>
      </c>
      <c r="AY86" s="976">
        <v>599</v>
      </c>
      <c r="AZ86" s="976">
        <v>495</v>
      </c>
      <c r="BA86" s="976">
        <v>611</v>
      </c>
      <c r="BB86" s="976">
        <v>760</v>
      </c>
      <c r="BC86" s="976">
        <v>241</v>
      </c>
      <c r="BD86" s="976">
        <v>233</v>
      </c>
      <c r="BE86" s="976">
        <v>461</v>
      </c>
      <c r="BF86" s="976">
        <v>426</v>
      </c>
      <c r="BG86" s="976">
        <v>425</v>
      </c>
      <c r="BH86" s="976">
        <v>582</v>
      </c>
      <c r="BI86" s="976">
        <v>479</v>
      </c>
      <c r="BJ86" s="1871">
        <v>464</v>
      </c>
      <c r="BK86" s="1871">
        <v>531</v>
      </c>
      <c r="BL86" s="1871">
        <v>476</v>
      </c>
      <c r="BM86" s="1871">
        <v>574</v>
      </c>
      <c r="BN86" s="1871">
        <v>822</v>
      </c>
      <c r="BO86" s="1871">
        <v>360</v>
      </c>
      <c r="BP86" s="1871">
        <v>553</v>
      </c>
      <c r="BQ86" s="1871">
        <v>700</v>
      </c>
      <c r="BR86" s="1871">
        <v>620</v>
      </c>
      <c r="BS86" s="1871">
        <v>626</v>
      </c>
      <c r="BT86" s="1871">
        <v>677</v>
      </c>
      <c r="BU86" s="1871">
        <v>560</v>
      </c>
      <c r="BV86" s="1871">
        <v>0</v>
      </c>
      <c r="BW86" s="1871">
        <v>0</v>
      </c>
      <c r="BX86" s="1871">
        <v>0</v>
      </c>
      <c r="BY86" s="1871">
        <v>0</v>
      </c>
      <c r="BZ86" s="1871">
        <v>0</v>
      </c>
      <c r="CA86" s="1871"/>
      <c r="CB86" s="1871"/>
      <c r="CC86" s="1871"/>
      <c r="CD86" s="1871"/>
      <c r="CE86" s="1871"/>
      <c r="CF86" s="1871"/>
      <c r="CG86" s="1871"/>
      <c r="CH86" s="1871"/>
      <c r="CI86" s="1871"/>
    </row>
    <row r="87" spans="1:87">
      <c r="A87" s="935" t="s">
        <v>4289</v>
      </c>
      <c r="BO87" s="935">
        <v>360</v>
      </c>
      <c r="BP87" s="935">
        <v>522</v>
      </c>
      <c r="BQ87" s="935">
        <v>669</v>
      </c>
      <c r="BR87" s="935">
        <v>585</v>
      </c>
      <c r="BS87" s="935">
        <v>603</v>
      </c>
      <c r="BT87" s="935">
        <v>662</v>
      </c>
      <c r="BU87" s="935">
        <v>540</v>
      </c>
      <c r="BV87" s="935">
        <v>0</v>
      </c>
      <c r="BW87" s="935">
        <v>0</v>
      </c>
      <c r="BX87" s="935">
        <v>0</v>
      </c>
      <c r="BY87" s="935">
        <v>0</v>
      </c>
      <c r="BZ87" s="935">
        <v>0</v>
      </c>
    </row>
    <row r="88" spans="1:87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27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87">
      <c r="B89" s="1592" t="s">
        <v>152</v>
      </c>
      <c r="C89" s="243">
        <v>82.5</v>
      </c>
      <c r="H89" s="243">
        <v>12</v>
      </c>
      <c r="J89" s="937">
        <v>11</v>
      </c>
      <c r="K89" s="937">
        <v>6</v>
      </c>
      <c r="L89" s="937">
        <v>3</v>
      </c>
      <c r="M89" s="937">
        <v>2</v>
      </c>
      <c r="N89" s="937">
        <v>4</v>
      </c>
      <c r="O89" s="937">
        <v>1</v>
      </c>
      <c r="P89" s="937">
        <v>3</v>
      </c>
      <c r="Q89" s="937">
        <v>0</v>
      </c>
      <c r="R89" s="937">
        <v>27</v>
      </c>
      <c r="S89" s="937">
        <v>4</v>
      </c>
      <c r="U89" s="937">
        <v>8</v>
      </c>
      <c r="V89" s="937">
        <v>12</v>
      </c>
      <c r="W89" s="937">
        <v>7</v>
      </c>
      <c r="X89" s="937">
        <v>8</v>
      </c>
      <c r="Y89" s="937">
        <v>10</v>
      </c>
      <c r="Z89" s="937">
        <v>10</v>
      </c>
      <c r="AA89" s="937">
        <v>11</v>
      </c>
      <c r="AB89" s="937">
        <v>21</v>
      </c>
      <c r="AC89" s="937">
        <v>8</v>
      </c>
      <c r="AD89" s="937">
        <v>17</v>
      </c>
      <c r="AE89" s="935">
        <v>7</v>
      </c>
      <c r="AF89" s="935">
        <v>8</v>
      </c>
      <c r="AG89" s="935">
        <v>14</v>
      </c>
      <c r="AH89" s="935">
        <v>26</v>
      </c>
      <c r="AI89" s="818">
        <v>27.5</v>
      </c>
    </row>
    <row r="90" spans="1:87">
      <c r="B90" s="1592" t="s">
        <v>153</v>
      </c>
      <c r="C90" s="243">
        <v>57</v>
      </c>
      <c r="H90" s="243">
        <v>11</v>
      </c>
      <c r="K90" s="937">
        <v>13</v>
      </c>
      <c r="L90" s="937">
        <v>5</v>
      </c>
      <c r="M90" s="937">
        <v>2</v>
      </c>
      <c r="N90" s="937">
        <v>3</v>
      </c>
      <c r="O90" s="937">
        <v>3</v>
      </c>
      <c r="P90" s="937">
        <v>0</v>
      </c>
      <c r="Q90" s="937">
        <v>0</v>
      </c>
      <c r="R90" s="937">
        <v>2</v>
      </c>
      <c r="S90" s="937">
        <v>11</v>
      </c>
      <c r="V90" s="937">
        <v>3</v>
      </c>
      <c r="W90" s="937">
        <v>14</v>
      </c>
      <c r="X90" s="937">
        <v>5</v>
      </c>
      <c r="Y90" s="937">
        <v>8</v>
      </c>
      <c r="Z90" s="937">
        <v>4</v>
      </c>
      <c r="AA90" s="937">
        <v>5</v>
      </c>
      <c r="AB90" s="937">
        <v>19</v>
      </c>
      <c r="AC90" s="937">
        <v>8</v>
      </c>
      <c r="AD90" s="937">
        <v>7</v>
      </c>
      <c r="AE90" s="935">
        <v>8</v>
      </c>
      <c r="AF90" s="935">
        <v>6</v>
      </c>
      <c r="AG90" s="935">
        <v>5</v>
      </c>
      <c r="AH90" s="935">
        <v>15</v>
      </c>
      <c r="AI90" s="818">
        <v>23</v>
      </c>
    </row>
    <row r="91" spans="1:87">
      <c r="B91" s="1592" t="s">
        <v>70</v>
      </c>
      <c r="C91" s="243">
        <v>18</v>
      </c>
      <c r="H91" s="243">
        <v>5</v>
      </c>
      <c r="L91" s="937">
        <v>11.5</v>
      </c>
      <c r="M91" s="937">
        <v>4</v>
      </c>
      <c r="N91" s="937">
        <v>1</v>
      </c>
      <c r="O91" s="937">
        <v>5</v>
      </c>
      <c r="P91" s="937">
        <v>2</v>
      </c>
      <c r="Q91" s="937">
        <v>0</v>
      </c>
      <c r="R91" s="937">
        <v>3</v>
      </c>
      <c r="T91" s="937">
        <v>4</v>
      </c>
      <c r="U91" s="937">
        <v>1</v>
      </c>
      <c r="W91" s="937">
        <v>5</v>
      </c>
      <c r="X91" s="937">
        <v>5</v>
      </c>
      <c r="Y91" s="937">
        <v>1</v>
      </c>
      <c r="Z91" s="937">
        <v>4</v>
      </c>
      <c r="AA91" s="937">
        <v>2</v>
      </c>
      <c r="AB91" s="937">
        <v>13</v>
      </c>
      <c r="AC91" s="937">
        <v>7</v>
      </c>
      <c r="AD91" s="937">
        <v>11</v>
      </c>
      <c r="AE91" s="935">
        <v>4</v>
      </c>
      <c r="AF91" s="935">
        <v>4</v>
      </c>
      <c r="AG91" s="935">
        <v>4</v>
      </c>
      <c r="AH91" s="935">
        <v>2</v>
      </c>
      <c r="AI91" s="818">
        <v>4</v>
      </c>
    </row>
    <row r="92" spans="1:87">
      <c r="B92" s="1592" t="s">
        <v>71</v>
      </c>
      <c r="C92" s="243">
        <v>66.5</v>
      </c>
      <c r="H92" s="243">
        <v>7</v>
      </c>
      <c r="M92" s="937">
        <v>2</v>
      </c>
      <c r="N92" s="937">
        <v>9</v>
      </c>
      <c r="O92" s="937">
        <v>13</v>
      </c>
      <c r="P92" s="937">
        <v>3</v>
      </c>
      <c r="Q92" s="937">
        <v>0</v>
      </c>
      <c r="R92" s="937">
        <v>2</v>
      </c>
      <c r="T92" s="937">
        <v>1</v>
      </c>
      <c r="U92" s="937">
        <v>6</v>
      </c>
      <c r="V92" s="937">
        <v>1</v>
      </c>
      <c r="W92" s="937">
        <v>3</v>
      </c>
      <c r="X92" s="937">
        <v>2</v>
      </c>
      <c r="Y92" s="937">
        <v>3</v>
      </c>
      <c r="Z92" s="937">
        <v>3</v>
      </c>
      <c r="AA92" s="937">
        <v>11</v>
      </c>
      <c r="AB92" s="937">
        <v>3</v>
      </c>
      <c r="AC92" s="937">
        <v>11</v>
      </c>
      <c r="AD92" s="937">
        <v>26</v>
      </c>
      <c r="AE92" s="935">
        <v>15</v>
      </c>
      <c r="AF92" s="935">
        <v>12</v>
      </c>
      <c r="AG92" s="935">
        <v>12</v>
      </c>
      <c r="AH92" s="935">
        <v>14</v>
      </c>
      <c r="AI92" s="818">
        <v>13.5</v>
      </c>
    </row>
    <row r="93" spans="1:87">
      <c r="B93" s="1592" t="s">
        <v>72</v>
      </c>
      <c r="C93" s="243">
        <v>50</v>
      </c>
      <c r="H93" s="243">
        <v>15.5</v>
      </c>
      <c r="P93" s="937">
        <v>1</v>
      </c>
      <c r="Q93" s="937">
        <v>4</v>
      </c>
      <c r="R93" s="937">
        <v>7</v>
      </c>
      <c r="S93" s="937">
        <v>7.5</v>
      </c>
      <c r="T93" s="937">
        <v>1</v>
      </c>
      <c r="U93" s="937">
        <v>7</v>
      </c>
      <c r="V93" s="937">
        <v>2</v>
      </c>
      <c r="W93" s="937">
        <v>0</v>
      </c>
      <c r="X93" s="937">
        <v>1</v>
      </c>
      <c r="Y93" s="937">
        <v>1</v>
      </c>
      <c r="Z93" s="937">
        <v>0</v>
      </c>
      <c r="AA93" s="937">
        <v>0</v>
      </c>
      <c r="AB93" s="937">
        <v>5</v>
      </c>
      <c r="AC93" s="937">
        <v>1</v>
      </c>
      <c r="AD93" s="937">
        <v>9</v>
      </c>
      <c r="AE93" s="935">
        <v>-2</v>
      </c>
      <c r="AF93" s="935">
        <v>5</v>
      </c>
      <c r="AG93" s="935">
        <v>15</v>
      </c>
      <c r="AH93" s="935">
        <v>18</v>
      </c>
      <c r="AI93" s="818">
        <v>14</v>
      </c>
    </row>
    <row r="94" spans="1:87">
      <c r="B94" s="1592" t="s">
        <v>73</v>
      </c>
      <c r="C94" s="243">
        <v>154.5</v>
      </c>
      <c r="H94" s="243">
        <v>21.5</v>
      </c>
      <c r="J94" s="937">
        <v>12</v>
      </c>
      <c r="K94" s="937">
        <v>8</v>
      </c>
      <c r="L94" s="937">
        <v>9.5</v>
      </c>
      <c r="M94" s="937">
        <v>7</v>
      </c>
      <c r="N94" s="937">
        <v>7</v>
      </c>
      <c r="O94" s="937">
        <v>7</v>
      </c>
      <c r="P94" s="937">
        <v>6</v>
      </c>
      <c r="Q94" s="937">
        <v>10</v>
      </c>
      <c r="R94" s="937">
        <v>32</v>
      </c>
      <c r="S94" s="937">
        <v>9.5</v>
      </c>
      <c r="T94" s="937">
        <v>5</v>
      </c>
      <c r="U94" s="937">
        <v>7</v>
      </c>
      <c r="V94" s="937">
        <v>18</v>
      </c>
      <c r="W94" s="937">
        <v>12</v>
      </c>
      <c r="X94" s="937">
        <v>15</v>
      </c>
      <c r="Y94" s="937">
        <v>8</v>
      </c>
      <c r="Z94" s="937">
        <v>16</v>
      </c>
      <c r="AA94" s="937">
        <v>23</v>
      </c>
      <c r="AB94" s="937">
        <v>15</v>
      </c>
      <c r="AC94" s="937">
        <v>18</v>
      </c>
      <c r="AD94" s="937">
        <v>33</v>
      </c>
      <c r="AE94" s="935">
        <v>17</v>
      </c>
      <c r="AF94" s="935">
        <v>23</v>
      </c>
      <c r="AG94" s="935">
        <v>28</v>
      </c>
      <c r="AH94" s="935">
        <v>37</v>
      </c>
      <c r="AI94" s="818">
        <v>49.5</v>
      </c>
    </row>
    <row r="95" spans="1:87" s="956" customFormat="1">
      <c r="A95" s="935"/>
      <c r="B95" s="1592" t="s">
        <v>75</v>
      </c>
      <c r="C95" s="953">
        <v>4.5</v>
      </c>
      <c r="D95" s="932"/>
      <c r="E95" s="954"/>
      <c r="F95" s="954"/>
      <c r="G95" s="954"/>
      <c r="H95" s="953"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  <c r="AG95" s="956">
        <v>2</v>
      </c>
      <c r="AH95" s="956">
        <v>1</v>
      </c>
      <c r="AI95" s="1196">
        <v>1.5</v>
      </c>
      <c r="BU95" s="2373"/>
      <c r="BV95" s="2373"/>
      <c r="BW95" s="2373"/>
      <c r="BX95" s="2373"/>
      <c r="BY95" s="2373"/>
      <c r="BZ95" s="2373"/>
    </row>
    <row r="96" spans="1:87" s="2200" customFormat="1">
      <c r="A96" s="935" t="s">
        <v>4290</v>
      </c>
      <c r="B96" s="2197" t="s">
        <v>4197</v>
      </c>
      <c r="C96" s="776"/>
      <c r="D96" s="932"/>
      <c r="E96" s="932"/>
      <c r="F96" s="932"/>
      <c r="G96" s="932"/>
      <c r="H96" s="776"/>
      <c r="I96" s="932"/>
      <c r="J96" s="2199"/>
      <c r="K96" s="2199"/>
      <c r="L96" s="2199"/>
      <c r="M96" s="2199"/>
      <c r="N96" s="2199"/>
      <c r="O96" s="2199"/>
      <c r="P96" s="2199"/>
      <c r="Q96" s="2199"/>
      <c r="R96" s="2199"/>
      <c r="S96" s="2199"/>
      <c r="T96" s="2199"/>
      <c r="U96" s="2199"/>
      <c r="V96" s="2199"/>
      <c r="W96" s="2199"/>
      <c r="X96" s="2199"/>
      <c r="Y96" s="2199"/>
      <c r="Z96" s="2199"/>
      <c r="AA96" s="2199"/>
      <c r="AB96" s="2199"/>
      <c r="AC96" s="2199"/>
      <c r="AD96" s="2199"/>
      <c r="AI96" s="2202"/>
      <c r="BO96" s="2200">
        <v>0</v>
      </c>
      <c r="BP96" s="2201">
        <v>36.5</v>
      </c>
      <c r="BQ96" s="2201">
        <v>39.5</v>
      </c>
      <c r="BR96" s="2201">
        <v>56.5</v>
      </c>
      <c r="BS96" s="2201">
        <v>29</v>
      </c>
      <c r="BT96" s="2200">
        <v>15</v>
      </c>
      <c r="BU96" s="2201">
        <v>25</v>
      </c>
      <c r="BV96" s="2201">
        <v>0</v>
      </c>
      <c r="BW96" s="2201">
        <v>0</v>
      </c>
      <c r="BX96" s="2201">
        <v>0</v>
      </c>
      <c r="BY96" s="2201">
        <v>0</v>
      </c>
      <c r="BZ96" s="2201">
        <v>0</v>
      </c>
    </row>
    <row r="97" spans="1:78" s="976" customFormat="1">
      <c r="A97" s="2377" t="s">
        <v>4329</v>
      </c>
      <c r="B97" s="1313" t="s">
        <v>4208</v>
      </c>
      <c r="C97" s="925">
        <v>9007</v>
      </c>
      <c r="D97" s="972"/>
      <c r="E97" s="973"/>
      <c r="F97" s="973"/>
      <c r="G97" s="973"/>
      <c r="H97" s="925">
        <v>72</v>
      </c>
      <c r="I97" s="972"/>
      <c r="J97" s="974">
        <v>23</v>
      </c>
      <c r="K97" s="975">
        <v>27</v>
      </c>
      <c r="L97" s="975">
        <v>29</v>
      </c>
      <c r="M97" s="975">
        <v>17</v>
      </c>
      <c r="N97" s="975">
        <v>24</v>
      </c>
      <c r="O97" s="975">
        <v>29</v>
      </c>
      <c r="P97" s="975">
        <v>15</v>
      </c>
      <c r="Q97" s="975">
        <v>14</v>
      </c>
      <c r="R97" s="975">
        <v>73</v>
      </c>
      <c r="S97" s="975">
        <v>32</v>
      </c>
      <c r="T97" s="975">
        <v>11</v>
      </c>
      <c r="U97" s="975">
        <v>29</v>
      </c>
      <c r="V97" s="975">
        <v>36</v>
      </c>
      <c r="W97" s="975">
        <v>41</v>
      </c>
      <c r="X97" s="975">
        <v>36</v>
      </c>
      <c r="Y97" s="975">
        <v>31</v>
      </c>
      <c r="Z97" s="975">
        <v>37</v>
      </c>
      <c r="AA97" s="975">
        <v>52</v>
      </c>
      <c r="AB97" s="975">
        <v>76</v>
      </c>
      <c r="AC97" s="975">
        <v>53</v>
      </c>
      <c r="AD97" s="975">
        <v>103</v>
      </c>
      <c r="AE97" s="975">
        <v>49</v>
      </c>
      <c r="AF97" s="975">
        <v>58</v>
      </c>
      <c r="AG97" s="975">
        <v>80</v>
      </c>
      <c r="AH97" s="975">
        <v>113</v>
      </c>
      <c r="AI97" s="975">
        <v>133</v>
      </c>
      <c r="AJ97" s="975">
        <v>266</v>
      </c>
      <c r="AK97" s="975">
        <v>291</v>
      </c>
      <c r="AL97" s="975">
        <v>289</v>
      </c>
      <c r="AM97" s="975">
        <v>433</v>
      </c>
      <c r="AN97" s="975">
        <v>463</v>
      </c>
      <c r="AO97" s="975">
        <v>467</v>
      </c>
      <c r="AP97" s="975">
        <v>987</v>
      </c>
      <c r="AQ97" s="975">
        <v>373</v>
      </c>
      <c r="AR97" s="976">
        <v>317</v>
      </c>
      <c r="AS97" s="976">
        <v>514</v>
      </c>
      <c r="AT97" s="976">
        <v>658</v>
      </c>
      <c r="AU97" s="976">
        <v>644</v>
      </c>
      <c r="AV97" s="976">
        <v>806</v>
      </c>
      <c r="AW97" s="976">
        <v>781</v>
      </c>
      <c r="AX97" s="976">
        <v>593</v>
      </c>
      <c r="AY97" s="976">
        <v>949</v>
      </c>
      <c r="AZ97" s="976">
        <v>758</v>
      </c>
      <c r="BA97" s="976">
        <v>1207</v>
      </c>
      <c r="BB97" s="976">
        <v>1608</v>
      </c>
      <c r="BC97" s="976">
        <v>349</v>
      </c>
      <c r="BD97" s="976">
        <v>334</v>
      </c>
      <c r="BE97" s="976">
        <v>875</v>
      </c>
      <c r="BF97" s="976">
        <v>809</v>
      </c>
      <c r="BG97" s="976">
        <v>672</v>
      </c>
      <c r="BH97" s="976">
        <v>1028</v>
      </c>
      <c r="BI97" s="976">
        <v>793</v>
      </c>
      <c r="BJ97" s="1871">
        <v>771</v>
      </c>
      <c r="BK97" s="1871">
        <v>1115</v>
      </c>
      <c r="BL97" s="1871">
        <v>844</v>
      </c>
      <c r="BM97" s="1871">
        <v>1282</v>
      </c>
      <c r="BN97" s="1871">
        <v>1894</v>
      </c>
      <c r="BO97" s="976">
        <v>690</v>
      </c>
      <c r="BP97" s="1871">
        <v>881.5</v>
      </c>
      <c r="BQ97" s="1871">
        <v>1388.5</v>
      </c>
      <c r="BR97" s="1871">
        <v>1202.5</v>
      </c>
      <c r="BS97" s="1871">
        <v>1886</v>
      </c>
      <c r="BT97" s="976">
        <v>1611</v>
      </c>
      <c r="BU97" s="1871">
        <v>1146</v>
      </c>
      <c r="BV97" s="1871">
        <v>0</v>
      </c>
      <c r="BW97" s="1871">
        <v>0</v>
      </c>
      <c r="BX97" s="1871">
        <v>0</v>
      </c>
      <c r="BY97" s="1871">
        <v>0</v>
      </c>
      <c r="BZ97" s="1871">
        <v>0</v>
      </c>
    </row>
    <row r="98" spans="1:78" s="952" customFormat="1" hidden="1">
      <c r="A98" s="935"/>
      <c r="B98" s="949" t="s">
        <v>173</v>
      </c>
      <c r="C98" s="950" t="s">
        <v>163</v>
      </c>
      <c r="D98" s="950"/>
      <c r="E98" s="951" t="s">
        <v>59</v>
      </c>
      <c r="F98" s="951" t="s">
        <v>94</v>
      </c>
      <c r="G98" s="951" t="s">
        <v>97</v>
      </c>
      <c r="H98" s="951" t="s">
        <v>150</v>
      </c>
      <c r="I98" s="950"/>
      <c r="J98" s="227">
        <v>41000</v>
      </c>
      <c r="K98" s="227">
        <v>41030</v>
      </c>
      <c r="L98" s="227">
        <v>41061</v>
      </c>
      <c r="M98" s="227">
        <v>41091</v>
      </c>
      <c r="N98" s="227">
        <v>41122</v>
      </c>
      <c r="O98" s="227">
        <v>41153</v>
      </c>
      <c r="P98" s="227">
        <v>41183</v>
      </c>
      <c r="Q98" s="227">
        <v>41214</v>
      </c>
      <c r="R98" s="227">
        <v>41244</v>
      </c>
      <c r="S98" s="227">
        <v>41275</v>
      </c>
      <c r="T98" s="227">
        <v>41306</v>
      </c>
      <c r="U98" s="227">
        <v>41334</v>
      </c>
      <c r="V98" s="227">
        <v>41365</v>
      </c>
      <c r="W98" s="227">
        <v>41395</v>
      </c>
      <c r="X98" s="227">
        <v>41426</v>
      </c>
      <c r="Y98" s="227">
        <v>41456</v>
      </c>
      <c r="Z98" s="227">
        <v>41487</v>
      </c>
      <c r="AA98" s="227">
        <v>41518</v>
      </c>
      <c r="AB98" s="227">
        <v>41548</v>
      </c>
      <c r="AC98" s="227">
        <v>41579</v>
      </c>
      <c r="AD98" s="227">
        <v>41609</v>
      </c>
      <c r="AE98" s="227">
        <v>41640</v>
      </c>
      <c r="AF98" s="227">
        <v>41671</v>
      </c>
      <c r="AG98" s="227">
        <v>41699</v>
      </c>
      <c r="AH98" s="227">
        <v>41730</v>
      </c>
      <c r="AI98" s="227">
        <v>41760</v>
      </c>
      <c r="AJ98" s="227">
        <v>41791</v>
      </c>
      <c r="AK98" s="227">
        <v>41821</v>
      </c>
      <c r="AL98" s="227">
        <v>41852</v>
      </c>
      <c r="AM98" s="227">
        <v>41883</v>
      </c>
      <c r="AN98" s="227">
        <v>41913</v>
      </c>
      <c r="AO98" s="227">
        <v>41944</v>
      </c>
      <c r="AP98" s="227">
        <v>41974</v>
      </c>
    </row>
    <row r="99" spans="1:78" hidden="1">
      <c r="B99" s="931" t="s">
        <v>152</v>
      </c>
      <c r="C99" s="245">
        <v>0.27692307692307694</v>
      </c>
      <c r="H99" s="245">
        <v>0.10714285714285712</v>
      </c>
      <c r="J99" s="240">
        <v>0.42857142857142855</v>
      </c>
      <c r="K99" s="240">
        <v>0.8571428571428571</v>
      </c>
      <c r="L99" s="240">
        <v>0.13333333333333333</v>
      </c>
      <c r="M99" s="240">
        <v>0.1111111111111111</v>
      </c>
      <c r="N99" s="240">
        <v>0.75</v>
      </c>
      <c r="O99" s="240">
        <v>0.5</v>
      </c>
      <c r="P99" s="240">
        <v>0.33333333333333331</v>
      </c>
      <c r="Q99" s="240">
        <v>0</v>
      </c>
      <c r="R99" s="240">
        <v>0.75</v>
      </c>
      <c r="S99" s="240">
        <v>0.375</v>
      </c>
      <c r="T99" s="240">
        <v>0</v>
      </c>
      <c r="U99" s="240">
        <v>0.21052631578947367</v>
      </c>
      <c r="V99" s="240">
        <v>0.29629629629629628</v>
      </c>
      <c r="W99" s="240">
        <v>0.17142857142857143</v>
      </c>
      <c r="X99" s="240">
        <v>0.20833333333333334</v>
      </c>
      <c r="Y99" s="240">
        <v>0.35294117647058826</v>
      </c>
      <c r="Z99" s="240">
        <v>0.39130434782608697</v>
      </c>
      <c r="AA99" s="570">
        <v>0.15789473684210525</v>
      </c>
      <c r="AB99" s="571">
        <v>0.41379310344827586</v>
      </c>
      <c r="AC99" s="588">
        <v>0.26923076923076922</v>
      </c>
      <c r="AD99" s="585">
        <v>0.34210526315789475</v>
      </c>
      <c r="AE99" s="585">
        <v>0.375</v>
      </c>
      <c r="AF99" s="585">
        <v>0.4</v>
      </c>
      <c r="AG99" s="585">
        <v>0.27500000000000002</v>
      </c>
      <c r="AH99" s="585">
        <v>0.26829268292682928</v>
      </c>
      <c r="AI99" s="585">
        <v>0.24509803921568626</v>
      </c>
    </row>
    <row r="100" spans="1:78" hidden="1">
      <c r="B100" s="931" t="s">
        <v>153</v>
      </c>
      <c r="C100" s="245">
        <v>0.24352331606217617</v>
      </c>
      <c r="H100" s="245">
        <v>0.11688311688311689</v>
      </c>
      <c r="J100" s="240">
        <v>0</v>
      </c>
      <c r="K100" s="240">
        <v>0.5714285714285714</v>
      </c>
      <c r="L100" s="240">
        <v>0.7142857142857143</v>
      </c>
      <c r="M100" s="240">
        <v>0.13333333333333333</v>
      </c>
      <c r="N100" s="240">
        <v>0.42857142857142855</v>
      </c>
      <c r="O100" s="240">
        <v>0.5</v>
      </c>
      <c r="P100" s="240">
        <v>0</v>
      </c>
      <c r="Q100" s="240">
        <v>0</v>
      </c>
      <c r="R100" s="240">
        <v>0.66666666666666663</v>
      </c>
      <c r="S100" s="240">
        <v>0.5</v>
      </c>
      <c r="T100" s="240">
        <v>0</v>
      </c>
      <c r="U100" s="240">
        <v>0</v>
      </c>
      <c r="V100" s="240">
        <v>0.15789473684210525</v>
      </c>
      <c r="W100" s="240">
        <v>0.40740740740740738</v>
      </c>
      <c r="X100" s="240">
        <v>0.18181818181818182</v>
      </c>
      <c r="Y100" s="240">
        <v>0.29166666666666669</v>
      </c>
      <c r="Z100" s="240">
        <v>0.17647058823529413</v>
      </c>
      <c r="AA100" s="240">
        <v>0.21739130434782608</v>
      </c>
      <c r="AB100" s="571">
        <v>0.31578947368421051</v>
      </c>
      <c r="AC100" s="588">
        <v>0.20689655172413793</v>
      </c>
      <c r="AD100" s="588">
        <v>0.15384615384615385</v>
      </c>
      <c r="AE100" s="585">
        <v>0.21052631578947367</v>
      </c>
      <c r="AF100" s="585">
        <v>0.29411764705882354</v>
      </c>
      <c r="AG100" s="585">
        <v>0.25</v>
      </c>
      <c r="AH100" s="571">
        <v>0.27500000000000002</v>
      </c>
      <c r="AI100" s="571">
        <v>0.23076923076923078</v>
      </c>
    </row>
    <row r="101" spans="1:78" hidden="1">
      <c r="B101" s="931" t="s">
        <v>70</v>
      </c>
      <c r="C101" s="245">
        <v>0.13138686131386862</v>
      </c>
      <c r="H101" s="245">
        <v>7.7922077922077934E-2</v>
      </c>
      <c r="J101" s="240">
        <v>0</v>
      </c>
      <c r="K101" s="240">
        <v>0</v>
      </c>
      <c r="L101" s="240">
        <v>0.38095238095238093</v>
      </c>
      <c r="M101" s="240">
        <v>0.5714285714285714</v>
      </c>
      <c r="N101" s="240">
        <v>6.25E-2</v>
      </c>
      <c r="O101" s="240">
        <v>0.375</v>
      </c>
      <c r="P101" s="240">
        <v>0.5</v>
      </c>
      <c r="Q101" s="240">
        <v>0</v>
      </c>
      <c r="R101" s="240">
        <v>0.5</v>
      </c>
      <c r="S101" s="240">
        <v>0</v>
      </c>
      <c r="T101" s="240">
        <v>0.25</v>
      </c>
      <c r="U101" s="240">
        <v>0.14285714285714285</v>
      </c>
      <c r="V101" s="323">
        <v>0</v>
      </c>
      <c r="W101" s="323">
        <v>0.10526315789473684</v>
      </c>
      <c r="X101" s="323">
        <v>0.13043478260869565</v>
      </c>
      <c r="Y101" s="363">
        <v>3.125E-2</v>
      </c>
      <c r="Z101" s="323">
        <v>0.16666666666666666</v>
      </c>
      <c r="AA101" s="363">
        <v>0.11764705882352941</v>
      </c>
      <c r="AB101" s="585">
        <v>0.2608695652173913</v>
      </c>
      <c r="AC101" s="588">
        <v>0.13157894736842105</v>
      </c>
      <c r="AD101" s="571">
        <v>0.31034482758620691</v>
      </c>
      <c r="AE101" s="585">
        <v>0.15384615384615385</v>
      </c>
      <c r="AF101" s="585">
        <v>0.10810810810810811</v>
      </c>
      <c r="AG101" s="585">
        <v>0.25</v>
      </c>
      <c r="AH101" s="585">
        <v>0.1</v>
      </c>
      <c r="AI101" s="585">
        <v>0.10526315789473684</v>
      </c>
    </row>
    <row r="102" spans="1:78" hidden="1">
      <c r="B102" s="931" t="s">
        <v>71</v>
      </c>
      <c r="C102" s="245">
        <v>0.12702702702702703</v>
      </c>
      <c r="H102" s="245">
        <v>6.5934065934065936E-2</v>
      </c>
      <c r="J102" s="240">
        <v>0</v>
      </c>
      <c r="K102" s="240">
        <v>0</v>
      </c>
      <c r="L102" s="240">
        <v>0</v>
      </c>
      <c r="M102" s="240">
        <v>0.1</v>
      </c>
      <c r="N102" s="240">
        <v>0.26923076923076922</v>
      </c>
      <c r="O102" s="240">
        <v>0.25714285714285712</v>
      </c>
      <c r="P102" s="240">
        <v>8.6956521739130432E-2</v>
      </c>
      <c r="Q102" s="240">
        <v>0</v>
      </c>
      <c r="R102" s="240">
        <v>0.18181818181818182</v>
      </c>
      <c r="S102" s="240">
        <v>0</v>
      </c>
      <c r="T102" s="240">
        <v>0.1111111111111111</v>
      </c>
      <c r="U102" s="240">
        <v>0.27777777777777779</v>
      </c>
      <c r="V102" s="323">
        <v>5.2631578947368418E-2</v>
      </c>
      <c r="W102" s="323">
        <v>0.15789473684210525</v>
      </c>
      <c r="X102" s="323">
        <v>7.1428571428571425E-2</v>
      </c>
      <c r="Y102" s="323">
        <v>6.25E-2</v>
      </c>
      <c r="Z102" s="453">
        <v>5.5555555555555552E-2</v>
      </c>
      <c r="AA102" s="571">
        <v>0.19148936170212766</v>
      </c>
      <c r="AB102" s="585">
        <v>7.1428571428571425E-2</v>
      </c>
      <c r="AC102" s="588">
        <v>0.125</v>
      </c>
      <c r="AD102" s="571">
        <v>0.15714285714285714</v>
      </c>
      <c r="AE102" s="585">
        <v>0.17333333333333334</v>
      </c>
      <c r="AF102" s="585">
        <v>0.10144927536231885</v>
      </c>
      <c r="AG102" s="585">
        <v>0.11904761904761904</v>
      </c>
      <c r="AH102" s="585">
        <v>0.14102564102564102</v>
      </c>
      <c r="AI102" s="585">
        <v>9.375E-2</v>
      </c>
    </row>
    <row r="103" spans="1:78" hidden="1">
      <c r="B103" s="931" t="s">
        <v>72</v>
      </c>
      <c r="C103" s="245">
        <v>0.14150943396226415</v>
      </c>
      <c r="H103" s="245">
        <v>6.6790352504638217E-2</v>
      </c>
      <c r="J103" s="240">
        <v>0</v>
      </c>
      <c r="K103" s="240">
        <v>0</v>
      </c>
      <c r="L103" s="240">
        <v>0</v>
      </c>
      <c r="M103" s="240">
        <v>0</v>
      </c>
      <c r="N103" s="240">
        <v>0</v>
      </c>
      <c r="O103" s="240">
        <v>0</v>
      </c>
      <c r="P103" s="240">
        <v>7.6923076923076927E-2</v>
      </c>
      <c r="Q103" s="240">
        <v>0.2</v>
      </c>
      <c r="R103" s="240">
        <v>0.16666666666666666</v>
      </c>
      <c r="S103" s="240">
        <v>0.25</v>
      </c>
      <c r="T103" s="240">
        <v>3.5714285714285712E-2</v>
      </c>
      <c r="U103" s="240">
        <v>0.2</v>
      </c>
      <c r="V103" s="323">
        <v>9.0909090909090912E-2</v>
      </c>
      <c r="W103" s="323">
        <v>0</v>
      </c>
      <c r="X103" s="323">
        <v>5.8823529411764705E-2</v>
      </c>
      <c r="Y103" s="323">
        <v>6.25E-2</v>
      </c>
      <c r="Z103" s="453">
        <v>0</v>
      </c>
      <c r="AA103" s="453">
        <v>0</v>
      </c>
      <c r="AB103" s="590">
        <v>0.2</v>
      </c>
      <c r="AC103" s="607">
        <v>3.0303030303030304E-2</v>
      </c>
      <c r="AD103" s="590">
        <v>0.16279069767441862</v>
      </c>
      <c r="AE103" s="607">
        <v>2.1739130434782608E-2</v>
      </c>
      <c r="AF103" s="585">
        <v>0.10869565217391304</v>
      </c>
      <c r="AG103" s="585">
        <v>0.15625</v>
      </c>
      <c r="AH103" s="585">
        <v>0.18292682926829268</v>
      </c>
      <c r="AI103" s="585">
        <v>0.17499999999999999</v>
      </c>
    </row>
    <row r="104" spans="1:78" hidden="1">
      <c r="B104" s="931" t="s">
        <v>73</v>
      </c>
      <c r="C104" s="245">
        <v>0.24615384615384617</v>
      </c>
      <c r="H104" s="245">
        <v>0.12467532467532469</v>
      </c>
      <c r="J104" s="240">
        <v>0.45454545454545453</v>
      </c>
      <c r="K104" s="240">
        <v>0.58333333333333337</v>
      </c>
      <c r="L104" s="240">
        <v>0.53333333333333333</v>
      </c>
      <c r="M104" s="240">
        <v>0.25</v>
      </c>
      <c r="N104" s="240">
        <v>0.33333333333333331</v>
      </c>
      <c r="O104" s="240">
        <v>0.35714285714285715</v>
      </c>
      <c r="P104" s="240">
        <v>0.21428571428571427</v>
      </c>
      <c r="Q104" s="240">
        <v>0.26666666666666666</v>
      </c>
      <c r="R104" s="240">
        <v>0.70588235294117652</v>
      </c>
      <c r="S104" s="240">
        <v>0.3888888888888889</v>
      </c>
      <c r="T104" s="240">
        <v>0.25</v>
      </c>
      <c r="U104" s="240">
        <v>0.23809523809523808</v>
      </c>
      <c r="V104" s="240">
        <v>0.29268292682926828</v>
      </c>
      <c r="W104" s="240">
        <v>0.1875</v>
      </c>
      <c r="X104" s="240">
        <v>0.24489795918367346</v>
      </c>
      <c r="Y104" s="452">
        <v>0.11320754716981132</v>
      </c>
      <c r="Z104" s="323">
        <v>0.1864406779661017</v>
      </c>
      <c r="AA104" s="571">
        <v>0.26470588235294118</v>
      </c>
      <c r="AB104" s="588">
        <v>0.19718309859154928</v>
      </c>
      <c r="AC104" s="588">
        <v>0.16883116883116883</v>
      </c>
      <c r="AD104" s="585">
        <v>0.19354838709677419</v>
      </c>
      <c r="AE104" s="588">
        <v>0.16842105263157894</v>
      </c>
      <c r="AF104" s="585">
        <v>0.20930232558139536</v>
      </c>
      <c r="AG104" s="585">
        <v>0.26373626373626374</v>
      </c>
      <c r="AH104" s="585">
        <v>0.25217391304347825</v>
      </c>
      <c r="AI104" s="585">
        <v>0.30827067669172931</v>
      </c>
    </row>
    <row r="105" spans="1:78" s="956" customFormat="1" hidden="1">
      <c r="A105" s="935"/>
      <c r="B105" s="931" t="s">
        <v>75</v>
      </c>
      <c r="C105" s="963">
        <v>9.6774193548387094E-2</v>
      </c>
      <c r="D105" s="932"/>
      <c r="E105" s="954"/>
      <c r="F105" s="954"/>
      <c r="G105" s="954"/>
      <c r="H105" s="963">
        <v>0</v>
      </c>
      <c r="I105" s="932"/>
      <c r="J105" s="964">
        <v>0</v>
      </c>
      <c r="K105" s="964">
        <v>0</v>
      </c>
      <c r="L105" s="964">
        <v>0</v>
      </c>
      <c r="M105" s="964">
        <v>0</v>
      </c>
      <c r="N105" s="964">
        <v>0</v>
      </c>
      <c r="O105" s="964">
        <v>0</v>
      </c>
      <c r="P105" s="964">
        <v>0</v>
      </c>
      <c r="Q105" s="964">
        <v>0</v>
      </c>
      <c r="R105" s="964">
        <v>0</v>
      </c>
      <c r="S105" s="964">
        <v>0</v>
      </c>
      <c r="T105" s="964">
        <v>0</v>
      </c>
      <c r="U105" s="964">
        <v>0</v>
      </c>
      <c r="V105" s="964">
        <v>0</v>
      </c>
      <c r="W105" s="964">
        <v>0</v>
      </c>
      <c r="X105" s="964">
        <v>0</v>
      </c>
      <c r="Y105" s="964">
        <v>0</v>
      </c>
      <c r="Z105" s="964">
        <v>0</v>
      </c>
      <c r="AA105" s="964">
        <v>0</v>
      </c>
      <c r="AB105" s="1197">
        <v>0</v>
      </c>
      <c r="AC105" s="1197">
        <v>0</v>
      </c>
      <c r="AD105" s="1197">
        <v>0</v>
      </c>
      <c r="AE105" s="1197">
        <v>0</v>
      </c>
      <c r="AF105" s="1197">
        <v>0</v>
      </c>
      <c r="AG105" s="1197">
        <v>0.125</v>
      </c>
      <c r="AH105" s="1197">
        <v>0.1</v>
      </c>
      <c r="AI105" s="1197">
        <v>9.0909090909090912E-2</v>
      </c>
      <c r="BU105" s="2373"/>
      <c r="BV105" s="2373"/>
      <c r="BW105" s="2373"/>
      <c r="BX105" s="2373"/>
      <c r="BY105" s="2373"/>
      <c r="BZ105" s="2373"/>
    </row>
    <row r="106" spans="1:78" s="969" customFormat="1" hidden="1">
      <c r="A106" s="935"/>
      <c r="B106" s="966" t="s">
        <v>76</v>
      </c>
      <c r="C106" s="246">
        <v>0.24279786603438056</v>
      </c>
      <c r="D106" s="967"/>
      <c r="E106" s="968"/>
      <c r="F106" s="968"/>
      <c r="G106" s="968"/>
      <c r="H106" s="246">
        <v>8.9947089947089942E-2</v>
      </c>
      <c r="I106" s="967"/>
      <c r="J106" s="240">
        <v>0.4375</v>
      </c>
      <c r="K106" s="240">
        <v>0.625</v>
      </c>
      <c r="L106" s="240">
        <v>0.39655172413793105</v>
      </c>
      <c r="M106" s="240">
        <v>0.19402985074626866</v>
      </c>
      <c r="N106" s="240">
        <v>0.27941176470588236</v>
      </c>
      <c r="O106" s="240">
        <v>0.31746031746031744</v>
      </c>
      <c r="P106" s="240">
        <v>0.16129032258064516</v>
      </c>
      <c r="Q106" s="240">
        <v>0.11666666666666667</v>
      </c>
      <c r="R106" s="240">
        <v>0.43835616438356162</v>
      </c>
      <c r="S106" s="240">
        <v>0.2857142857142857</v>
      </c>
      <c r="T106" s="240">
        <v>0.12162162162162163</v>
      </c>
      <c r="U106" s="240">
        <v>0.21739130434782608</v>
      </c>
      <c r="V106" s="240">
        <v>0.21008403361344538</v>
      </c>
      <c r="W106" s="356">
        <v>0.19620253164556961</v>
      </c>
      <c r="X106" s="356">
        <v>0.16666666666666666</v>
      </c>
      <c r="Y106" s="356">
        <v>0.13218390804597702</v>
      </c>
      <c r="Z106" s="356">
        <v>0.15544041450777202</v>
      </c>
      <c r="AA106" s="356">
        <v>0.18779342723004694</v>
      </c>
      <c r="AB106" s="589">
        <v>0.22807017543859648</v>
      </c>
      <c r="AC106" s="608">
        <v>0.15139442231075698</v>
      </c>
      <c r="AD106" s="589">
        <v>0.20735785953177258</v>
      </c>
      <c r="AE106" s="589">
        <v>0.16216216216216217</v>
      </c>
      <c r="AF106" s="589">
        <v>0.16967509025270758</v>
      </c>
      <c r="AG106" s="589">
        <v>0.20123839009287925</v>
      </c>
      <c r="AH106" s="589">
        <v>0.21311475409836064</v>
      </c>
      <c r="AI106" s="589">
        <v>0.21541501976284586</v>
      </c>
    </row>
    <row r="107" spans="1:78" s="952" customFormat="1" hidden="1">
      <c r="A107" s="935"/>
      <c r="B107" s="949" t="s">
        <v>162</v>
      </c>
      <c r="C107" s="950" t="s">
        <v>163</v>
      </c>
      <c r="D107" s="950"/>
      <c r="E107" s="951" t="s">
        <v>59</v>
      </c>
      <c r="F107" s="951" t="s">
        <v>94</v>
      </c>
      <c r="G107" s="951" t="s">
        <v>97</v>
      </c>
      <c r="H107" s="951" t="s">
        <v>150</v>
      </c>
      <c r="I107" s="950"/>
      <c r="J107" s="227">
        <v>41000</v>
      </c>
      <c r="K107" s="227">
        <v>41030</v>
      </c>
      <c r="L107" s="227">
        <v>41061</v>
      </c>
      <c r="M107" s="227">
        <v>41091</v>
      </c>
      <c r="N107" s="227">
        <v>41122</v>
      </c>
      <c r="O107" s="227">
        <v>41153</v>
      </c>
      <c r="P107" s="227">
        <v>41183</v>
      </c>
      <c r="Q107" s="227">
        <v>41214</v>
      </c>
      <c r="R107" s="227">
        <v>41244</v>
      </c>
      <c r="S107" s="227">
        <v>41275</v>
      </c>
      <c r="T107" s="227">
        <v>41306</v>
      </c>
      <c r="U107" s="227">
        <v>41334</v>
      </c>
      <c r="V107" s="227">
        <v>41365</v>
      </c>
      <c r="W107" s="227">
        <v>41395</v>
      </c>
      <c r="X107" s="227">
        <v>41426</v>
      </c>
      <c r="Y107" s="227">
        <v>41456</v>
      </c>
      <c r="Z107" s="227">
        <v>41487</v>
      </c>
      <c r="AA107" s="227">
        <v>41518</v>
      </c>
      <c r="AB107" s="227">
        <v>41548</v>
      </c>
      <c r="AC107" s="227">
        <v>41579</v>
      </c>
      <c r="AD107" s="227">
        <v>41609</v>
      </c>
      <c r="AE107" s="227">
        <v>41640</v>
      </c>
      <c r="AF107" s="227">
        <v>41671</v>
      </c>
      <c r="AG107" s="227">
        <v>41699</v>
      </c>
      <c r="AH107" s="227">
        <v>41730</v>
      </c>
      <c r="AI107" s="227">
        <v>41760</v>
      </c>
      <c r="AJ107" s="227">
        <v>41791</v>
      </c>
      <c r="AK107" s="227">
        <v>41821</v>
      </c>
      <c r="AL107" s="227">
        <v>41852</v>
      </c>
      <c r="AM107" s="227">
        <v>41883</v>
      </c>
      <c r="AN107" s="227">
        <v>41913</v>
      </c>
      <c r="AO107" s="227">
        <v>41944</v>
      </c>
      <c r="AP107" s="227">
        <v>41974</v>
      </c>
    </row>
    <row r="108" spans="1:78" hidden="1">
      <c r="B108" s="931" t="s">
        <v>152</v>
      </c>
      <c r="C108" s="242">
        <v>14.346533333333333</v>
      </c>
      <c r="H108" s="242">
        <v>11.557583333333334</v>
      </c>
      <c r="J108" s="215">
        <v>15.732454545454544</v>
      </c>
      <c r="K108" s="215">
        <v>15.074</v>
      </c>
      <c r="L108" s="215">
        <v>8.9853333333333314</v>
      </c>
      <c r="M108" s="215">
        <v>10.7875</v>
      </c>
      <c r="N108" s="215">
        <v>10.124499999999999</v>
      </c>
      <c r="O108" s="215">
        <v>16.643999999999998</v>
      </c>
      <c r="P108" s="215">
        <v>11.346666666666666</v>
      </c>
      <c r="Q108" s="215">
        <v>0</v>
      </c>
      <c r="R108" s="215">
        <v>16.026148148148149</v>
      </c>
      <c r="S108" s="215">
        <v>11.679</v>
      </c>
      <c r="T108" s="215">
        <v>0</v>
      </c>
      <c r="U108" s="215">
        <v>11.496874999999999</v>
      </c>
      <c r="V108" s="215">
        <v>11.008166666666668</v>
      </c>
      <c r="W108" s="215">
        <v>10.364571428571429</v>
      </c>
      <c r="X108" s="215">
        <v>14.311375</v>
      </c>
      <c r="Y108" s="215">
        <v>18.540600000000001</v>
      </c>
      <c r="Z108" s="215">
        <v>12.079000000000001</v>
      </c>
      <c r="AA108" s="215">
        <v>20.885363636363635</v>
      </c>
      <c r="AB108" s="215">
        <v>17.270999999999997</v>
      </c>
      <c r="AC108" s="609">
        <v>10.982250000000001</v>
      </c>
      <c r="AD108" s="581">
        <v>15.777764705882351</v>
      </c>
      <c r="AE108" s="581">
        <v>16.859571428571428</v>
      </c>
      <c r="AF108" s="581">
        <v>16.113375000000001</v>
      </c>
      <c r="AG108" s="581">
        <v>12.222428571428571</v>
      </c>
      <c r="AH108" s="581">
        <v>14.597538461538461</v>
      </c>
      <c r="AI108" s="581">
        <v>14.03690909090909</v>
      </c>
    </row>
    <row r="109" spans="1:78" hidden="1">
      <c r="B109" s="931" t="s">
        <v>153</v>
      </c>
      <c r="C109" s="242">
        <v>14.475403508771929</v>
      </c>
      <c r="H109" s="242">
        <v>13.186818181818182</v>
      </c>
      <c r="J109" s="215">
        <v>0</v>
      </c>
      <c r="K109" s="215">
        <v>10.256846153846153</v>
      </c>
      <c r="L109" s="215">
        <v>25.275799999999997</v>
      </c>
      <c r="M109" s="215">
        <v>8.2724999999999991</v>
      </c>
      <c r="N109" s="215">
        <v>24.228666666666669</v>
      </c>
      <c r="O109" s="215">
        <v>12.171333333333331</v>
      </c>
      <c r="P109" s="215">
        <v>0</v>
      </c>
      <c r="Q109" s="215">
        <v>0</v>
      </c>
      <c r="R109" s="215">
        <v>10.647</v>
      </c>
      <c r="S109" s="215">
        <v>13.186818181818182</v>
      </c>
      <c r="T109" s="215">
        <v>0</v>
      </c>
      <c r="U109" s="215">
        <v>0</v>
      </c>
      <c r="V109" s="215">
        <v>9.7336666666666662</v>
      </c>
      <c r="W109" s="215">
        <v>14.557714285714285</v>
      </c>
      <c r="X109" s="215">
        <v>8.8608000000000011</v>
      </c>
      <c r="Y109" s="215">
        <v>15.903124999999999</v>
      </c>
      <c r="Z109" s="215">
        <v>37.427</v>
      </c>
      <c r="AA109" s="215">
        <v>14.545599999999999</v>
      </c>
      <c r="AB109" s="215">
        <v>17.947736842105265</v>
      </c>
      <c r="AC109" s="609">
        <v>12.231</v>
      </c>
      <c r="AD109" s="581">
        <v>16.59414285714286</v>
      </c>
      <c r="AE109" s="581">
        <v>14.639625000000001</v>
      </c>
      <c r="AF109" s="581">
        <v>13.057166666666667</v>
      </c>
      <c r="AG109" s="581">
        <v>10.427200000000001</v>
      </c>
      <c r="AH109" s="581">
        <v>13.693666666666667</v>
      </c>
      <c r="AI109" s="581">
        <v>16.178130434782609</v>
      </c>
    </row>
    <row r="110" spans="1:78" hidden="1">
      <c r="B110" s="931" t="s">
        <v>70</v>
      </c>
      <c r="C110" s="242">
        <v>16.988388888888888</v>
      </c>
      <c r="H110" s="242">
        <v>12.337399999999999</v>
      </c>
      <c r="J110" s="215">
        <v>0</v>
      </c>
      <c r="K110" s="215">
        <v>0</v>
      </c>
      <c r="L110" s="215">
        <v>12.884565217391305</v>
      </c>
      <c r="M110" s="215">
        <v>15.468249999999999</v>
      </c>
      <c r="N110" s="215">
        <v>11.02</v>
      </c>
      <c r="O110" s="215">
        <v>35.568200000000004</v>
      </c>
      <c r="P110" s="215">
        <v>10.853999999999999</v>
      </c>
      <c r="Q110" s="215">
        <v>0</v>
      </c>
      <c r="R110" s="215">
        <v>9.85</v>
      </c>
      <c r="S110" s="215">
        <v>0</v>
      </c>
      <c r="T110" s="215">
        <v>12.86375</v>
      </c>
      <c r="U110" s="215">
        <v>10.231999999999999</v>
      </c>
      <c r="V110" s="215">
        <v>0</v>
      </c>
      <c r="W110" s="215">
        <v>10.852</v>
      </c>
      <c r="X110" s="215">
        <v>11.969799999999999</v>
      </c>
      <c r="Y110" s="215">
        <v>7.47</v>
      </c>
      <c r="Z110" s="215">
        <v>12.09075</v>
      </c>
      <c r="AA110" s="215">
        <v>15.5235</v>
      </c>
      <c r="AB110" s="215">
        <v>11.787615384615385</v>
      </c>
      <c r="AC110" s="215">
        <v>20.537285714285712</v>
      </c>
      <c r="AD110" s="581">
        <v>12.858181818181817</v>
      </c>
      <c r="AE110" s="581">
        <v>18.2715</v>
      </c>
      <c r="AF110" s="581">
        <v>16.715250000000001</v>
      </c>
      <c r="AG110" s="581">
        <v>13.24</v>
      </c>
      <c r="AH110" s="581">
        <v>11.217499999999999</v>
      </c>
      <c r="AI110" s="581">
        <v>22.61225</v>
      </c>
    </row>
    <row r="111" spans="1:78" hidden="1">
      <c r="B111" s="931" t="s">
        <v>71</v>
      </c>
      <c r="C111" s="242">
        <v>18.567285714285713</v>
      </c>
      <c r="H111" s="242">
        <v>12.598285714285712</v>
      </c>
      <c r="J111" s="215">
        <v>0</v>
      </c>
      <c r="K111" s="215">
        <v>0</v>
      </c>
      <c r="L111" s="215">
        <v>0</v>
      </c>
      <c r="M111" s="215">
        <v>11.2925</v>
      </c>
      <c r="N111" s="215">
        <v>14.809888888888887</v>
      </c>
      <c r="O111" s="215">
        <v>16.034384615384617</v>
      </c>
      <c r="P111" s="215">
        <v>19.342666666666666</v>
      </c>
      <c r="Q111" s="215">
        <v>0</v>
      </c>
      <c r="R111" s="215">
        <v>8.0884999999999998</v>
      </c>
      <c r="S111" s="215">
        <v>0</v>
      </c>
      <c r="T111" s="215">
        <v>10.792999999999999</v>
      </c>
      <c r="U111" s="215">
        <v>12.899166666666666</v>
      </c>
      <c r="V111" s="215">
        <v>17.321000000000002</v>
      </c>
      <c r="W111" s="215">
        <v>11.632666666666667</v>
      </c>
      <c r="X111" s="215">
        <v>7.6745000000000001</v>
      </c>
      <c r="Y111" s="215">
        <v>11.477333333333334</v>
      </c>
      <c r="Z111" s="215">
        <v>13.663333333333334</v>
      </c>
      <c r="AA111" s="215">
        <v>21.16390909090909</v>
      </c>
      <c r="AB111" s="215">
        <v>17.106666666666666</v>
      </c>
      <c r="AC111" s="215">
        <v>17.274636363636361</v>
      </c>
      <c r="AD111" s="581">
        <v>13.177076923076923</v>
      </c>
      <c r="AE111" s="581">
        <v>14.930533333333333</v>
      </c>
      <c r="AF111" s="581">
        <v>16.106083333333334</v>
      </c>
      <c r="AG111" s="581">
        <v>28.894666666666666</v>
      </c>
      <c r="AH111" s="581">
        <v>14.855</v>
      </c>
      <c r="AI111" s="581">
        <v>19.465740740740742</v>
      </c>
    </row>
    <row r="112" spans="1:78" hidden="1">
      <c r="B112" s="931" t="s">
        <v>72</v>
      </c>
      <c r="C112" s="242">
        <v>14.81151</v>
      </c>
      <c r="H112" s="242">
        <v>13.412548387096773</v>
      </c>
      <c r="J112" s="215">
        <v>0</v>
      </c>
      <c r="K112" s="215">
        <v>0</v>
      </c>
      <c r="L112" s="215">
        <v>0</v>
      </c>
      <c r="M112" s="215">
        <v>0</v>
      </c>
      <c r="N112" s="215">
        <v>0</v>
      </c>
      <c r="O112" s="215">
        <v>0</v>
      </c>
      <c r="P112" s="215">
        <v>5.8460000000000001</v>
      </c>
      <c r="Q112" s="215">
        <v>12.722250000000001</v>
      </c>
      <c r="R112" s="215">
        <v>20.577571428571428</v>
      </c>
      <c r="S112" s="215">
        <v>9.3779333333333348</v>
      </c>
      <c r="T112" s="215">
        <v>46.292000000000002</v>
      </c>
      <c r="U112" s="215">
        <v>13.038285714285715</v>
      </c>
      <c r="V112" s="215">
        <v>5.8310000000000004</v>
      </c>
      <c r="W112" s="215">
        <v>0</v>
      </c>
      <c r="X112" s="215">
        <v>7.3719999999999999</v>
      </c>
      <c r="Y112" s="215">
        <v>10.473000000000001</v>
      </c>
      <c r="Z112" s="215">
        <v>0</v>
      </c>
      <c r="AA112" s="215">
        <v>0</v>
      </c>
      <c r="AB112" s="215">
        <v>12.648999999999999</v>
      </c>
      <c r="AC112" s="609">
        <v>12.584</v>
      </c>
      <c r="AD112" s="581">
        <v>14.327777777777776</v>
      </c>
      <c r="AE112" s="581">
        <v>1.3939999999999999</v>
      </c>
      <c r="AF112" s="581">
        <v>16.794</v>
      </c>
      <c r="AG112" s="581">
        <v>9.2811333333333348</v>
      </c>
      <c r="AH112" s="581">
        <v>17.977777777777778</v>
      </c>
      <c r="AI112" s="581">
        <v>14.041178571428572</v>
      </c>
    </row>
    <row r="113" spans="1:78" hidden="1">
      <c r="B113" s="931" t="s">
        <v>73</v>
      </c>
      <c r="C113" s="242">
        <v>18.621294498381879</v>
      </c>
      <c r="H113" s="242">
        <v>15.170627906976744</v>
      </c>
      <c r="J113" s="215">
        <v>9.9319166666666678</v>
      </c>
      <c r="K113" s="215">
        <v>14.997624999999999</v>
      </c>
      <c r="L113" s="215">
        <v>54.184368421052625</v>
      </c>
      <c r="M113" s="215">
        <v>16.053142857142856</v>
      </c>
      <c r="N113" s="215">
        <v>9.5611428571428565</v>
      </c>
      <c r="O113" s="215">
        <v>13.787285714285714</v>
      </c>
      <c r="P113" s="215">
        <v>15.377666666666668</v>
      </c>
      <c r="Q113" s="215">
        <v>12.985800000000001</v>
      </c>
      <c r="R113" s="215">
        <v>17.02209375</v>
      </c>
      <c r="S113" s="215">
        <v>15.983210526315789</v>
      </c>
      <c r="T113" s="215">
        <v>11.879000000000001</v>
      </c>
      <c r="U113" s="215">
        <v>16.419</v>
      </c>
      <c r="V113" s="215">
        <v>14.434777777777779</v>
      </c>
      <c r="W113" s="215">
        <v>33.768999999999998</v>
      </c>
      <c r="X113" s="215">
        <v>6.0131333333333332</v>
      </c>
      <c r="Y113" s="215">
        <v>10.816875</v>
      </c>
      <c r="Z113" s="215">
        <v>15.497187500000001</v>
      </c>
      <c r="AA113" s="215">
        <v>16.219391304347827</v>
      </c>
      <c r="AB113" s="215">
        <v>26.800666666666665</v>
      </c>
      <c r="AC113" s="215">
        <v>21.916611111111113</v>
      </c>
      <c r="AD113" s="581">
        <v>13.993424242424243</v>
      </c>
      <c r="AE113" s="581">
        <v>17.537941176470586</v>
      </c>
      <c r="AF113" s="581">
        <v>16.427608695652172</v>
      </c>
      <c r="AG113" s="581">
        <v>16.179214285714284</v>
      </c>
      <c r="AH113" s="581">
        <v>17.679675675675675</v>
      </c>
      <c r="AI113" s="581">
        <v>22.097858585858585</v>
      </c>
    </row>
    <row r="114" spans="1:78" s="956" customFormat="1" hidden="1">
      <c r="A114" s="935"/>
      <c r="B114" s="931" t="s">
        <v>75</v>
      </c>
      <c r="C114" s="961">
        <v>16.577999999999999</v>
      </c>
      <c r="D114" s="932"/>
      <c r="E114" s="954"/>
      <c r="F114" s="954"/>
      <c r="G114" s="954"/>
      <c r="H114" s="961">
        <v>0</v>
      </c>
      <c r="I114" s="932"/>
      <c r="J114" s="962">
        <v>0</v>
      </c>
      <c r="K114" s="962">
        <v>0</v>
      </c>
      <c r="L114" s="962">
        <v>0</v>
      </c>
      <c r="M114" s="962">
        <v>0</v>
      </c>
      <c r="N114" s="962">
        <v>0</v>
      </c>
      <c r="O114" s="962">
        <v>0</v>
      </c>
      <c r="P114" s="962">
        <v>0</v>
      </c>
      <c r="Q114" s="962">
        <v>0</v>
      </c>
      <c r="R114" s="962">
        <v>0</v>
      </c>
      <c r="S114" s="962">
        <v>0</v>
      </c>
      <c r="T114" s="962">
        <v>0</v>
      </c>
      <c r="U114" s="962">
        <v>0</v>
      </c>
      <c r="V114" s="962">
        <v>0</v>
      </c>
      <c r="W114" s="962">
        <v>0</v>
      </c>
      <c r="X114" s="962">
        <v>0</v>
      </c>
      <c r="Y114" s="962">
        <v>0</v>
      </c>
      <c r="Z114" s="962">
        <v>0</v>
      </c>
      <c r="AA114" s="962">
        <v>0</v>
      </c>
      <c r="AB114" s="962">
        <v>0</v>
      </c>
      <c r="AC114" s="962">
        <v>0</v>
      </c>
      <c r="AD114" s="970">
        <v>0</v>
      </c>
      <c r="AE114" s="970">
        <v>0</v>
      </c>
      <c r="AF114" s="970">
        <v>0</v>
      </c>
      <c r="AG114" s="970">
        <v>21.029</v>
      </c>
      <c r="AH114" s="970">
        <v>13.188000000000001</v>
      </c>
      <c r="AI114" s="970">
        <v>12.903333333333334</v>
      </c>
      <c r="BU114" s="2373"/>
      <c r="BV114" s="2373"/>
      <c r="BW114" s="2373"/>
      <c r="BX114" s="2373"/>
      <c r="BY114" s="2373"/>
      <c r="BZ114" s="2373"/>
    </row>
    <row r="115" spans="1:78" s="969" customFormat="1" hidden="1">
      <c r="A115" s="935"/>
      <c r="B115" s="966" t="s">
        <v>76</v>
      </c>
      <c r="C115" s="244">
        <v>19.238210076607086</v>
      </c>
      <c r="D115" s="967"/>
      <c r="E115" s="968"/>
      <c r="F115" s="968"/>
      <c r="G115" s="968"/>
      <c r="H115" s="244">
        <v>13.440055555555556</v>
      </c>
      <c r="I115" s="967"/>
      <c r="J115" s="215">
        <v>12.706086956521739</v>
      </c>
      <c r="K115" s="215">
        <v>12.732000000000001</v>
      </c>
      <c r="L115" s="215">
        <v>28.146862068965518</v>
      </c>
      <c r="M115" s="215">
        <v>13.820588235294117</v>
      </c>
      <c r="N115" s="215">
        <v>13.517541666666666</v>
      </c>
      <c r="O115" s="215">
        <v>18.481275862068966</v>
      </c>
      <c r="P115" s="215">
        <v>14.125866666666667</v>
      </c>
      <c r="Q115" s="215">
        <v>12.910500000000001</v>
      </c>
      <c r="R115" s="215">
        <v>16.280506849315067</v>
      </c>
      <c r="S115" s="215">
        <v>12.935812500000001</v>
      </c>
      <c r="T115" s="215">
        <v>15.266818181818183</v>
      </c>
      <c r="U115" s="215">
        <v>13.303551724137931</v>
      </c>
      <c r="V115" s="215">
        <v>12.503000000000002</v>
      </c>
      <c r="W115" s="215">
        <v>18.798682926829272</v>
      </c>
      <c r="X115" s="215">
        <v>9.2100555555555559</v>
      </c>
      <c r="Y115" s="215">
        <v>14.56583870967742</v>
      </c>
      <c r="Z115" s="215">
        <v>16.427189189189189</v>
      </c>
      <c r="AA115" s="215">
        <v>18.064673076923079</v>
      </c>
      <c r="AB115" s="215">
        <v>18.072526315789474</v>
      </c>
      <c r="AC115" s="215">
        <v>17.482471698113205</v>
      </c>
      <c r="AD115" s="215">
        <v>14.166582524271844</v>
      </c>
      <c r="AE115" s="215">
        <v>16.888469387755102</v>
      </c>
      <c r="AF115" s="215">
        <v>16.020500000000002</v>
      </c>
      <c r="AG115" s="215">
        <v>15.715487499999998</v>
      </c>
      <c r="AH115" s="215">
        <v>15.984796460176993</v>
      </c>
      <c r="AI115" s="215">
        <v>18.203939849624064</v>
      </c>
    </row>
    <row r="116" spans="1:78" s="952" customFormat="1" hidden="1">
      <c r="A116" s="2200"/>
      <c r="B116" s="949" t="s">
        <v>93</v>
      </c>
      <c r="C116" s="950" t="s">
        <v>163</v>
      </c>
      <c r="D116" s="950"/>
      <c r="E116" s="951" t="s">
        <v>59</v>
      </c>
      <c r="F116" s="951" t="s">
        <v>94</v>
      </c>
      <c r="G116" s="951" t="s">
        <v>97</v>
      </c>
      <c r="H116" s="951" t="s">
        <v>150</v>
      </c>
      <c r="I116" s="950"/>
      <c r="J116" s="227">
        <v>41000</v>
      </c>
      <c r="K116" s="227">
        <v>41030</v>
      </c>
      <c r="L116" s="227">
        <v>41061</v>
      </c>
      <c r="M116" s="227">
        <v>41091</v>
      </c>
      <c r="N116" s="227">
        <v>41122</v>
      </c>
      <c r="O116" s="227">
        <v>41153</v>
      </c>
      <c r="P116" s="227">
        <v>41183</v>
      </c>
      <c r="Q116" s="227">
        <v>41214</v>
      </c>
      <c r="R116" s="227">
        <v>41244</v>
      </c>
      <c r="S116" s="227">
        <v>41275</v>
      </c>
      <c r="T116" s="227">
        <v>41306</v>
      </c>
      <c r="U116" s="227">
        <v>41334</v>
      </c>
      <c r="V116" s="227">
        <v>41365</v>
      </c>
      <c r="W116" s="227">
        <v>41395</v>
      </c>
      <c r="X116" s="227">
        <v>41426</v>
      </c>
      <c r="Y116" s="227">
        <v>41456</v>
      </c>
      <c r="Z116" s="227">
        <v>41487</v>
      </c>
      <c r="AA116" s="227">
        <v>41518</v>
      </c>
      <c r="AB116" s="227">
        <v>41548</v>
      </c>
      <c r="AC116" s="227">
        <v>41579</v>
      </c>
      <c r="AD116" s="227">
        <v>41609</v>
      </c>
      <c r="AE116" s="227">
        <v>41640</v>
      </c>
      <c r="AF116" s="227">
        <v>41671</v>
      </c>
      <c r="AG116" s="227">
        <v>41699</v>
      </c>
      <c r="AH116" s="227">
        <v>41730</v>
      </c>
      <c r="AI116" s="227">
        <v>41760</v>
      </c>
      <c r="AJ116" s="227">
        <v>41791</v>
      </c>
      <c r="AK116" s="227">
        <v>41821</v>
      </c>
      <c r="AL116" s="227">
        <v>41852</v>
      </c>
      <c r="AM116" s="227">
        <v>41883</v>
      </c>
      <c r="AN116" s="227">
        <v>41913</v>
      </c>
      <c r="AO116" s="227">
        <v>41944</v>
      </c>
      <c r="AP116" s="227">
        <v>41974</v>
      </c>
    </row>
    <row r="117" spans="1:78" hidden="1">
      <c r="A117" s="1318"/>
      <c r="B117" s="931" t="s">
        <v>152</v>
      </c>
      <c r="C117" s="242">
        <v>1.1458333333333333</v>
      </c>
      <c r="H117" s="242">
        <v>1.7142857142857142</v>
      </c>
      <c r="J117" s="215">
        <v>1.2222222222222223</v>
      </c>
      <c r="K117" s="215">
        <v>1</v>
      </c>
      <c r="L117" s="215">
        <v>1.5</v>
      </c>
      <c r="M117" s="215">
        <v>2</v>
      </c>
      <c r="N117" s="215">
        <v>1.3333333333333333</v>
      </c>
      <c r="O117" s="215">
        <v>1</v>
      </c>
      <c r="P117" s="215">
        <v>1.5</v>
      </c>
      <c r="Q117" s="215">
        <v>0</v>
      </c>
      <c r="R117" s="215">
        <v>3</v>
      </c>
      <c r="S117" s="215">
        <v>1.3333333333333333</v>
      </c>
      <c r="T117" s="215">
        <v>0</v>
      </c>
      <c r="U117" s="215">
        <v>2</v>
      </c>
      <c r="V117" s="215">
        <v>1.5</v>
      </c>
      <c r="W117" s="215">
        <v>1.1666666666666667</v>
      </c>
      <c r="X117" s="215">
        <v>1.6</v>
      </c>
      <c r="Y117" s="215">
        <v>1.6666666666666667</v>
      </c>
      <c r="Z117" s="215">
        <v>1.1111111111111112</v>
      </c>
      <c r="AA117" s="215">
        <v>1.8333333333333333</v>
      </c>
      <c r="AB117" s="215">
        <v>1.75</v>
      </c>
      <c r="AC117" s="215">
        <v>1.1428571428571428</v>
      </c>
      <c r="AD117" s="215">
        <v>1.3076923076923077</v>
      </c>
      <c r="AE117" s="215">
        <v>1.1666666666666667</v>
      </c>
      <c r="AF117" s="215">
        <v>1</v>
      </c>
      <c r="AG117" s="215">
        <v>1.2727272727272727</v>
      </c>
      <c r="AH117" s="215">
        <v>1.1818181818181819</v>
      </c>
      <c r="AI117" s="215">
        <v>1.1000000000000001</v>
      </c>
    </row>
    <row r="118" spans="1:78" hidden="1">
      <c r="A118" s="952"/>
      <c r="B118" s="931" t="s">
        <v>153</v>
      </c>
      <c r="C118" s="242">
        <v>1.2127659574468086</v>
      </c>
      <c r="H118" s="242">
        <v>1.8333333333333333</v>
      </c>
      <c r="J118" s="215">
        <v>0</v>
      </c>
      <c r="K118" s="215">
        <v>1.0833333333333333</v>
      </c>
      <c r="L118" s="215">
        <v>1</v>
      </c>
      <c r="M118" s="215">
        <v>1</v>
      </c>
      <c r="N118" s="215">
        <v>1</v>
      </c>
      <c r="O118" s="215">
        <v>1.5</v>
      </c>
      <c r="P118" s="215">
        <v>0</v>
      </c>
      <c r="Q118" s="215">
        <v>0</v>
      </c>
      <c r="R118" s="215">
        <v>1</v>
      </c>
      <c r="S118" s="215">
        <v>1.8333333333333333</v>
      </c>
      <c r="T118" s="215">
        <v>0</v>
      </c>
      <c r="U118" s="215">
        <v>0</v>
      </c>
      <c r="V118" s="215">
        <v>1</v>
      </c>
      <c r="W118" s="215">
        <v>1.2727272727272727</v>
      </c>
      <c r="X118" s="215">
        <v>0.83333333333333337</v>
      </c>
      <c r="Y118" s="215">
        <v>1.1428571428571428</v>
      </c>
      <c r="Z118" s="215">
        <v>1.3333333333333333</v>
      </c>
      <c r="AA118" s="215">
        <v>1</v>
      </c>
      <c r="AB118" s="215">
        <v>1.5833333333333333</v>
      </c>
      <c r="AC118" s="215">
        <v>1.3333333333333333</v>
      </c>
      <c r="AD118" s="215">
        <v>1.75</v>
      </c>
      <c r="AE118" s="215">
        <v>1</v>
      </c>
      <c r="AF118" s="215">
        <v>1.2</v>
      </c>
      <c r="AG118" s="215">
        <v>1</v>
      </c>
      <c r="AH118" s="215">
        <v>1.3636363636363635</v>
      </c>
      <c r="AI118" s="215">
        <v>1.2777777777777777</v>
      </c>
    </row>
    <row r="119" spans="1:78" hidden="1">
      <c r="A119" s="1203"/>
      <c r="B119" s="931" t="s">
        <v>70</v>
      </c>
      <c r="C119" s="242">
        <v>1</v>
      </c>
      <c r="H119" s="242">
        <v>1.25</v>
      </c>
      <c r="J119" s="215">
        <v>0</v>
      </c>
      <c r="K119" s="215">
        <v>0</v>
      </c>
      <c r="L119" s="215">
        <v>1.4375</v>
      </c>
      <c r="M119" s="215">
        <v>1</v>
      </c>
      <c r="N119" s="215">
        <v>1</v>
      </c>
      <c r="O119" s="215">
        <v>1.6666666666666667</v>
      </c>
      <c r="P119" s="215">
        <v>1</v>
      </c>
      <c r="Q119" s="215">
        <v>0</v>
      </c>
      <c r="R119" s="215">
        <v>1</v>
      </c>
      <c r="S119" s="215">
        <v>0</v>
      </c>
      <c r="T119" s="215">
        <v>1.3333333333333333</v>
      </c>
      <c r="U119" s="215">
        <v>1</v>
      </c>
      <c r="V119" s="215">
        <v>0</v>
      </c>
      <c r="W119" s="215">
        <v>2.5</v>
      </c>
      <c r="X119" s="215">
        <v>1.6666666666666667</v>
      </c>
      <c r="Y119" s="215">
        <v>1</v>
      </c>
      <c r="Z119" s="215">
        <v>1</v>
      </c>
      <c r="AA119" s="215">
        <v>1</v>
      </c>
      <c r="AB119" s="215">
        <v>2.1666666666666665</v>
      </c>
      <c r="AC119" s="215">
        <v>1.4</v>
      </c>
      <c r="AD119" s="215">
        <v>1.2222222222222223</v>
      </c>
      <c r="AE119" s="215">
        <v>1</v>
      </c>
      <c r="AF119" s="215">
        <v>1</v>
      </c>
      <c r="AG119" s="215">
        <v>1</v>
      </c>
      <c r="AH119" s="215">
        <v>1</v>
      </c>
      <c r="AI119" s="215">
        <v>1</v>
      </c>
    </row>
    <row r="120" spans="1:78" hidden="1">
      <c r="A120" s="1203"/>
      <c r="B120" s="931" t="s">
        <v>71</v>
      </c>
      <c r="C120" s="242">
        <v>1.4148936170212767</v>
      </c>
      <c r="H120" s="242">
        <v>1.1666666666666667</v>
      </c>
      <c r="J120" s="215">
        <v>0</v>
      </c>
      <c r="K120" s="215">
        <v>0</v>
      </c>
      <c r="L120" s="215">
        <v>0</v>
      </c>
      <c r="M120" s="215">
        <v>1</v>
      </c>
      <c r="N120" s="215">
        <v>1.2857142857142858</v>
      </c>
      <c r="O120" s="215">
        <v>1.4444444444444444</v>
      </c>
      <c r="P120" s="215">
        <v>1.5</v>
      </c>
      <c r="Q120" s="215">
        <v>0</v>
      </c>
      <c r="R120" s="215">
        <v>1</v>
      </c>
      <c r="S120" s="215">
        <v>0</v>
      </c>
      <c r="T120" s="215">
        <v>1</v>
      </c>
      <c r="U120" s="215">
        <v>1.2</v>
      </c>
      <c r="V120" s="215">
        <v>1</v>
      </c>
      <c r="W120" s="215">
        <v>1</v>
      </c>
      <c r="X120" s="215">
        <v>1</v>
      </c>
      <c r="Y120" s="215">
        <v>1.5</v>
      </c>
      <c r="Z120" s="215">
        <v>1</v>
      </c>
      <c r="AA120" s="215">
        <v>1.2222222222222223</v>
      </c>
      <c r="AB120" s="215">
        <v>1</v>
      </c>
      <c r="AC120" s="215">
        <v>1.8333333333333333</v>
      </c>
      <c r="AD120" s="215">
        <v>2.3636363636363638</v>
      </c>
      <c r="AE120" s="215">
        <v>1.1538461538461537</v>
      </c>
      <c r="AF120" s="215">
        <v>1.7142857142857142</v>
      </c>
      <c r="AG120" s="215">
        <v>1.2</v>
      </c>
      <c r="AH120" s="215">
        <v>1.2727272727272727</v>
      </c>
      <c r="AI120" s="215">
        <v>2.25</v>
      </c>
    </row>
    <row r="121" spans="1:78" hidden="1">
      <c r="A121" s="1203"/>
      <c r="B121" s="931" t="s">
        <v>72</v>
      </c>
      <c r="C121" s="242">
        <v>1.1111111111111112</v>
      </c>
      <c r="H121" s="242">
        <v>1.2916666666666667</v>
      </c>
      <c r="J121" s="215">
        <v>0</v>
      </c>
      <c r="K121" s="215">
        <v>0</v>
      </c>
      <c r="L121" s="215">
        <v>0</v>
      </c>
      <c r="M121" s="215">
        <v>0</v>
      </c>
      <c r="N121" s="215">
        <v>0</v>
      </c>
      <c r="O121" s="215">
        <v>0</v>
      </c>
      <c r="P121" s="215">
        <v>1</v>
      </c>
      <c r="Q121" s="215">
        <v>1.3333333333333333</v>
      </c>
      <c r="R121" s="215">
        <v>1.75</v>
      </c>
      <c r="S121" s="215">
        <v>1.25</v>
      </c>
      <c r="T121" s="215">
        <v>1</v>
      </c>
      <c r="U121" s="215">
        <v>1.4</v>
      </c>
      <c r="V121" s="215">
        <v>2</v>
      </c>
      <c r="W121" s="215">
        <v>0</v>
      </c>
      <c r="X121" s="215">
        <v>1</v>
      </c>
      <c r="Y121" s="215">
        <v>1</v>
      </c>
      <c r="Z121" s="215">
        <v>0</v>
      </c>
      <c r="AA121" s="215">
        <v>0</v>
      </c>
      <c r="AB121" s="215">
        <v>1</v>
      </c>
      <c r="AC121" s="215">
        <v>1</v>
      </c>
      <c r="AD121" s="215">
        <v>1.2857142857142858</v>
      </c>
      <c r="AE121" s="215">
        <v>-2</v>
      </c>
      <c r="AF121" s="215">
        <v>1</v>
      </c>
      <c r="AG121" s="215">
        <v>1.5</v>
      </c>
      <c r="AH121" s="215">
        <v>1.2</v>
      </c>
      <c r="AI121" s="215">
        <v>1</v>
      </c>
    </row>
    <row r="122" spans="1:78" hidden="1">
      <c r="A122" s="1203"/>
      <c r="B122" s="931" t="s">
        <v>73</v>
      </c>
      <c r="C122" s="242">
        <v>1.20703125</v>
      </c>
      <c r="H122" s="242">
        <v>1.34375</v>
      </c>
      <c r="J122" s="215">
        <v>2.4</v>
      </c>
      <c r="K122" s="215">
        <v>1.1428571428571428</v>
      </c>
      <c r="L122" s="215">
        <v>1.1875</v>
      </c>
      <c r="M122" s="215">
        <v>1.75</v>
      </c>
      <c r="N122" s="215">
        <v>1.4</v>
      </c>
      <c r="O122" s="215">
        <v>1.4</v>
      </c>
      <c r="P122" s="215">
        <v>2</v>
      </c>
      <c r="Q122" s="215">
        <v>2.5</v>
      </c>
      <c r="R122" s="215">
        <v>2.6666666666666665</v>
      </c>
      <c r="S122" s="215">
        <v>1.3571428571428572</v>
      </c>
      <c r="T122" s="215">
        <v>1.25</v>
      </c>
      <c r="U122" s="215">
        <v>1.4</v>
      </c>
      <c r="V122" s="215">
        <v>1.5</v>
      </c>
      <c r="W122" s="215">
        <v>1.3333333333333333</v>
      </c>
      <c r="X122" s="215">
        <v>1.25</v>
      </c>
      <c r="Y122" s="215">
        <v>1.3333333333333333</v>
      </c>
      <c r="Z122" s="215">
        <v>1.4545454545454546</v>
      </c>
      <c r="AA122" s="215">
        <v>1.2777777777777777</v>
      </c>
      <c r="AB122" s="215">
        <v>1.0714285714285714</v>
      </c>
      <c r="AC122" s="215">
        <v>1.3846153846153846</v>
      </c>
      <c r="AD122" s="215">
        <v>1.8333333333333333</v>
      </c>
      <c r="AE122" s="215">
        <v>1.0625</v>
      </c>
      <c r="AF122" s="215">
        <v>1.2777777777777777</v>
      </c>
      <c r="AG122" s="215">
        <v>1.1666666666666667</v>
      </c>
      <c r="AH122" s="215">
        <v>1.2758620689655173</v>
      </c>
      <c r="AI122" s="215">
        <v>1.2073170731707317</v>
      </c>
    </row>
    <row r="123" spans="1:78" s="954" customFormat="1" hidden="1">
      <c r="A123" s="1312"/>
      <c r="B123" s="931" t="s">
        <v>75</v>
      </c>
      <c r="C123" s="961">
        <v>1.5</v>
      </c>
      <c r="D123" s="932"/>
      <c r="H123" s="961">
        <v>0</v>
      </c>
      <c r="I123" s="932"/>
      <c r="J123" s="962">
        <v>0</v>
      </c>
      <c r="K123" s="962">
        <v>0</v>
      </c>
      <c r="L123" s="962">
        <v>0</v>
      </c>
      <c r="M123" s="962">
        <v>0</v>
      </c>
      <c r="N123" s="962">
        <v>0</v>
      </c>
      <c r="O123" s="962">
        <v>0</v>
      </c>
      <c r="P123" s="962">
        <v>0</v>
      </c>
      <c r="Q123" s="962">
        <v>0</v>
      </c>
      <c r="R123" s="962">
        <v>0</v>
      </c>
      <c r="S123" s="962">
        <v>0</v>
      </c>
      <c r="T123" s="962">
        <v>0</v>
      </c>
      <c r="U123" s="962">
        <v>0</v>
      </c>
      <c r="V123" s="962">
        <v>0</v>
      </c>
      <c r="W123" s="962">
        <v>0</v>
      </c>
      <c r="X123" s="962">
        <v>0</v>
      </c>
      <c r="Y123" s="962">
        <v>0</v>
      </c>
      <c r="Z123" s="962">
        <v>0</v>
      </c>
      <c r="AA123" s="962">
        <v>0</v>
      </c>
      <c r="AB123" s="962">
        <v>0</v>
      </c>
      <c r="AC123" s="962">
        <v>0</v>
      </c>
      <c r="AD123" s="962">
        <v>0</v>
      </c>
      <c r="AE123" s="962">
        <v>0</v>
      </c>
      <c r="AF123" s="962">
        <v>0</v>
      </c>
      <c r="AG123" s="962">
        <v>2</v>
      </c>
      <c r="AH123" s="962">
        <v>1</v>
      </c>
      <c r="AI123" s="962">
        <v>1.5</v>
      </c>
      <c r="BU123" s="2374"/>
      <c r="BV123" s="2374"/>
      <c r="BW123" s="2374"/>
      <c r="BX123" s="2374"/>
      <c r="BY123" s="2374"/>
      <c r="BZ123" s="2374"/>
    </row>
    <row r="124" spans="1:78" s="968" customFormat="1" hidden="1">
      <c r="A124" s="1312"/>
      <c r="B124" s="966" t="s">
        <v>76</v>
      </c>
      <c r="C124" s="244">
        <v>2.198974609375</v>
      </c>
      <c r="D124" s="967"/>
      <c r="H124" s="244">
        <v>1.411764705882353</v>
      </c>
      <c r="I124" s="967"/>
      <c r="J124" s="215">
        <v>1.6428571428571428</v>
      </c>
      <c r="K124" s="215">
        <v>1.08</v>
      </c>
      <c r="L124" s="215">
        <v>1.2608695652173914</v>
      </c>
      <c r="M124" s="215">
        <v>1.3076923076923077</v>
      </c>
      <c r="N124" s="215">
        <v>1.263157894736842</v>
      </c>
      <c r="O124" s="215">
        <v>1.45</v>
      </c>
      <c r="P124" s="215">
        <v>1.5</v>
      </c>
      <c r="Q124" s="215">
        <v>2</v>
      </c>
      <c r="R124" s="215">
        <v>2.28125</v>
      </c>
      <c r="S124" s="215">
        <v>1.4545454545454546</v>
      </c>
      <c r="T124" s="215">
        <v>1.2222222222222223</v>
      </c>
      <c r="U124" s="215">
        <v>1.45</v>
      </c>
      <c r="V124" s="215">
        <v>1.44</v>
      </c>
      <c r="W124" s="215">
        <v>1.3225806451612903</v>
      </c>
      <c r="X124" s="215">
        <v>1.2413793103448276</v>
      </c>
      <c r="Y124" s="215">
        <v>1.3478260869565217</v>
      </c>
      <c r="Z124" s="215">
        <v>1.2333333333333334</v>
      </c>
      <c r="AA124" s="215">
        <v>1.3</v>
      </c>
      <c r="AB124" s="215">
        <v>1.4615384615384615</v>
      </c>
      <c r="AC124" s="215">
        <v>1.3947368421052631</v>
      </c>
      <c r="AD124" s="215">
        <v>1.6612903225806452</v>
      </c>
      <c r="AE124" s="215">
        <v>1.0208333333333333</v>
      </c>
      <c r="AF124" s="215">
        <v>1.2340425531914894</v>
      </c>
      <c r="AG124" s="215">
        <v>1.2307692307692308</v>
      </c>
      <c r="AH124" s="215">
        <v>1.2417582417582418</v>
      </c>
      <c r="AI124" s="215">
        <v>1.2201834862385321</v>
      </c>
    </row>
    <row r="125" spans="1:78">
      <c r="A125" s="13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KS126"/>
  <sheetViews>
    <sheetView zoomScale="85" zoomScaleNormal="85" workbookViewId="0">
      <pane xSplit="2" ySplit="4" topLeftCell="BL5" activePane="bottomRight" state="frozen"/>
      <selection pane="topRight" activeCell="B1" sqref="B1"/>
      <selection pane="bottomLeft" activeCell="A4" sqref="A4"/>
      <selection pane="bottomRight" activeCell="BR82" sqref="BR82"/>
    </sheetView>
  </sheetViews>
  <sheetFormatPr defaultColWidth="9.140625" defaultRowHeight="12.75" outlineLevelCol="1"/>
  <cols>
    <col min="1" max="1" width="39.140625" style="935" bestFit="1" customWidth="1"/>
    <col min="2" max="2" width="26" style="931" customWidth="1"/>
    <col min="3" max="3" width="12.7109375" style="933" customWidth="1"/>
    <col min="4" max="4" width="3.28515625" style="932" customWidth="1"/>
    <col min="5" max="7" width="0" style="933" hidden="1" customWidth="1"/>
    <col min="8" max="8" width="2.28515625" style="933" hidden="1" customWidth="1"/>
    <col min="9" max="9" width="3.42578125" style="932" customWidth="1"/>
    <col min="10" max="11" width="10.140625" style="937" hidden="1" customWidth="1"/>
    <col min="12" max="18" width="0" style="937" hidden="1" customWidth="1"/>
    <col min="19" max="20" width="9.140625" style="937"/>
    <col min="21" max="26" width="9.28515625" style="937" customWidth="1" outlineLevel="1"/>
    <col min="27" max="27" width="9.5703125" style="937" customWidth="1" outlineLevel="1"/>
    <col min="28" max="28" width="9.7109375" style="937" customWidth="1" outlineLevel="1"/>
    <col min="29" max="30" width="9.140625" style="937" customWidth="1" outlineLevel="1"/>
    <col min="31" max="33" width="9.140625" style="935" customWidth="1" outlineLevel="1"/>
    <col min="34" max="35" width="9.5703125" style="935" customWidth="1" outlineLevel="1"/>
    <col min="36" max="45" width="9.140625" style="935" customWidth="1" outlineLevel="1"/>
    <col min="46" max="46" width="9.85546875" style="935" customWidth="1" outlineLevel="1"/>
    <col min="47" max="48" width="10.140625" style="935" customWidth="1" outlineLevel="1"/>
    <col min="49" max="53" width="9.140625" style="935" customWidth="1" outlineLevel="1"/>
    <col min="54" max="54" width="10.7109375" style="935" customWidth="1" outlineLevel="1"/>
    <col min="55" max="55" width="9.140625" style="935"/>
    <col min="56" max="61" width="9.140625" style="935" customWidth="1" outlineLevel="1"/>
    <col min="62" max="64" width="10.28515625" style="935" customWidth="1" outlineLevel="1"/>
    <col min="65" max="65" width="9.140625" style="935" customWidth="1" outlineLevel="1"/>
    <col min="66" max="66" width="9.140625" style="935"/>
    <col min="67" max="67" width="10.42578125" style="935" bestFit="1" customWidth="1"/>
    <col min="68" max="72" width="9.140625" style="935"/>
    <col min="73" max="73" width="9.140625" style="935" collapsed="1"/>
    <col min="74" max="16384" width="9.140625" style="935"/>
  </cols>
  <sheetData>
    <row r="1" spans="1:80">
      <c r="A1"/>
      <c r="BO1" s="935" t="s">
        <v>4379</v>
      </c>
      <c r="BP1" s="935" t="s">
        <v>4380</v>
      </c>
      <c r="BQ1" s="935" t="s">
        <v>4381</v>
      </c>
      <c r="BR1" s="935" t="s">
        <v>4382</v>
      </c>
      <c r="BS1" s="935" t="s">
        <v>4383</v>
      </c>
      <c r="BT1" s="935" t="s">
        <v>4384</v>
      </c>
      <c r="BU1" s="935" t="s">
        <v>4267</v>
      </c>
      <c r="BV1" s="935" t="s">
        <v>4268</v>
      </c>
      <c r="BW1" s="935" t="s">
        <v>4269</v>
      </c>
      <c r="BX1" s="935" t="s">
        <v>4270</v>
      </c>
      <c r="BY1" s="935" t="s">
        <v>4271</v>
      </c>
      <c r="BZ1" s="935" t="s">
        <v>4272</v>
      </c>
    </row>
    <row r="2" spans="1:80">
      <c r="A2"/>
      <c r="B2" s="936" t="s">
        <v>135</v>
      </c>
      <c r="U2" s="240"/>
    </row>
    <row r="3" spans="1:80">
      <c r="A3"/>
      <c r="C3" s="1207">
        <v>7</v>
      </c>
      <c r="J3" s="934"/>
      <c r="K3" s="934"/>
      <c r="L3" s="934"/>
      <c r="M3" s="934"/>
      <c r="N3" s="934"/>
      <c r="O3" s="934"/>
      <c r="P3" s="934"/>
      <c r="Q3" s="934"/>
      <c r="R3" s="934"/>
      <c r="S3" s="934"/>
      <c r="T3" s="934"/>
      <c r="U3" s="934">
        <v>1</v>
      </c>
      <c r="V3" s="934">
        <v>2</v>
      </c>
      <c r="W3" s="934">
        <v>3</v>
      </c>
      <c r="X3" s="934">
        <v>4</v>
      </c>
      <c r="Y3" s="934">
        <v>5</v>
      </c>
      <c r="Z3" s="934">
        <v>6</v>
      </c>
      <c r="AA3" s="934">
        <v>7</v>
      </c>
      <c r="AB3" s="934">
        <v>8</v>
      </c>
      <c r="AC3" s="934">
        <v>9</v>
      </c>
      <c r="AD3" s="934">
        <v>10</v>
      </c>
      <c r="AE3" s="934">
        <v>1</v>
      </c>
      <c r="AF3" s="934">
        <v>2</v>
      </c>
      <c r="AG3" s="934">
        <v>3</v>
      </c>
      <c r="AH3" s="934">
        <v>4</v>
      </c>
      <c r="AI3" s="934">
        <v>5</v>
      </c>
      <c r="AJ3" s="934">
        <v>6</v>
      </c>
      <c r="AK3" s="934">
        <v>7</v>
      </c>
      <c r="AL3" s="934">
        <v>8</v>
      </c>
      <c r="AM3" s="934">
        <v>9</v>
      </c>
      <c r="AN3" s="934">
        <v>10</v>
      </c>
      <c r="AO3" s="934">
        <v>11</v>
      </c>
      <c r="AP3" s="934">
        <v>12</v>
      </c>
      <c r="AQ3" s="934">
        <v>1</v>
      </c>
      <c r="AR3" s="934">
        <v>2</v>
      </c>
      <c r="AS3" s="934">
        <v>3</v>
      </c>
      <c r="AT3" s="934">
        <v>4</v>
      </c>
      <c r="AU3" s="934">
        <v>5</v>
      </c>
      <c r="AV3" s="934">
        <v>6</v>
      </c>
      <c r="AW3" s="934">
        <v>7</v>
      </c>
      <c r="AX3" s="934">
        <v>8</v>
      </c>
      <c r="AY3" s="934">
        <v>9</v>
      </c>
      <c r="AZ3" s="934">
        <v>10</v>
      </c>
      <c r="BA3" s="934">
        <v>11</v>
      </c>
      <c r="BB3" s="934">
        <v>12</v>
      </c>
      <c r="BC3" s="934">
        <v>1</v>
      </c>
      <c r="BD3" s="934">
        <v>2</v>
      </c>
      <c r="BE3" s="934">
        <v>3</v>
      </c>
      <c r="BF3" s="934">
        <v>4</v>
      </c>
      <c r="BG3" s="934">
        <v>5</v>
      </c>
      <c r="BH3" s="934">
        <v>6</v>
      </c>
      <c r="BI3" s="934">
        <v>7</v>
      </c>
      <c r="BJ3" s="934">
        <v>8</v>
      </c>
      <c r="BK3" s="934">
        <v>9</v>
      </c>
      <c r="BL3" s="934">
        <v>10</v>
      </c>
      <c r="BM3" s="934">
        <v>11</v>
      </c>
      <c r="BN3" s="934">
        <v>12</v>
      </c>
      <c r="BO3" s="934">
        <v>1</v>
      </c>
      <c r="BP3" s="934">
        <v>2</v>
      </c>
      <c r="BQ3" s="934">
        <v>3</v>
      </c>
      <c r="BR3" s="934">
        <v>4</v>
      </c>
      <c r="BS3" s="934">
        <v>5</v>
      </c>
      <c r="BT3" s="934">
        <v>6</v>
      </c>
      <c r="BU3" s="934">
        <v>7</v>
      </c>
      <c r="BV3" s="934">
        <v>8</v>
      </c>
      <c r="BW3" s="934">
        <v>9</v>
      </c>
      <c r="BX3" s="934">
        <v>10</v>
      </c>
      <c r="BY3" s="934">
        <v>11</v>
      </c>
      <c r="BZ3" s="934">
        <v>12</v>
      </c>
    </row>
    <row r="4" spans="1:80" s="942" customFormat="1" ht="16.5" customHeight="1">
      <c r="A4"/>
      <c r="B4" s="938" t="s">
        <v>166</v>
      </c>
      <c r="C4" s="1193" t="s">
        <v>163</v>
      </c>
      <c r="D4" s="1193"/>
      <c r="E4" s="1194" t="s">
        <v>59</v>
      </c>
      <c r="F4" s="1194" t="s">
        <v>94</v>
      </c>
      <c r="G4" s="1194" t="s">
        <v>97</v>
      </c>
      <c r="H4" s="1194" t="s">
        <v>150</v>
      </c>
      <c r="I4" s="941"/>
      <c r="J4" s="211">
        <v>41000</v>
      </c>
      <c r="K4" s="211">
        <v>41030</v>
      </c>
      <c r="L4" s="211">
        <v>41061</v>
      </c>
      <c r="M4" s="211">
        <v>41091</v>
      </c>
      <c r="N4" s="211">
        <v>41122</v>
      </c>
      <c r="O4" s="211">
        <v>41153</v>
      </c>
      <c r="P4" s="211">
        <v>41183</v>
      </c>
      <c r="Q4" s="211">
        <v>41214</v>
      </c>
      <c r="R4" s="211">
        <v>41244</v>
      </c>
      <c r="S4" s="211">
        <v>41275</v>
      </c>
      <c r="T4" s="211">
        <v>41306</v>
      </c>
      <c r="U4" s="211">
        <v>41334</v>
      </c>
      <c r="V4" s="211">
        <v>41365</v>
      </c>
      <c r="W4" s="211">
        <v>41395</v>
      </c>
      <c r="X4" s="211">
        <v>41426</v>
      </c>
      <c r="Y4" s="211">
        <v>41456</v>
      </c>
      <c r="Z4" s="211">
        <v>41487</v>
      </c>
      <c r="AA4" s="211">
        <v>41518</v>
      </c>
      <c r="AB4" s="211">
        <v>41548</v>
      </c>
      <c r="AC4" s="211">
        <v>41579</v>
      </c>
      <c r="AD4" s="211">
        <v>41609</v>
      </c>
      <c r="AE4" s="211">
        <v>41640</v>
      </c>
      <c r="AF4" s="211">
        <v>41671</v>
      </c>
      <c r="AG4" s="211">
        <v>41699</v>
      </c>
      <c r="AH4" s="211">
        <v>41730</v>
      </c>
      <c r="AI4" s="211">
        <v>41760</v>
      </c>
      <c r="AJ4" s="211">
        <v>41791</v>
      </c>
      <c r="AK4" s="211">
        <v>41821</v>
      </c>
      <c r="AL4" s="211">
        <v>41852</v>
      </c>
      <c r="AM4" s="211">
        <v>41883</v>
      </c>
      <c r="AN4" s="211">
        <v>41913</v>
      </c>
      <c r="AO4" s="211">
        <v>41944</v>
      </c>
      <c r="AP4" s="211">
        <v>41974</v>
      </c>
      <c r="AQ4" s="252">
        <v>42005</v>
      </c>
      <c r="AR4" s="211">
        <v>42036</v>
      </c>
      <c r="AS4" s="211">
        <v>42064</v>
      </c>
      <c r="AT4" s="211">
        <v>42095</v>
      </c>
      <c r="AU4" s="211">
        <v>42155</v>
      </c>
      <c r="AV4" s="211">
        <v>42185</v>
      </c>
      <c r="AW4" s="211">
        <v>42216</v>
      </c>
      <c r="AX4" s="211">
        <v>42247</v>
      </c>
      <c r="AY4" s="211">
        <v>42277</v>
      </c>
      <c r="AZ4" s="211">
        <v>42308</v>
      </c>
      <c r="BA4" s="211">
        <v>42338</v>
      </c>
      <c r="BB4" s="211">
        <v>42369</v>
      </c>
      <c r="BC4" s="252">
        <v>42370</v>
      </c>
      <c r="BD4" s="211">
        <v>42401</v>
      </c>
      <c r="BE4" s="211">
        <v>42430</v>
      </c>
      <c r="BF4" s="211">
        <v>42461</v>
      </c>
      <c r="BG4" s="211">
        <v>42521</v>
      </c>
      <c r="BH4" s="211">
        <v>42551</v>
      </c>
      <c r="BI4" s="211">
        <v>42582</v>
      </c>
      <c r="BJ4" s="211">
        <v>42613</v>
      </c>
      <c r="BK4" s="211">
        <v>42643</v>
      </c>
      <c r="BL4" s="211">
        <v>42674</v>
      </c>
      <c r="BM4" s="211">
        <v>42704</v>
      </c>
      <c r="BN4" s="211">
        <v>42735</v>
      </c>
      <c r="BO4" s="211">
        <v>42766</v>
      </c>
      <c r="BP4" s="211">
        <v>42794</v>
      </c>
      <c r="BQ4" s="211">
        <v>42825</v>
      </c>
      <c r="BR4" s="211">
        <v>42855</v>
      </c>
      <c r="BS4" s="252">
        <v>42886</v>
      </c>
      <c r="BT4" s="211">
        <v>42916</v>
      </c>
      <c r="BU4" s="211">
        <v>42947</v>
      </c>
      <c r="BV4" s="211">
        <v>42978</v>
      </c>
      <c r="BW4" s="211">
        <v>43008</v>
      </c>
      <c r="BX4" s="211">
        <v>43039</v>
      </c>
      <c r="BY4" s="211">
        <v>43069</v>
      </c>
      <c r="BZ4" s="211">
        <v>43100</v>
      </c>
    </row>
    <row r="5" spans="1:80">
      <c r="A5"/>
      <c r="B5" s="931" t="s">
        <v>170</v>
      </c>
      <c r="C5" s="1898">
        <v>164845.3144400001</v>
      </c>
      <c r="H5" s="243">
        <v>278.91499999999996</v>
      </c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583">
        <v>278.91499999999996</v>
      </c>
      <c r="V5" s="583">
        <v>630.08899999999994</v>
      </c>
      <c r="W5" s="583">
        <v>852.54500000000007</v>
      </c>
      <c r="X5" s="583">
        <v>761.88900000000012</v>
      </c>
      <c r="Y5" s="583">
        <v>624.44699999999989</v>
      </c>
      <c r="Z5" s="583">
        <v>801.19399999999996</v>
      </c>
      <c r="AA5" s="583">
        <v>2094.2889999999998</v>
      </c>
      <c r="AB5" s="583">
        <v>1053.52</v>
      </c>
      <c r="AC5" s="522">
        <v>1637.6460000000002</v>
      </c>
      <c r="AD5" s="522">
        <v>2714.2509999999997</v>
      </c>
      <c r="AE5" s="522">
        <v>516.98400000000004</v>
      </c>
      <c r="AF5" s="522">
        <v>945.80200000000002</v>
      </c>
      <c r="AG5" s="522">
        <v>568.93200000000002</v>
      </c>
      <c r="AH5" s="583">
        <v>1339.546</v>
      </c>
      <c r="AI5" s="522">
        <v>1610.701</v>
      </c>
      <c r="AJ5" s="522">
        <v>4082.1039999999998</v>
      </c>
      <c r="AK5" s="522">
        <v>2996.8719999999998</v>
      </c>
      <c r="AL5" s="522">
        <v>3828.9560000000001</v>
      </c>
      <c r="AM5" s="522">
        <v>5641.8149999999996</v>
      </c>
      <c r="AN5" s="522">
        <v>5902.7430000000004</v>
      </c>
      <c r="AO5" s="522">
        <v>6960.9740000000002</v>
      </c>
      <c r="AP5" s="522">
        <v>14155.986000000001</v>
      </c>
      <c r="AQ5" s="522">
        <v>5188.1790000000001</v>
      </c>
      <c r="AR5" s="522">
        <v>4095.5790000000006</v>
      </c>
      <c r="AS5" s="522">
        <v>8145.9447</v>
      </c>
      <c r="AT5" s="522">
        <v>9821.2939999999999</v>
      </c>
      <c r="AU5" s="522">
        <v>7228.6790000000001</v>
      </c>
      <c r="AV5" s="522">
        <v>8690.9287000000004</v>
      </c>
      <c r="AW5" s="522">
        <v>12824.906799999999</v>
      </c>
      <c r="AX5" s="522">
        <v>6827.1124000000009</v>
      </c>
      <c r="AY5" s="522">
        <v>17419.816000000003</v>
      </c>
      <c r="AZ5" s="522">
        <v>12070.6067</v>
      </c>
      <c r="BA5" s="522">
        <v>21238.814000000031</v>
      </c>
      <c r="BB5" s="522">
        <v>24115.970000000023</v>
      </c>
      <c r="BC5" s="1897">
        <v>7314.6919999999991</v>
      </c>
      <c r="BD5" s="1897">
        <v>7046.1557999999995</v>
      </c>
      <c r="BE5" s="1897">
        <v>16416.163</v>
      </c>
      <c r="BF5" s="1897">
        <v>12573.556000000011</v>
      </c>
      <c r="BG5" s="1897">
        <v>15243.324000000001</v>
      </c>
      <c r="BH5" s="1897">
        <v>25036.574900000065</v>
      </c>
      <c r="BI5" s="1897">
        <v>16282.324900000011</v>
      </c>
      <c r="BJ5" s="1897">
        <v>18211.759800000029</v>
      </c>
      <c r="BK5" s="1897">
        <v>29046.328700000071</v>
      </c>
      <c r="BL5" s="1897">
        <v>22151.736600000018</v>
      </c>
      <c r="BM5" s="1897">
        <v>24700.202600000055</v>
      </c>
      <c r="BN5" s="1897">
        <v>51760.349470000212</v>
      </c>
      <c r="BO5" s="1897">
        <v>13431.969839999998</v>
      </c>
      <c r="BP5" s="1595">
        <v>20257.131399999998</v>
      </c>
      <c r="BQ5" s="1595">
        <v>30613.276999999998</v>
      </c>
      <c r="BR5" s="1595">
        <v>26920.5383</v>
      </c>
      <c r="BS5" s="1595">
        <v>22956.977000000003</v>
      </c>
      <c r="BT5" s="1595">
        <v>28200.368999999999</v>
      </c>
      <c r="BU5" s="1595">
        <v>22465.0519000001</v>
      </c>
    </row>
    <row r="6" spans="1:80" s="1203" customFormat="1">
      <c r="A6" t="s">
        <v>4326</v>
      </c>
      <c r="B6" s="1199" t="s">
        <v>171</v>
      </c>
      <c r="C6" s="1899">
        <v>160931.27800000011</v>
      </c>
      <c r="D6" s="1200"/>
      <c r="E6" s="1201"/>
      <c r="F6" s="1201"/>
      <c r="G6" s="1201"/>
      <c r="H6" s="918">
        <v>278.91500000000002</v>
      </c>
      <c r="I6" s="1200"/>
      <c r="J6" s="930"/>
      <c r="K6" s="930"/>
      <c r="L6" s="930"/>
      <c r="M6" s="930"/>
      <c r="N6" s="930"/>
      <c r="O6" s="930"/>
      <c r="P6" s="930"/>
      <c r="Q6" s="930"/>
      <c r="R6" s="930"/>
      <c r="S6" s="930"/>
      <c r="T6" s="930"/>
      <c r="U6" s="930">
        <v>278.91500000000002</v>
      </c>
      <c r="V6" s="930">
        <v>585.83900000000006</v>
      </c>
      <c r="W6" s="930">
        <v>793.54700000000003</v>
      </c>
      <c r="X6" s="930">
        <v>727.76599999999996</v>
      </c>
      <c r="Y6" s="930">
        <v>538.14700000000005</v>
      </c>
      <c r="Z6" s="930">
        <v>739.94</v>
      </c>
      <c r="AA6" s="930">
        <v>1926.0889999999999</v>
      </c>
      <c r="AB6" s="1322">
        <v>1005.551</v>
      </c>
      <c r="AC6" s="1323">
        <v>1471.925</v>
      </c>
      <c r="AD6" s="921">
        <v>2625.864</v>
      </c>
      <c r="AE6" s="1324">
        <v>476.94200000000001</v>
      </c>
      <c r="AF6" s="1324">
        <v>910.78899999999999</v>
      </c>
      <c r="AG6" s="1204">
        <v>672.09</v>
      </c>
      <c r="AH6" s="1204">
        <v>1416.7670000000001</v>
      </c>
      <c r="AI6" s="1204">
        <v>1600.405</v>
      </c>
      <c r="AJ6" s="1204">
        <v>3966.788</v>
      </c>
      <c r="AK6" s="1204">
        <v>2728.212</v>
      </c>
      <c r="AL6" s="1204">
        <v>3669.4270000000001</v>
      </c>
      <c r="AM6" s="1204">
        <v>5721.5209999999997</v>
      </c>
      <c r="AN6" s="1204">
        <v>5786.7690000000002</v>
      </c>
      <c r="AO6" s="1204">
        <v>6501.5190000000002</v>
      </c>
      <c r="AP6" s="1204">
        <v>14196.214</v>
      </c>
      <c r="AQ6" s="1204">
        <v>5144.4610000000002</v>
      </c>
      <c r="AR6" s="1204">
        <v>4041.3270000000002</v>
      </c>
      <c r="AS6" s="1204">
        <v>8067.1480000000001</v>
      </c>
      <c r="AT6" s="1204">
        <v>9619.2289999999994</v>
      </c>
      <c r="AU6" s="1204">
        <v>7205.7780000000002</v>
      </c>
      <c r="AV6" s="1204">
        <v>8224.2810000000009</v>
      </c>
      <c r="AW6" s="1203">
        <v>12295.299000000001</v>
      </c>
      <c r="AX6" s="1203">
        <v>6554.74</v>
      </c>
      <c r="AY6" s="1203">
        <v>16757.650000000001</v>
      </c>
      <c r="AZ6" s="1203">
        <v>11684.695</v>
      </c>
      <c r="BA6" s="1203">
        <v>20894.795999999998</v>
      </c>
      <c r="BB6" s="1203">
        <v>23795.403999999999</v>
      </c>
      <c r="BC6" s="1657">
        <v>6882.9880000000003</v>
      </c>
      <c r="BD6" s="1657">
        <v>6802.7380000000003</v>
      </c>
      <c r="BE6" s="1657">
        <v>16024.252</v>
      </c>
      <c r="BF6" s="1657">
        <v>12787.725</v>
      </c>
      <c r="BG6" s="1657">
        <v>14218.072</v>
      </c>
      <c r="BH6" s="1657">
        <v>24329.08</v>
      </c>
      <c r="BI6" s="1657">
        <v>15663.974000000011</v>
      </c>
      <c r="BJ6" s="1657">
        <v>17565.845000000008</v>
      </c>
      <c r="BK6" s="1657">
        <v>28869.911000000073</v>
      </c>
      <c r="BL6" s="1657">
        <v>21593.701000000019</v>
      </c>
      <c r="BM6" s="1657">
        <v>23151.401000000049</v>
      </c>
      <c r="BN6" s="1657">
        <v>49695.418000000216</v>
      </c>
      <c r="BO6" s="1658">
        <v>13930.407000000003</v>
      </c>
      <c r="BP6" s="1657">
        <v>19706.295999999998</v>
      </c>
      <c r="BQ6" s="1657">
        <v>29635.23</v>
      </c>
      <c r="BR6" s="1657">
        <v>25471.794000000002</v>
      </c>
      <c r="BS6" s="1657">
        <v>22432.9</v>
      </c>
      <c r="BT6" s="1657">
        <v>27374.15</v>
      </c>
      <c r="BU6" s="1657">
        <v>22380.501000000098</v>
      </c>
      <c r="BV6" s="1657">
        <v>0</v>
      </c>
      <c r="BW6" s="1657">
        <v>0</v>
      </c>
      <c r="BX6" s="1657">
        <v>0</v>
      </c>
      <c r="BY6" s="1657">
        <v>0</v>
      </c>
      <c r="BZ6" s="1657">
        <v>0</v>
      </c>
      <c r="CA6" s="1657"/>
      <c r="CB6" s="1657"/>
    </row>
    <row r="7" spans="1:80" s="1203" customFormat="1">
      <c r="A7"/>
      <c r="B7" s="1593" t="s">
        <v>1098</v>
      </c>
      <c r="C7" s="2104">
        <v>5524</v>
      </c>
      <c r="D7" s="1200"/>
      <c r="E7" s="1201"/>
      <c r="F7" s="1201"/>
      <c r="G7" s="1201"/>
      <c r="H7" s="918"/>
      <c r="I7" s="1200"/>
      <c r="J7" s="930"/>
      <c r="K7" s="930"/>
      <c r="L7" s="930"/>
      <c r="M7" s="930"/>
      <c r="N7" s="930"/>
      <c r="O7" s="930"/>
      <c r="P7" s="930"/>
      <c r="Q7" s="930"/>
      <c r="R7" s="930"/>
      <c r="S7" s="930"/>
      <c r="T7" s="930"/>
      <c r="U7" s="930"/>
      <c r="V7" s="930"/>
      <c r="W7" s="930"/>
      <c r="X7" s="930"/>
      <c r="Y7" s="930"/>
      <c r="Z7" s="930"/>
      <c r="AA7" s="930"/>
      <c r="AB7" s="1322"/>
      <c r="AC7" s="1323"/>
      <c r="AD7" s="921"/>
      <c r="AE7" s="1324"/>
      <c r="AF7" s="1324"/>
      <c r="AG7" s="1204"/>
      <c r="AH7" s="1204"/>
      <c r="AI7" s="1204"/>
      <c r="AJ7" s="1204"/>
      <c r="AQ7" s="1605">
        <v>979</v>
      </c>
      <c r="AR7" s="1203">
        <v>1142</v>
      </c>
      <c r="AS7" s="1203">
        <v>1203</v>
      </c>
      <c r="AT7" s="1203">
        <v>1331</v>
      </c>
      <c r="AU7" s="1203">
        <v>1503</v>
      </c>
      <c r="AV7" s="1203">
        <v>1459</v>
      </c>
      <c r="AW7" s="1203">
        <v>1485</v>
      </c>
      <c r="AX7" s="1203">
        <v>1485</v>
      </c>
      <c r="AY7" s="1203">
        <v>1573</v>
      </c>
      <c r="AZ7" s="1203">
        <v>1732</v>
      </c>
      <c r="BA7" s="1203">
        <v>1852</v>
      </c>
      <c r="BB7" s="1203">
        <v>2108</v>
      </c>
      <c r="BC7" s="1657">
        <v>2192</v>
      </c>
      <c r="BD7" s="1657">
        <v>2225</v>
      </c>
      <c r="BE7" s="1657">
        <v>2130</v>
      </c>
      <c r="BF7" s="1657">
        <v>2259</v>
      </c>
      <c r="BG7" s="1657">
        <v>2385</v>
      </c>
      <c r="BH7" s="1657">
        <v>2733</v>
      </c>
      <c r="BI7" s="1657">
        <v>3526</v>
      </c>
      <c r="BJ7" s="1657">
        <v>3957</v>
      </c>
      <c r="BK7" s="1657">
        <v>4470</v>
      </c>
      <c r="BL7" s="1657">
        <v>5082</v>
      </c>
      <c r="BM7" s="1657">
        <v>5596</v>
      </c>
      <c r="BN7" s="1657">
        <v>6020</v>
      </c>
      <c r="BO7" s="1657">
        <v>6701</v>
      </c>
      <c r="BP7" s="1657">
        <v>6810</v>
      </c>
      <c r="BQ7" s="1657">
        <v>5112</v>
      </c>
      <c r="BR7" s="1657">
        <v>5243</v>
      </c>
      <c r="BS7" s="1657">
        <v>4730</v>
      </c>
      <c r="BT7" s="1657">
        <v>4944</v>
      </c>
      <c r="BU7" s="1657">
        <v>5524</v>
      </c>
      <c r="BV7" s="1657">
        <v>5453</v>
      </c>
      <c r="BW7" s="1657">
        <v>0</v>
      </c>
      <c r="BX7" s="1657">
        <v>0</v>
      </c>
      <c r="BY7" s="1657">
        <v>0</v>
      </c>
      <c r="BZ7" s="1657">
        <v>0</v>
      </c>
    </row>
    <row r="8" spans="1:80" s="1203" customFormat="1">
      <c r="A8"/>
      <c r="B8" s="1199" t="s">
        <v>7</v>
      </c>
      <c r="C8" s="1899">
        <v>5453</v>
      </c>
      <c r="D8" s="1200"/>
      <c r="E8" s="1201"/>
      <c r="F8" s="1201"/>
      <c r="G8" s="1201"/>
      <c r="H8" s="918">
        <v>26</v>
      </c>
      <c r="I8" s="1200"/>
      <c r="J8" s="1202"/>
      <c r="K8" s="1202"/>
      <c r="L8" s="1202"/>
      <c r="M8" s="1202"/>
      <c r="N8" s="1202"/>
      <c r="O8" s="1202"/>
      <c r="P8" s="1202"/>
      <c r="Q8" s="1202"/>
      <c r="R8" s="1202"/>
      <c r="S8" s="1202"/>
      <c r="T8" s="1202">
        <v>0</v>
      </c>
      <c r="U8" s="1202">
        <v>26</v>
      </c>
      <c r="V8" s="1202">
        <v>93</v>
      </c>
      <c r="W8" s="1202">
        <v>150</v>
      </c>
      <c r="X8" s="1202">
        <v>202</v>
      </c>
      <c r="Y8" s="1202">
        <v>231</v>
      </c>
      <c r="Z8" s="1202">
        <v>259</v>
      </c>
      <c r="AA8" s="1202">
        <v>305</v>
      </c>
      <c r="AB8" s="1202">
        <v>343</v>
      </c>
      <c r="AC8" s="1202">
        <v>382</v>
      </c>
      <c r="AD8" s="1202">
        <v>484</v>
      </c>
      <c r="AE8" s="1202">
        <v>471</v>
      </c>
      <c r="AF8" s="1202">
        <v>431</v>
      </c>
      <c r="AG8" s="1202">
        <v>388</v>
      </c>
      <c r="AH8" s="1202">
        <v>447</v>
      </c>
      <c r="AI8" s="1202">
        <v>489</v>
      </c>
      <c r="AJ8" s="1202">
        <v>519</v>
      </c>
      <c r="AK8" s="1202">
        <v>518</v>
      </c>
      <c r="AL8" s="1202">
        <v>589</v>
      </c>
      <c r="AM8" s="1202">
        <v>652</v>
      </c>
      <c r="AN8" s="1202">
        <v>735</v>
      </c>
      <c r="AO8" s="1202">
        <v>860</v>
      </c>
      <c r="AP8" s="1202">
        <v>979</v>
      </c>
      <c r="AQ8" s="1202">
        <v>1142</v>
      </c>
      <c r="AR8" s="1202">
        <v>1203</v>
      </c>
      <c r="AS8" s="1202">
        <v>1331</v>
      </c>
      <c r="AT8" s="1202">
        <v>1503</v>
      </c>
      <c r="AU8" s="1202">
        <v>1459</v>
      </c>
      <c r="AV8" s="1202">
        <v>1485</v>
      </c>
      <c r="AW8" s="1202">
        <v>1485</v>
      </c>
      <c r="AX8" s="1202">
        <v>1572</v>
      </c>
      <c r="AY8" s="1202">
        <v>1732</v>
      </c>
      <c r="AZ8" s="1203">
        <v>1852</v>
      </c>
      <c r="BA8" s="1203">
        <v>2108</v>
      </c>
      <c r="BB8" s="1203">
        <v>2192</v>
      </c>
      <c r="BC8" s="1657">
        <v>2219</v>
      </c>
      <c r="BD8" s="1657">
        <v>2130</v>
      </c>
      <c r="BE8" s="1657">
        <v>2259</v>
      </c>
      <c r="BF8" s="1657">
        <v>2385</v>
      </c>
      <c r="BG8" s="1657">
        <v>2733</v>
      </c>
      <c r="BH8" s="1657">
        <v>3526</v>
      </c>
      <c r="BI8" s="1657">
        <v>3957</v>
      </c>
      <c r="BJ8" s="1657">
        <v>4470</v>
      </c>
      <c r="BK8" s="1657">
        <v>5082</v>
      </c>
      <c r="BL8" s="1657">
        <v>5596</v>
      </c>
      <c r="BM8" s="1657">
        <v>6020</v>
      </c>
      <c r="BN8" s="1657">
        <v>6701</v>
      </c>
      <c r="BO8" s="1657">
        <v>6810</v>
      </c>
      <c r="BP8" s="1657">
        <v>5112</v>
      </c>
      <c r="BQ8" s="1657">
        <v>5243</v>
      </c>
      <c r="BR8" s="1657">
        <v>4730</v>
      </c>
      <c r="BS8" s="1657">
        <v>4944</v>
      </c>
      <c r="BT8" s="1657">
        <v>5524</v>
      </c>
      <c r="BU8" s="1657">
        <v>5453</v>
      </c>
      <c r="BV8" s="1657">
        <v>0</v>
      </c>
      <c r="BW8" s="1657">
        <v>0</v>
      </c>
      <c r="BX8" s="1657">
        <v>0</v>
      </c>
      <c r="BY8" s="1657">
        <v>0</v>
      </c>
      <c r="BZ8" s="1657">
        <v>0</v>
      </c>
    </row>
    <row r="9" spans="1:80">
      <c r="A9"/>
      <c r="B9" s="931" t="s">
        <v>165</v>
      </c>
      <c r="C9" s="1898">
        <v>5491.4285714285716</v>
      </c>
      <c r="H9" s="243">
        <v>6.5</v>
      </c>
      <c r="T9" s="937">
        <v>0</v>
      </c>
      <c r="U9" s="937">
        <v>13</v>
      </c>
      <c r="V9" s="937">
        <v>59.5</v>
      </c>
      <c r="W9" s="937">
        <v>121.5</v>
      </c>
      <c r="X9" s="937">
        <v>176</v>
      </c>
      <c r="Y9" s="937">
        <v>216.5</v>
      </c>
      <c r="Z9" s="937">
        <v>245</v>
      </c>
      <c r="AA9" s="937">
        <v>282</v>
      </c>
      <c r="AB9" s="937">
        <v>324</v>
      </c>
      <c r="AC9" s="321">
        <v>362.5</v>
      </c>
      <c r="AD9" s="321">
        <v>433</v>
      </c>
      <c r="AE9" s="321">
        <v>477.5</v>
      </c>
      <c r="AF9" s="321">
        <v>451</v>
      </c>
      <c r="AG9" s="321">
        <v>409.5</v>
      </c>
      <c r="AH9" s="321">
        <v>417.5</v>
      </c>
      <c r="AI9" s="321">
        <v>468</v>
      </c>
      <c r="AJ9" s="321">
        <v>504</v>
      </c>
      <c r="AK9" s="321">
        <v>518.5</v>
      </c>
      <c r="AL9" s="321">
        <v>553.5</v>
      </c>
      <c r="AM9" s="321">
        <v>620.5</v>
      </c>
      <c r="AN9" s="321">
        <v>693.5</v>
      </c>
      <c r="AO9" s="321">
        <v>797.5</v>
      </c>
      <c r="AP9" s="321">
        <v>919.5</v>
      </c>
      <c r="AQ9" s="321">
        <v>1060.5</v>
      </c>
      <c r="AR9" s="321">
        <v>1172.5</v>
      </c>
      <c r="AS9" s="321">
        <v>1267</v>
      </c>
      <c r="AT9" s="321">
        <v>1417</v>
      </c>
      <c r="AU9" s="321">
        <v>1481</v>
      </c>
      <c r="AV9" s="321">
        <v>1472</v>
      </c>
      <c r="AW9" s="321">
        <v>1485</v>
      </c>
      <c r="AX9" s="321">
        <v>1528.5</v>
      </c>
      <c r="AY9" s="321">
        <v>1652.5</v>
      </c>
      <c r="AZ9" s="321">
        <v>1792</v>
      </c>
      <c r="BA9" s="321">
        <v>1980</v>
      </c>
      <c r="BB9" s="321">
        <v>2150</v>
      </c>
      <c r="BC9" s="1656">
        <v>2205.5</v>
      </c>
      <c r="BD9" s="1656">
        <v>2177.5</v>
      </c>
      <c r="BE9" s="1656">
        <v>2194.5</v>
      </c>
      <c r="BF9" s="1656">
        <v>2322</v>
      </c>
      <c r="BG9" s="1656">
        <v>2559</v>
      </c>
      <c r="BH9" s="1656">
        <v>3129.5</v>
      </c>
      <c r="BI9" s="1656">
        <v>3741.5</v>
      </c>
      <c r="BJ9" s="1656">
        <v>4213.5</v>
      </c>
      <c r="BK9" s="1656">
        <v>4776</v>
      </c>
      <c r="BL9" s="1656">
        <v>5339</v>
      </c>
      <c r="BM9" s="1656">
        <v>5808</v>
      </c>
      <c r="BN9" s="1656">
        <v>6360.5</v>
      </c>
      <c r="BO9" s="1656">
        <v>6755.5</v>
      </c>
      <c r="BP9" s="1656">
        <v>5961</v>
      </c>
      <c r="BQ9" s="1656">
        <v>5177.5</v>
      </c>
      <c r="BR9" s="1656">
        <v>4986.5</v>
      </c>
      <c r="BS9" s="1656">
        <v>4837</v>
      </c>
      <c r="BT9" s="1656">
        <v>5234</v>
      </c>
      <c r="BU9" s="1656">
        <v>5488.5</v>
      </c>
      <c r="BV9" s="1656">
        <v>2726.5</v>
      </c>
      <c r="BW9" s="1656">
        <v>0</v>
      </c>
      <c r="BX9" s="1656">
        <v>0</v>
      </c>
      <c r="BY9" s="1656">
        <v>0</v>
      </c>
      <c r="BZ9" s="1656">
        <v>0</v>
      </c>
    </row>
    <row r="10" spans="1:80">
      <c r="A10"/>
      <c r="C10" s="1898"/>
      <c r="AE10" s="937"/>
      <c r="AF10" s="937"/>
      <c r="AG10" s="937"/>
      <c r="AH10" s="937"/>
      <c r="AI10" s="937"/>
      <c r="AJ10" s="937"/>
      <c r="AK10" s="937"/>
      <c r="AL10" s="937"/>
      <c r="AM10" s="937"/>
      <c r="AN10" s="937"/>
      <c r="AO10" s="937"/>
      <c r="AP10" s="937"/>
      <c r="AQ10" s="937"/>
    </row>
    <row r="11" spans="1:80">
      <c r="A11"/>
      <c r="B11" s="931" t="s">
        <v>109</v>
      </c>
      <c r="C11" s="1898">
        <v>872</v>
      </c>
      <c r="H11" s="243">
        <v>11</v>
      </c>
      <c r="U11" s="937">
        <v>11</v>
      </c>
      <c r="V11" s="937">
        <v>39</v>
      </c>
      <c r="W11" s="937">
        <v>54</v>
      </c>
      <c r="X11" s="937">
        <v>64</v>
      </c>
      <c r="Y11" s="937">
        <v>63</v>
      </c>
      <c r="Z11" s="937">
        <v>66</v>
      </c>
      <c r="AA11" s="937">
        <v>72</v>
      </c>
      <c r="AB11" s="937">
        <v>61</v>
      </c>
      <c r="AC11" s="937">
        <v>64</v>
      </c>
      <c r="AD11" s="937">
        <v>61</v>
      </c>
      <c r="AE11" s="937">
        <v>61</v>
      </c>
      <c r="AF11" s="937">
        <v>57</v>
      </c>
      <c r="AG11" s="937">
        <v>56</v>
      </c>
      <c r="AH11" s="937">
        <v>75</v>
      </c>
      <c r="AI11" s="937">
        <v>90</v>
      </c>
      <c r="AJ11" s="937">
        <v>114</v>
      </c>
      <c r="AK11" s="937">
        <v>107</v>
      </c>
      <c r="AL11" s="937">
        <v>119</v>
      </c>
      <c r="AM11" s="937">
        <v>138</v>
      </c>
      <c r="AN11" s="937">
        <v>148</v>
      </c>
      <c r="AO11" s="937">
        <v>185</v>
      </c>
      <c r="AP11" s="937">
        <v>216</v>
      </c>
      <c r="AQ11" s="937">
        <v>240</v>
      </c>
      <c r="AR11" s="937">
        <v>255</v>
      </c>
      <c r="AS11" s="937">
        <v>269</v>
      </c>
      <c r="AT11" s="937">
        <v>313</v>
      </c>
      <c r="AU11" s="937">
        <v>336</v>
      </c>
      <c r="AV11" s="937">
        <v>331</v>
      </c>
      <c r="AW11" s="937">
        <v>341</v>
      </c>
      <c r="AX11" s="937">
        <v>336</v>
      </c>
      <c r="AY11" s="937">
        <v>396</v>
      </c>
      <c r="AZ11" s="937">
        <v>418</v>
      </c>
      <c r="BA11" s="937">
        <v>432</v>
      </c>
      <c r="BB11" s="937">
        <v>430</v>
      </c>
      <c r="BC11" s="937">
        <v>435</v>
      </c>
      <c r="BD11" s="937">
        <v>431</v>
      </c>
      <c r="BE11" s="937">
        <v>446</v>
      </c>
      <c r="BF11" s="937">
        <v>483</v>
      </c>
      <c r="BG11" s="937">
        <v>539</v>
      </c>
      <c r="BH11" s="937">
        <v>645</v>
      </c>
      <c r="BI11" s="937">
        <v>674</v>
      </c>
      <c r="BJ11" s="937">
        <v>746</v>
      </c>
      <c r="BK11" s="937">
        <v>866</v>
      </c>
      <c r="BL11" s="937">
        <v>964</v>
      </c>
      <c r="BM11" s="937">
        <v>964</v>
      </c>
      <c r="BN11" s="937">
        <v>1116</v>
      </c>
      <c r="BO11" s="937">
        <v>1102</v>
      </c>
      <c r="BP11" s="937">
        <v>1144</v>
      </c>
      <c r="BQ11" s="937">
        <v>1112</v>
      </c>
      <c r="BR11" s="937">
        <v>975</v>
      </c>
      <c r="BS11" s="937">
        <v>1006</v>
      </c>
      <c r="BT11" s="937">
        <v>990</v>
      </c>
      <c r="BU11" s="937">
        <v>872</v>
      </c>
      <c r="BV11" s="937">
        <v>0</v>
      </c>
      <c r="BW11" s="937">
        <v>0</v>
      </c>
      <c r="BX11" s="937">
        <v>0</v>
      </c>
      <c r="BY11" s="937">
        <v>0</v>
      </c>
      <c r="BZ11" s="937">
        <v>0</v>
      </c>
    </row>
    <row r="12" spans="1:80">
      <c r="A12"/>
      <c r="B12" s="931" t="s">
        <v>172</v>
      </c>
      <c r="C12" s="620">
        <v>0.18863163371488034</v>
      </c>
      <c r="H12" s="250">
        <v>0.35164835164835168</v>
      </c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>
        <v>1.2307692307692308</v>
      </c>
      <c r="V12" s="240">
        <v>0.53781512605042014</v>
      </c>
      <c r="W12" s="240">
        <v>0.41152263374485598</v>
      </c>
      <c r="X12" s="240">
        <v>0.30113636363636365</v>
      </c>
      <c r="Y12" s="240">
        <v>0.14780600461893764</v>
      </c>
      <c r="Z12" s="240">
        <v>0.18775510204081633</v>
      </c>
      <c r="AA12" s="240">
        <v>0.27304964539007093</v>
      </c>
      <c r="AB12" s="240">
        <v>0.20370370370370369</v>
      </c>
      <c r="AC12" s="570">
        <v>0.18206896551724139</v>
      </c>
      <c r="AD12" s="568">
        <v>0.24711316397228639</v>
      </c>
      <c r="AE12" s="568">
        <v>6.2827225130890049E-2</v>
      </c>
      <c r="AF12" s="568">
        <v>0.14412416851441243</v>
      </c>
      <c r="AG12" s="568">
        <v>9.768009768009768E-2</v>
      </c>
      <c r="AH12" s="568">
        <v>0.13892215568862276</v>
      </c>
      <c r="AI12" s="568">
        <v>0.19017094017094016</v>
      </c>
      <c r="AJ12" s="568">
        <v>0.31150793650793651</v>
      </c>
      <c r="AK12" s="568">
        <v>0.27386692381870781</v>
      </c>
      <c r="AL12" s="568">
        <v>0.31255645889792233</v>
      </c>
      <c r="AM12" s="568">
        <v>0.37550362610797744</v>
      </c>
      <c r="AN12" s="568">
        <v>0.34607065609228549</v>
      </c>
      <c r="AO12" s="568">
        <v>0.35360501567398117</v>
      </c>
      <c r="AP12" s="568">
        <v>0.40891789015769442</v>
      </c>
      <c r="AQ12" s="568">
        <v>0.24705327675624705</v>
      </c>
      <c r="AR12" s="568">
        <v>0.20298507462686566</v>
      </c>
      <c r="AS12" s="568">
        <v>0.26519337016574585</v>
      </c>
      <c r="AT12" s="568">
        <v>0.2427664079040226</v>
      </c>
      <c r="AU12" s="568">
        <v>0.28021607022282241</v>
      </c>
      <c r="AV12" s="568">
        <v>0.3077445652173913</v>
      </c>
      <c r="AW12" s="568">
        <v>0.33804713804713804</v>
      </c>
      <c r="AX12" s="568">
        <v>0.26889106967615312</v>
      </c>
      <c r="AY12" s="568">
        <v>0.46293494704992438</v>
      </c>
      <c r="AZ12" s="568">
        <v>0.3549107142857143</v>
      </c>
      <c r="BA12" s="568">
        <v>0.38131313131313133</v>
      </c>
      <c r="BB12" s="568">
        <v>0.3758139534883721</v>
      </c>
      <c r="BC12" s="568">
        <v>0.17864429834504647</v>
      </c>
      <c r="BD12" s="568">
        <v>0.17772675086107922</v>
      </c>
      <c r="BE12" s="568">
        <v>0.29847345636819322</v>
      </c>
      <c r="BF12" s="568">
        <v>0.23815676141257536</v>
      </c>
      <c r="BG12" s="568">
        <v>0.2598671355998437</v>
      </c>
      <c r="BH12" s="568">
        <v>0.3403099536667199</v>
      </c>
      <c r="BI12" s="568">
        <v>0.22210343445142322</v>
      </c>
      <c r="BJ12" s="568">
        <v>0.22688975910763023</v>
      </c>
      <c r="BK12" s="568">
        <v>0.25188442211055279</v>
      </c>
      <c r="BL12" s="568">
        <v>0.18542798276830869</v>
      </c>
      <c r="BM12" s="568">
        <v>0.16615013774104684</v>
      </c>
      <c r="BN12" s="568">
        <v>0.26696014464271678</v>
      </c>
      <c r="BO12" s="584">
        <v>9.7846199393087113E-2</v>
      </c>
      <c r="BP12" s="568">
        <v>0.15433652071800033</v>
      </c>
      <c r="BQ12" s="568">
        <v>0.24065668759053596</v>
      </c>
      <c r="BR12" s="568">
        <v>0.22019452521808883</v>
      </c>
      <c r="BS12" s="568">
        <v>0.17862311350010338</v>
      </c>
      <c r="BT12" s="568">
        <v>0.23423767672907911</v>
      </c>
      <c r="BU12" s="568">
        <v>0.16233943700464606</v>
      </c>
      <c r="BV12" s="568">
        <v>0</v>
      </c>
      <c r="BW12" s="568" t="s">
        <v>4378</v>
      </c>
      <c r="BX12" s="568" t="s">
        <v>4378</v>
      </c>
      <c r="BY12" s="568" t="s">
        <v>4378</v>
      </c>
      <c r="BZ12" s="568" t="s">
        <v>4378</v>
      </c>
    </row>
    <row r="13" spans="1:80">
      <c r="A13"/>
      <c r="B13" s="931" t="s">
        <v>60</v>
      </c>
      <c r="C13" s="243">
        <v>7251</v>
      </c>
      <c r="H13" s="243">
        <v>16</v>
      </c>
      <c r="U13" s="937">
        <v>16</v>
      </c>
      <c r="V13" s="937">
        <v>32</v>
      </c>
      <c r="W13" s="937">
        <v>50</v>
      </c>
      <c r="X13" s="937">
        <v>53</v>
      </c>
      <c r="Y13" s="937">
        <v>32</v>
      </c>
      <c r="Z13" s="937">
        <v>46</v>
      </c>
      <c r="AA13" s="937">
        <v>77</v>
      </c>
      <c r="AB13" s="937">
        <v>66</v>
      </c>
      <c r="AC13" s="937">
        <v>66</v>
      </c>
      <c r="AD13" s="937">
        <v>107</v>
      </c>
      <c r="AE13" s="937">
        <v>30</v>
      </c>
      <c r="AF13" s="937">
        <v>65</v>
      </c>
      <c r="AG13" s="937">
        <v>40</v>
      </c>
      <c r="AH13" s="937">
        <v>58</v>
      </c>
      <c r="AI13" s="937">
        <v>89</v>
      </c>
      <c r="AJ13" s="937">
        <v>157</v>
      </c>
      <c r="AK13" s="937">
        <v>142</v>
      </c>
      <c r="AL13" s="937">
        <v>173</v>
      </c>
      <c r="AM13" s="937">
        <v>233</v>
      </c>
      <c r="AN13" s="937">
        <v>240</v>
      </c>
      <c r="AO13" s="937">
        <v>282</v>
      </c>
      <c r="AP13" s="937">
        <v>376</v>
      </c>
      <c r="AQ13" s="937">
        <v>262</v>
      </c>
      <c r="AR13" s="937">
        <v>238</v>
      </c>
      <c r="AS13" s="937">
        <v>336</v>
      </c>
      <c r="AT13" s="937">
        <v>344</v>
      </c>
      <c r="AU13" s="937">
        <v>415</v>
      </c>
      <c r="AV13" s="937">
        <v>453</v>
      </c>
      <c r="AW13" s="937">
        <v>502</v>
      </c>
      <c r="AX13" s="937">
        <v>411</v>
      </c>
      <c r="AY13" s="937">
        <v>765</v>
      </c>
      <c r="AZ13" s="937">
        <v>636</v>
      </c>
      <c r="BA13" s="937">
        <v>755</v>
      </c>
      <c r="BB13" s="937">
        <v>808</v>
      </c>
      <c r="BC13" s="1656">
        <v>394</v>
      </c>
      <c r="BD13" s="1656">
        <v>387</v>
      </c>
      <c r="BE13" s="1656">
        <v>655</v>
      </c>
      <c r="BF13" s="1656">
        <v>553</v>
      </c>
      <c r="BG13" s="1656">
        <v>665</v>
      </c>
      <c r="BH13" s="1656">
        <v>1065</v>
      </c>
      <c r="BI13" s="1656">
        <v>831</v>
      </c>
      <c r="BJ13" s="1656">
        <v>956</v>
      </c>
      <c r="BK13" s="1656">
        <v>1203</v>
      </c>
      <c r="BL13" s="1656">
        <v>990</v>
      </c>
      <c r="BM13" s="1656">
        <v>965</v>
      </c>
      <c r="BN13" s="1656">
        <v>1698</v>
      </c>
      <c r="BO13" s="1656">
        <v>661</v>
      </c>
      <c r="BP13" s="1656">
        <v>987</v>
      </c>
      <c r="BQ13" s="1656">
        <v>1291</v>
      </c>
      <c r="BR13" s="1656">
        <v>1213</v>
      </c>
      <c r="BS13" s="1656">
        <v>908</v>
      </c>
      <c r="BT13" s="1656">
        <v>1268</v>
      </c>
      <c r="BU13" s="1656">
        <v>923</v>
      </c>
      <c r="BV13" s="1656">
        <v>0</v>
      </c>
      <c r="BW13" s="1656">
        <v>0</v>
      </c>
      <c r="BX13" s="1656">
        <v>0</v>
      </c>
      <c r="BY13" s="1656">
        <v>0</v>
      </c>
      <c r="BZ13" s="1656">
        <v>0</v>
      </c>
    </row>
    <row r="14" spans="1:80">
      <c r="A14"/>
      <c r="B14" s="931" t="s">
        <v>61</v>
      </c>
      <c r="C14" s="2105">
        <v>1.4782788580885395</v>
      </c>
      <c r="H14" s="242">
        <v>1.1875</v>
      </c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>
        <v>1.1875</v>
      </c>
      <c r="V14" s="215">
        <v>1.40625</v>
      </c>
      <c r="W14" s="215">
        <v>1.3</v>
      </c>
      <c r="X14" s="215">
        <v>1.3773584905660377</v>
      </c>
      <c r="Y14" s="215">
        <v>1.28125</v>
      </c>
      <c r="Z14" s="215">
        <v>1.3043478260869565</v>
      </c>
      <c r="AA14" s="215">
        <v>1.4415584415584415</v>
      </c>
      <c r="AB14" s="215">
        <v>1.1212121212121211</v>
      </c>
      <c r="AC14" s="215">
        <v>1.4545454545454546</v>
      </c>
      <c r="AD14" s="215">
        <v>1.6635514018691588</v>
      </c>
      <c r="AE14" s="215">
        <v>1.2</v>
      </c>
      <c r="AF14" s="215">
        <v>1.2153846153846153</v>
      </c>
      <c r="AG14" s="215">
        <v>1.1000000000000001</v>
      </c>
      <c r="AH14" s="215">
        <v>1.4827586206896552</v>
      </c>
      <c r="AI14" s="215">
        <v>1.247191011235955</v>
      </c>
      <c r="AJ14" s="215">
        <v>1.6560509554140128</v>
      </c>
      <c r="AK14" s="215">
        <v>1.295774647887324</v>
      </c>
      <c r="AL14" s="215">
        <v>1.4971098265895955</v>
      </c>
      <c r="AM14" s="215">
        <v>1.502145922746781</v>
      </c>
      <c r="AN14" s="215">
        <v>1.5</v>
      </c>
      <c r="AO14" s="215">
        <v>1.5319148936170213</v>
      </c>
      <c r="AP14" s="215">
        <v>2.0851063829787235</v>
      </c>
      <c r="AQ14" s="215">
        <v>1.3053435114503817</v>
      </c>
      <c r="AR14" s="215">
        <v>1.1848739495798319</v>
      </c>
      <c r="AS14" s="215">
        <v>1.4464285714285714</v>
      </c>
      <c r="AT14" s="215">
        <v>1.430232558139535</v>
      </c>
      <c r="AU14" s="215">
        <v>1.2506024096385542</v>
      </c>
      <c r="AV14" s="215">
        <v>1.2759381898454747</v>
      </c>
      <c r="AW14" s="215">
        <v>1.454183266932271</v>
      </c>
      <c r="AX14" s="215">
        <v>1.1751824817518248</v>
      </c>
      <c r="AY14" s="215">
        <v>1.4457516339869281</v>
      </c>
      <c r="AZ14" s="215">
        <v>1.2845911949685536</v>
      </c>
      <c r="BA14" s="215">
        <v>1.9006622516556291</v>
      </c>
      <c r="BB14" s="215">
        <v>1.7685643564356435</v>
      </c>
      <c r="BC14" s="215">
        <v>1.1878172588832487</v>
      </c>
      <c r="BD14" s="215">
        <v>1.248062015503876</v>
      </c>
      <c r="BE14" s="215">
        <v>1.6473282442748092</v>
      </c>
      <c r="BF14" s="215">
        <v>1.2585895117540686</v>
      </c>
      <c r="BG14" s="215">
        <v>1.4390977443609023</v>
      </c>
      <c r="BH14" s="215">
        <v>1.6525821596244132</v>
      </c>
      <c r="BI14" s="215">
        <v>1.3068592057761732</v>
      </c>
      <c r="BJ14" s="215">
        <v>1.3817991631799162</v>
      </c>
      <c r="BK14" s="215">
        <v>1.6891105569409808</v>
      </c>
      <c r="BL14" s="215">
        <v>1.4686868686868686</v>
      </c>
      <c r="BM14" s="215">
        <v>1.6953367875647669</v>
      </c>
      <c r="BN14" s="215">
        <v>1.8898704358068317</v>
      </c>
      <c r="BO14" s="215">
        <v>1.3797276853252647</v>
      </c>
      <c r="BP14" s="215">
        <v>1.3414387031408308</v>
      </c>
      <c r="BQ14" s="215">
        <v>1.5731990704879939</v>
      </c>
      <c r="BR14" s="215">
        <v>1.4146743610882111</v>
      </c>
      <c r="BS14" s="215">
        <v>1.5814977973568283</v>
      </c>
      <c r="BT14" s="215">
        <v>1.4605678233438486</v>
      </c>
      <c r="BU14" s="215">
        <v>1.5687973997833153</v>
      </c>
      <c r="BV14" s="215" t="s">
        <v>4378</v>
      </c>
      <c r="BW14" s="215" t="s">
        <v>4378</v>
      </c>
      <c r="BX14" s="215" t="s">
        <v>4378</v>
      </c>
      <c r="BY14" s="215" t="s">
        <v>4378</v>
      </c>
      <c r="BZ14" s="215" t="s">
        <v>4378</v>
      </c>
    </row>
    <row r="15" spans="1:80">
      <c r="A15"/>
      <c r="B15" s="931" t="s">
        <v>3</v>
      </c>
      <c r="C15" s="243">
        <v>10719</v>
      </c>
      <c r="H15" s="243">
        <v>19</v>
      </c>
      <c r="U15" s="937">
        <v>19</v>
      </c>
      <c r="V15" s="937">
        <v>45</v>
      </c>
      <c r="W15" s="937">
        <v>65</v>
      </c>
      <c r="X15" s="937">
        <v>73</v>
      </c>
      <c r="Y15" s="937">
        <v>41</v>
      </c>
      <c r="Z15" s="937">
        <v>60</v>
      </c>
      <c r="AA15" s="937">
        <v>111</v>
      </c>
      <c r="AB15" s="937">
        <v>74</v>
      </c>
      <c r="AC15" s="937">
        <v>96</v>
      </c>
      <c r="AD15" s="937">
        <v>178</v>
      </c>
      <c r="AE15" s="937">
        <v>36</v>
      </c>
      <c r="AF15" s="937">
        <v>79</v>
      </c>
      <c r="AG15" s="937">
        <v>44</v>
      </c>
      <c r="AH15" s="937">
        <v>86</v>
      </c>
      <c r="AI15" s="937">
        <v>111</v>
      </c>
      <c r="AJ15" s="937">
        <v>260</v>
      </c>
      <c r="AK15" s="937">
        <v>184</v>
      </c>
      <c r="AL15" s="937">
        <v>259</v>
      </c>
      <c r="AM15" s="937">
        <v>350</v>
      </c>
      <c r="AN15" s="937">
        <v>360</v>
      </c>
      <c r="AO15" s="937">
        <v>432</v>
      </c>
      <c r="AP15" s="937">
        <v>784</v>
      </c>
      <c r="AQ15" s="937">
        <v>342</v>
      </c>
      <c r="AR15" s="937">
        <v>282</v>
      </c>
      <c r="AS15" s="937">
        <v>486</v>
      </c>
      <c r="AT15" s="937">
        <v>492</v>
      </c>
      <c r="AU15" s="937">
        <v>519</v>
      </c>
      <c r="AV15" s="937">
        <v>578</v>
      </c>
      <c r="AW15" s="937">
        <v>730</v>
      </c>
      <c r="AX15" s="937">
        <v>483</v>
      </c>
      <c r="AY15" s="937">
        <v>1106</v>
      </c>
      <c r="AZ15" s="937">
        <v>817</v>
      </c>
      <c r="BA15" s="937">
        <v>1435</v>
      </c>
      <c r="BB15" s="937">
        <v>1429</v>
      </c>
      <c r="BC15" s="1656">
        <v>468</v>
      </c>
      <c r="BD15" s="1656">
        <v>483</v>
      </c>
      <c r="BE15" s="1656">
        <v>1079</v>
      </c>
      <c r="BF15" s="1656">
        <v>696</v>
      </c>
      <c r="BG15" s="1656">
        <v>957</v>
      </c>
      <c r="BH15" s="1656">
        <v>1760</v>
      </c>
      <c r="BI15" s="1656">
        <v>1086</v>
      </c>
      <c r="BJ15" s="1656">
        <v>1321</v>
      </c>
      <c r="BK15" s="1656">
        <v>2032</v>
      </c>
      <c r="BL15" s="1656">
        <v>1454</v>
      </c>
      <c r="BM15" s="1656">
        <v>1636</v>
      </c>
      <c r="BN15" s="1656">
        <v>3209</v>
      </c>
      <c r="BO15" s="1656">
        <v>912</v>
      </c>
      <c r="BP15" s="1656">
        <v>1324</v>
      </c>
      <c r="BQ15" s="1656">
        <v>2031</v>
      </c>
      <c r="BR15" s="1656">
        <v>1716</v>
      </c>
      <c r="BS15" s="1656">
        <v>1436</v>
      </c>
      <c r="BT15" s="1656">
        <v>1852</v>
      </c>
      <c r="BU15" s="1656">
        <v>1448</v>
      </c>
      <c r="BV15" s="1656">
        <v>0</v>
      </c>
      <c r="BW15" s="1656">
        <v>0</v>
      </c>
      <c r="BX15" s="1656">
        <v>0</v>
      </c>
      <c r="BY15" s="1656">
        <v>0</v>
      </c>
      <c r="BZ15" s="1656">
        <v>0</v>
      </c>
    </row>
    <row r="16" spans="1:80">
      <c r="A16"/>
      <c r="B16" s="931" t="s">
        <v>62</v>
      </c>
      <c r="C16" s="242">
        <v>15.378796010821915</v>
      </c>
      <c r="H16" s="242">
        <v>14.679736842105262</v>
      </c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>
        <v>14.679736842105262</v>
      </c>
      <c r="V16" s="215">
        <v>14.001977777777777</v>
      </c>
      <c r="W16" s="215">
        <v>13.116076923076925</v>
      </c>
      <c r="X16" s="215">
        <v>10.436835616438358</v>
      </c>
      <c r="Y16" s="215">
        <v>15.230414634146339</v>
      </c>
      <c r="Z16" s="215">
        <v>13.353233333333332</v>
      </c>
      <c r="AA16" s="215">
        <v>18.867468468468466</v>
      </c>
      <c r="AB16" s="215">
        <v>14.236756756756757</v>
      </c>
      <c r="AC16" s="215">
        <v>17.058812500000002</v>
      </c>
      <c r="AD16" s="215">
        <v>15.248601123595504</v>
      </c>
      <c r="AE16" s="215">
        <v>14.360666666666667</v>
      </c>
      <c r="AF16" s="215">
        <v>11.972177215189873</v>
      </c>
      <c r="AG16" s="215">
        <v>12.930272727272728</v>
      </c>
      <c r="AH16" s="215">
        <v>15.576116279069767</v>
      </c>
      <c r="AI16" s="215">
        <v>14.510819819819821</v>
      </c>
      <c r="AJ16" s="215">
        <v>15.7004</v>
      </c>
      <c r="AK16" s="215">
        <v>16.287347826086954</v>
      </c>
      <c r="AL16" s="215">
        <v>14.783613899613901</v>
      </c>
      <c r="AM16" s="215">
        <v>16.119471428571426</v>
      </c>
      <c r="AN16" s="215">
        <v>16.396508333333333</v>
      </c>
      <c r="AO16" s="215">
        <v>16.11336574074074</v>
      </c>
      <c r="AP16" s="215">
        <v>18.056104591836736</v>
      </c>
      <c r="AQ16" s="215">
        <v>15.170114035087719</v>
      </c>
      <c r="AR16" s="215">
        <v>14.523329787234045</v>
      </c>
      <c r="AS16" s="215">
        <v>16.761203086419751</v>
      </c>
      <c r="AT16" s="215">
        <v>19.961979674796748</v>
      </c>
      <c r="AU16" s="215">
        <v>13.92809055876686</v>
      </c>
      <c r="AV16" s="215">
        <v>15.036208823529412</v>
      </c>
      <c r="AW16" s="215">
        <v>17.568365479452055</v>
      </c>
      <c r="AX16" s="215">
        <v>14.1348082815735</v>
      </c>
      <c r="AY16" s="215">
        <v>15.750285714285717</v>
      </c>
      <c r="AZ16" s="215">
        <v>14.774304406364749</v>
      </c>
      <c r="BA16" s="215">
        <v>14.800567247386782</v>
      </c>
      <c r="BB16" s="215">
        <v>16.876116165150471</v>
      </c>
      <c r="BC16" s="215">
        <v>15.62968376068376</v>
      </c>
      <c r="BD16" s="215">
        <v>14.588314285714285</v>
      </c>
      <c r="BE16" s="215">
        <v>15.214238183503245</v>
      </c>
      <c r="BF16" s="215">
        <v>18.065454022988522</v>
      </c>
      <c r="BG16" s="215">
        <v>15.928238244514107</v>
      </c>
      <c r="BH16" s="215">
        <v>14.225326647727309</v>
      </c>
      <c r="BI16" s="215">
        <v>14.992932688766125</v>
      </c>
      <c r="BJ16" s="215">
        <v>13.786343527630605</v>
      </c>
      <c r="BK16" s="215">
        <v>14.294453100393735</v>
      </c>
      <c r="BL16" s="215">
        <v>15.235032049518582</v>
      </c>
      <c r="BM16" s="215">
        <v>15.097923349633286</v>
      </c>
      <c r="BN16" s="215">
        <v>16.129744303521413</v>
      </c>
      <c r="BO16" s="215">
        <v>14.728037105263155</v>
      </c>
      <c r="BP16" s="215">
        <v>15.299948187311177</v>
      </c>
      <c r="BQ16" s="215">
        <v>15.07300689315608</v>
      </c>
      <c r="BR16" s="215">
        <v>15.687959382284383</v>
      </c>
      <c r="BS16" s="215">
        <v>15.986752785515321</v>
      </c>
      <c r="BT16" s="215">
        <v>15.226981101511878</v>
      </c>
      <c r="BU16" s="215">
        <v>15.514538604972445</v>
      </c>
      <c r="BV16" s="215" t="s">
        <v>4378</v>
      </c>
      <c r="BW16" s="215" t="s">
        <v>4378</v>
      </c>
      <c r="BX16" s="215" t="s">
        <v>4378</v>
      </c>
      <c r="BY16" s="215" t="s">
        <v>4378</v>
      </c>
      <c r="BZ16" s="215" t="s">
        <v>4378</v>
      </c>
    </row>
    <row r="17" spans="2:78">
      <c r="B17" s="931" t="s">
        <v>112</v>
      </c>
      <c r="C17" s="243">
        <v>4985</v>
      </c>
      <c r="H17" s="243">
        <v>15</v>
      </c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>
        <v>15</v>
      </c>
      <c r="V17" s="218">
        <v>39</v>
      </c>
      <c r="W17" s="218">
        <v>42</v>
      </c>
      <c r="X17" s="218">
        <v>43</v>
      </c>
      <c r="Y17" s="218">
        <v>35</v>
      </c>
      <c r="Z17" s="218">
        <v>45</v>
      </c>
      <c r="AA17" s="218">
        <v>58</v>
      </c>
      <c r="AB17" s="218">
        <v>61</v>
      </c>
      <c r="AC17" s="218">
        <v>57</v>
      </c>
      <c r="AD17" s="218">
        <v>104</v>
      </c>
      <c r="AE17" s="218">
        <v>31</v>
      </c>
      <c r="AF17" s="218">
        <v>26</v>
      </c>
      <c r="AG17" s="218">
        <v>28</v>
      </c>
      <c r="AH17" s="218">
        <v>56</v>
      </c>
      <c r="AI17" s="218">
        <v>75</v>
      </c>
      <c r="AJ17" s="218">
        <v>131</v>
      </c>
      <c r="AK17" s="218">
        <v>76</v>
      </c>
      <c r="AL17" s="218">
        <v>100</v>
      </c>
      <c r="AM17" s="218">
        <v>124</v>
      </c>
      <c r="AN17" s="218">
        <v>106</v>
      </c>
      <c r="AO17" s="218">
        <v>157</v>
      </c>
      <c r="AP17" s="218">
        <v>145</v>
      </c>
      <c r="AQ17" s="218">
        <v>175</v>
      </c>
      <c r="AR17" s="218">
        <v>126</v>
      </c>
      <c r="AS17" s="218">
        <v>208</v>
      </c>
      <c r="AT17" s="218">
        <v>230</v>
      </c>
      <c r="AU17" s="218">
        <v>217</v>
      </c>
      <c r="AV17" s="218">
        <v>209</v>
      </c>
      <c r="AW17" s="218">
        <v>240</v>
      </c>
      <c r="AX17" s="218">
        <v>225</v>
      </c>
      <c r="AY17" s="218">
        <v>283</v>
      </c>
      <c r="AZ17" s="218">
        <v>246</v>
      </c>
      <c r="BA17" s="218">
        <v>447</v>
      </c>
      <c r="BB17" s="218">
        <v>318</v>
      </c>
      <c r="BC17" s="218">
        <v>126</v>
      </c>
      <c r="BD17" s="218">
        <v>115</v>
      </c>
      <c r="BE17" s="218">
        <v>333</v>
      </c>
      <c r="BF17" s="218">
        <v>282</v>
      </c>
      <c r="BG17" s="218">
        <v>446</v>
      </c>
      <c r="BH17" s="218">
        <v>849</v>
      </c>
      <c r="BI17" s="218">
        <v>602</v>
      </c>
      <c r="BJ17" s="218">
        <v>738</v>
      </c>
      <c r="BK17" s="218">
        <v>794</v>
      </c>
      <c r="BL17" s="218">
        <v>761</v>
      </c>
      <c r="BM17" s="218">
        <v>761</v>
      </c>
      <c r="BN17" s="218">
        <v>1010</v>
      </c>
      <c r="BO17" s="218">
        <v>281</v>
      </c>
      <c r="BP17" s="218">
        <v>597</v>
      </c>
      <c r="BQ17" s="218">
        <v>823</v>
      </c>
      <c r="BR17" s="218">
        <v>633</v>
      </c>
      <c r="BS17" s="218">
        <v>565</v>
      </c>
      <c r="BT17" s="218">
        <v>1292</v>
      </c>
      <c r="BU17" s="218">
        <v>794</v>
      </c>
      <c r="BV17" s="218">
        <v>0</v>
      </c>
      <c r="BW17" s="218">
        <v>0</v>
      </c>
      <c r="BX17" s="218">
        <v>0</v>
      </c>
      <c r="BY17" s="218">
        <v>0</v>
      </c>
      <c r="BZ17" s="218">
        <v>0</v>
      </c>
    </row>
    <row r="18" spans="2:78">
      <c r="B18" s="931" t="s">
        <v>111</v>
      </c>
      <c r="C18" s="243">
        <v>277</v>
      </c>
      <c r="H18" s="243">
        <v>11</v>
      </c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>
        <v>11</v>
      </c>
      <c r="V18" s="218">
        <v>28</v>
      </c>
      <c r="W18" s="218">
        <v>15</v>
      </c>
      <c r="X18" s="218">
        <v>10</v>
      </c>
      <c r="Y18" s="218">
        <v>1</v>
      </c>
      <c r="Z18" s="218">
        <v>4</v>
      </c>
      <c r="AA18" s="218">
        <v>8</v>
      </c>
      <c r="AB18" s="218">
        <v>3</v>
      </c>
      <c r="AC18" s="218">
        <v>7</v>
      </c>
      <c r="AD18" s="218">
        <v>2</v>
      </c>
      <c r="AE18" s="218">
        <v>4</v>
      </c>
      <c r="AF18" s="218">
        <v>0</v>
      </c>
      <c r="AG18" s="218">
        <v>4</v>
      </c>
      <c r="AH18" s="218">
        <v>19</v>
      </c>
      <c r="AI18" s="218">
        <v>23</v>
      </c>
      <c r="AJ18" s="218">
        <v>28</v>
      </c>
      <c r="AK18" s="218">
        <v>6</v>
      </c>
      <c r="AL18" s="218">
        <v>16</v>
      </c>
      <c r="AM18" s="218">
        <v>15</v>
      </c>
      <c r="AN18" s="218">
        <v>11</v>
      </c>
      <c r="AO18" s="218">
        <v>41</v>
      </c>
      <c r="AP18" s="218">
        <v>27</v>
      </c>
      <c r="AQ18" s="218">
        <v>39</v>
      </c>
      <c r="AR18" s="218">
        <v>13</v>
      </c>
      <c r="AS18" s="218">
        <v>21</v>
      </c>
      <c r="AT18" s="218">
        <v>46</v>
      </c>
      <c r="AU18" s="218">
        <v>32</v>
      </c>
      <c r="AV18" s="218">
        <v>39</v>
      </c>
      <c r="AW18" s="218">
        <v>34</v>
      </c>
      <c r="AX18" s="218">
        <v>38</v>
      </c>
      <c r="AY18" s="218">
        <v>65</v>
      </c>
      <c r="AZ18" s="218">
        <v>32</v>
      </c>
      <c r="BA18" s="218">
        <v>49</v>
      </c>
      <c r="BB18" s="218">
        <v>31</v>
      </c>
      <c r="BC18" s="218">
        <v>8</v>
      </c>
      <c r="BD18" s="218">
        <v>7</v>
      </c>
      <c r="BE18" s="218">
        <v>29</v>
      </c>
      <c r="BF18" s="218">
        <v>54</v>
      </c>
      <c r="BG18" s="218">
        <v>88</v>
      </c>
      <c r="BH18" s="218">
        <v>130</v>
      </c>
      <c r="BI18" s="218">
        <v>78</v>
      </c>
      <c r="BJ18" s="218">
        <v>80</v>
      </c>
      <c r="BK18" s="218">
        <v>144</v>
      </c>
      <c r="BL18" s="218">
        <v>118</v>
      </c>
      <c r="BM18" s="218">
        <v>118</v>
      </c>
      <c r="BN18" s="218">
        <v>110</v>
      </c>
      <c r="BO18" s="218">
        <v>39</v>
      </c>
      <c r="BP18" s="218">
        <v>71</v>
      </c>
      <c r="BQ18" s="218">
        <v>38</v>
      </c>
      <c r="BR18" s="218">
        <v>32</v>
      </c>
      <c r="BS18" s="218">
        <v>35</v>
      </c>
      <c r="BT18" s="218">
        <v>32</v>
      </c>
      <c r="BU18" s="218">
        <v>30</v>
      </c>
      <c r="BV18" s="218">
        <v>0</v>
      </c>
      <c r="BW18" s="218">
        <v>0</v>
      </c>
      <c r="BX18" s="218">
        <v>0</v>
      </c>
      <c r="BY18" s="218">
        <v>0</v>
      </c>
      <c r="BZ18" s="218">
        <v>0</v>
      </c>
    </row>
    <row r="19" spans="2:78">
      <c r="AE19" s="937"/>
      <c r="AF19" s="937"/>
      <c r="AG19" s="937"/>
      <c r="AH19" s="937"/>
      <c r="AI19" s="937"/>
      <c r="AJ19" s="937"/>
      <c r="AK19" s="937"/>
      <c r="AL19" s="937"/>
      <c r="AM19" s="937"/>
      <c r="AN19" s="937"/>
      <c r="AO19" s="937"/>
      <c r="AP19" s="937"/>
      <c r="AQ19" s="937"/>
      <c r="AR19" s="937"/>
      <c r="AS19" s="937"/>
      <c r="AT19" s="937"/>
      <c r="AU19" s="937"/>
      <c r="AV19" s="937"/>
    </row>
    <row r="20" spans="2:78">
      <c r="B20" s="931" t="s">
        <v>63</v>
      </c>
      <c r="C20" s="242">
        <v>4.2883796680541133</v>
      </c>
      <c r="H20" s="242">
        <v>14.303333333333331</v>
      </c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>
        <v>21.454999999999998</v>
      </c>
      <c r="V20" s="215">
        <v>10.589731092436974</v>
      </c>
      <c r="W20" s="215">
        <v>7.0168312757201656</v>
      </c>
      <c r="X20" s="215">
        <v>4.3289147727272734</v>
      </c>
      <c r="Y20" s="215">
        <v>2.8842817551963043</v>
      </c>
      <c r="Z20" s="215">
        <v>3.2701795918367345</v>
      </c>
      <c r="AA20" s="215">
        <v>7.4265567375886512</v>
      </c>
      <c r="AB20" s="215">
        <v>3.2516049382716048</v>
      </c>
      <c r="AC20" s="215">
        <v>4.5176441379310353</v>
      </c>
      <c r="AD20" s="215">
        <v>6.2684780600461885</v>
      </c>
      <c r="AE20" s="215">
        <v>1.0826890052356022</v>
      </c>
      <c r="AF20" s="215">
        <v>2.0971219512195121</v>
      </c>
      <c r="AG20" s="215">
        <v>1.3893333333333333</v>
      </c>
      <c r="AH20" s="215">
        <v>3.2084934131736529</v>
      </c>
      <c r="AI20" s="215">
        <v>3.4416688034188034</v>
      </c>
      <c r="AJ20" s="215">
        <v>8.0994126984126975</v>
      </c>
      <c r="AK20" s="215">
        <v>5.779888138862102</v>
      </c>
      <c r="AL20" s="215">
        <v>6.9177163504968382</v>
      </c>
      <c r="AM20" s="215">
        <v>9.0923690572119256</v>
      </c>
      <c r="AN20" s="215">
        <v>8.5115255948089406</v>
      </c>
      <c r="AO20" s="215">
        <v>8.7284940438871477</v>
      </c>
      <c r="AP20" s="215">
        <v>15.395308319738989</v>
      </c>
      <c r="AQ20" s="215">
        <v>4.8922008486562945</v>
      </c>
      <c r="AR20" s="215">
        <v>3.4930311300639665</v>
      </c>
      <c r="AS20" s="215">
        <v>6.4293170481452249</v>
      </c>
      <c r="AT20" s="215">
        <v>6.9310472829922372</v>
      </c>
      <c r="AU20" s="215">
        <v>4.8809446320054022</v>
      </c>
      <c r="AV20" s="215">
        <v>5.904163519021739</v>
      </c>
      <c r="AW20" s="215">
        <v>8.6363008754208739</v>
      </c>
      <c r="AX20" s="215">
        <v>4.4665439319594382</v>
      </c>
      <c r="AY20" s="215">
        <v>10.541492284417551</v>
      </c>
      <c r="AZ20" s="215">
        <v>6.7358296316964283</v>
      </c>
      <c r="BA20" s="215">
        <v>10.726673737373753</v>
      </c>
      <c r="BB20" s="215">
        <v>11.216730232558151</v>
      </c>
      <c r="BC20" s="215">
        <v>3.3165685785536154</v>
      </c>
      <c r="BD20" s="215">
        <v>3.2358924454649824</v>
      </c>
      <c r="BE20" s="215">
        <v>7.4805937571200731</v>
      </c>
      <c r="BF20" s="215">
        <v>5.4149681309216238</v>
      </c>
      <c r="BG20" s="215">
        <v>5.9567502930832354</v>
      </c>
      <c r="BH20" s="215">
        <v>8.0001837034670285</v>
      </c>
      <c r="BI20" s="215">
        <v>4.3518174261659794</v>
      </c>
      <c r="BJ20" s="215">
        <v>4.3222403702385259</v>
      </c>
      <c r="BK20" s="215">
        <v>6.0817271147403833</v>
      </c>
      <c r="BL20" s="215">
        <v>4.1490422551039554</v>
      </c>
      <c r="BM20" s="215">
        <v>4.2527897038567586</v>
      </c>
      <c r="BN20" s="215">
        <v>8.137779965411557</v>
      </c>
      <c r="BO20" s="215">
        <v>1.9883013603730291</v>
      </c>
      <c r="BP20" s="215">
        <v>3.3982773695688642</v>
      </c>
      <c r="BQ20" s="215">
        <v>5.9127526798647994</v>
      </c>
      <c r="BR20" s="215">
        <v>5.3986841070891405</v>
      </c>
      <c r="BS20" s="215">
        <v>4.7461188753359522</v>
      </c>
      <c r="BT20" s="215">
        <v>5.3879191822697745</v>
      </c>
      <c r="BU20" s="215">
        <v>4.0931132185478916</v>
      </c>
      <c r="BV20" s="215">
        <v>0</v>
      </c>
      <c r="BW20" s="215" t="s">
        <v>4378</v>
      </c>
      <c r="BX20" s="215" t="s">
        <v>4378</v>
      </c>
      <c r="BY20" s="215" t="s">
        <v>4378</v>
      </c>
      <c r="BZ20" s="215" t="s">
        <v>4378</v>
      </c>
    </row>
    <row r="21" spans="2:78">
      <c r="B21" s="931" t="s">
        <v>64</v>
      </c>
      <c r="C21" s="242">
        <v>22.734149005654405</v>
      </c>
      <c r="H21" s="242">
        <v>17.432187499999998</v>
      </c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>
        <v>17.432187499999998</v>
      </c>
      <c r="V21" s="215">
        <v>19.690281249999998</v>
      </c>
      <c r="W21" s="215">
        <v>17.050900000000002</v>
      </c>
      <c r="X21" s="215">
        <v>14.375264150943398</v>
      </c>
      <c r="Y21" s="215">
        <v>19.513968749999997</v>
      </c>
      <c r="Z21" s="215">
        <v>17.417260869565215</v>
      </c>
      <c r="AA21" s="215">
        <v>27.19855844155844</v>
      </c>
      <c r="AB21" s="215">
        <v>15.962424242424243</v>
      </c>
      <c r="AC21" s="215">
        <v>24.812818181818184</v>
      </c>
      <c r="AD21" s="215">
        <v>25.366831775700931</v>
      </c>
      <c r="AE21" s="215">
        <v>17.232800000000001</v>
      </c>
      <c r="AF21" s="215">
        <v>14.550800000000001</v>
      </c>
      <c r="AG21" s="215">
        <v>14.2233</v>
      </c>
      <c r="AH21" s="215">
        <v>23.095620689655174</v>
      </c>
      <c r="AI21" s="215">
        <v>18.097764044943819</v>
      </c>
      <c r="AJ21" s="215">
        <v>26.000662420382163</v>
      </c>
      <c r="AK21" s="215">
        <v>21.104732394366195</v>
      </c>
      <c r="AL21" s="215">
        <v>22.132693641618499</v>
      </c>
      <c r="AM21" s="215">
        <v>24.213798283261802</v>
      </c>
      <c r="AN21" s="215">
        <v>24.594762500000002</v>
      </c>
      <c r="AO21" s="215">
        <v>24.684304964539006</v>
      </c>
      <c r="AP21" s="215">
        <v>37.648898936170212</v>
      </c>
      <c r="AQ21" s="215">
        <v>19.802209923664122</v>
      </c>
      <c r="AR21" s="215">
        <v>17.208315126050422</v>
      </c>
      <c r="AS21" s="215">
        <v>24.243883035714287</v>
      </c>
      <c r="AT21" s="215">
        <v>28.550273255813952</v>
      </c>
      <c r="AU21" s="215">
        <v>17.41850361445783</v>
      </c>
      <c r="AV21" s="215">
        <v>19.185273068432672</v>
      </c>
      <c r="AW21" s="215">
        <v>25.54762310756972</v>
      </c>
      <c r="AX21" s="215">
        <v>16.610979075425792</v>
      </c>
      <c r="AY21" s="215">
        <v>22.771001307189547</v>
      </c>
      <c r="AZ21" s="215">
        <v>18.978941352201257</v>
      </c>
      <c r="BA21" s="215">
        <v>28.130879470198717</v>
      </c>
      <c r="BB21" s="215">
        <v>29.846497524752504</v>
      </c>
      <c r="BC21" s="215">
        <v>18.565208121827411</v>
      </c>
      <c r="BD21" s="215">
        <v>18.207120930232556</v>
      </c>
      <c r="BE21" s="215">
        <v>25.062844274809162</v>
      </c>
      <c r="BF21" s="215">
        <v>22.7369909584087</v>
      </c>
      <c r="BG21" s="215">
        <v>22.922291729323309</v>
      </c>
      <c r="BH21" s="215">
        <v>23.508521032863911</v>
      </c>
      <c r="BI21" s="215">
        <v>19.593652105896524</v>
      </c>
      <c r="BJ21" s="215">
        <v>19.049957949790826</v>
      </c>
      <c r="BK21" s="215">
        <v>24.144911637572793</v>
      </c>
      <c r="BL21" s="215">
        <v>22.375491515151534</v>
      </c>
      <c r="BM21" s="215">
        <v>25.596064870466378</v>
      </c>
      <c r="BN21" s="215">
        <v>30.483126896348772</v>
      </c>
      <c r="BO21" s="215">
        <v>20.320680544629347</v>
      </c>
      <c r="BP21" s="215">
        <v>20.523942654508609</v>
      </c>
      <c r="BQ21" s="215">
        <v>23.712840433772268</v>
      </c>
      <c r="BR21" s="215">
        <v>22.193353915910965</v>
      </c>
      <c r="BS21" s="215">
        <v>25.283014317180619</v>
      </c>
      <c r="BT21" s="215">
        <v>22.240038643533122</v>
      </c>
      <c r="BU21" s="215">
        <v>24.339167822318636</v>
      </c>
      <c r="BV21" s="215" t="s">
        <v>4378</v>
      </c>
      <c r="BW21" s="215" t="s">
        <v>4378</v>
      </c>
      <c r="BX21" s="215" t="s">
        <v>4378</v>
      </c>
      <c r="BY21" s="215" t="s">
        <v>4378</v>
      </c>
      <c r="BZ21" s="215" t="s">
        <v>4378</v>
      </c>
    </row>
    <row r="22" spans="2:78">
      <c r="B22" s="931" t="s">
        <v>65</v>
      </c>
      <c r="C22" s="242">
        <v>4.1865577003121777</v>
      </c>
      <c r="H22" s="242">
        <v>14.303333333333335</v>
      </c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>
        <v>21.455000000000002</v>
      </c>
      <c r="V22" s="215">
        <v>9.8460336134453783</v>
      </c>
      <c r="W22" s="215">
        <v>6.5312510288065848</v>
      </c>
      <c r="X22" s="215">
        <v>4.135034090909091</v>
      </c>
      <c r="Y22" s="215">
        <v>2.4856674364896074</v>
      </c>
      <c r="Z22" s="215">
        <v>3.0201632653061226</v>
      </c>
      <c r="AA22" s="215">
        <v>6.8301028368794325</v>
      </c>
      <c r="AB22" s="215">
        <v>3.1035524691358027</v>
      </c>
      <c r="AC22" s="215">
        <v>4.0604827586206893</v>
      </c>
      <c r="AD22" s="215">
        <v>6.0643510392609699</v>
      </c>
      <c r="AE22" s="215">
        <v>0.99883141361256544</v>
      </c>
      <c r="AF22" s="215">
        <v>2.0194878048780489</v>
      </c>
      <c r="AG22" s="215">
        <v>1.6412454212454213</v>
      </c>
      <c r="AH22" s="215">
        <v>3.393453892215569</v>
      </c>
      <c r="AI22" s="215">
        <v>3.4196688034188032</v>
      </c>
      <c r="AJ22" s="215">
        <v>7.8706111111111108</v>
      </c>
      <c r="AK22" s="215">
        <v>5.2617396335583413</v>
      </c>
      <c r="AL22" s="215">
        <v>6.6294977416440837</v>
      </c>
      <c r="AM22" s="215">
        <v>9.2208235294117635</v>
      </c>
      <c r="AN22" s="215">
        <v>8.3442956020187466</v>
      </c>
      <c r="AO22" s="215">
        <v>8.1523749216300949</v>
      </c>
      <c r="AP22" s="215">
        <v>15.439058183795542</v>
      </c>
      <c r="AQ22" s="215">
        <v>4.8509768976897689</v>
      </c>
      <c r="AR22" s="215">
        <v>3.4467607675906184</v>
      </c>
      <c r="AS22" s="215">
        <v>6.3671254932912396</v>
      </c>
      <c r="AT22" s="215">
        <v>6.7884467184191948</v>
      </c>
      <c r="AU22" s="215">
        <v>4.8654814314652262</v>
      </c>
      <c r="AV22" s="215">
        <v>5.5871474184782617</v>
      </c>
      <c r="AW22" s="215">
        <v>8.2796626262626276</v>
      </c>
      <c r="AX22" s="215">
        <v>4.2883480536473666</v>
      </c>
      <c r="AY22" s="215">
        <v>10.140786686838124</v>
      </c>
      <c r="AZ22" s="215">
        <v>6.5204771205357144</v>
      </c>
      <c r="BA22" s="215">
        <v>10.552927272727272</v>
      </c>
      <c r="BB22" s="215">
        <v>11.06762976744186</v>
      </c>
      <c r="BC22" s="215">
        <v>3.1208288369984132</v>
      </c>
      <c r="BD22" s="215">
        <v>3.1241047072330654</v>
      </c>
      <c r="BE22" s="215">
        <v>7.3020059239006612</v>
      </c>
      <c r="BF22" s="215">
        <v>5.5072028423772608</v>
      </c>
      <c r="BG22" s="215">
        <v>5.5561047284095348</v>
      </c>
      <c r="BH22" s="215">
        <v>7.774110880332322</v>
      </c>
      <c r="BI22" s="215">
        <v>4.1865492449552351</v>
      </c>
      <c r="BJ22" s="215">
        <v>4.1689438708911855</v>
      </c>
      <c r="BK22" s="215">
        <v>6.0447887353433991</v>
      </c>
      <c r="BL22" s="215">
        <v>4.0445216332646599</v>
      </c>
      <c r="BM22" s="215">
        <v>3.9861227617079975</v>
      </c>
      <c r="BN22" s="215">
        <v>7.8131307287163301</v>
      </c>
      <c r="BO22" s="215">
        <v>2.0620837835837471</v>
      </c>
      <c r="BP22" s="215">
        <v>3.3058708270424422</v>
      </c>
      <c r="BQ22" s="215">
        <v>5.7238493481409947</v>
      </c>
      <c r="BR22" s="215">
        <v>5.1081508071793849</v>
      </c>
      <c r="BS22" s="215">
        <v>4.6377713458755432</v>
      </c>
      <c r="BT22" s="215">
        <v>5.2300630492930837</v>
      </c>
      <c r="BU22" s="215">
        <v>4.0777081169718681</v>
      </c>
      <c r="BV22" s="215">
        <v>0</v>
      </c>
      <c r="BW22" s="215" t="s">
        <v>4378</v>
      </c>
      <c r="BX22" s="215" t="s">
        <v>4378</v>
      </c>
      <c r="BY22" s="215" t="s">
        <v>4378</v>
      </c>
      <c r="BZ22" s="215" t="s">
        <v>4378</v>
      </c>
    </row>
    <row r="23" spans="2:78">
      <c r="B23" s="931" t="s">
        <v>66</v>
      </c>
      <c r="C23" s="242">
        <v>22.194356364639376</v>
      </c>
      <c r="H23" s="242">
        <v>17.432187500000001</v>
      </c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>
        <v>17.432187500000001</v>
      </c>
      <c r="V23" s="215">
        <v>18.307468750000002</v>
      </c>
      <c r="W23" s="215">
        <v>15.870940000000001</v>
      </c>
      <c r="X23" s="215">
        <v>13.73143396226415</v>
      </c>
      <c r="Y23" s="215">
        <v>16.817093750000002</v>
      </c>
      <c r="Z23" s="215">
        <v>16.085652173913044</v>
      </c>
      <c r="AA23" s="215">
        <v>25.014142857142858</v>
      </c>
      <c r="AB23" s="215">
        <v>15.235621212121213</v>
      </c>
      <c r="AC23" s="215">
        <v>22.301893939393938</v>
      </c>
      <c r="AD23" s="215">
        <v>24.540785046728971</v>
      </c>
      <c r="AE23" s="215">
        <v>15.898066666666667</v>
      </c>
      <c r="AF23" s="215">
        <v>14.012138461538461</v>
      </c>
      <c r="AG23" s="215">
        <v>16.802250000000001</v>
      </c>
      <c r="AH23" s="215">
        <v>24.427017241379311</v>
      </c>
      <c r="AI23" s="215">
        <v>17.982078651685391</v>
      </c>
      <c r="AJ23" s="215">
        <v>25.266165605095541</v>
      </c>
      <c r="AK23" s="215">
        <v>19.212760563380282</v>
      </c>
      <c r="AL23" s="215">
        <v>21.210560693641618</v>
      </c>
      <c r="AM23" s="215">
        <v>24.555884120171672</v>
      </c>
      <c r="AN23" s="215">
        <v>24.111537500000001</v>
      </c>
      <c r="AO23" s="215">
        <v>23.055031914893618</v>
      </c>
      <c r="AP23" s="215">
        <v>37.755888297872339</v>
      </c>
      <c r="AQ23" s="215">
        <v>19.635347328244276</v>
      </c>
      <c r="AR23" s="215">
        <v>16.98036554621849</v>
      </c>
      <c r="AS23" s="215">
        <v>24.00936904761905</v>
      </c>
      <c r="AT23" s="215">
        <v>27.962874999999997</v>
      </c>
      <c r="AU23" s="215">
        <v>17.363320481927712</v>
      </c>
      <c r="AV23" s="215">
        <v>18.15514569536424</v>
      </c>
      <c r="AW23" s="215">
        <v>24.492627490039844</v>
      </c>
      <c r="AX23" s="215">
        <v>15.948272506082725</v>
      </c>
      <c r="AY23" s="215">
        <v>21.905424836601309</v>
      </c>
      <c r="AZ23" s="215">
        <v>18.372161949685534</v>
      </c>
      <c r="BA23" s="215">
        <v>27.675226490066223</v>
      </c>
      <c r="BB23" s="215">
        <v>29.449757425742572</v>
      </c>
      <c r="BC23" s="215">
        <v>17.46951269035533</v>
      </c>
      <c r="BD23" s="215">
        <v>17.578134366925067</v>
      </c>
      <c r="BE23" s="215">
        <v>24.464506870229009</v>
      </c>
      <c r="BF23" s="215">
        <v>23.124276672694396</v>
      </c>
      <c r="BG23" s="215">
        <v>21.380559398496242</v>
      </c>
      <c r="BH23" s="215">
        <v>22.844206572769956</v>
      </c>
      <c r="BI23" s="215">
        <v>18.849547533092672</v>
      </c>
      <c r="BJ23" s="215">
        <v>18.374314853556495</v>
      </c>
      <c r="BK23" s="215">
        <v>23.998263507896986</v>
      </c>
      <c r="BL23" s="215">
        <v>21.811819191919213</v>
      </c>
      <c r="BM23" s="215">
        <v>23.991089119171036</v>
      </c>
      <c r="BN23" s="215">
        <v>29.267030624263967</v>
      </c>
      <c r="BO23" s="215">
        <v>21.074745839636918</v>
      </c>
      <c r="BP23" s="215">
        <v>19.96585207700101</v>
      </c>
      <c r="BQ23" s="215">
        <v>22.95525174283501</v>
      </c>
      <c r="BR23" s="215">
        <v>20.999005770816158</v>
      </c>
      <c r="BS23" s="215">
        <v>24.705837004405289</v>
      </c>
      <c r="BT23" s="215">
        <v>21.588446372239748</v>
      </c>
      <c r="BU23" s="215">
        <v>24.247563380281797</v>
      </c>
      <c r="BV23" s="215" t="s">
        <v>4378</v>
      </c>
      <c r="BW23" s="215" t="s">
        <v>4378</v>
      </c>
      <c r="BX23" s="215" t="s">
        <v>4378</v>
      </c>
      <c r="BY23" s="215" t="s">
        <v>4378</v>
      </c>
      <c r="BZ23" s="215" t="s">
        <v>4378</v>
      </c>
    </row>
    <row r="24" spans="2:78">
      <c r="B24" s="931" t="s">
        <v>67</v>
      </c>
      <c r="C24" s="242">
        <v>1.4782788580885395</v>
      </c>
      <c r="H24" s="242">
        <v>1.1875</v>
      </c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>
        <v>1.1875</v>
      </c>
      <c r="V24" s="215">
        <v>1.40625</v>
      </c>
      <c r="W24" s="215">
        <v>1.3</v>
      </c>
      <c r="X24" s="215">
        <v>1.3773584905660377</v>
      </c>
      <c r="Y24" s="215">
        <v>1.28125</v>
      </c>
      <c r="Z24" s="215">
        <v>1.3043478260869565</v>
      </c>
      <c r="AA24" s="215">
        <v>1.4415584415584415</v>
      </c>
      <c r="AB24" s="215">
        <v>1.1212121212121211</v>
      </c>
      <c r="AC24" s="215">
        <v>1.4545454545454546</v>
      </c>
      <c r="AD24" s="215">
        <v>1.6635514018691588</v>
      </c>
      <c r="AE24" s="215">
        <v>1.2</v>
      </c>
      <c r="AF24" s="215">
        <v>1.2153846153846153</v>
      </c>
      <c r="AG24" s="215">
        <v>1.1000000000000001</v>
      </c>
      <c r="AH24" s="215">
        <v>1.4827586206896552</v>
      </c>
      <c r="AI24" s="215">
        <v>1.247191011235955</v>
      </c>
      <c r="AJ24" s="215">
        <v>1.6560509554140128</v>
      </c>
      <c r="AK24" s="215">
        <v>1.295774647887324</v>
      </c>
      <c r="AL24" s="215">
        <v>1.4971098265895955</v>
      </c>
      <c r="AM24" s="215">
        <v>1.502145922746781</v>
      </c>
      <c r="AN24" s="215">
        <v>1.5</v>
      </c>
      <c r="AO24" s="215">
        <v>1.5319148936170213</v>
      </c>
      <c r="AP24" s="215">
        <v>2.0851063829787235</v>
      </c>
      <c r="AQ24" s="215">
        <v>1.3053435114503817</v>
      </c>
      <c r="AR24" s="215">
        <v>1.1848739495798319</v>
      </c>
      <c r="AS24" s="215">
        <v>1.4464285714285714</v>
      </c>
      <c r="AT24" s="215">
        <v>1.430232558139535</v>
      </c>
      <c r="AU24" s="215">
        <v>1.2506024096385542</v>
      </c>
      <c r="AV24" s="215">
        <v>1.2759381898454747</v>
      </c>
      <c r="AW24" s="215">
        <v>1.454183266932271</v>
      </c>
      <c r="AX24" s="215">
        <v>1.1751824817518248</v>
      </c>
      <c r="AY24" s="215">
        <v>1.4457516339869281</v>
      </c>
      <c r="AZ24" s="215">
        <v>1.2845911949685536</v>
      </c>
      <c r="BA24" s="215">
        <v>1.9006622516556291</v>
      </c>
      <c r="BB24" s="215">
        <v>1.7685643564356435</v>
      </c>
      <c r="BC24" s="215">
        <v>1.1878172588832487</v>
      </c>
      <c r="BD24" s="215">
        <v>1.248062015503876</v>
      </c>
      <c r="BE24" s="215">
        <v>1.6473282442748092</v>
      </c>
      <c r="BF24" s="215">
        <v>1.2585895117540686</v>
      </c>
      <c r="BG24" s="215">
        <v>1.4390977443609023</v>
      </c>
      <c r="BH24" s="215">
        <v>1.6525821596244132</v>
      </c>
      <c r="BI24" s="215">
        <v>1.3068592057761732</v>
      </c>
      <c r="BJ24" s="215">
        <v>1.3817991631799162</v>
      </c>
      <c r="BK24" s="215">
        <v>1.6891105569409808</v>
      </c>
      <c r="BL24" s="215">
        <v>1.4686868686868686</v>
      </c>
      <c r="BM24" s="215">
        <v>1.6953367875647669</v>
      </c>
      <c r="BN24" s="215">
        <v>1.8898704358068317</v>
      </c>
      <c r="BO24" s="215">
        <v>1.3797276853252647</v>
      </c>
      <c r="BP24" s="215">
        <v>1.3414387031408308</v>
      </c>
      <c r="BQ24" s="215">
        <v>1.5731990704879939</v>
      </c>
      <c r="BR24" s="215">
        <v>1.4146743610882111</v>
      </c>
      <c r="BS24" s="215">
        <v>1.5814977973568283</v>
      </c>
      <c r="BT24" s="215">
        <v>1.4605678233438486</v>
      </c>
      <c r="BU24" s="215">
        <v>1.5687973997833153</v>
      </c>
      <c r="BV24" s="215" t="s">
        <v>4378</v>
      </c>
      <c r="BW24" s="215" t="s">
        <v>4378</v>
      </c>
      <c r="BX24" s="215" t="s">
        <v>4378</v>
      </c>
      <c r="BY24" s="215" t="s">
        <v>4378</v>
      </c>
      <c r="BZ24" s="215" t="s">
        <v>4378</v>
      </c>
    </row>
    <row r="25" spans="2:78">
      <c r="B25" s="931" t="s">
        <v>68</v>
      </c>
      <c r="C25" s="242">
        <v>6.2975098296199219</v>
      </c>
      <c r="H25" s="242">
        <v>0.59090909090909094</v>
      </c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>
        <v>1.1818181818181819</v>
      </c>
      <c r="V25" s="215">
        <v>1.5256410256410255</v>
      </c>
      <c r="W25" s="215">
        <v>2.25</v>
      </c>
      <c r="X25" s="215">
        <v>2.75</v>
      </c>
      <c r="Y25" s="215">
        <v>3.4365079365079363</v>
      </c>
      <c r="Z25" s="215">
        <v>3.7121212121212119</v>
      </c>
      <c r="AA25" s="215">
        <v>3.9166666666666665</v>
      </c>
      <c r="AB25" s="215">
        <v>5.3114754098360653</v>
      </c>
      <c r="AC25" s="215">
        <v>5.6640625</v>
      </c>
      <c r="AD25" s="215">
        <v>7.0983606557377046</v>
      </c>
      <c r="AE25" s="215">
        <v>7.8278688524590168</v>
      </c>
      <c r="AF25" s="215">
        <v>7.9122807017543861</v>
      </c>
      <c r="AG25" s="215">
        <v>7.3125</v>
      </c>
      <c r="AH25" s="215">
        <v>5.5666666666666664</v>
      </c>
      <c r="AI25" s="215">
        <v>5.2</v>
      </c>
      <c r="AJ25" s="215">
        <v>4.4210526315789478</v>
      </c>
      <c r="AK25" s="215">
        <v>4.8457943925233646</v>
      </c>
      <c r="AL25" s="215">
        <v>4.651260504201681</v>
      </c>
      <c r="AM25" s="215">
        <v>4.4963768115942031</v>
      </c>
      <c r="AN25" s="215">
        <v>4.6858108108108105</v>
      </c>
      <c r="AO25" s="215">
        <v>4.3108108108108105</v>
      </c>
      <c r="AP25" s="215">
        <v>4.2569444444444446</v>
      </c>
      <c r="AQ25" s="215">
        <v>4.4187500000000002</v>
      </c>
      <c r="AR25" s="215">
        <v>4.5980392156862742</v>
      </c>
      <c r="AS25" s="215">
        <v>4.7100371747211893</v>
      </c>
      <c r="AT25" s="215">
        <v>4.5271565495207664</v>
      </c>
      <c r="AU25" s="215">
        <v>4.4077380952380949</v>
      </c>
      <c r="AV25" s="215">
        <v>4.4471299093655592</v>
      </c>
      <c r="AW25" s="215">
        <v>4.354838709677419</v>
      </c>
      <c r="AX25" s="215">
        <v>4.5491071428571432</v>
      </c>
      <c r="AY25" s="215">
        <v>4.1729797979797976</v>
      </c>
      <c r="AZ25" s="215">
        <v>4.2870813397129188</v>
      </c>
      <c r="BA25" s="215">
        <v>4.583333333333333</v>
      </c>
      <c r="BB25" s="215">
        <v>5</v>
      </c>
      <c r="BC25" s="215">
        <v>5.0701149425287353</v>
      </c>
      <c r="BD25" s="215">
        <v>5.052204176334107</v>
      </c>
      <c r="BE25" s="215">
        <v>4.9204035874439462</v>
      </c>
      <c r="BF25" s="215">
        <v>4.8074534161490687</v>
      </c>
      <c r="BG25" s="215">
        <v>4.7476808905380334</v>
      </c>
      <c r="BH25" s="215">
        <v>4.8519379844961241</v>
      </c>
      <c r="BI25" s="215">
        <v>5.5511869436201779</v>
      </c>
      <c r="BJ25" s="215">
        <v>5.6481233243967832</v>
      </c>
      <c r="BK25" s="215">
        <v>5.5150115473441108</v>
      </c>
      <c r="BL25" s="215">
        <v>5.5383817427385891</v>
      </c>
      <c r="BM25" s="215">
        <v>6.0248962655601659</v>
      </c>
      <c r="BN25" s="215">
        <v>5.6993727598566304</v>
      </c>
      <c r="BO25" s="215">
        <v>6.1302177858439197</v>
      </c>
      <c r="BP25" s="215">
        <v>5.2106643356643358</v>
      </c>
      <c r="BQ25" s="215">
        <v>4.6560251798561154</v>
      </c>
      <c r="BR25" s="215">
        <v>5.1143589743589741</v>
      </c>
      <c r="BS25" s="215">
        <v>4.8081510934393634</v>
      </c>
      <c r="BT25" s="215">
        <v>5.2868686868686865</v>
      </c>
      <c r="BU25" s="215">
        <v>6.2941513761467887</v>
      </c>
      <c r="BV25" s="215" t="s">
        <v>4378</v>
      </c>
      <c r="BW25" s="215" t="s">
        <v>4378</v>
      </c>
      <c r="BX25" s="215" t="s">
        <v>4378</v>
      </c>
      <c r="BY25" s="215" t="s">
        <v>4378</v>
      </c>
      <c r="BZ25" s="215" t="s">
        <v>4378</v>
      </c>
    </row>
    <row r="27" spans="2:78" s="948" customFormat="1" ht="16.5" customHeight="1">
      <c r="B27" s="944" t="s">
        <v>19</v>
      </c>
      <c r="C27" s="945"/>
      <c r="D27" s="946"/>
      <c r="E27" s="945"/>
      <c r="F27" s="945"/>
      <c r="G27" s="945"/>
      <c r="H27" s="945"/>
      <c r="I27" s="946"/>
      <c r="J27" s="947"/>
      <c r="K27" s="947"/>
      <c r="L27" s="947"/>
      <c r="M27" s="947"/>
      <c r="N27" s="947"/>
      <c r="O27" s="947"/>
      <c r="P27" s="947"/>
      <c r="Q27" s="947"/>
      <c r="R27" s="947"/>
      <c r="S27" s="947"/>
      <c r="T27" s="947"/>
      <c r="U27" s="947"/>
      <c r="V27" s="947"/>
      <c r="W27" s="947"/>
      <c r="X27" s="947"/>
      <c r="Y27" s="947"/>
      <c r="Z27" s="947"/>
      <c r="AA27" s="947"/>
      <c r="AB27" s="947"/>
      <c r="AC27" s="947"/>
      <c r="AD27" s="947"/>
    </row>
    <row r="28" spans="2:78" s="952" customFormat="1">
      <c r="B28" s="949" t="s">
        <v>164</v>
      </c>
      <c r="C28" s="950" t="s">
        <v>163</v>
      </c>
      <c r="D28" s="950"/>
      <c r="E28" s="951" t="s">
        <v>59</v>
      </c>
      <c r="F28" s="951" t="s">
        <v>94</v>
      </c>
      <c r="G28" s="951" t="s">
        <v>97</v>
      </c>
      <c r="H28" s="951" t="s">
        <v>150</v>
      </c>
      <c r="I28" s="950"/>
      <c r="J28" s="227">
        <v>41000</v>
      </c>
      <c r="K28" s="227">
        <v>41030</v>
      </c>
      <c r="L28" s="227">
        <v>41061</v>
      </c>
      <c r="M28" s="227">
        <v>41091</v>
      </c>
      <c r="N28" s="227">
        <v>41122</v>
      </c>
      <c r="O28" s="227">
        <v>41153</v>
      </c>
      <c r="P28" s="227">
        <v>41183</v>
      </c>
      <c r="Q28" s="227">
        <v>41214</v>
      </c>
      <c r="R28" s="227">
        <v>41244</v>
      </c>
      <c r="S28" s="227">
        <v>41275</v>
      </c>
      <c r="T28" s="227">
        <v>41306</v>
      </c>
      <c r="U28" s="227">
        <v>41334</v>
      </c>
      <c r="V28" s="227">
        <v>41365</v>
      </c>
      <c r="W28" s="227">
        <v>41395</v>
      </c>
      <c r="X28" s="227">
        <v>41426</v>
      </c>
      <c r="Y28" s="227">
        <v>41456</v>
      </c>
      <c r="Z28" s="227">
        <v>41487</v>
      </c>
      <c r="AA28" s="227">
        <v>41518</v>
      </c>
      <c r="AB28" s="227">
        <v>41548</v>
      </c>
      <c r="AC28" s="227">
        <v>41579</v>
      </c>
      <c r="AD28" s="227">
        <v>41609</v>
      </c>
      <c r="AE28" s="227">
        <v>41640</v>
      </c>
      <c r="AF28" s="227">
        <v>41671</v>
      </c>
      <c r="AG28" s="227">
        <v>41699</v>
      </c>
      <c r="AH28" s="227">
        <v>41730</v>
      </c>
      <c r="AI28" s="227">
        <v>41760</v>
      </c>
      <c r="AJ28" s="227">
        <v>41791</v>
      </c>
      <c r="AK28" s="227">
        <v>41821</v>
      </c>
      <c r="AL28" s="227">
        <v>41852</v>
      </c>
      <c r="AM28" s="227">
        <v>41883</v>
      </c>
      <c r="AN28" s="227">
        <v>41913</v>
      </c>
      <c r="AO28" s="227">
        <v>41944</v>
      </c>
      <c r="AP28" s="227">
        <v>41974</v>
      </c>
      <c r="AQ28" s="252">
        <v>42005</v>
      </c>
      <c r="AR28" s="211">
        <v>42036</v>
      </c>
      <c r="AS28" s="211">
        <v>42064</v>
      </c>
      <c r="AT28" s="211">
        <v>42095</v>
      </c>
      <c r="AU28" s="211">
        <v>42155</v>
      </c>
      <c r="AV28" s="211">
        <v>42185</v>
      </c>
      <c r="AW28" s="211">
        <v>42216</v>
      </c>
      <c r="AX28" s="211">
        <v>42247</v>
      </c>
      <c r="AY28" s="211">
        <v>42277</v>
      </c>
      <c r="AZ28" s="211">
        <v>42308</v>
      </c>
      <c r="BA28" s="211">
        <v>42338</v>
      </c>
      <c r="BB28" s="211">
        <v>42369</v>
      </c>
      <c r="BC28" s="252">
        <v>42370</v>
      </c>
      <c r="BD28" s="211">
        <v>42401</v>
      </c>
      <c r="BE28" s="211">
        <v>42430</v>
      </c>
      <c r="BF28" s="211">
        <v>42461</v>
      </c>
      <c r="BG28" s="211">
        <v>42521</v>
      </c>
      <c r="BH28" s="211">
        <v>42551</v>
      </c>
      <c r="BI28" s="211">
        <v>42582</v>
      </c>
      <c r="BJ28" s="211">
        <v>42613</v>
      </c>
      <c r="BK28" s="211">
        <v>42643</v>
      </c>
      <c r="BL28" s="211">
        <v>42674</v>
      </c>
      <c r="BM28" s="211">
        <v>42704</v>
      </c>
      <c r="BN28" s="211">
        <v>42735</v>
      </c>
      <c r="BO28" s="211">
        <v>42766</v>
      </c>
      <c r="BP28" s="211">
        <v>42794</v>
      </c>
      <c r="BQ28" s="211">
        <v>42825</v>
      </c>
      <c r="BR28" s="211">
        <v>42855</v>
      </c>
      <c r="BS28" s="252">
        <v>42886</v>
      </c>
      <c r="BT28" s="211">
        <v>42916</v>
      </c>
      <c r="BU28" s="211">
        <v>42947</v>
      </c>
      <c r="BV28" s="211">
        <v>42978</v>
      </c>
      <c r="BW28" s="211">
        <v>43008</v>
      </c>
      <c r="BX28" s="211">
        <v>43039</v>
      </c>
      <c r="BY28" s="211">
        <v>43069</v>
      </c>
      <c r="BZ28" s="211">
        <v>43100</v>
      </c>
    </row>
    <row r="29" spans="2:78">
      <c r="B29" s="1592" t="s">
        <v>152</v>
      </c>
      <c r="C29" s="243">
        <v>30.857142857142858</v>
      </c>
      <c r="H29" s="243">
        <v>5</v>
      </c>
      <c r="U29" s="937">
        <v>15</v>
      </c>
      <c r="V29" s="937">
        <v>39</v>
      </c>
      <c r="W29" s="937">
        <v>42</v>
      </c>
      <c r="X29" s="937">
        <v>43</v>
      </c>
      <c r="Y29" s="937">
        <v>35</v>
      </c>
      <c r="Z29" s="937">
        <v>45</v>
      </c>
      <c r="AA29" s="937">
        <v>58</v>
      </c>
      <c r="AB29" s="937">
        <v>61</v>
      </c>
      <c r="AC29" s="937">
        <v>57</v>
      </c>
      <c r="AD29" s="937">
        <v>104</v>
      </c>
      <c r="AE29" s="935">
        <v>31</v>
      </c>
      <c r="AF29" s="935">
        <v>26</v>
      </c>
      <c r="AG29" s="935">
        <v>28</v>
      </c>
      <c r="AH29" s="935">
        <v>56</v>
      </c>
      <c r="AI29" s="935">
        <v>75</v>
      </c>
    </row>
    <row r="30" spans="2:78">
      <c r="B30" s="1592" t="s">
        <v>153</v>
      </c>
      <c r="C30" s="243">
        <v>36</v>
      </c>
      <c r="H30" s="243">
        <v>0</v>
      </c>
      <c r="V30" s="937">
        <v>15</v>
      </c>
      <c r="W30" s="937">
        <v>39</v>
      </c>
      <c r="X30" s="937">
        <v>42</v>
      </c>
      <c r="Y30" s="937">
        <v>43</v>
      </c>
      <c r="Z30" s="937">
        <v>35</v>
      </c>
      <c r="AA30" s="937">
        <v>45</v>
      </c>
      <c r="AB30" s="937">
        <v>58</v>
      </c>
      <c r="AC30" s="937">
        <v>61</v>
      </c>
      <c r="AD30" s="937">
        <v>60</v>
      </c>
      <c r="AE30" s="935">
        <v>103</v>
      </c>
      <c r="AF30" s="935">
        <v>40</v>
      </c>
      <c r="AG30" s="935">
        <v>26</v>
      </c>
      <c r="AH30" s="935">
        <v>28</v>
      </c>
      <c r="AI30" s="935">
        <v>55</v>
      </c>
    </row>
    <row r="31" spans="2:78">
      <c r="B31" s="1592" t="s">
        <v>70</v>
      </c>
      <c r="C31" s="243">
        <v>32.285714285714285</v>
      </c>
      <c r="H31" s="243">
        <v>0</v>
      </c>
      <c r="W31" s="937">
        <v>15</v>
      </c>
      <c r="X31" s="937">
        <v>38</v>
      </c>
      <c r="Y31" s="937">
        <v>42</v>
      </c>
      <c r="Z31" s="937">
        <v>43</v>
      </c>
      <c r="AA31" s="937">
        <v>35</v>
      </c>
      <c r="AB31" s="937">
        <v>45</v>
      </c>
      <c r="AC31" s="937">
        <v>58</v>
      </c>
      <c r="AD31" s="937">
        <v>58</v>
      </c>
      <c r="AE31" s="935">
        <v>57</v>
      </c>
      <c r="AF31" s="935">
        <v>94</v>
      </c>
      <c r="AG31" s="935">
        <v>30</v>
      </c>
      <c r="AH31" s="935">
        <v>26</v>
      </c>
      <c r="AI31" s="935">
        <v>19</v>
      </c>
    </row>
    <row r="32" spans="2:78">
      <c r="B32" s="1592" t="s">
        <v>71</v>
      </c>
      <c r="C32" s="243">
        <v>89.428571428571431</v>
      </c>
      <c r="H32" s="243">
        <v>0</v>
      </c>
      <c r="X32" s="937">
        <v>15</v>
      </c>
      <c r="Y32" s="937">
        <v>48</v>
      </c>
      <c r="Z32" s="937">
        <v>70</v>
      </c>
      <c r="AA32" s="937">
        <v>84</v>
      </c>
      <c r="AB32" s="937">
        <v>82</v>
      </c>
      <c r="AC32" s="937">
        <v>80</v>
      </c>
      <c r="AD32" s="937">
        <v>114</v>
      </c>
      <c r="AE32" s="935">
        <v>116</v>
      </c>
      <c r="AF32" s="935">
        <v>121</v>
      </c>
      <c r="AG32" s="935">
        <v>154</v>
      </c>
      <c r="AH32" s="935">
        <v>136</v>
      </c>
      <c r="AI32" s="935">
        <v>99</v>
      </c>
    </row>
    <row r="33" spans="1:305">
      <c r="B33" s="1592" t="s">
        <v>72</v>
      </c>
      <c r="C33" s="243">
        <v>56.857142857142854</v>
      </c>
      <c r="H33" s="243">
        <v>0</v>
      </c>
      <c r="AA33" s="937">
        <v>11</v>
      </c>
      <c r="AB33" s="937">
        <v>24</v>
      </c>
      <c r="AC33" s="937">
        <v>46</v>
      </c>
      <c r="AD33" s="937">
        <v>66</v>
      </c>
      <c r="AE33" s="935">
        <v>78</v>
      </c>
      <c r="AF33" s="935">
        <v>69</v>
      </c>
      <c r="AG33" s="935">
        <v>61</v>
      </c>
      <c r="AH33" s="935">
        <v>86</v>
      </c>
      <c r="AI33" s="935">
        <v>104</v>
      </c>
    </row>
    <row r="34" spans="1:305">
      <c r="B34" s="1592" t="s">
        <v>73</v>
      </c>
      <c r="C34" s="243">
        <v>72.571428571428569</v>
      </c>
      <c r="H34" s="243">
        <v>3.6666666666666665</v>
      </c>
      <c r="U34" s="937">
        <v>11</v>
      </c>
      <c r="V34" s="937">
        <v>39</v>
      </c>
      <c r="W34" s="937">
        <v>54</v>
      </c>
      <c r="X34" s="937">
        <v>64</v>
      </c>
      <c r="Y34" s="937">
        <v>63</v>
      </c>
      <c r="Z34" s="937">
        <v>66</v>
      </c>
      <c r="AA34" s="937">
        <v>72</v>
      </c>
      <c r="AB34" s="937">
        <v>73</v>
      </c>
      <c r="AC34" s="937">
        <v>80</v>
      </c>
      <c r="AD34" s="937">
        <v>82</v>
      </c>
      <c r="AE34" s="935">
        <v>86</v>
      </c>
      <c r="AF34" s="935">
        <v>81</v>
      </c>
      <c r="AG34" s="935">
        <v>89</v>
      </c>
      <c r="AH34" s="935">
        <v>115</v>
      </c>
      <c r="AI34" s="935">
        <v>137</v>
      </c>
    </row>
    <row r="35" spans="1:305" s="956" customFormat="1">
      <c r="A35" s="935"/>
      <c r="B35" s="1592" t="s">
        <v>74</v>
      </c>
      <c r="C35" s="953">
        <v>0</v>
      </c>
      <c r="D35" s="932"/>
      <c r="E35" s="954"/>
      <c r="F35" s="954"/>
      <c r="G35" s="954"/>
      <c r="H35" s="953">
        <v>0</v>
      </c>
      <c r="I35" s="932"/>
      <c r="J35" s="955"/>
      <c r="K35" s="955"/>
      <c r="L35" s="955"/>
      <c r="M35" s="955"/>
      <c r="N35" s="955"/>
      <c r="O35" s="955"/>
      <c r="P35" s="955"/>
      <c r="Q35" s="955"/>
      <c r="R35" s="955"/>
      <c r="S35" s="955"/>
      <c r="T35" s="955"/>
      <c r="U35" s="955"/>
      <c r="V35" s="955"/>
      <c r="W35" s="955"/>
      <c r="X35" s="955"/>
      <c r="Y35" s="955"/>
      <c r="Z35" s="955"/>
      <c r="AA35" s="955"/>
      <c r="AB35" s="955"/>
      <c r="AC35" s="955"/>
      <c r="AD35" s="955"/>
      <c r="BU35" s="2373"/>
    </row>
    <row r="36" spans="1:305" s="1318" customFormat="1">
      <c r="A36" s="935" t="s">
        <v>4273</v>
      </c>
      <c r="B36" s="1313" t="s">
        <v>49</v>
      </c>
      <c r="C36" s="1314">
        <v>5453</v>
      </c>
      <c r="D36" s="1315"/>
      <c r="E36" s="1314"/>
      <c r="F36" s="1314"/>
      <c r="G36" s="1314"/>
      <c r="H36" s="1314">
        <v>8.6666666666666661</v>
      </c>
      <c r="I36" s="1316"/>
      <c r="J36" s="1317">
        <v>0</v>
      </c>
      <c r="K36" s="1317">
        <v>0</v>
      </c>
      <c r="L36" s="1317">
        <v>0</v>
      </c>
      <c r="M36" s="1317">
        <v>0</v>
      </c>
      <c r="N36" s="1317">
        <v>0</v>
      </c>
      <c r="O36" s="1317">
        <v>0</v>
      </c>
      <c r="P36" s="1317">
        <v>0</v>
      </c>
      <c r="Q36" s="1317">
        <v>0</v>
      </c>
      <c r="R36" s="1317">
        <v>0</v>
      </c>
      <c r="S36" s="1317">
        <v>0</v>
      </c>
      <c r="T36" s="1317">
        <v>0</v>
      </c>
      <c r="U36" s="1317">
        <v>26</v>
      </c>
      <c r="V36" s="1317">
        <v>93</v>
      </c>
      <c r="W36" s="1317">
        <v>150</v>
      </c>
      <c r="X36" s="1317">
        <v>202</v>
      </c>
      <c r="Y36" s="1317">
        <v>231</v>
      </c>
      <c r="Z36" s="1317">
        <v>259</v>
      </c>
      <c r="AA36" s="1317">
        <v>305</v>
      </c>
      <c r="AB36" s="1317">
        <v>343</v>
      </c>
      <c r="AC36" s="1317">
        <v>382</v>
      </c>
      <c r="AD36" s="1317">
        <v>484</v>
      </c>
      <c r="AE36" s="1317">
        <v>471</v>
      </c>
      <c r="AF36" s="1317">
        <v>431</v>
      </c>
      <c r="AG36" s="1317">
        <v>388</v>
      </c>
      <c r="AH36" s="1317">
        <v>447</v>
      </c>
      <c r="AI36" s="1317">
        <v>489</v>
      </c>
      <c r="AJ36" s="1317">
        <v>519</v>
      </c>
      <c r="AK36" s="1317">
        <v>518</v>
      </c>
      <c r="AL36" s="1317">
        <v>589</v>
      </c>
      <c r="AM36" s="1317">
        <v>652</v>
      </c>
      <c r="AN36" s="1317">
        <v>735</v>
      </c>
      <c r="AO36" s="1317">
        <v>860</v>
      </c>
      <c r="AP36" s="1317">
        <v>979</v>
      </c>
      <c r="AQ36" s="1317">
        <v>1142</v>
      </c>
      <c r="AR36" s="1318">
        <v>1203</v>
      </c>
      <c r="AS36" s="1790">
        <v>1331</v>
      </c>
      <c r="AT36" s="1790">
        <v>1503</v>
      </c>
      <c r="AU36" s="1790">
        <v>1459</v>
      </c>
      <c r="AV36" s="1790">
        <v>1485</v>
      </c>
      <c r="AW36" s="1318">
        <v>1485</v>
      </c>
      <c r="AX36" s="1318">
        <v>1572</v>
      </c>
      <c r="AY36" s="1318">
        <v>1732</v>
      </c>
      <c r="AZ36" s="1318">
        <v>1852</v>
      </c>
      <c r="BA36" s="1318">
        <v>2108</v>
      </c>
      <c r="BB36" s="1318">
        <v>2192</v>
      </c>
      <c r="BC36" s="1903">
        <v>2219</v>
      </c>
      <c r="BD36" s="1903">
        <v>2130</v>
      </c>
      <c r="BE36" s="1903">
        <v>2259</v>
      </c>
      <c r="BF36" s="1903">
        <v>2385</v>
      </c>
      <c r="BG36" s="1903">
        <v>2733</v>
      </c>
      <c r="BH36" s="1903">
        <v>3526</v>
      </c>
      <c r="BI36" s="1903">
        <v>3957</v>
      </c>
      <c r="BJ36" s="1903">
        <v>4470</v>
      </c>
      <c r="BK36" s="1903">
        <v>5082</v>
      </c>
      <c r="BL36" s="1903">
        <v>5596</v>
      </c>
      <c r="BM36" s="1903">
        <v>5596</v>
      </c>
      <c r="BN36" s="1903">
        <v>6701</v>
      </c>
      <c r="BO36" s="1903">
        <v>6810</v>
      </c>
      <c r="BP36" s="1903">
        <v>6667</v>
      </c>
      <c r="BQ36" s="1903">
        <v>5243</v>
      </c>
      <c r="BR36" s="1903">
        <v>4730</v>
      </c>
      <c r="BS36" s="1903">
        <v>4944</v>
      </c>
      <c r="BT36" s="1903">
        <v>5524</v>
      </c>
      <c r="BU36" s="1903">
        <v>5453</v>
      </c>
      <c r="BV36" s="1903">
        <v>0</v>
      </c>
      <c r="BW36" s="1903">
        <v>0</v>
      </c>
      <c r="BX36" s="1903">
        <v>0</v>
      </c>
      <c r="BY36" s="1903">
        <v>0</v>
      </c>
      <c r="BZ36" s="1903">
        <v>0</v>
      </c>
      <c r="CA36" s="1903"/>
      <c r="CB36" s="1903"/>
      <c r="CC36" s="1903"/>
      <c r="CD36" s="1903"/>
      <c r="CE36" s="1903"/>
    </row>
    <row r="38" spans="1:305" s="952" customFormat="1">
      <c r="A38" s="935"/>
      <c r="B38" s="949" t="s">
        <v>167</v>
      </c>
      <c r="C38" s="950" t="s">
        <v>163</v>
      </c>
      <c r="D38" s="950"/>
      <c r="E38" s="951" t="s">
        <v>59</v>
      </c>
      <c r="F38" s="951" t="s">
        <v>94</v>
      </c>
      <c r="G38" s="951" t="s">
        <v>97</v>
      </c>
      <c r="H38" s="951" t="s">
        <v>150</v>
      </c>
      <c r="I38" s="950"/>
      <c r="J38" s="227">
        <v>41000</v>
      </c>
      <c r="K38" s="227">
        <v>41030</v>
      </c>
      <c r="L38" s="227">
        <v>41061</v>
      </c>
      <c r="M38" s="227">
        <v>41091</v>
      </c>
      <c r="N38" s="227">
        <v>41122</v>
      </c>
      <c r="O38" s="227">
        <v>41153</v>
      </c>
      <c r="P38" s="227">
        <v>41183</v>
      </c>
      <c r="Q38" s="227">
        <v>41214</v>
      </c>
      <c r="R38" s="227">
        <v>41244</v>
      </c>
      <c r="S38" s="227">
        <v>41275</v>
      </c>
      <c r="T38" s="227">
        <v>41306</v>
      </c>
      <c r="U38" s="227">
        <v>41334</v>
      </c>
      <c r="V38" s="227">
        <v>41365</v>
      </c>
      <c r="W38" s="227">
        <v>41395</v>
      </c>
      <c r="X38" s="227">
        <v>41426</v>
      </c>
      <c r="Y38" s="227">
        <v>41456</v>
      </c>
      <c r="Z38" s="227">
        <v>41487</v>
      </c>
      <c r="AA38" s="227">
        <v>41518</v>
      </c>
      <c r="AB38" s="227">
        <v>41548</v>
      </c>
      <c r="AC38" s="227">
        <v>41579</v>
      </c>
      <c r="AD38" s="227">
        <v>41609</v>
      </c>
      <c r="AE38" s="227">
        <v>41640</v>
      </c>
      <c r="AF38" s="227">
        <v>41671</v>
      </c>
      <c r="AG38" s="227">
        <v>41699</v>
      </c>
      <c r="AH38" s="227">
        <v>41730</v>
      </c>
      <c r="AI38" s="227">
        <v>41760</v>
      </c>
      <c r="AJ38" s="227">
        <v>41791</v>
      </c>
      <c r="AK38" s="227">
        <v>41821</v>
      </c>
      <c r="AL38" s="227">
        <v>41852</v>
      </c>
      <c r="AM38" s="227">
        <v>41883</v>
      </c>
      <c r="AN38" s="227">
        <v>41913</v>
      </c>
      <c r="AO38" s="227">
        <v>41944</v>
      </c>
      <c r="AP38" s="227">
        <v>41974</v>
      </c>
      <c r="AQ38" s="252">
        <v>42005</v>
      </c>
      <c r="AR38" s="211">
        <v>42036</v>
      </c>
      <c r="AS38" s="211">
        <v>42064</v>
      </c>
      <c r="AT38" s="211">
        <v>42095</v>
      </c>
      <c r="AU38" s="211">
        <v>42155</v>
      </c>
      <c r="AV38" s="211">
        <v>42185</v>
      </c>
      <c r="AW38" s="211">
        <v>42216</v>
      </c>
      <c r="AX38" s="211">
        <v>42247</v>
      </c>
      <c r="AY38" s="211">
        <v>42277</v>
      </c>
      <c r="AZ38" s="211">
        <v>42308</v>
      </c>
      <c r="BA38" s="211">
        <v>42338</v>
      </c>
      <c r="BB38" s="211">
        <v>42369</v>
      </c>
      <c r="BC38" s="252">
        <v>42370</v>
      </c>
      <c r="BD38" s="211">
        <v>42401</v>
      </c>
      <c r="BE38" s="211">
        <v>42430</v>
      </c>
      <c r="BF38" s="211">
        <v>42461</v>
      </c>
      <c r="BG38" s="211">
        <v>42521</v>
      </c>
      <c r="BH38" s="211">
        <v>42551</v>
      </c>
      <c r="BI38" s="211">
        <v>42582</v>
      </c>
      <c r="BJ38" s="211">
        <v>42613</v>
      </c>
      <c r="BK38" s="211">
        <v>42643</v>
      </c>
      <c r="BL38" s="211">
        <v>42674</v>
      </c>
      <c r="BM38" s="211">
        <v>42704</v>
      </c>
      <c r="BN38" s="211">
        <v>42735</v>
      </c>
      <c r="BO38" s="211">
        <v>42766</v>
      </c>
      <c r="BP38" s="211">
        <v>42794</v>
      </c>
      <c r="BQ38" s="211">
        <v>42825</v>
      </c>
      <c r="BR38" s="211">
        <v>42855</v>
      </c>
      <c r="BS38" s="252">
        <v>42886</v>
      </c>
      <c r="BT38" s="211">
        <v>42916</v>
      </c>
      <c r="BU38" s="211">
        <v>42947</v>
      </c>
      <c r="BV38" s="211">
        <v>42978</v>
      </c>
      <c r="BW38" s="211">
        <v>43008</v>
      </c>
      <c r="BX38" s="211">
        <v>43039</v>
      </c>
      <c r="BY38" s="211">
        <v>43069</v>
      </c>
      <c r="BZ38" s="211">
        <v>43100</v>
      </c>
    </row>
    <row r="39" spans="1:305" s="1203" customFormat="1">
      <c r="A39" s="935" t="s">
        <v>4274</v>
      </c>
      <c r="B39" s="1199" t="s">
        <v>154</v>
      </c>
      <c r="C39" s="1899">
        <v>4080.4285714285716</v>
      </c>
      <c r="D39" s="1200"/>
      <c r="E39" s="1201"/>
      <c r="F39" s="1201"/>
      <c r="G39" s="1201"/>
      <c r="H39" s="918">
        <v>5</v>
      </c>
      <c r="I39" s="1200"/>
      <c r="J39" s="1202"/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>
        <v>15</v>
      </c>
      <c r="V39" s="1202">
        <v>54</v>
      </c>
      <c r="W39" s="1202">
        <v>96</v>
      </c>
      <c r="X39" s="1202">
        <v>138</v>
      </c>
      <c r="Y39" s="1202">
        <v>165</v>
      </c>
      <c r="Z39" s="1202">
        <v>188</v>
      </c>
      <c r="AA39" s="1202">
        <v>227</v>
      </c>
      <c r="AB39" s="1202">
        <v>274</v>
      </c>
      <c r="AC39" s="1202">
        <v>307</v>
      </c>
      <c r="AD39" s="1202">
        <v>411</v>
      </c>
      <c r="AE39" s="1203">
        <v>386</v>
      </c>
      <c r="AF39" s="1203">
        <v>347</v>
      </c>
      <c r="AG39" s="1203">
        <v>304</v>
      </c>
      <c r="AH39" s="1203">
        <v>350</v>
      </c>
      <c r="AI39" s="1203">
        <v>376</v>
      </c>
      <c r="AJ39" s="1203">
        <v>385</v>
      </c>
      <c r="AK39" s="1203">
        <v>392</v>
      </c>
      <c r="AL39" s="1203">
        <v>449</v>
      </c>
      <c r="AM39" s="1203">
        <v>489</v>
      </c>
      <c r="AN39" s="1203">
        <v>559</v>
      </c>
      <c r="AO39" s="1203">
        <v>642</v>
      </c>
      <c r="AP39" s="1203">
        <v>719</v>
      </c>
      <c r="AQ39" s="1203">
        <v>845</v>
      </c>
      <c r="AR39" s="1203">
        <v>883</v>
      </c>
      <c r="AS39" s="1203">
        <v>997</v>
      </c>
      <c r="AT39" s="1203">
        <v>1127</v>
      </c>
      <c r="AU39" s="1203">
        <v>1061</v>
      </c>
      <c r="AV39" s="1203">
        <v>1105</v>
      </c>
      <c r="AW39" s="1203">
        <v>1101</v>
      </c>
      <c r="AX39" s="1203">
        <v>1199</v>
      </c>
      <c r="AY39" s="1203">
        <v>1297</v>
      </c>
      <c r="AZ39" s="1203">
        <v>1387</v>
      </c>
      <c r="BA39" s="1203">
        <v>1621</v>
      </c>
      <c r="BB39" s="1203">
        <v>1704</v>
      </c>
      <c r="BC39" s="1203">
        <v>1716</v>
      </c>
      <c r="BD39" s="1203">
        <v>1621</v>
      </c>
      <c r="BE39" s="1203">
        <v>1726</v>
      </c>
      <c r="BF39" s="1203">
        <v>1792</v>
      </c>
      <c r="BG39" s="1203">
        <v>2080</v>
      </c>
      <c r="BH39" s="1203">
        <v>2766</v>
      </c>
      <c r="BI39" s="1203">
        <v>3156</v>
      </c>
      <c r="BJ39" s="1203">
        <v>3577</v>
      </c>
      <c r="BK39" s="1203">
        <v>4038</v>
      </c>
      <c r="BL39" s="1203">
        <v>4438</v>
      </c>
      <c r="BM39" s="1203">
        <v>4438</v>
      </c>
      <c r="BN39" s="1203">
        <v>5348</v>
      </c>
      <c r="BO39" s="1657">
        <v>5455</v>
      </c>
      <c r="BP39" s="1657">
        <v>3696</v>
      </c>
      <c r="BQ39" s="1657">
        <v>3844</v>
      </c>
      <c r="BR39" s="1657">
        <v>3460</v>
      </c>
      <c r="BS39" s="1657">
        <v>3625</v>
      </c>
      <c r="BT39" s="1657">
        <v>4210</v>
      </c>
      <c r="BU39" s="1657">
        <v>4273</v>
      </c>
      <c r="BV39" s="1657">
        <v>0</v>
      </c>
      <c r="BW39" s="1657">
        <v>0</v>
      </c>
      <c r="BX39" s="1657">
        <v>0</v>
      </c>
      <c r="BY39" s="1657">
        <v>0</v>
      </c>
      <c r="BZ39" s="1657">
        <v>0</v>
      </c>
      <c r="CA39" s="1657"/>
      <c r="CB39" s="1657"/>
      <c r="CC39" s="1657"/>
      <c r="CD39" s="1657"/>
      <c r="CE39" s="1657"/>
      <c r="CF39" s="1657"/>
    </row>
    <row r="40" spans="1:305" s="1203" customFormat="1">
      <c r="A40" s="935" t="s">
        <v>4275</v>
      </c>
      <c r="B40" s="1199" t="s">
        <v>155</v>
      </c>
      <c r="C40" s="1899">
        <v>293.14285714285717</v>
      </c>
      <c r="D40" s="1200"/>
      <c r="E40" s="1201"/>
      <c r="F40" s="1201"/>
      <c r="G40" s="1201"/>
      <c r="H40" s="918">
        <v>0</v>
      </c>
      <c r="I40" s="1200"/>
      <c r="J40" s="1202"/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/>
      <c r="W40" s="1202"/>
      <c r="X40" s="1202"/>
      <c r="Y40" s="1202">
        <v>3</v>
      </c>
      <c r="Z40" s="1202">
        <v>5</v>
      </c>
      <c r="AA40" s="1202">
        <v>6</v>
      </c>
      <c r="AB40" s="1202">
        <v>8</v>
      </c>
      <c r="AC40" s="1202">
        <v>11</v>
      </c>
      <c r="AD40" s="1202">
        <v>12</v>
      </c>
      <c r="AE40" s="1203">
        <v>24</v>
      </c>
      <c r="AF40" s="1203">
        <v>27</v>
      </c>
      <c r="AG40" s="1203">
        <v>28</v>
      </c>
      <c r="AH40" s="1203">
        <v>22</v>
      </c>
      <c r="AI40" s="1203">
        <v>23</v>
      </c>
      <c r="AJ40" s="1203">
        <v>20</v>
      </c>
      <c r="AK40" s="1203">
        <v>19</v>
      </c>
      <c r="AL40" s="1203">
        <v>21</v>
      </c>
      <c r="AM40" s="1203">
        <v>25</v>
      </c>
      <c r="AN40" s="1203">
        <v>28</v>
      </c>
      <c r="AO40" s="1203">
        <v>33</v>
      </c>
      <c r="AP40" s="1203">
        <v>44</v>
      </c>
      <c r="AQ40" s="1203">
        <v>57</v>
      </c>
      <c r="AR40" s="1203">
        <v>65</v>
      </c>
      <c r="AS40" s="1203">
        <v>65</v>
      </c>
      <c r="AT40" s="1203">
        <v>63</v>
      </c>
      <c r="AU40" s="1203">
        <v>62</v>
      </c>
      <c r="AV40" s="1203">
        <v>49</v>
      </c>
      <c r="AW40" s="1203">
        <v>43</v>
      </c>
      <c r="AX40" s="1203">
        <v>37</v>
      </c>
      <c r="AY40" s="1203">
        <v>39</v>
      </c>
      <c r="AZ40" s="1203">
        <v>47</v>
      </c>
      <c r="BA40" s="1203">
        <v>55</v>
      </c>
      <c r="BB40" s="1203">
        <v>58</v>
      </c>
      <c r="BC40" s="1203">
        <v>68</v>
      </c>
      <c r="BD40" s="1203">
        <v>78</v>
      </c>
      <c r="BE40" s="1203">
        <v>87</v>
      </c>
      <c r="BF40" s="1203">
        <v>110</v>
      </c>
      <c r="BG40" s="1203">
        <v>114</v>
      </c>
      <c r="BH40" s="1203">
        <v>115</v>
      </c>
      <c r="BI40" s="1203">
        <v>127</v>
      </c>
      <c r="BJ40" s="1203">
        <v>147</v>
      </c>
      <c r="BK40" s="1203">
        <v>178</v>
      </c>
      <c r="BL40" s="1203">
        <v>194</v>
      </c>
      <c r="BM40" s="1203">
        <v>194</v>
      </c>
      <c r="BN40" s="1203">
        <v>237</v>
      </c>
      <c r="BO40" s="1657">
        <v>253</v>
      </c>
      <c r="BP40" s="1657">
        <v>272</v>
      </c>
      <c r="BQ40" s="1657">
        <v>287</v>
      </c>
      <c r="BR40" s="1657">
        <v>295</v>
      </c>
      <c r="BS40" s="1657">
        <v>313</v>
      </c>
      <c r="BT40" s="1657">
        <v>324</v>
      </c>
      <c r="BU40" s="1657">
        <v>308</v>
      </c>
      <c r="BV40" s="1657">
        <v>0</v>
      </c>
      <c r="BW40" s="1657">
        <v>0</v>
      </c>
      <c r="BX40" s="1657">
        <v>0</v>
      </c>
      <c r="BY40" s="1657">
        <v>0</v>
      </c>
      <c r="BZ40" s="1657">
        <v>0</v>
      </c>
      <c r="CA40" s="1657"/>
      <c r="CB40" s="1657"/>
      <c r="CC40" s="1657"/>
      <c r="CD40" s="1657"/>
      <c r="CE40" s="1657"/>
      <c r="CF40" s="1657"/>
    </row>
    <row r="41" spans="1:305" s="1203" customFormat="1">
      <c r="A41" s="935" t="s">
        <v>4276</v>
      </c>
      <c r="B41" s="1199" t="s">
        <v>156</v>
      </c>
      <c r="C41" s="1899">
        <v>658.14285714285711</v>
      </c>
      <c r="D41" s="1200"/>
      <c r="E41" s="1201"/>
      <c r="F41" s="1201"/>
      <c r="G41" s="1201"/>
      <c r="H41" s="918">
        <v>2.3333333333333335</v>
      </c>
      <c r="I41" s="1200"/>
      <c r="J41" s="1202"/>
      <c r="K41" s="1202"/>
      <c r="L41" s="1202"/>
      <c r="M41" s="1202"/>
      <c r="N41" s="1202"/>
      <c r="O41" s="1202"/>
      <c r="P41" s="1202"/>
      <c r="Q41" s="1202"/>
      <c r="R41" s="1202"/>
      <c r="S41" s="1202"/>
      <c r="T41" s="1202"/>
      <c r="U41" s="1202">
        <v>7</v>
      </c>
      <c r="V41" s="1202">
        <v>25</v>
      </c>
      <c r="W41" s="1202">
        <v>35</v>
      </c>
      <c r="X41" s="1202">
        <v>42</v>
      </c>
      <c r="Y41" s="1202">
        <v>41</v>
      </c>
      <c r="Z41" s="1202">
        <v>44</v>
      </c>
      <c r="AA41" s="1202">
        <v>50</v>
      </c>
      <c r="AB41" s="1202">
        <v>41</v>
      </c>
      <c r="AC41" s="1202">
        <v>42</v>
      </c>
      <c r="AD41" s="1202">
        <v>41</v>
      </c>
      <c r="AE41" s="1203">
        <v>40</v>
      </c>
      <c r="AF41" s="1203">
        <v>37</v>
      </c>
      <c r="AG41" s="1203">
        <v>34</v>
      </c>
      <c r="AH41" s="1203">
        <v>46</v>
      </c>
      <c r="AI41" s="1203">
        <v>55</v>
      </c>
      <c r="AJ41" s="1203">
        <v>74</v>
      </c>
      <c r="AK41" s="1203">
        <v>67</v>
      </c>
      <c r="AL41" s="1203">
        <v>72</v>
      </c>
      <c r="AM41" s="1203">
        <v>88</v>
      </c>
      <c r="AN41" s="1203">
        <v>95</v>
      </c>
      <c r="AO41" s="1203">
        <v>116</v>
      </c>
      <c r="AP41" s="1203">
        <v>140</v>
      </c>
      <c r="AQ41" s="1203">
        <v>157</v>
      </c>
      <c r="AR41" s="1203">
        <v>169</v>
      </c>
      <c r="AS41" s="1203">
        <v>174</v>
      </c>
      <c r="AT41" s="1203">
        <v>202</v>
      </c>
      <c r="AU41" s="1203">
        <v>214</v>
      </c>
      <c r="AV41" s="1203">
        <v>208</v>
      </c>
      <c r="AW41" s="1203">
        <v>213</v>
      </c>
      <c r="AX41" s="1203">
        <v>211</v>
      </c>
      <c r="AY41" s="1203">
        <v>253</v>
      </c>
      <c r="AZ41" s="1203">
        <v>272</v>
      </c>
      <c r="BA41" s="1203">
        <v>289</v>
      </c>
      <c r="BB41" s="1203">
        <v>288</v>
      </c>
      <c r="BC41" s="1203">
        <v>290</v>
      </c>
      <c r="BD41" s="1203">
        <v>284</v>
      </c>
      <c r="BE41" s="1203">
        <v>293</v>
      </c>
      <c r="BF41" s="1203">
        <v>311</v>
      </c>
      <c r="BG41" s="1203">
        <v>348</v>
      </c>
      <c r="BH41" s="1203">
        <v>429</v>
      </c>
      <c r="BI41" s="1203">
        <v>444</v>
      </c>
      <c r="BJ41" s="1203">
        <v>494</v>
      </c>
      <c r="BK41" s="1203">
        <v>568</v>
      </c>
      <c r="BL41" s="1203">
        <v>640</v>
      </c>
      <c r="BM41" s="1203">
        <v>640</v>
      </c>
      <c r="BN41" s="1203">
        <v>738</v>
      </c>
      <c r="BO41" s="1657">
        <v>722</v>
      </c>
      <c r="BP41" s="1657">
        <v>749</v>
      </c>
      <c r="BQ41" s="1657">
        <v>729</v>
      </c>
      <c r="BR41" s="1657">
        <v>602</v>
      </c>
      <c r="BS41" s="1657">
        <v>630</v>
      </c>
      <c r="BT41" s="1657">
        <v>634</v>
      </c>
      <c r="BU41" s="1657">
        <v>541</v>
      </c>
      <c r="BV41" s="1657">
        <v>0</v>
      </c>
      <c r="BW41" s="1657">
        <v>0</v>
      </c>
      <c r="BX41" s="1657">
        <v>0</v>
      </c>
      <c r="BY41" s="1657">
        <v>0</v>
      </c>
      <c r="BZ41" s="1657">
        <v>0</v>
      </c>
      <c r="CA41" s="1657"/>
      <c r="CB41" s="1657"/>
      <c r="CC41" s="1657"/>
      <c r="CD41" s="1657"/>
      <c r="CE41" s="1657"/>
      <c r="CF41" s="1657"/>
    </row>
    <row r="42" spans="1:305" s="1203" customFormat="1">
      <c r="A42" s="935" t="s">
        <v>4277</v>
      </c>
      <c r="B42" s="1199" t="s">
        <v>157</v>
      </c>
      <c r="C42" s="1899">
        <v>240.42857142857142</v>
      </c>
      <c r="D42" s="1200"/>
      <c r="E42" s="1201"/>
      <c r="F42" s="1201"/>
      <c r="G42" s="1201"/>
      <c r="H42" s="918">
        <v>1</v>
      </c>
      <c r="I42" s="1200"/>
      <c r="J42" s="1202"/>
      <c r="K42" s="1202"/>
      <c r="L42" s="1202"/>
      <c r="M42" s="1202"/>
      <c r="N42" s="1202"/>
      <c r="O42" s="1202"/>
      <c r="P42" s="1202"/>
      <c r="Q42" s="1202"/>
      <c r="R42" s="1202"/>
      <c r="S42" s="1202"/>
      <c r="T42" s="1202"/>
      <c r="U42" s="1202">
        <v>3</v>
      </c>
      <c r="V42" s="1202">
        <v>7</v>
      </c>
      <c r="W42" s="1202">
        <v>11</v>
      </c>
      <c r="X42" s="1202">
        <v>14</v>
      </c>
      <c r="Y42" s="1202">
        <v>14</v>
      </c>
      <c r="Z42" s="1202">
        <v>13</v>
      </c>
      <c r="AA42" s="1202">
        <v>13</v>
      </c>
      <c r="AB42" s="1202">
        <v>10</v>
      </c>
      <c r="AC42" s="1202">
        <v>11</v>
      </c>
      <c r="AD42" s="1202">
        <v>9</v>
      </c>
      <c r="AE42" s="1203">
        <v>10</v>
      </c>
      <c r="AF42" s="1203">
        <v>9</v>
      </c>
      <c r="AG42" s="1203">
        <v>10</v>
      </c>
      <c r="AH42" s="1203">
        <v>18</v>
      </c>
      <c r="AI42" s="1203">
        <v>20</v>
      </c>
      <c r="AJ42" s="1203">
        <v>23</v>
      </c>
      <c r="AK42" s="1203">
        <v>23</v>
      </c>
      <c r="AL42" s="1203">
        <v>28</v>
      </c>
      <c r="AM42" s="1203">
        <v>30</v>
      </c>
      <c r="AN42" s="1203">
        <v>32</v>
      </c>
      <c r="AO42" s="1203">
        <v>42</v>
      </c>
      <c r="AP42" s="1203">
        <v>46</v>
      </c>
      <c r="AQ42" s="1203">
        <v>52</v>
      </c>
      <c r="AR42" s="1203">
        <v>54</v>
      </c>
      <c r="AS42" s="1203">
        <v>60</v>
      </c>
      <c r="AT42" s="1203">
        <v>70</v>
      </c>
      <c r="AU42" s="1203">
        <v>80</v>
      </c>
      <c r="AV42" s="1203">
        <v>81</v>
      </c>
      <c r="AW42" s="1203">
        <v>82</v>
      </c>
      <c r="AX42" s="1203">
        <v>80</v>
      </c>
      <c r="AY42" s="1203">
        <v>94</v>
      </c>
      <c r="AZ42" s="1203">
        <v>97</v>
      </c>
      <c r="BA42" s="1203">
        <v>95</v>
      </c>
      <c r="BB42" s="1203">
        <v>93</v>
      </c>
      <c r="BC42" s="1203">
        <v>94</v>
      </c>
      <c r="BD42" s="1203">
        <v>96</v>
      </c>
      <c r="BE42" s="1203">
        <v>99</v>
      </c>
      <c r="BF42" s="1203">
        <v>114</v>
      </c>
      <c r="BG42" s="1203">
        <v>131</v>
      </c>
      <c r="BH42" s="1203">
        <v>147</v>
      </c>
      <c r="BI42" s="1203">
        <v>156</v>
      </c>
      <c r="BJ42" s="1203">
        <v>172</v>
      </c>
      <c r="BK42" s="1203">
        <v>197</v>
      </c>
      <c r="BL42" s="1203">
        <v>210</v>
      </c>
      <c r="BM42" s="1203">
        <v>210</v>
      </c>
      <c r="BN42" s="1203">
        <v>251</v>
      </c>
      <c r="BO42" s="1657">
        <v>255</v>
      </c>
      <c r="BP42" s="1657">
        <v>259</v>
      </c>
      <c r="BQ42" s="1657">
        <v>249</v>
      </c>
      <c r="BR42" s="1657">
        <v>238</v>
      </c>
      <c r="BS42" s="1657">
        <v>241</v>
      </c>
      <c r="BT42" s="1657">
        <v>225</v>
      </c>
      <c r="BU42" s="1657">
        <v>216</v>
      </c>
      <c r="BV42" s="1657">
        <v>0</v>
      </c>
      <c r="BW42" s="1657">
        <v>0</v>
      </c>
      <c r="BX42" s="1657">
        <v>0</v>
      </c>
      <c r="BY42" s="1657">
        <v>0</v>
      </c>
      <c r="BZ42" s="1657">
        <v>0</v>
      </c>
      <c r="CA42" s="1657"/>
      <c r="CB42" s="1657"/>
      <c r="CC42" s="1657"/>
      <c r="CD42" s="1657"/>
      <c r="CE42" s="1657"/>
      <c r="CF42" s="1657"/>
    </row>
    <row r="43" spans="1:305" s="1309" customFormat="1">
      <c r="A43" s="935" t="s">
        <v>4278</v>
      </c>
      <c r="B43" s="1199" t="s">
        <v>158</v>
      </c>
      <c r="C43" s="2103">
        <v>79.428571428571431</v>
      </c>
      <c r="D43" s="1200"/>
      <c r="E43" s="1200"/>
      <c r="F43" s="1200"/>
      <c r="G43" s="1200"/>
      <c r="H43" s="1310">
        <v>0.33333333333333331</v>
      </c>
      <c r="I43" s="1200"/>
      <c r="J43" s="1311"/>
      <c r="K43" s="1311"/>
      <c r="L43" s="1311"/>
      <c r="M43" s="1311"/>
      <c r="N43" s="1311"/>
      <c r="O43" s="1311"/>
      <c r="P43" s="1311"/>
      <c r="Q43" s="1311"/>
      <c r="R43" s="1311"/>
      <c r="S43" s="1311"/>
      <c r="T43" s="1311"/>
      <c r="U43" s="1311">
        <v>1</v>
      </c>
      <c r="V43" s="1311">
        <v>7</v>
      </c>
      <c r="W43" s="1311">
        <v>8</v>
      </c>
      <c r="X43" s="1311">
        <v>8</v>
      </c>
      <c r="Y43" s="1311">
        <v>8</v>
      </c>
      <c r="Z43" s="1311">
        <v>9</v>
      </c>
      <c r="AA43" s="1311">
        <v>9</v>
      </c>
      <c r="AB43" s="1311">
        <v>10</v>
      </c>
      <c r="AC43" s="1311">
        <v>11</v>
      </c>
      <c r="AD43" s="1311">
        <v>11</v>
      </c>
      <c r="AE43" s="1312">
        <v>11</v>
      </c>
      <c r="AF43" s="1312">
        <v>11</v>
      </c>
      <c r="AG43" s="1312">
        <v>12</v>
      </c>
      <c r="AH43" s="1312">
        <v>11</v>
      </c>
      <c r="AI43" s="1312">
        <v>15</v>
      </c>
      <c r="AJ43" s="1312">
        <v>15</v>
      </c>
      <c r="AK43" s="1312">
        <v>15</v>
      </c>
      <c r="AL43" s="1312">
        <v>16</v>
      </c>
      <c r="AM43" s="1312">
        <v>16</v>
      </c>
      <c r="AN43" s="1312">
        <v>16</v>
      </c>
      <c r="AO43" s="1312">
        <v>21</v>
      </c>
      <c r="AP43" s="1312">
        <v>24</v>
      </c>
      <c r="AQ43" s="1312">
        <v>24</v>
      </c>
      <c r="AR43" s="1312">
        <v>24</v>
      </c>
      <c r="AS43" s="1312">
        <v>27</v>
      </c>
      <c r="AT43" s="1312">
        <v>31</v>
      </c>
      <c r="AU43" s="1312">
        <v>30</v>
      </c>
      <c r="AV43" s="1203">
        <v>29</v>
      </c>
      <c r="AW43" s="1312">
        <v>29</v>
      </c>
      <c r="AX43" s="1312">
        <v>26</v>
      </c>
      <c r="AY43" s="1312">
        <v>28</v>
      </c>
      <c r="AZ43" s="1312">
        <v>29</v>
      </c>
      <c r="BA43" s="1312">
        <v>28</v>
      </c>
      <c r="BB43" s="1312">
        <v>28</v>
      </c>
      <c r="BC43" s="1312">
        <v>30</v>
      </c>
      <c r="BD43" s="1312">
        <v>29</v>
      </c>
      <c r="BE43" s="1312">
        <v>29</v>
      </c>
      <c r="BF43" s="1312">
        <v>31</v>
      </c>
      <c r="BG43" s="1312">
        <v>33</v>
      </c>
      <c r="BH43" s="1312">
        <v>36</v>
      </c>
      <c r="BI43" s="1312">
        <v>39</v>
      </c>
      <c r="BJ43" s="1312">
        <v>42</v>
      </c>
      <c r="BK43" s="1312">
        <v>57</v>
      </c>
      <c r="BL43" s="1203">
        <v>67</v>
      </c>
      <c r="BM43" s="1203">
        <v>67</v>
      </c>
      <c r="BN43" s="1312">
        <v>73</v>
      </c>
      <c r="BO43" s="1657">
        <v>74</v>
      </c>
      <c r="BP43" s="1657">
        <v>83</v>
      </c>
      <c r="BQ43" s="1657">
        <v>82</v>
      </c>
      <c r="BR43" s="1961">
        <v>82</v>
      </c>
      <c r="BS43" s="1961">
        <v>81</v>
      </c>
      <c r="BT43" s="1961">
        <v>80</v>
      </c>
      <c r="BU43" s="1961">
        <v>74</v>
      </c>
      <c r="BV43" s="1961">
        <v>0</v>
      </c>
      <c r="BW43" s="1961">
        <v>0</v>
      </c>
      <c r="BX43" s="1961">
        <v>0</v>
      </c>
      <c r="BY43" s="1961">
        <v>0</v>
      </c>
      <c r="BZ43" s="1961">
        <v>0</v>
      </c>
      <c r="CA43" s="1657"/>
      <c r="CB43" s="1657"/>
      <c r="CC43" s="1657"/>
      <c r="CD43" s="1657"/>
      <c r="CE43" s="1657"/>
      <c r="CF43" s="1657"/>
      <c r="CG43" s="1312"/>
      <c r="CH43" s="1312"/>
      <c r="CI43" s="1312"/>
      <c r="CJ43" s="1312"/>
      <c r="CK43" s="1312"/>
      <c r="CL43" s="1312"/>
      <c r="CM43" s="1312"/>
      <c r="CN43" s="1312"/>
      <c r="CO43" s="1312"/>
      <c r="CP43" s="1312"/>
      <c r="CQ43" s="1312"/>
      <c r="CR43" s="1312"/>
      <c r="CS43" s="1312"/>
      <c r="CT43" s="1312"/>
      <c r="CU43" s="1312"/>
      <c r="CV43" s="1312"/>
      <c r="CW43" s="1312"/>
      <c r="CX43" s="1312"/>
      <c r="CY43" s="1312"/>
      <c r="CZ43" s="1312"/>
      <c r="DA43" s="1312"/>
      <c r="DB43" s="1312"/>
      <c r="DC43" s="1312"/>
      <c r="DD43" s="1312"/>
      <c r="DE43" s="1312"/>
      <c r="DF43" s="1312"/>
      <c r="DG43" s="1312"/>
      <c r="DH43" s="1312"/>
      <c r="DI43" s="1312"/>
      <c r="DJ43" s="1312"/>
      <c r="DK43" s="1312"/>
      <c r="DL43" s="1312"/>
      <c r="DM43" s="1312"/>
      <c r="DN43" s="1312"/>
      <c r="DO43" s="1312"/>
      <c r="DP43" s="1312"/>
      <c r="DQ43" s="1312"/>
      <c r="DR43" s="1312"/>
      <c r="DS43" s="1312"/>
      <c r="DT43" s="1312"/>
      <c r="DU43" s="1312"/>
      <c r="DV43" s="1312"/>
      <c r="DW43" s="1312"/>
      <c r="DX43" s="1312"/>
      <c r="DY43" s="1312"/>
      <c r="DZ43" s="1312"/>
      <c r="EA43" s="1312"/>
      <c r="EB43" s="1312"/>
      <c r="EC43" s="1312"/>
      <c r="ED43" s="1312"/>
      <c r="EE43" s="1312"/>
      <c r="EF43" s="1312"/>
      <c r="EG43" s="1312"/>
      <c r="EH43" s="1312"/>
      <c r="EI43" s="1312"/>
      <c r="EJ43" s="1312"/>
      <c r="EK43" s="1312"/>
      <c r="EL43" s="1312"/>
      <c r="EM43" s="1312"/>
      <c r="EN43" s="1312"/>
      <c r="EO43" s="1312"/>
      <c r="EP43" s="1312"/>
      <c r="EQ43" s="1312"/>
      <c r="ER43" s="1312"/>
      <c r="ES43" s="1312"/>
      <c r="ET43" s="1312"/>
      <c r="EU43" s="1312"/>
      <c r="EV43" s="1312"/>
      <c r="EW43" s="1312"/>
      <c r="EX43" s="1312"/>
      <c r="EY43" s="1312"/>
      <c r="EZ43" s="1312"/>
      <c r="FA43" s="1312"/>
      <c r="FB43" s="1312"/>
      <c r="FC43" s="1312"/>
      <c r="FD43" s="1312"/>
      <c r="FE43" s="1312"/>
      <c r="FF43" s="1312"/>
      <c r="FG43" s="1312"/>
      <c r="FH43" s="1312"/>
      <c r="FI43" s="1312"/>
      <c r="FJ43" s="1312"/>
      <c r="FK43" s="1312"/>
      <c r="FL43" s="1312"/>
      <c r="FM43" s="1312"/>
      <c r="FN43" s="1312"/>
      <c r="FO43" s="1312"/>
      <c r="FP43" s="1312"/>
      <c r="FQ43" s="1312"/>
      <c r="FR43" s="1312"/>
      <c r="FS43" s="1312"/>
      <c r="FT43" s="1312"/>
      <c r="FU43" s="1312"/>
      <c r="FV43" s="1312"/>
      <c r="FW43" s="1312"/>
      <c r="FX43" s="1312"/>
      <c r="FY43" s="1312"/>
      <c r="FZ43" s="1312"/>
      <c r="GA43" s="1312"/>
      <c r="GB43" s="1312"/>
      <c r="GC43" s="1312"/>
      <c r="GD43" s="1312"/>
      <c r="GE43" s="1312"/>
      <c r="GF43" s="1312"/>
      <c r="GG43" s="1312"/>
      <c r="GH43" s="1312"/>
      <c r="GI43" s="1312"/>
      <c r="GJ43" s="1312"/>
      <c r="GK43" s="1312"/>
      <c r="GL43" s="1312"/>
      <c r="GM43" s="1312"/>
      <c r="GN43" s="1312"/>
      <c r="GO43" s="1312"/>
      <c r="GP43" s="1312"/>
      <c r="GQ43" s="1312"/>
      <c r="GR43" s="1312"/>
      <c r="GS43" s="1312"/>
      <c r="GT43" s="1312"/>
      <c r="GU43" s="1312"/>
      <c r="GV43" s="1312"/>
      <c r="GW43" s="1312"/>
      <c r="GX43" s="1312"/>
      <c r="GY43" s="1312"/>
      <c r="GZ43" s="1312"/>
      <c r="HA43" s="1312"/>
      <c r="HB43" s="1312"/>
      <c r="HC43" s="1312"/>
      <c r="HD43" s="1312"/>
      <c r="HE43" s="1312"/>
      <c r="HF43" s="1312"/>
      <c r="HG43" s="1312"/>
      <c r="HH43" s="1312"/>
      <c r="HI43" s="1312"/>
      <c r="HJ43" s="1312"/>
      <c r="HK43" s="1312"/>
      <c r="HL43" s="1312"/>
      <c r="HM43" s="1312"/>
      <c r="HN43" s="1312"/>
      <c r="HO43" s="1312"/>
      <c r="HP43" s="1312"/>
      <c r="HQ43" s="1312"/>
      <c r="HR43" s="1312"/>
      <c r="HS43" s="1312"/>
      <c r="HT43" s="1312"/>
      <c r="HU43" s="1312"/>
      <c r="HV43" s="1312"/>
      <c r="HW43" s="1312"/>
      <c r="HX43" s="1312"/>
      <c r="HY43" s="1312"/>
      <c r="HZ43" s="1312"/>
      <c r="IA43" s="1312"/>
      <c r="IB43" s="1312"/>
      <c r="IC43" s="1312"/>
      <c r="ID43" s="1312"/>
      <c r="IE43" s="1312"/>
      <c r="IF43" s="1312"/>
      <c r="IG43" s="1312"/>
      <c r="IH43" s="1312"/>
      <c r="II43" s="1312"/>
      <c r="IJ43" s="1312"/>
      <c r="IK43" s="1312"/>
      <c r="IL43" s="1312"/>
      <c r="IM43" s="1312"/>
      <c r="IN43" s="1312"/>
      <c r="IO43" s="1312"/>
      <c r="IP43" s="1312"/>
      <c r="IQ43" s="1312"/>
      <c r="IR43" s="1312"/>
      <c r="IS43" s="1312"/>
      <c r="IT43" s="1312"/>
      <c r="IU43" s="1312"/>
      <c r="IV43" s="1312"/>
      <c r="IW43" s="1312"/>
      <c r="IX43" s="1312"/>
      <c r="IY43" s="1312"/>
      <c r="IZ43" s="1312"/>
      <c r="JA43" s="1312"/>
      <c r="JB43" s="1312"/>
      <c r="JC43" s="1312"/>
      <c r="JD43" s="1312"/>
      <c r="JE43" s="1312"/>
      <c r="JF43" s="1312"/>
      <c r="JG43" s="1312"/>
      <c r="JH43" s="1312"/>
      <c r="JI43" s="1312"/>
      <c r="JJ43" s="1312"/>
      <c r="JK43" s="1312"/>
      <c r="JL43" s="1312"/>
      <c r="JM43" s="1312"/>
      <c r="JN43" s="1312"/>
      <c r="JO43" s="1312"/>
      <c r="JP43" s="1312"/>
      <c r="JQ43" s="1312"/>
      <c r="JR43" s="1312"/>
      <c r="JS43" s="1312"/>
      <c r="JT43" s="1312"/>
      <c r="JU43" s="1312"/>
      <c r="JV43" s="1312"/>
      <c r="JW43" s="1312"/>
      <c r="JX43" s="1312"/>
      <c r="JY43" s="1312"/>
      <c r="JZ43" s="1312"/>
      <c r="KA43" s="1312"/>
      <c r="KB43" s="1312"/>
      <c r="KC43" s="1312"/>
      <c r="KD43" s="1312"/>
      <c r="KE43" s="1312"/>
      <c r="KF43" s="1312"/>
      <c r="KG43" s="1312"/>
      <c r="KH43" s="1312"/>
      <c r="KI43" s="1312"/>
      <c r="KJ43" s="1312"/>
      <c r="KK43" s="1312"/>
      <c r="KL43" s="1312"/>
      <c r="KM43" s="1312"/>
      <c r="KN43" s="1312"/>
      <c r="KO43" s="1312"/>
      <c r="KP43" s="1312"/>
      <c r="KQ43" s="1312"/>
      <c r="KR43" s="1312"/>
      <c r="KS43" s="1312"/>
    </row>
    <row r="44" spans="1:305" s="1321" customFormat="1">
      <c r="A44" s="935" t="s">
        <v>4279</v>
      </c>
      <c r="B44" s="1199" t="s">
        <v>739</v>
      </c>
      <c r="C44" s="2103">
        <v>50.714285714285715</v>
      </c>
      <c r="D44" s="1325"/>
      <c r="E44" s="1325"/>
      <c r="F44" s="1325"/>
      <c r="G44" s="1325"/>
      <c r="H44" s="1319"/>
      <c r="I44" s="1325"/>
      <c r="J44" s="1320"/>
      <c r="K44" s="1320"/>
      <c r="L44" s="1320"/>
      <c r="M44" s="1320"/>
      <c r="N44" s="1320"/>
      <c r="O44" s="1320"/>
      <c r="P44" s="1320"/>
      <c r="Q44" s="1320"/>
      <c r="R44" s="1320"/>
      <c r="S44" s="1320"/>
      <c r="T44" s="1320"/>
      <c r="U44" s="1320"/>
      <c r="V44" s="1320"/>
      <c r="W44" s="1320"/>
      <c r="X44" s="1320"/>
      <c r="Y44" s="1320"/>
      <c r="Z44" s="1320"/>
      <c r="AA44" s="1320"/>
      <c r="AB44" s="1320"/>
      <c r="AC44" s="1320"/>
      <c r="AD44" s="1320"/>
      <c r="AJ44" s="1321">
        <v>2</v>
      </c>
      <c r="AK44" s="1321">
        <v>2</v>
      </c>
      <c r="AL44" s="1321">
        <v>3</v>
      </c>
      <c r="AM44" s="1321">
        <v>4</v>
      </c>
      <c r="AN44" s="1321">
        <v>5</v>
      </c>
      <c r="AO44" s="1321">
        <v>6</v>
      </c>
      <c r="AP44" s="1321">
        <v>6</v>
      </c>
      <c r="AQ44" s="1321">
        <v>7</v>
      </c>
      <c r="AR44" s="1321">
        <v>8</v>
      </c>
      <c r="AS44" s="1321">
        <v>8</v>
      </c>
      <c r="AT44" s="1321">
        <v>10</v>
      </c>
      <c r="AU44" s="1321">
        <v>12</v>
      </c>
      <c r="AV44" s="1312">
        <v>13</v>
      </c>
      <c r="AW44" s="1321">
        <v>17</v>
      </c>
      <c r="AX44" s="1321">
        <v>19</v>
      </c>
      <c r="AY44" s="1321">
        <v>21</v>
      </c>
      <c r="AZ44" s="1321">
        <v>20</v>
      </c>
      <c r="BA44" s="1321">
        <v>20</v>
      </c>
      <c r="BB44" s="1321">
        <v>21</v>
      </c>
      <c r="BC44" s="1321">
        <v>21</v>
      </c>
      <c r="BD44" s="1321">
        <v>22</v>
      </c>
      <c r="BE44" s="1321">
        <v>25</v>
      </c>
      <c r="BF44" s="1321">
        <v>27</v>
      </c>
      <c r="BG44" s="1321">
        <v>27</v>
      </c>
      <c r="BH44" s="1321">
        <v>33</v>
      </c>
      <c r="BI44" s="1321">
        <v>35</v>
      </c>
      <c r="BJ44" s="1321">
        <v>38</v>
      </c>
      <c r="BK44" s="1321">
        <v>44</v>
      </c>
      <c r="BL44" s="1203">
        <v>47</v>
      </c>
      <c r="BM44" s="1203">
        <v>47</v>
      </c>
      <c r="BN44" s="1321">
        <v>54</v>
      </c>
      <c r="BO44" s="1657">
        <v>51</v>
      </c>
      <c r="BP44" s="1657">
        <v>53</v>
      </c>
      <c r="BQ44" s="1657">
        <v>52</v>
      </c>
      <c r="BR44" s="1962">
        <v>53</v>
      </c>
      <c r="BS44" s="1962">
        <v>54</v>
      </c>
      <c r="BT44" s="1962">
        <v>51</v>
      </c>
      <c r="BU44" s="1962">
        <v>41</v>
      </c>
      <c r="BV44" s="1962">
        <v>0</v>
      </c>
      <c r="BW44" s="1962">
        <v>0</v>
      </c>
      <c r="BX44" s="1962">
        <v>0</v>
      </c>
      <c r="BY44" s="1962">
        <v>0</v>
      </c>
      <c r="BZ44" s="1962">
        <v>0</v>
      </c>
      <c r="CA44" s="1657"/>
      <c r="CB44" s="1657"/>
      <c r="CC44" s="1657"/>
      <c r="CD44" s="1657"/>
      <c r="CE44" s="1657"/>
      <c r="CF44" s="1657"/>
    </row>
    <row r="45" spans="1:305" s="1312" customFormat="1">
      <c r="A45" s="935" t="s">
        <v>4280</v>
      </c>
      <c r="B45" s="2197" t="s">
        <v>4197</v>
      </c>
      <c r="C45" s="2103">
        <v>2251.7142857142858</v>
      </c>
      <c r="D45" s="1200"/>
      <c r="E45" s="1200"/>
      <c r="F45" s="1200"/>
      <c r="G45" s="1200"/>
      <c r="H45" s="1310"/>
      <c r="I45" s="1200"/>
      <c r="J45" s="1311"/>
      <c r="K45" s="1311"/>
      <c r="L45" s="1311"/>
      <c r="M45" s="1311"/>
      <c r="N45" s="1311"/>
      <c r="O45" s="1311"/>
      <c r="P45" s="1311"/>
      <c r="Q45" s="1311"/>
      <c r="R45" s="1311"/>
      <c r="S45" s="1311"/>
      <c r="T45" s="1311"/>
      <c r="U45" s="1311"/>
      <c r="V45" s="1311"/>
      <c r="W45" s="1311"/>
      <c r="X45" s="1311"/>
      <c r="Y45" s="1311"/>
      <c r="Z45" s="1311"/>
      <c r="AA45" s="1311"/>
      <c r="AB45" s="1311"/>
      <c r="AC45" s="1311"/>
      <c r="AD45" s="1311"/>
      <c r="AW45" s="2198"/>
      <c r="AX45" s="2198"/>
      <c r="AY45" s="2198"/>
      <c r="AZ45" s="2198"/>
      <c r="BA45" s="2198"/>
      <c r="BB45" s="2198"/>
      <c r="BC45" s="2198"/>
      <c r="BD45" s="2198"/>
      <c r="BE45" s="2198"/>
      <c r="BF45" s="2198"/>
      <c r="BG45" s="2198"/>
      <c r="BH45" s="2198"/>
      <c r="BI45" s="2198"/>
      <c r="BJ45" s="2198"/>
      <c r="BK45" s="2198"/>
      <c r="BL45" s="1203"/>
      <c r="BM45" s="1203"/>
      <c r="BN45" s="2198"/>
      <c r="BO45" s="1657">
        <v>0</v>
      </c>
      <c r="BP45" s="1657">
        <v>1555</v>
      </c>
      <c r="BQ45" s="1657">
        <v>1709</v>
      </c>
      <c r="BR45" s="1961">
        <v>2366</v>
      </c>
      <c r="BS45" s="1657">
        <v>2740</v>
      </c>
      <c r="BT45" s="1961">
        <v>3299</v>
      </c>
      <c r="BU45" s="1961">
        <v>4093</v>
      </c>
      <c r="BV45" s="1961">
        <v>0</v>
      </c>
      <c r="BW45" s="1961">
        <v>0</v>
      </c>
      <c r="BX45" s="1961">
        <v>0</v>
      </c>
      <c r="BY45" s="1961">
        <v>0</v>
      </c>
      <c r="BZ45" s="1961">
        <v>0</v>
      </c>
      <c r="CA45" s="1961"/>
      <c r="CB45" s="1961"/>
      <c r="CC45" s="1961"/>
      <c r="CD45" s="1961"/>
      <c r="CE45" s="1961"/>
      <c r="CF45" s="1961"/>
      <c r="CG45" s="1961"/>
    </row>
    <row r="46" spans="1:305" s="1787" customFormat="1">
      <c r="A46" s="935"/>
      <c r="B46" s="1313" t="s">
        <v>4208</v>
      </c>
      <c r="C46" s="1314">
        <v>5453</v>
      </c>
      <c r="D46" s="1788"/>
      <c r="E46" s="1789"/>
      <c r="F46" s="1789"/>
      <c r="G46" s="1789"/>
      <c r="H46" s="1314">
        <v>8.6666666666666661</v>
      </c>
      <c r="I46" s="1788"/>
      <c r="J46" s="1783">
        <v>0</v>
      </c>
      <c r="K46" s="1783">
        <v>0</v>
      </c>
      <c r="L46" s="1783">
        <v>0</v>
      </c>
      <c r="M46" s="1783">
        <v>0</v>
      </c>
      <c r="N46" s="1783">
        <v>0</v>
      </c>
      <c r="O46" s="1783">
        <v>0</v>
      </c>
      <c r="P46" s="1783">
        <v>0</v>
      </c>
      <c r="Q46" s="1783">
        <v>0</v>
      </c>
      <c r="R46" s="1783">
        <v>0</v>
      </c>
      <c r="S46" s="1783">
        <v>0</v>
      </c>
      <c r="T46" s="1783">
        <v>0</v>
      </c>
      <c r="U46" s="1783">
        <v>26</v>
      </c>
      <c r="V46" s="1783">
        <v>93</v>
      </c>
      <c r="W46" s="1783">
        <v>150</v>
      </c>
      <c r="X46" s="1783">
        <v>202</v>
      </c>
      <c r="Y46" s="1783">
        <v>231</v>
      </c>
      <c r="Z46" s="1783">
        <v>259</v>
      </c>
      <c r="AA46" s="1783">
        <v>305</v>
      </c>
      <c r="AB46" s="1783">
        <v>343</v>
      </c>
      <c r="AC46" s="1783">
        <v>382</v>
      </c>
      <c r="AD46" s="1783">
        <v>484</v>
      </c>
      <c r="AE46" s="1783">
        <v>471</v>
      </c>
      <c r="AF46" s="1783">
        <v>431</v>
      </c>
      <c r="AG46" s="1783">
        <v>388</v>
      </c>
      <c r="AH46" s="1783">
        <v>447</v>
      </c>
      <c r="AI46" s="1783">
        <v>489</v>
      </c>
      <c r="AJ46" s="1783">
        <v>519</v>
      </c>
      <c r="AK46" s="1783">
        <v>518</v>
      </c>
      <c r="AL46" s="1783">
        <v>589</v>
      </c>
      <c r="AM46" s="1783">
        <v>652</v>
      </c>
      <c r="AN46" s="1783">
        <v>735</v>
      </c>
      <c r="AO46" s="1783">
        <v>860</v>
      </c>
      <c r="AP46" s="1783">
        <v>979</v>
      </c>
      <c r="AQ46" s="1783">
        <v>1142</v>
      </c>
      <c r="AR46" s="1783">
        <v>1203</v>
      </c>
      <c r="AS46" s="1783">
        <v>1331</v>
      </c>
      <c r="AT46" s="1783">
        <v>1503</v>
      </c>
      <c r="AU46" s="1783">
        <v>1459</v>
      </c>
      <c r="AV46" s="1791">
        <v>1485</v>
      </c>
      <c r="AW46" s="1791">
        <v>1485</v>
      </c>
      <c r="AX46" s="1791">
        <v>1572</v>
      </c>
      <c r="AY46" s="1791">
        <v>1732</v>
      </c>
      <c r="AZ46" s="1791">
        <v>1852</v>
      </c>
      <c r="BA46" s="1791">
        <v>2108</v>
      </c>
      <c r="BB46" s="1791">
        <v>2192</v>
      </c>
      <c r="BC46" s="1904">
        <v>2219</v>
      </c>
      <c r="BD46" s="1904">
        <v>2130</v>
      </c>
      <c r="BE46" s="1904">
        <v>2259</v>
      </c>
      <c r="BF46" s="1904">
        <v>2385</v>
      </c>
      <c r="BG46" s="1904">
        <v>2733</v>
      </c>
      <c r="BH46" s="1904">
        <v>3526</v>
      </c>
      <c r="BI46" s="1904">
        <v>3957</v>
      </c>
      <c r="BJ46" s="1904">
        <v>4470</v>
      </c>
      <c r="BK46" s="1904">
        <v>5082</v>
      </c>
      <c r="BL46" s="1904">
        <v>5596</v>
      </c>
      <c r="BM46" s="1904">
        <v>5596</v>
      </c>
      <c r="BN46" s="1904">
        <v>6701</v>
      </c>
      <c r="BO46" s="2085">
        <v>6810</v>
      </c>
      <c r="BP46" s="2085">
        <v>5112</v>
      </c>
      <c r="BQ46" s="2085">
        <v>5243</v>
      </c>
      <c r="BR46" s="2085">
        <v>4730</v>
      </c>
      <c r="BS46" s="2085">
        <v>4944</v>
      </c>
      <c r="BT46" s="2085">
        <v>5524</v>
      </c>
      <c r="BU46" s="2085">
        <v>5453</v>
      </c>
      <c r="BV46" s="2085">
        <v>0</v>
      </c>
      <c r="BW46" s="2085">
        <v>0</v>
      </c>
      <c r="BX46" s="2085">
        <v>0</v>
      </c>
      <c r="BY46" s="2085">
        <v>0</v>
      </c>
      <c r="BZ46" s="2085">
        <v>0</v>
      </c>
    </row>
    <row r="48" spans="1:305" s="952" customFormat="1">
      <c r="A48" s="935"/>
      <c r="B48" s="949" t="s">
        <v>168</v>
      </c>
      <c r="C48" s="950" t="s">
        <v>163</v>
      </c>
      <c r="D48" s="950"/>
      <c r="E48" s="951" t="s">
        <v>59</v>
      </c>
      <c r="F48" s="951" t="s">
        <v>94</v>
      </c>
      <c r="G48" s="951" t="s">
        <v>97</v>
      </c>
      <c r="H48" s="951" t="s">
        <v>150</v>
      </c>
      <c r="I48" s="950"/>
      <c r="J48" s="227">
        <v>41000</v>
      </c>
      <c r="K48" s="227">
        <v>41030</v>
      </c>
      <c r="L48" s="227">
        <v>41061</v>
      </c>
      <c r="M48" s="227">
        <v>41091</v>
      </c>
      <c r="N48" s="227">
        <v>41122</v>
      </c>
      <c r="O48" s="227">
        <v>41153</v>
      </c>
      <c r="P48" s="227">
        <v>41183</v>
      </c>
      <c r="Q48" s="227">
        <v>41214</v>
      </c>
      <c r="R48" s="227">
        <v>41244</v>
      </c>
      <c r="S48" s="227">
        <v>41275</v>
      </c>
      <c r="T48" s="227">
        <v>41306</v>
      </c>
      <c r="U48" s="227">
        <v>41334</v>
      </c>
      <c r="V48" s="227">
        <v>41365</v>
      </c>
      <c r="W48" s="227">
        <v>41395</v>
      </c>
      <c r="X48" s="227">
        <v>41426</v>
      </c>
      <c r="Y48" s="227">
        <v>41456</v>
      </c>
      <c r="Z48" s="227">
        <v>41487</v>
      </c>
      <c r="AA48" s="227">
        <v>41518</v>
      </c>
      <c r="AB48" s="227">
        <v>41548</v>
      </c>
      <c r="AC48" s="227">
        <v>41579</v>
      </c>
      <c r="AD48" s="227">
        <v>41609</v>
      </c>
      <c r="AE48" s="227">
        <v>41640</v>
      </c>
      <c r="AF48" s="227">
        <v>41671</v>
      </c>
      <c r="AG48" s="227">
        <v>41699</v>
      </c>
      <c r="AH48" s="227">
        <v>41730</v>
      </c>
      <c r="AI48" s="227">
        <v>41760</v>
      </c>
      <c r="AJ48" s="227">
        <v>41791</v>
      </c>
      <c r="AK48" s="227">
        <v>41821</v>
      </c>
      <c r="AL48" s="227">
        <v>41852</v>
      </c>
      <c r="AM48" s="227">
        <v>41883</v>
      </c>
      <c r="AN48" s="227">
        <v>41913</v>
      </c>
      <c r="AO48" s="227">
        <v>41944</v>
      </c>
      <c r="AP48" s="227">
        <v>41974</v>
      </c>
      <c r="AQ48" s="252">
        <v>42005</v>
      </c>
      <c r="AR48" s="211">
        <v>42036</v>
      </c>
      <c r="AS48" s="211">
        <v>42064</v>
      </c>
      <c r="AT48" s="211">
        <v>42095</v>
      </c>
      <c r="AU48" s="211">
        <v>42155</v>
      </c>
      <c r="AV48" s="211">
        <v>42185</v>
      </c>
      <c r="AW48" s="211">
        <v>42216</v>
      </c>
      <c r="AX48" s="211">
        <v>42247</v>
      </c>
      <c r="AY48" s="211">
        <v>42277</v>
      </c>
      <c r="AZ48" s="211">
        <v>42308</v>
      </c>
      <c r="BA48" s="211">
        <v>42338</v>
      </c>
      <c r="BB48" s="211">
        <v>42369</v>
      </c>
      <c r="BC48" s="252">
        <v>42370</v>
      </c>
      <c r="BD48" s="211">
        <v>42401</v>
      </c>
      <c r="BE48" s="211">
        <v>42430</v>
      </c>
      <c r="BF48" s="211">
        <v>42461</v>
      </c>
      <c r="BG48" s="211">
        <v>42521</v>
      </c>
      <c r="BH48" s="211">
        <v>42551</v>
      </c>
      <c r="BI48" s="211">
        <v>42582</v>
      </c>
      <c r="BJ48" s="211">
        <v>42613</v>
      </c>
      <c r="BK48" s="211">
        <v>42643</v>
      </c>
      <c r="BL48" s="211">
        <v>42674</v>
      </c>
      <c r="BM48" s="211">
        <v>42704</v>
      </c>
      <c r="BN48" s="211">
        <v>42735</v>
      </c>
      <c r="BO48" s="211">
        <v>42766</v>
      </c>
      <c r="BP48" s="211">
        <v>42794</v>
      </c>
      <c r="BQ48" s="211">
        <v>42825</v>
      </c>
      <c r="BR48" s="211">
        <v>42855</v>
      </c>
      <c r="BS48" s="252">
        <v>42886</v>
      </c>
      <c r="BT48" s="211">
        <v>42916</v>
      </c>
      <c r="BU48" s="211">
        <v>42947</v>
      </c>
      <c r="BV48" s="211">
        <v>42978</v>
      </c>
      <c r="BW48" s="211">
        <v>43008</v>
      </c>
      <c r="BX48" s="211">
        <v>43039</v>
      </c>
      <c r="BY48" s="211">
        <v>43069</v>
      </c>
      <c r="BZ48" s="211">
        <v>43100</v>
      </c>
    </row>
    <row r="49" spans="1:305" s="1203" customFormat="1">
      <c r="A49" s="935" t="s">
        <v>4281</v>
      </c>
      <c r="B49" s="1199" t="s">
        <v>154</v>
      </c>
      <c r="C49" s="918">
        <v>4985</v>
      </c>
      <c r="D49" s="1200"/>
      <c r="E49" s="1201"/>
      <c r="F49" s="1201"/>
      <c r="G49" s="1201"/>
      <c r="H49" s="918">
        <v>15</v>
      </c>
      <c r="I49" s="1200"/>
      <c r="J49" s="1202"/>
      <c r="K49" s="1202"/>
      <c r="L49" s="1202"/>
      <c r="M49" s="1202"/>
      <c r="N49" s="1202"/>
      <c r="O49" s="1202"/>
      <c r="P49" s="1202"/>
      <c r="Q49" s="1202"/>
      <c r="R49" s="1202"/>
      <c r="S49" s="1202"/>
      <c r="T49" s="1202"/>
      <c r="U49" s="1202">
        <v>15</v>
      </c>
      <c r="V49" s="1202">
        <v>39</v>
      </c>
      <c r="W49" s="1202">
        <v>42</v>
      </c>
      <c r="X49" s="1202">
        <v>43</v>
      </c>
      <c r="Y49" s="1202">
        <v>35</v>
      </c>
      <c r="Z49" s="1202">
        <v>45</v>
      </c>
      <c r="AA49" s="1202">
        <v>58</v>
      </c>
      <c r="AB49" s="1202">
        <v>61</v>
      </c>
      <c r="AC49" s="1202">
        <v>57</v>
      </c>
      <c r="AD49" s="1202">
        <v>104</v>
      </c>
      <c r="AE49" s="1202">
        <v>31</v>
      </c>
      <c r="AF49" s="1202">
        <v>26</v>
      </c>
      <c r="AG49" s="1203">
        <v>28</v>
      </c>
      <c r="AH49" s="1202">
        <v>56</v>
      </c>
      <c r="AI49" s="1203">
        <v>75</v>
      </c>
      <c r="AJ49" s="1203">
        <v>131</v>
      </c>
      <c r="AK49" s="1203">
        <v>76</v>
      </c>
      <c r="AL49" s="1203">
        <v>100</v>
      </c>
      <c r="AM49" s="1203">
        <v>124</v>
      </c>
      <c r="AN49" s="1203">
        <v>106</v>
      </c>
      <c r="AO49" s="1203">
        <v>157</v>
      </c>
      <c r="AP49" s="1203">
        <v>145</v>
      </c>
      <c r="AQ49" s="1203">
        <v>175</v>
      </c>
      <c r="AR49" s="1203">
        <v>126</v>
      </c>
      <c r="AS49" s="1203">
        <v>208</v>
      </c>
      <c r="AT49" s="1203">
        <v>230</v>
      </c>
      <c r="AU49" s="1203">
        <v>217</v>
      </c>
      <c r="AV49" s="1203">
        <v>209</v>
      </c>
      <c r="AW49" s="1203">
        <v>240</v>
      </c>
      <c r="AX49" s="1203">
        <v>225</v>
      </c>
      <c r="AY49" s="1203">
        <v>283</v>
      </c>
      <c r="AZ49" s="1203">
        <v>246</v>
      </c>
      <c r="BA49" s="1203">
        <v>447</v>
      </c>
      <c r="BB49" s="1203">
        <v>318</v>
      </c>
      <c r="BC49" s="1203">
        <v>126</v>
      </c>
      <c r="BD49" s="1203">
        <v>115</v>
      </c>
      <c r="BE49" s="1203">
        <v>333</v>
      </c>
      <c r="BF49" s="1203">
        <v>282</v>
      </c>
      <c r="BG49" s="1203">
        <v>446</v>
      </c>
      <c r="BH49" s="1203">
        <v>849</v>
      </c>
      <c r="BI49" s="1203">
        <v>602</v>
      </c>
      <c r="BJ49" s="1657">
        <v>738</v>
      </c>
      <c r="BK49" s="1657">
        <v>794</v>
      </c>
      <c r="BL49" s="1657">
        <v>761</v>
      </c>
      <c r="BM49" s="1657">
        <v>761</v>
      </c>
      <c r="BN49" s="1657">
        <v>1010</v>
      </c>
      <c r="BO49" s="1203">
        <v>281</v>
      </c>
      <c r="BP49" s="1203">
        <v>597</v>
      </c>
      <c r="BQ49" s="1203">
        <v>823</v>
      </c>
      <c r="BR49" s="1203">
        <v>633</v>
      </c>
      <c r="BS49" s="1203">
        <v>565</v>
      </c>
      <c r="BT49" s="1203">
        <v>1292</v>
      </c>
      <c r="BU49" s="1657">
        <v>794</v>
      </c>
      <c r="BV49" s="1657">
        <v>0</v>
      </c>
      <c r="BW49" s="1657">
        <v>0</v>
      </c>
      <c r="BX49" s="1657">
        <v>0</v>
      </c>
      <c r="BY49" s="1657">
        <v>0</v>
      </c>
      <c r="BZ49" s="1657">
        <v>0</v>
      </c>
    </row>
    <row r="50" spans="1:305" s="1203" customFormat="1">
      <c r="A50" s="935" t="s">
        <v>4282</v>
      </c>
      <c r="B50" s="1199" t="s">
        <v>155</v>
      </c>
      <c r="C50" s="918">
        <v>3</v>
      </c>
      <c r="D50" s="1200"/>
      <c r="E50" s="1201"/>
      <c r="F50" s="1201"/>
      <c r="G50" s="1201"/>
      <c r="H50" s="918"/>
      <c r="I50" s="1200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  <c r="AE50" s="1202"/>
      <c r="AF50" s="1202"/>
      <c r="AH50" s="1202"/>
      <c r="AO50" s="1203">
        <v>5</v>
      </c>
      <c r="AP50" s="1203">
        <v>3</v>
      </c>
      <c r="AQ50" s="1203">
        <v>8</v>
      </c>
      <c r="AR50" s="1203">
        <v>4</v>
      </c>
      <c r="AS50" s="1203">
        <v>2</v>
      </c>
      <c r="AT50" s="1203">
        <v>1</v>
      </c>
      <c r="AU50" s="1203">
        <v>1</v>
      </c>
      <c r="BE50" s="1203">
        <v>0</v>
      </c>
      <c r="BJ50" s="1657">
        <v>0</v>
      </c>
      <c r="BK50" s="1657">
        <v>0</v>
      </c>
      <c r="BL50" s="1657">
        <v>0</v>
      </c>
      <c r="BM50" s="1657">
        <v>0</v>
      </c>
      <c r="BN50" s="1657">
        <v>0</v>
      </c>
      <c r="BO50" s="1203">
        <v>0</v>
      </c>
      <c r="BP50" s="1203">
        <v>1</v>
      </c>
      <c r="BQ50" s="1203">
        <v>0</v>
      </c>
      <c r="BR50" s="1203">
        <v>0</v>
      </c>
      <c r="BS50" s="1203">
        <v>0</v>
      </c>
      <c r="BT50" s="1203">
        <v>2</v>
      </c>
      <c r="BU50" s="1657">
        <v>0</v>
      </c>
      <c r="BV50" s="1657">
        <v>0</v>
      </c>
      <c r="BW50" s="1657">
        <v>0</v>
      </c>
      <c r="BX50" s="1657">
        <v>0</v>
      </c>
      <c r="BY50" s="1657">
        <v>0</v>
      </c>
      <c r="BZ50" s="1657">
        <v>0</v>
      </c>
    </row>
    <row r="51" spans="1:305" s="1203" customFormat="1">
      <c r="A51" s="935" t="s">
        <v>4283</v>
      </c>
      <c r="B51" s="1199" t="s">
        <v>143</v>
      </c>
      <c r="C51" s="918">
        <v>206</v>
      </c>
      <c r="D51" s="1200"/>
      <c r="E51" s="1201"/>
      <c r="F51" s="1201"/>
      <c r="G51" s="1201"/>
      <c r="H51" s="918">
        <v>7</v>
      </c>
      <c r="I51" s="1200"/>
      <c r="J51" s="1202"/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>
        <v>7</v>
      </c>
      <c r="V51" s="1202">
        <v>18</v>
      </c>
      <c r="W51" s="1202">
        <v>10</v>
      </c>
      <c r="X51" s="1202">
        <v>7</v>
      </c>
      <c r="Y51" s="1202">
        <v>1</v>
      </c>
      <c r="Z51" s="1202">
        <v>3</v>
      </c>
      <c r="AA51" s="1202">
        <v>6</v>
      </c>
      <c r="AB51" s="1202">
        <v>1</v>
      </c>
      <c r="AC51" s="1202">
        <v>5</v>
      </c>
      <c r="AD51" s="1202">
        <v>2</v>
      </c>
      <c r="AE51" s="1202">
        <v>3</v>
      </c>
      <c r="AF51" s="1202">
        <v>0</v>
      </c>
      <c r="AG51" s="1203">
        <v>2</v>
      </c>
      <c r="AH51" s="1202">
        <v>12</v>
      </c>
      <c r="AI51" s="1203">
        <v>14</v>
      </c>
      <c r="AJ51" s="1203">
        <v>22</v>
      </c>
      <c r="AK51" s="1203">
        <v>4</v>
      </c>
      <c r="AL51" s="1203">
        <v>9</v>
      </c>
      <c r="AM51" s="1203">
        <v>13</v>
      </c>
      <c r="AN51" s="1203">
        <v>8</v>
      </c>
      <c r="AO51" s="1203">
        <v>27</v>
      </c>
      <c r="AP51" s="1203">
        <v>20</v>
      </c>
      <c r="AQ51" s="1203">
        <v>28</v>
      </c>
      <c r="AR51" s="1203">
        <v>11</v>
      </c>
      <c r="AS51" s="1203">
        <v>14</v>
      </c>
      <c r="AT51" s="1203">
        <v>33</v>
      </c>
      <c r="AU51" s="1203">
        <v>23</v>
      </c>
      <c r="AV51" s="1203">
        <v>28</v>
      </c>
      <c r="AW51" s="1203">
        <v>25</v>
      </c>
      <c r="AX51" s="1203">
        <v>31</v>
      </c>
      <c r="AY51" s="1203">
        <v>48</v>
      </c>
      <c r="AZ51" s="1203">
        <v>28</v>
      </c>
      <c r="BA51" s="1203">
        <v>40</v>
      </c>
      <c r="BB51" s="1203">
        <v>24</v>
      </c>
      <c r="BC51" s="1203">
        <v>7</v>
      </c>
      <c r="BD51" s="1203">
        <v>5</v>
      </c>
      <c r="BE51" s="1203">
        <v>22</v>
      </c>
      <c r="BF51" s="1203">
        <v>36</v>
      </c>
      <c r="BG51" s="1203">
        <v>67</v>
      </c>
      <c r="BH51" s="1203">
        <v>102</v>
      </c>
      <c r="BI51" s="1203">
        <v>62</v>
      </c>
      <c r="BJ51" s="1657">
        <v>61</v>
      </c>
      <c r="BK51" s="1657">
        <v>98</v>
      </c>
      <c r="BL51" s="1657">
        <v>90</v>
      </c>
      <c r="BM51" s="1657">
        <v>90</v>
      </c>
      <c r="BN51" s="1657">
        <v>84</v>
      </c>
      <c r="BO51" s="1203">
        <v>30</v>
      </c>
      <c r="BP51" s="1203">
        <v>48</v>
      </c>
      <c r="BQ51" s="1203">
        <v>27</v>
      </c>
      <c r="BR51" s="1203">
        <v>27</v>
      </c>
      <c r="BS51" s="1203">
        <v>23</v>
      </c>
      <c r="BT51" s="1203">
        <v>28</v>
      </c>
      <c r="BU51" s="1657">
        <v>23</v>
      </c>
      <c r="BV51" s="1657">
        <v>0</v>
      </c>
      <c r="BW51" s="1657">
        <v>0</v>
      </c>
      <c r="BX51" s="1657">
        <v>0</v>
      </c>
      <c r="BY51" s="1657">
        <v>0</v>
      </c>
      <c r="BZ51" s="1657">
        <v>0</v>
      </c>
    </row>
    <row r="52" spans="1:305" s="1203" customFormat="1">
      <c r="A52" s="935" t="s">
        <v>4284</v>
      </c>
      <c r="B52" s="1199" t="s">
        <v>145</v>
      </c>
      <c r="C52" s="918">
        <v>51</v>
      </c>
      <c r="D52" s="1200"/>
      <c r="E52" s="1201"/>
      <c r="F52" s="1201"/>
      <c r="G52" s="1201"/>
      <c r="H52" s="918">
        <v>3</v>
      </c>
      <c r="I52" s="1200"/>
      <c r="J52" s="1202"/>
      <c r="K52" s="1202"/>
      <c r="L52" s="1202"/>
      <c r="M52" s="1202"/>
      <c r="N52" s="1202"/>
      <c r="O52" s="1202"/>
      <c r="P52" s="1202"/>
      <c r="Q52" s="1202"/>
      <c r="R52" s="1202"/>
      <c r="S52" s="1202"/>
      <c r="T52" s="1202"/>
      <c r="U52" s="1202">
        <v>3</v>
      </c>
      <c r="V52" s="1202">
        <v>4</v>
      </c>
      <c r="W52" s="1202">
        <v>4</v>
      </c>
      <c r="X52" s="1202">
        <v>3</v>
      </c>
      <c r="Y52" s="1202">
        <v>0</v>
      </c>
      <c r="Z52" s="1202">
        <v>0</v>
      </c>
      <c r="AA52" s="1202">
        <v>2</v>
      </c>
      <c r="AB52" s="1202">
        <v>1</v>
      </c>
      <c r="AC52" s="1202">
        <v>1</v>
      </c>
      <c r="AD52" s="1202">
        <v>0</v>
      </c>
      <c r="AE52" s="1202">
        <v>1</v>
      </c>
      <c r="AF52" s="1202">
        <v>0</v>
      </c>
      <c r="AG52" s="1203">
        <v>1</v>
      </c>
      <c r="AH52" s="1202">
        <v>5</v>
      </c>
      <c r="AI52" s="1203">
        <v>4</v>
      </c>
      <c r="AJ52" s="1203">
        <v>4</v>
      </c>
      <c r="AK52" s="1203">
        <v>1</v>
      </c>
      <c r="AL52" s="1203">
        <v>6</v>
      </c>
      <c r="AM52" s="1203">
        <v>2</v>
      </c>
      <c r="AN52" s="1203">
        <v>2</v>
      </c>
      <c r="AO52" s="1203">
        <v>9</v>
      </c>
      <c r="AP52" s="1203">
        <v>4</v>
      </c>
      <c r="AQ52" s="1203">
        <v>7</v>
      </c>
      <c r="AR52" s="1203">
        <v>1</v>
      </c>
      <c r="AS52" s="1203">
        <v>4</v>
      </c>
      <c r="AT52" s="1203">
        <v>11</v>
      </c>
      <c r="AU52" s="1203">
        <v>8</v>
      </c>
      <c r="AV52" s="1203">
        <v>10</v>
      </c>
      <c r="AW52" s="1203">
        <v>8</v>
      </c>
      <c r="AX52" s="1203">
        <v>6</v>
      </c>
      <c r="AY52" s="1203">
        <v>14</v>
      </c>
      <c r="AZ52" s="1203">
        <v>3</v>
      </c>
      <c r="BA52" s="1203">
        <v>7</v>
      </c>
      <c r="BB52" s="1203">
        <v>6</v>
      </c>
      <c r="BC52" s="1203">
        <v>1</v>
      </c>
      <c r="BD52" s="1203">
        <v>1</v>
      </c>
      <c r="BE52" s="1203">
        <v>7</v>
      </c>
      <c r="BF52" s="1203">
        <v>16</v>
      </c>
      <c r="BG52" s="1203">
        <v>16</v>
      </c>
      <c r="BH52" s="1203">
        <v>22</v>
      </c>
      <c r="BI52" s="1203">
        <v>13</v>
      </c>
      <c r="BJ52" s="1657">
        <v>14</v>
      </c>
      <c r="BK52" s="1657">
        <v>31</v>
      </c>
      <c r="BL52" s="1657">
        <v>18</v>
      </c>
      <c r="BM52" s="1657">
        <v>18</v>
      </c>
      <c r="BN52" s="1657">
        <v>22</v>
      </c>
      <c r="BO52" s="1203">
        <v>8</v>
      </c>
      <c r="BP52" s="1203">
        <v>15</v>
      </c>
      <c r="BQ52" s="1203">
        <v>10</v>
      </c>
      <c r="BR52" s="1203">
        <v>4</v>
      </c>
      <c r="BS52" s="1203">
        <v>8</v>
      </c>
      <c r="BT52" s="1203">
        <v>2</v>
      </c>
      <c r="BU52" s="1657">
        <v>4</v>
      </c>
      <c r="BV52" s="1657">
        <v>0</v>
      </c>
      <c r="BW52" s="1657">
        <v>0</v>
      </c>
      <c r="BX52" s="1657">
        <v>0</v>
      </c>
      <c r="BY52" s="1657">
        <v>0</v>
      </c>
      <c r="BZ52" s="1657">
        <v>0</v>
      </c>
    </row>
    <row r="53" spans="1:305" s="1309" customFormat="1">
      <c r="A53" s="935" t="s">
        <v>4285</v>
      </c>
      <c r="B53" s="1199" t="s">
        <v>144</v>
      </c>
      <c r="C53" s="1310">
        <v>20</v>
      </c>
      <c r="D53" s="1200"/>
      <c r="E53" s="1200"/>
      <c r="F53" s="1200"/>
      <c r="G53" s="1200"/>
      <c r="H53" s="1310">
        <v>1</v>
      </c>
      <c r="I53" s="1200"/>
      <c r="J53" s="1311"/>
      <c r="K53" s="1311"/>
      <c r="L53" s="1311"/>
      <c r="M53" s="1311"/>
      <c r="N53" s="1311"/>
      <c r="O53" s="1311"/>
      <c r="P53" s="1311"/>
      <c r="Q53" s="1311"/>
      <c r="R53" s="1311"/>
      <c r="S53" s="1311"/>
      <c r="T53" s="1311"/>
      <c r="U53" s="1311">
        <v>1</v>
      </c>
      <c r="V53" s="1311">
        <v>6</v>
      </c>
      <c r="W53" s="1311">
        <v>1</v>
      </c>
      <c r="X53" s="1311">
        <v>0</v>
      </c>
      <c r="Y53" s="1311">
        <v>0</v>
      </c>
      <c r="Z53" s="1311">
        <v>1</v>
      </c>
      <c r="AA53" s="1311">
        <v>0</v>
      </c>
      <c r="AB53" s="1311">
        <v>1</v>
      </c>
      <c r="AC53" s="1311">
        <v>1</v>
      </c>
      <c r="AD53" s="1311">
        <v>0</v>
      </c>
      <c r="AE53" s="1312">
        <v>0</v>
      </c>
      <c r="AF53" s="1312">
        <v>0</v>
      </c>
      <c r="AG53" s="1312">
        <v>1</v>
      </c>
      <c r="AH53" s="1312">
        <v>2</v>
      </c>
      <c r="AI53" s="1312">
        <v>5</v>
      </c>
      <c r="AJ53" s="1312">
        <v>2</v>
      </c>
      <c r="AK53" s="1312">
        <v>1</v>
      </c>
      <c r="AL53" s="1312">
        <v>1</v>
      </c>
      <c r="AM53" s="1312"/>
      <c r="AN53" s="1312">
        <v>1</v>
      </c>
      <c r="AO53" s="1312">
        <v>5</v>
      </c>
      <c r="AP53" s="1312">
        <v>3</v>
      </c>
      <c r="AQ53" s="1312">
        <v>4</v>
      </c>
      <c r="AR53" s="1312">
        <v>1</v>
      </c>
      <c r="AS53" s="1312">
        <v>3</v>
      </c>
      <c r="AT53" s="1312">
        <v>2</v>
      </c>
      <c r="AU53" s="1203">
        <v>1</v>
      </c>
      <c r="AV53" s="1203">
        <v>1</v>
      </c>
      <c r="AW53" s="1312">
        <v>1</v>
      </c>
      <c r="AX53" s="1312">
        <v>1</v>
      </c>
      <c r="AY53" s="1312">
        <v>3</v>
      </c>
      <c r="AZ53" s="1312">
        <v>1</v>
      </c>
      <c r="BA53" s="1312">
        <v>2</v>
      </c>
      <c r="BB53" s="1312">
        <v>1</v>
      </c>
      <c r="BC53" s="1312"/>
      <c r="BD53" s="1312">
        <v>1</v>
      </c>
      <c r="BE53" s="1312">
        <v>0</v>
      </c>
      <c r="BF53" s="1312">
        <v>2</v>
      </c>
      <c r="BG53" s="1312">
        <v>5</v>
      </c>
      <c r="BH53" s="1312">
        <v>6</v>
      </c>
      <c r="BI53" s="1312">
        <v>3</v>
      </c>
      <c r="BJ53" s="1961">
        <v>5</v>
      </c>
      <c r="BK53" s="1961">
        <v>15</v>
      </c>
      <c r="BL53" s="1657">
        <v>10</v>
      </c>
      <c r="BM53" s="1657">
        <v>10</v>
      </c>
      <c r="BN53" s="1961">
        <v>4</v>
      </c>
      <c r="BO53" s="1203">
        <v>1</v>
      </c>
      <c r="BP53" s="1203">
        <v>8</v>
      </c>
      <c r="BQ53" s="1203">
        <v>1</v>
      </c>
      <c r="BR53" s="1312">
        <v>1</v>
      </c>
      <c r="BS53" s="1312">
        <v>4</v>
      </c>
      <c r="BT53" s="1312">
        <v>2</v>
      </c>
      <c r="BU53" s="1961">
        <v>3</v>
      </c>
      <c r="BV53" s="1961">
        <v>0</v>
      </c>
      <c r="BW53" s="1961">
        <v>0</v>
      </c>
      <c r="BX53" s="1961">
        <v>0</v>
      </c>
      <c r="BY53" s="1961">
        <v>0</v>
      </c>
      <c r="BZ53" s="1961">
        <v>0</v>
      </c>
      <c r="CA53" s="1203"/>
      <c r="CB53" s="1203"/>
      <c r="CC53" s="1203"/>
      <c r="CD53" s="1203"/>
      <c r="CE53" s="1203"/>
      <c r="CF53" s="1203"/>
      <c r="CG53" s="1203"/>
      <c r="CH53" s="1312"/>
      <c r="CI53" s="1312"/>
      <c r="CJ53" s="1312"/>
      <c r="CK53" s="1312"/>
      <c r="CL53" s="1312"/>
      <c r="CM53" s="1312"/>
      <c r="CN53" s="1312"/>
      <c r="CO53" s="1312"/>
      <c r="CP53" s="1312"/>
      <c r="CQ53" s="1312"/>
      <c r="CR53" s="1312"/>
      <c r="CS53" s="1312"/>
      <c r="CT53" s="1312"/>
      <c r="CU53" s="1312"/>
      <c r="CV53" s="1312"/>
      <c r="CW53" s="1312"/>
      <c r="CX53" s="1312"/>
      <c r="CY53" s="1312"/>
      <c r="CZ53" s="1312"/>
      <c r="DA53" s="1312"/>
      <c r="DB53" s="1312"/>
      <c r="DC53" s="1312"/>
      <c r="DD53" s="1312"/>
      <c r="DE53" s="1312"/>
      <c r="DF53" s="1312"/>
      <c r="DG53" s="1312"/>
      <c r="DH53" s="1312"/>
      <c r="DI53" s="1312"/>
      <c r="DJ53" s="1312"/>
      <c r="DK53" s="1312"/>
      <c r="DL53" s="1312"/>
      <c r="DM53" s="1312"/>
      <c r="DN53" s="1312"/>
      <c r="DO53" s="1312"/>
      <c r="DP53" s="1312"/>
      <c r="DQ53" s="1312"/>
      <c r="DR53" s="1312"/>
      <c r="DS53" s="1312"/>
      <c r="DT53" s="1312"/>
      <c r="DU53" s="1312"/>
      <c r="DV53" s="1312"/>
      <c r="DW53" s="1312"/>
      <c r="DX53" s="1312"/>
      <c r="DY53" s="1312"/>
      <c r="DZ53" s="1312"/>
      <c r="EA53" s="1312"/>
      <c r="EB53" s="1312"/>
      <c r="EC53" s="1312"/>
      <c r="ED53" s="1312"/>
      <c r="EE53" s="1312"/>
      <c r="EF53" s="1312"/>
      <c r="EG53" s="1312"/>
      <c r="EH53" s="1312"/>
      <c r="EI53" s="1312"/>
      <c r="EJ53" s="1312"/>
      <c r="EK53" s="1312"/>
      <c r="EL53" s="1312"/>
      <c r="EM53" s="1312"/>
      <c r="EN53" s="1312"/>
      <c r="EO53" s="1312"/>
      <c r="EP53" s="1312"/>
      <c r="EQ53" s="1312"/>
      <c r="ER53" s="1312"/>
      <c r="ES53" s="1312"/>
      <c r="ET53" s="1312"/>
      <c r="EU53" s="1312"/>
      <c r="EV53" s="1312"/>
      <c r="EW53" s="1312"/>
      <c r="EX53" s="1312"/>
      <c r="EY53" s="1312"/>
      <c r="EZ53" s="1312"/>
      <c r="FA53" s="1312"/>
      <c r="FB53" s="1312"/>
      <c r="FC53" s="1312"/>
      <c r="FD53" s="1312"/>
      <c r="FE53" s="1312"/>
      <c r="FF53" s="1312"/>
      <c r="FG53" s="1312"/>
      <c r="FH53" s="1312"/>
      <c r="FI53" s="1312"/>
      <c r="FJ53" s="1312"/>
      <c r="FK53" s="1312"/>
      <c r="FL53" s="1312"/>
      <c r="FM53" s="1312"/>
      <c r="FN53" s="1312"/>
      <c r="FO53" s="1312"/>
      <c r="FP53" s="1312"/>
      <c r="FQ53" s="1312"/>
      <c r="FR53" s="1312"/>
      <c r="FS53" s="1312"/>
      <c r="FT53" s="1312"/>
      <c r="FU53" s="1312"/>
      <c r="FV53" s="1312"/>
      <c r="FW53" s="1312"/>
      <c r="FX53" s="1312"/>
      <c r="FY53" s="1312"/>
      <c r="FZ53" s="1312"/>
      <c r="GA53" s="1312"/>
      <c r="GB53" s="1312"/>
      <c r="GC53" s="1312"/>
      <c r="GD53" s="1312"/>
      <c r="GE53" s="1312"/>
      <c r="GF53" s="1312"/>
      <c r="GG53" s="1312"/>
      <c r="GH53" s="1312"/>
      <c r="GI53" s="1312"/>
      <c r="GJ53" s="1312"/>
      <c r="GK53" s="1312"/>
      <c r="GL53" s="1312"/>
      <c r="GM53" s="1312"/>
      <c r="GN53" s="1312"/>
      <c r="GO53" s="1312"/>
      <c r="GP53" s="1312"/>
      <c r="GQ53" s="1312"/>
      <c r="GR53" s="1312"/>
      <c r="GS53" s="1312"/>
      <c r="GT53" s="1312"/>
      <c r="GU53" s="1312"/>
      <c r="GV53" s="1312"/>
      <c r="GW53" s="1312"/>
      <c r="GX53" s="1312"/>
      <c r="GY53" s="1312"/>
      <c r="GZ53" s="1312"/>
      <c r="HA53" s="1312"/>
      <c r="HB53" s="1312"/>
      <c r="HC53" s="1312"/>
      <c r="HD53" s="1312"/>
      <c r="HE53" s="1312"/>
      <c r="HF53" s="1312"/>
      <c r="HG53" s="1312"/>
      <c r="HH53" s="1312"/>
      <c r="HI53" s="1312"/>
      <c r="HJ53" s="1312"/>
      <c r="HK53" s="1312"/>
      <c r="HL53" s="1312"/>
      <c r="HM53" s="1312"/>
      <c r="HN53" s="1312"/>
      <c r="HO53" s="1312"/>
      <c r="HP53" s="1312"/>
      <c r="HQ53" s="1312"/>
      <c r="HR53" s="1312"/>
      <c r="HS53" s="1312"/>
      <c r="HT53" s="1312"/>
      <c r="HU53" s="1312"/>
      <c r="HV53" s="1312"/>
      <c r="HW53" s="1312"/>
      <c r="HX53" s="1312"/>
      <c r="HY53" s="1312"/>
      <c r="HZ53" s="1312"/>
      <c r="IA53" s="1312"/>
      <c r="IB53" s="1312"/>
      <c r="IC53" s="1312"/>
      <c r="ID53" s="1312"/>
      <c r="IE53" s="1312"/>
      <c r="IF53" s="1312"/>
      <c r="IG53" s="1312"/>
      <c r="IH53" s="1312"/>
      <c r="II53" s="1312"/>
      <c r="IJ53" s="1312"/>
      <c r="IK53" s="1312"/>
      <c r="IL53" s="1312"/>
      <c r="IM53" s="1312"/>
      <c r="IN53" s="1312"/>
      <c r="IO53" s="1312"/>
      <c r="IP53" s="1312"/>
      <c r="IQ53" s="1312"/>
      <c r="IR53" s="1312"/>
      <c r="IS53" s="1312"/>
      <c r="IT53" s="1312"/>
      <c r="IU53" s="1312"/>
      <c r="IV53" s="1312"/>
      <c r="IW53" s="1312"/>
      <c r="IX53" s="1312"/>
      <c r="IY53" s="1312"/>
      <c r="IZ53" s="1312"/>
      <c r="JA53" s="1312"/>
      <c r="JB53" s="1312"/>
      <c r="JC53" s="1312"/>
      <c r="JD53" s="1312"/>
      <c r="JE53" s="1312"/>
      <c r="JF53" s="1312"/>
      <c r="JG53" s="1312"/>
      <c r="JH53" s="1312"/>
      <c r="JI53" s="1312"/>
      <c r="JJ53" s="1312"/>
      <c r="JK53" s="1312"/>
      <c r="JL53" s="1312"/>
      <c r="JM53" s="1312"/>
      <c r="JN53" s="1312"/>
      <c r="JO53" s="1312"/>
      <c r="JP53" s="1312"/>
      <c r="JQ53" s="1312"/>
      <c r="JR53" s="1312"/>
      <c r="JS53" s="1312"/>
      <c r="JT53" s="1312"/>
      <c r="JU53" s="1312"/>
      <c r="JV53" s="1312"/>
      <c r="JW53" s="1312"/>
      <c r="JX53" s="1312"/>
      <c r="JY53" s="1312"/>
      <c r="JZ53" s="1312"/>
      <c r="KA53" s="1312"/>
      <c r="KB53" s="1312"/>
      <c r="KC53" s="1312"/>
      <c r="KD53" s="1312"/>
      <c r="KE53" s="1312"/>
      <c r="KF53" s="1312"/>
      <c r="KG53" s="1312"/>
      <c r="KH53" s="1312"/>
      <c r="KI53" s="1312"/>
      <c r="KJ53" s="1312"/>
      <c r="KK53" s="1312"/>
      <c r="KL53" s="1312"/>
      <c r="KM53" s="1312"/>
      <c r="KN53" s="1312"/>
      <c r="KO53" s="1312"/>
      <c r="KP53" s="1312"/>
      <c r="KQ53" s="1312"/>
      <c r="KR53" s="1312"/>
      <c r="KS53" s="1312"/>
    </row>
    <row r="54" spans="1:305" s="1321" customFormat="1">
      <c r="A54" s="935" t="s">
        <v>4286</v>
      </c>
      <c r="B54" s="1199" t="s">
        <v>758</v>
      </c>
      <c r="C54" s="1310">
        <v>9</v>
      </c>
      <c r="D54" s="1325"/>
      <c r="E54" s="1325"/>
      <c r="F54" s="1325"/>
      <c r="G54" s="1325"/>
      <c r="H54" s="1319"/>
      <c r="I54" s="1325"/>
      <c r="J54" s="1320"/>
      <c r="K54" s="1320"/>
      <c r="L54" s="1320"/>
      <c r="M54" s="1320"/>
      <c r="N54" s="1320"/>
      <c r="O54" s="1320"/>
      <c r="P54" s="1320"/>
      <c r="Q54" s="1320"/>
      <c r="R54" s="1320"/>
      <c r="S54" s="1320"/>
      <c r="T54" s="1320"/>
      <c r="U54" s="1320"/>
      <c r="V54" s="1320"/>
      <c r="W54" s="1320"/>
      <c r="X54" s="1320"/>
      <c r="Y54" s="1320"/>
      <c r="Z54" s="1320"/>
      <c r="AA54" s="1320"/>
      <c r="AB54" s="1320"/>
      <c r="AC54" s="1320"/>
      <c r="AD54" s="1320"/>
      <c r="AL54" s="1321">
        <v>1</v>
      </c>
      <c r="AM54" s="1321">
        <v>1</v>
      </c>
      <c r="AN54" s="1321">
        <v>1</v>
      </c>
      <c r="AO54" s="1321">
        <v>1</v>
      </c>
      <c r="AR54" s="1321">
        <v>1</v>
      </c>
      <c r="AT54" s="1312">
        <v>2</v>
      </c>
      <c r="AU54" s="1203">
        <v>1</v>
      </c>
      <c r="AV54" s="1203">
        <v>1</v>
      </c>
      <c r="AW54" s="1321">
        <v>2</v>
      </c>
      <c r="AX54" s="1321">
        <v>1</v>
      </c>
      <c r="AY54" s="1321">
        <v>2</v>
      </c>
      <c r="AZ54" s="1321">
        <v>1</v>
      </c>
      <c r="BB54" s="1321">
        <v>1</v>
      </c>
      <c r="BD54" s="1321">
        <v>1</v>
      </c>
      <c r="BE54" s="1321">
        <v>2</v>
      </c>
      <c r="BF54" s="1321">
        <v>3</v>
      </c>
      <c r="BG54" s="1321">
        <v>2</v>
      </c>
      <c r="BH54" s="1321">
        <v>6</v>
      </c>
      <c r="BI54" s="1321">
        <v>3</v>
      </c>
      <c r="BJ54" s="1962">
        <v>4</v>
      </c>
      <c r="BK54" s="1962">
        <v>7</v>
      </c>
      <c r="BL54" s="1657">
        <v>4</v>
      </c>
      <c r="BM54" s="1657">
        <v>4</v>
      </c>
      <c r="BN54" s="1962">
        <v>4</v>
      </c>
      <c r="BO54" s="1203">
        <v>0</v>
      </c>
      <c r="BP54" s="1203">
        <v>2</v>
      </c>
      <c r="BQ54" s="1203">
        <v>0</v>
      </c>
      <c r="BR54" s="1321">
        <v>3</v>
      </c>
      <c r="BS54" s="1321">
        <v>1</v>
      </c>
      <c r="BT54" s="1321">
        <v>1</v>
      </c>
      <c r="BU54" s="1962">
        <v>2</v>
      </c>
      <c r="BV54" s="1962">
        <v>0</v>
      </c>
      <c r="BW54" s="1962">
        <v>0</v>
      </c>
      <c r="BX54" s="1962">
        <v>0</v>
      </c>
      <c r="BY54" s="1962">
        <v>0</v>
      </c>
      <c r="BZ54" s="1962">
        <v>0</v>
      </c>
      <c r="CA54" s="1203"/>
      <c r="CB54" s="1203"/>
      <c r="CC54" s="1203"/>
      <c r="CD54" s="1203"/>
      <c r="CE54" s="1203"/>
      <c r="CF54" s="1203"/>
      <c r="CG54" s="1203"/>
    </row>
    <row r="55" spans="1:305" s="1787" customFormat="1">
      <c r="A55" s="935"/>
      <c r="B55" s="1313" t="s">
        <v>49</v>
      </c>
      <c r="C55" s="1314">
        <v>5274</v>
      </c>
      <c r="D55" s="1788"/>
      <c r="E55" s="1789"/>
      <c r="F55" s="1789"/>
      <c r="G55" s="1789"/>
      <c r="H55" s="1314">
        <v>26</v>
      </c>
      <c r="I55" s="1788"/>
      <c r="J55" s="1783">
        <v>0</v>
      </c>
      <c r="K55" s="1783">
        <v>0</v>
      </c>
      <c r="L55" s="1783">
        <v>0</v>
      </c>
      <c r="M55" s="1783">
        <v>0</v>
      </c>
      <c r="N55" s="1783">
        <v>0</v>
      </c>
      <c r="O55" s="1783">
        <v>0</v>
      </c>
      <c r="P55" s="1783">
        <v>0</v>
      </c>
      <c r="Q55" s="1783">
        <v>0</v>
      </c>
      <c r="R55" s="1783">
        <v>0</v>
      </c>
      <c r="S55" s="1783">
        <v>0</v>
      </c>
      <c r="T55" s="1783">
        <v>0</v>
      </c>
      <c r="U55" s="1783">
        <v>26</v>
      </c>
      <c r="V55" s="1783">
        <v>67</v>
      </c>
      <c r="W55" s="1783">
        <v>57</v>
      </c>
      <c r="X55" s="1783">
        <v>53</v>
      </c>
      <c r="Y55" s="1783">
        <v>36</v>
      </c>
      <c r="Z55" s="1783">
        <v>49</v>
      </c>
      <c r="AA55" s="1783">
        <v>66</v>
      </c>
      <c r="AB55" s="1783">
        <v>64</v>
      </c>
      <c r="AC55" s="1783">
        <v>64</v>
      </c>
      <c r="AD55" s="1783">
        <v>106</v>
      </c>
      <c r="AE55" s="1783">
        <v>35</v>
      </c>
      <c r="AF55" s="1783">
        <v>26</v>
      </c>
      <c r="AG55" s="1783">
        <v>32</v>
      </c>
      <c r="AH55" s="1783">
        <v>75</v>
      </c>
      <c r="AI55" s="1783">
        <v>98</v>
      </c>
      <c r="AJ55" s="1783">
        <v>159</v>
      </c>
      <c r="AK55" s="1783">
        <v>82</v>
      </c>
      <c r="AL55" s="1783">
        <v>117</v>
      </c>
      <c r="AM55" s="1783">
        <v>140</v>
      </c>
      <c r="AN55" s="1783">
        <v>118</v>
      </c>
      <c r="AO55" s="1783">
        <v>204</v>
      </c>
      <c r="AP55" s="1783">
        <v>175</v>
      </c>
      <c r="AQ55" s="1783">
        <v>222</v>
      </c>
      <c r="AR55" s="1783">
        <v>144</v>
      </c>
      <c r="AS55" s="1783">
        <v>231</v>
      </c>
      <c r="AT55" s="1783">
        <v>279</v>
      </c>
      <c r="AU55" s="1783">
        <v>251</v>
      </c>
      <c r="AV55" s="1783">
        <v>249</v>
      </c>
      <c r="AW55" s="1783">
        <v>276</v>
      </c>
      <c r="AX55" s="1783">
        <v>264</v>
      </c>
      <c r="AY55" s="1783">
        <v>350</v>
      </c>
      <c r="AZ55" s="1783">
        <v>279</v>
      </c>
      <c r="BA55" s="1783">
        <v>496</v>
      </c>
      <c r="BB55" s="1783">
        <v>350</v>
      </c>
      <c r="BC55" s="1783">
        <v>134</v>
      </c>
      <c r="BD55" s="1783">
        <v>123</v>
      </c>
      <c r="BE55" s="1783">
        <v>364</v>
      </c>
      <c r="BF55" s="1783">
        <v>339</v>
      </c>
      <c r="BG55" s="1783">
        <v>536</v>
      </c>
      <c r="BH55" s="1783">
        <v>985</v>
      </c>
      <c r="BI55" s="1783">
        <v>683</v>
      </c>
      <c r="BJ55" s="1783">
        <v>822</v>
      </c>
      <c r="BK55" s="1783">
        <v>945</v>
      </c>
      <c r="BL55" s="1783">
        <v>883</v>
      </c>
      <c r="BM55" s="1783">
        <v>883</v>
      </c>
      <c r="BN55" s="1783">
        <v>1124</v>
      </c>
      <c r="BO55" s="1787">
        <v>320</v>
      </c>
      <c r="BP55" s="1787">
        <v>671</v>
      </c>
      <c r="BQ55" s="1787">
        <v>861</v>
      </c>
      <c r="BR55" s="1787">
        <v>668</v>
      </c>
      <c r="BS55" s="1787">
        <v>601</v>
      </c>
      <c r="BT55" s="1787">
        <v>1327</v>
      </c>
      <c r="BU55" s="1787">
        <v>826</v>
      </c>
      <c r="BV55" s="1787">
        <v>0</v>
      </c>
      <c r="BW55" s="1787">
        <v>0</v>
      </c>
      <c r="BX55" s="1787">
        <v>0</v>
      </c>
      <c r="BY55" s="1787">
        <v>0</v>
      </c>
      <c r="BZ55" s="1787">
        <v>0</v>
      </c>
    </row>
    <row r="57" spans="1:305" s="952" customFormat="1">
      <c r="A57" s="935"/>
      <c r="B57" s="949" t="s">
        <v>159</v>
      </c>
      <c r="C57" s="950" t="s">
        <v>163</v>
      </c>
      <c r="D57" s="950"/>
      <c r="E57" s="951" t="s">
        <v>59</v>
      </c>
      <c r="F57" s="951" t="s">
        <v>94</v>
      </c>
      <c r="G57" s="951" t="s">
        <v>97</v>
      </c>
      <c r="H57" s="951" t="s">
        <v>150</v>
      </c>
      <c r="I57" s="950"/>
      <c r="J57" s="227">
        <v>41000</v>
      </c>
      <c r="K57" s="227">
        <v>41030</v>
      </c>
      <c r="L57" s="227">
        <v>41061</v>
      </c>
      <c r="M57" s="227">
        <v>41091</v>
      </c>
      <c r="N57" s="227">
        <v>41122</v>
      </c>
      <c r="O57" s="227">
        <v>41153</v>
      </c>
      <c r="P57" s="227">
        <v>41183</v>
      </c>
      <c r="Q57" s="227">
        <v>41214</v>
      </c>
      <c r="R57" s="227">
        <v>41244</v>
      </c>
      <c r="S57" s="227">
        <v>41275</v>
      </c>
      <c r="T57" s="227">
        <v>41306</v>
      </c>
      <c r="U57" s="227">
        <v>41334</v>
      </c>
      <c r="V57" s="227">
        <v>41365</v>
      </c>
      <c r="W57" s="227">
        <v>41395</v>
      </c>
      <c r="X57" s="227">
        <v>41426</v>
      </c>
      <c r="Y57" s="227">
        <v>41456</v>
      </c>
      <c r="Z57" s="227">
        <v>41487</v>
      </c>
      <c r="AA57" s="227">
        <v>41518</v>
      </c>
      <c r="AB57" s="227">
        <v>41548</v>
      </c>
      <c r="AC57" s="227">
        <v>41579</v>
      </c>
      <c r="AD57" s="227">
        <v>41609</v>
      </c>
      <c r="AE57" s="227">
        <v>41640</v>
      </c>
      <c r="AF57" s="227">
        <v>41671</v>
      </c>
      <c r="AG57" s="227">
        <v>41699</v>
      </c>
      <c r="AH57" s="227">
        <v>41730</v>
      </c>
      <c r="AI57" s="227">
        <v>41760</v>
      </c>
      <c r="AJ57" s="227">
        <v>41791</v>
      </c>
      <c r="AK57" s="227">
        <v>41821</v>
      </c>
      <c r="AL57" s="227">
        <v>41852</v>
      </c>
      <c r="AM57" s="227">
        <v>41883</v>
      </c>
      <c r="AN57" s="227">
        <v>41913</v>
      </c>
      <c r="AO57" s="227">
        <v>41944</v>
      </c>
      <c r="AP57" s="227">
        <v>41974</v>
      </c>
      <c r="AQ57" s="252">
        <v>42005</v>
      </c>
      <c r="AR57" s="211">
        <v>42036</v>
      </c>
      <c r="AS57" s="211">
        <v>42064</v>
      </c>
      <c r="AT57" s="211">
        <v>42095</v>
      </c>
      <c r="AU57" s="211">
        <v>42155</v>
      </c>
      <c r="AV57" s="211">
        <v>42185</v>
      </c>
      <c r="AW57" s="211">
        <v>42216</v>
      </c>
      <c r="AX57" s="211">
        <v>42247</v>
      </c>
      <c r="AY57" s="211">
        <v>42277</v>
      </c>
      <c r="AZ57" s="211">
        <v>42308</v>
      </c>
      <c r="BA57" s="211">
        <v>42338</v>
      </c>
      <c r="BB57" s="211">
        <v>42369</v>
      </c>
      <c r="BC57" s="252">
        <v>42370</v>
      </c>
      <c r="BD57" s="211">
        <v>42401</v>
      </c>
      <c r="BE57" s="211">
        <v>42430</v>
      </c>
      <c r="BF57" s="211">
        <v>42461</v>
      </c>
      <c r="BG57" s="211">
        <v>42521</v>
      </c>
      <c r="BH57" s="211">
        <v>42551</v>
      </c>
      <c r="BI57" s="211">
        <v>42582</v>
      </c>
      <c r="BJ57" s="211">
        <v>42613</v>
      </c>
      <c r="BK57" s="211">
        <v>42643</v>
      </c>
      <c r="BL57" s="211">
        <v>42674</v>
      </c>
      <c r="BM57" s="211">
        <v>42704</v>
      </c>
      <c r="BN57" s="211">
        <v>42735</v>
      </c>
      <c r="BO57" s="211">
        <v>42766</v>
      </c>
      <c r="BP57" s="211">
        <v>42794</v>
      </c>
      <c r="BQ57" s="211">
        <v>42825</v>
      </c>
      <c r="BR57" s="211">
        <v>42855</v>
      </c>
      <c r="BS57" s="252">
        <v>42886</v>
      </c>
      <c r="BT57" s="211">
        <v>42916</v>
      </c>
      <c r="BU57" s="211">
        <v>42947</v>
      </c>
      <c r="BV57" s="211">
        <v>42978</v>
      </c>
      <c r="BW57" s="211">
        <v>43008</v>
      </c>
      <c r="BX57" s="211">
        <v>43039</v>
      </c>
      <c r="BY57" s="211">
        <v>43069</v>
      </c>
      <c r="BZ57" s="211">
        <v>43100</v>
      </c>
    </row>
    <row r="58" spans="1:305">
      <c r="B58" s="931" t="s">
        <v>169</v>
      </c>
      <c r="C58" s="1898">
        <v>1321.8571428571429</v>
      </c>
      <c r="H58" s="243">
        <v>3.6666666666666665</v>
      </c>
      <c r="J58" s="937">
        <v>0</v>
      </c>
      <c r="K58" s="937">
        <v>0</v>
      </c>
      <c r="L58" s="937">
        <v>0</v>
      </c>
      <c r="M58" s="937">
        <v>0</v>
      </c>
      <c r="N58" s="937">
        <v>0</v>
      </c>
      <c r="O58" s="937">
        <v>0</v>
      </c>
      <c r="P58" s="937">
        <v>0</v>
      </c>
      <c r="Q58" s="937">
        <v>0</v>
      </c>
      <c r="R58" s="937">
        <v>0</v>
      </c>
      <c r="U58" s="937">
        <v>11</v>
      </c>
      <c r="V58" s="937">
        <v>39</v>
      </c>
      <c r="W58" s="937">
        <v>54</v>
      </c>
      <c r="X58" s="937">
        <v>64</v>
      </c>
      <c r="Y58" s="937">
        <v>66</v>
      </c>
      <c r="Z58" s="937">
        <v>71</v>
      </c>
      <c r="AA58" s="937">
        <v>78</v>
      </c>
      <c r="AB58" s="937">
        <v>69</v>
      </c>
      <c r="AC58" s="937">
        <v>75</v>
      </c>
      <c r="AD58" s="937">
        <v>73</v>
      </c>
      <c r="AE58" s="937">
        <v>85</v>
      </c>
      <c r="AF58" s="937">
        <v>84</v>
      </c>
      <c r="AG58" s="937">
        <v>84</v>
      </c>
      <c r="AH58" s="937">
        <v>97</v>
      </c>
      <c r="AI58" s="937">
        <v>113</v>
      </c>
      <c r="AJ58" s="937">
        <v>134</v>
      </c>
      <c r="AK58" s="937">
        <v>126</v>
      </c>
      <c r="AL58" s="937">
        <v>140</v>
      </c>
      <c r="AM58" s="937">
        <v>163</v>
      </c>
      <c r="AN58" s="937">
        <v>176</v>
      </c>
      <c r="AO58" s="937">
        <v>218</v>
      </c>
      <c r="AP58" s="937">
        <v>260</v>
      </c>
      <c r="AQ58" s="937">
        <v>297</v>
      </c>
      <c r="AR58" s="937">
        <v>320</v>
      </c>
      <c r="AS58" s="937">
        <v>334</v>
      </c>
      <c r="AT58" s="937">
        <v>376</v>
      </c>
      <c r="AU58" s="937">
        <v>398</v>
      </c>
      <c r="AV58" s="937">
        <v>380</v>
      </c>
      <c r="AW58" s="937">
        <v>384</v>
      </c>
      <c r="AX58" s="937">
        <v>373</v>
      </c>
      <c r="AY58" s="937">
        <v>435</v>
      </c>
      <c r="AZ58" s="937">
        <v>465</v>
      </c>
      <c r="BA58" s="937">
        <v>487</v>
      </c>
      <c r="BB58" s="937">
        <v>488</v>
      </c>
      <c r="BC58" s="1656">
        <v>503</v>
      </c>
      <c r="BD58" s="1656">
        <v>509</v>
      </c>
      <c r="BE58" s="1656">
        <v>533</v>
      </c>
      <c r="BF58" s="1656">
        <v>593</v>
      </c>
      <c r="BG58" s="1656">
        <v>653</v>
      </c>
      <c r="BH58" s="1656">
        <v>760</v>
      </c>
      <c r="BI58" s="1656">
        <v>801</v>
      </c>
      <c r="BJ58" s="1656">
        <v>893</v>
      </c>
      <c r="BK58" s="1656">
        <v>1044</v>
      </c>
      <c r="BL58" s="1656">
        <v>1158</v>
      </c>
      <c r="BM58" s="1656">
        <v>1158</v>
      </c>
      <c r="BN58" s="1656">
        <v>1353</v>
      </c>
      <c r="BO58" s="1656">
        <v>1355</v>
      </c>
      <c r="BP58" s="1656">
        <v>1416</v>
      </c>
      <c r="BQ58" s="1656">
        <v>1399</v>
      </c>
      <c r="BR58" s="1656">
        <v>1270</v>
      </c>
      <c r="BS58" s="1656">
        <v>1319</v>
      </c>
      <c r="BT58" s="1656">
        <v>1314</v>
      </c>
      <c r="BU58" s="1656">
        <v>1180</v>
      </c>
      <c r="BV58" s="1656">
        <v>0</v>
      </c>
      <c r="BW58" s="1656">
        <v>0</v>
      </c>
      <c r="BX58" s="1656">
        <v>0</v>
      </c>
      <c r="BY58" s="1656">
        <v>0</v>
      </c>
      <c r="BZ58" s="1656">
        <v>0</v>
      </c>
    </row>
    <row r="59" spans="1:305" s="1203" customFormat="1">
      <c r="A59" s="2376" t="s">
        <v>4327</v>
      </c>
      <c r="B59" s="1199" t="s">
        <v>141</v>
      </c>
      <c r="C59" s="1899">
        <v>2383</v>
      </c>
      <c r="D59" s="1200"/>
      <c r="E59" s="1201"/>
      <c r="F59" s="1201"/>
      <c r="G59" s="1201"/>
      <c r="H59" s="1201">
        <v>7</v>
      </c>
      <c r="I59" s="1200"/>
      <c r="J59" s="1202"/>
      <c r="K59" s="1202"/>
      <c r="L59" s="1202"/>
      <c r="M59" s="1202"/>
      <c r="N59" s="1202"/>
      <c r="O59" s="1202"/>
      <c r="P59" s="1202"/>
      <c r="Q59" s="1202"/>
      <c r="R59" s="1202"/>
      <c r="S59" s="1202"/>
      <c r="T59" s="1202"/>
      <c r="U59" s="1202">
        <v>7</v>
      </c>
      <c r="V59" s="1202">
        <v>21</v>
      </c>
      <c r="W59" s="1202">
        <v>25</v>
      </c>
      <c r="X59" s="1202">
        <v>25</v>
      </c>
      <c r="Y59" s="1202">
        <v>26</v>
      </c>
      <c r="Z59" s="1202">
        <v>25</v>
      </c>
      <c r="AA59" s="1202">
        <v>25</v>
      </c>
      <c r="AB59" s="1202">
        <v>31</v>
      </c>
      <c r="AC59" s="1202">
        <v>32</v>
      </c>
      <c r="AD59" s="1202">
        <v>34</v>
      </c>
      <c r="AE59" s="1202">
        <v>21</v>
      </c>
      <c r="AF59" s="1202">
        <v>15</v>
      </c>
      <c r="AG59" s="1202">
        <v>18</v>
      </c>
      <c r="AH59" s="1202">
        <v>38</v>
      </c>
      <c r="AI59" s="1202">
        <v>40</v>
      </c>
      <c r="AJ59" s="1203">
        <v>66</v>
      </c>
      <c r="AK59" s="1203">
        <v>62</v>
      </c>
      <c r="AL59" s="1203">
        <v>63</v>
      </c>
      <c r="AM59" s="1203">
        <v>71</v>
      </c>
      <c r="AN59" s="1203">
        <v>59</v>
      </c>
      <c r="AO59" s="1203">
        <v>91</v>
      </c>
      <c r="AP59" s="1203">
        <v>97</v>
      </c>
      <c r="AQ59" s="1203">
        <v>101</v>
      </c>
      <c r="AR59" s="1203">
        <v>74</v>
      </c>
      <c r="AS59" s="1203">
        <v>120</v>
      </c>
      <c r="AT59" s="1203">
        <v>129</v>
      </c>
      <c r="AU59" s="1203">
        <v>134</v>
      </c>
      <c r="AV59" s="1203">
        <v>130</v>
      </c>
      <c r="AW59" s="1203">
        <v>142</v>
      </c>
      <c r="AX59" s="1203">
        <v>131</v>
      </c>
      <c r="AY59" s="1203">
        <v>170</v>
      </c>
      <c r="AZ59" s="1203">
        <v>157</v>
      </c>
      <c r="BA59" s="1203">
        <v>221</v>
      </c>
      <c r="BB59" s="1203">
        <v>182</v>
      </c>
      <c r="BC59" s="1203">
        <v>91</v>
      </c>
      <c r="BD59" s="1203">
        <v>75</v>
      </c>
      <c r="BE59" s="1203">
        <v>184</v>
      </c>
      <c r="BF59" s="1203">
        <v>149</v>
      </c>
      <c r="BG59" s="1203">
        <v>224</v>
      </c>
      <c r="BH59" s="1203">
        <v>338</v>
      </c>
      <c r="BI59" s="1203">
        <v>253</v>
      </c>
      <c r="BJ59" s="1203">
        <v>282</v>
      </c>
      <c r="BK59" s="1203">
        <v>435</v>
      </c>
      <c r="BL59" s="1203">
        <v>421</v>
      </c>
      <c r="BM59" s="1203">
        <v>456</v>
      </c>
      <c r="BN59" s="1203">
        <v>532</v>
      </c>
      <c r="BO59" s="1203">
        <v>206</v>
      </c>
      <c r="BP59" s="1203">
        <v>343</v>
      </c>
      <c r="BQ59" s="1203">
        <v>397</v>
      </c>
      <c r="BR59" s="1203">
        <v>325</v>
      </c>
      <c r="BS59" s="1203">
        <v>300</v>
      </c>
      <c r="BT59" s="1203">
        <v>490</v>
      </c>
      <c r="BU59" s="1657">
        <v>322</v>
      </c>
      <c r="BV59" s="1657"/>
      <c r="BW59" s="1657"/>
      <c r="BX59" s="1657"/>
      <c r="BY59" s="1657"/>
      <c r="BZ59" s="1657"/>
    </row>
    <row r="60" spans="1:305">
      <c r="B60" s="931" t="s">
        <v>140</v>
      </c>
      <c r="C60" s="245">
        <v>0.25753809575272885</v>
      </c>
      <c r="H60" s="245">
        <v>0.27272727272727276</v>
      </c>
      <c r="J60" s="240">
        <v>0</v>
      </c>
      <c r="K60" s="240">
        <v>0</v>
      </c>
      <c r="L60" s="240">
        <v>0</v>
      </c>
      <c r="M60" s="240">
        <v>0</v>
      </c>
      <c r="N60" s="240">
        <v>0</v>
      </c>
      <c r="O60" s="240">
        <v>0</v>
      </c>
      <c r="P60" s="240">
        <v>0</v>
      </c>
      <c r="Q60" s="240">
        <v>0</v>
      </c>
      <c r="R60" s="240">
        <v>0</v>
      </c>
      <c r="S60" s="240"/>
      <c r="T60" s="240"/>
      <c r="U60" s="240">
        <v>0.63636363636363635</v>
      </c>
      <c r="V60" s="240">
        <v>0.53846153846153844</v>
      </c>
      <c r="W60" s="240">
        <v>0.46296296296296297</v>
      </c>
      <c r="X60" s="240">
        <v>0.390625</v>
      </c>
      <c r="Y60" s="240">
        <v>0.39393939393939392</v>
      </c>
      <c r="Z60" s="240">
        <v>0.352112676056338</v>
      </c>
      <c r="AA60" s="240">
        <v>0.32051282051282054</v>
      </c>
      <c r="AB60" s="240">
        <v>0.44927536231884058</v>
      </c>
      <c r="AC60" s="240">
        <v>0.42666666666666669</v>
      </c>
      <c r="AD60" s="568">
        <v>0.46575342465753422</v>
      </c>
      <c r="AE60" s="568">
        <v>0.24705882352941178</v>
      </c>
      <c r="AF60" s="568">
        <v>0.17857142857142858</v>
      </c>
      <c r="AG60" s="568">
        <v>0.21428571428571427</v>
      </c>
      <c r="AH60" s="568">
        <v>0.39175257731958762</v>
      </c>
      <c r="AI60" s="568">
        <v>0.35398230088495575</v>
      </c>
      <c r="AJ60" s="568">
        <v>0.4925373134328358</v>
      </c>
      <c r="AK60" s="568">
        <v>0.49206349206349204</v>
      </c>
      <c r="AL60" s="568">
        <v>0.45</v>
      </c>
      <c r="AM60" s="568">
        <v>0.43558282208588955</v>
      </c>
      <c r="AN60" s="568">
        <v>0.33522727272727271</v>
      </c>
      <c r="AO60" s="568">
        <v>0.41743119266055045</v>
      </c>
      <c r="AP60" s="568">
        <v>0.37307692307692308</v>
      </c>
      <c r="AQ60" s="568">
        <v>0.34006734006734007</v>
      </c>
      <c r="AR60" s="568">
        <v>0.23125000000000001</v>
      </c>
      <c r="AS60" s="568">
        <v>0.3592814371257485</v>
      </c>
      <c r="AT60" s="568">
        <v>0.34308510638297873</v>
      </c>
      <c r="AU60" s="568">
        <v>0.33668341708542715</v>
      </c>
      <c r="AV60" s="568">
        <v>0.34210526315789475</v>
      </c>
      <c r="AW60" s="568">
        <v>0.36979166666666669</v>
      </c>
      <c r="AX60" s="568">
        <v>0.3512064343163539</v>
      </c>
      <c r="AY60" s="568">
        <v>0.39080459770114945</v>
      </c>
      <c r="AZ60" s="568">
        <v>0.33763440860215055</v>
      </c>
      <c r="BA60" s="568">
        <v>0.4537987679671458</v>
      </c>
      <c r="BB60" s="568">
        <v>0.37295081967213117</v>
      </c>
      <c r="BC60" s="568">
        <v>0.18091451292246521</v>
      </c>
      <c r="BD60" s="568">
        <v>0.14734774066797643</v>
      </c>
      <c r="BE60" s="568">
        <v>0.34521575984990621</v>
      </c>
      <c r="BF60" s="568">
        <v>0.25126475548060706</v>
      </c>
      <c r="BG60" s="568">
        <v>0.34303215926493108</v>
      </c>
      <c r="BH60" s="568">
        <v>0.44473684210526315</v>
      </c>
      <c r="BI60" s="568">
        <v>0.31585518102372034</v>
      </c>
      <c r="BJ60" s="568">
        <v>0.31578947368421051</v>
      </c>
      <c r="BK60" s="568">
        <v>0.41666666666666669</v>
      </c>
      <c r="BL60" s="568">
        <v>0.36355785837651122</v>
      </c>
      <c r="BM60" s="568">
        <v>0.39378238341968913</v>
      </c>
      <c r="BN60" s="568">
        <v>0.39320029563932002</v>
      </c>
      <c r="BO60" s="584">
        <v>0.15202952029520295</v>
      </c>
      <c r="BP60" s="568">
        <v>0.2422316384180791</v>
      </c>
      <c r="BQ60" s="568">
        <v>0.28377412437455324</v>
      </c>
      <c r="BR60" s="568">
        <v>0.25590551181102361</v>
      </c>
      <c r="BS60" s="568">
        <v>0.22744503411675512</v>
      </c>
      <c r="BT60" s="568">
        <v>0.37290715372907152</v>
      </c>
      <c r="BU60" s="568">
        <v>0.27288135593220336</v>
      </c>
      <c r="BV60" s="568">
        <v>0</v>
      </c>
      <c r="BW60" s="568">
        <v>0</v>
      </c>
      <c r="BX60" s="568">
        <v>0</v>
      </c>
      <c r="BY60" s="568">
        <v>0</v>
      </c>
      <c r="BZ60" s="568">
        <v>0</v>
      </c>
    </row>
    <row r="61" spans="1:305">
      <c r="B61" s="931" t="s">
        <v>142</v>
      </c>
      <c r="C61" s="242">
        <v>2.0919009651699541</v>
      </c>
      <c r="H61" s="242">
        <v>2.1428571428571428</v>
      </c>
      <c r="J61" s="215" t="e">
        <v>#DIV/0!</v>
      </c>
      <c r="K61" s="215" t="e">
        <v>#DIV/0!</v>
      </c>
      <c r="L61" s="215" t="e">
        <v>#DIV/0!</v>
      </c>
      <c r="M61" s="215" t="e">
        <v>#DIV/0!</v>
      </c>
      <c r="N61" s="215" t="e">
        <v>#DIV/0!</v>
      </c>
      <c r="O61" s="215" t="e">
        <v>#DIV/0!</v>
      </c>
      <c r="P61" s="215" t="e">
        <v>#DIV/0!</v>
      </c>
      <c r="Q61" s="215" t="e">
        <v>#DIV/0!</v>
      </c>
      <c r="R61" s="215" t="e">
        <v>#DIV/0!</v>
      </c>
      <c r="S61" s="215" t="e">
        <v>#DIV/0!</v>
      </c>
      <c r="T61" s="215" t="e">
        <v>#DIV/0!</v>
      </c>
      <c r="U61" s="215">
        <v>2.1428571428571428</v>
      </c>
      <c r="V61" s="215">
        <v>1.8571428571428572</v>
      </c>
      <c r="W61" s="215">
        <v>1.68</v>
      </c>
      <c r="X61" s="215">
        <v>1.72</v>
      </c>
      <c r="Y61" s="215">
        <v>1.3461538461538463</v>
      </c>
      <c r="Z61" s="215">
        <v>1.8</v>
      </c>
      <c r="AA61" s="215">
        <v>2.3199999999999998</v>
      </c>
      <c r="AB61" s="215">
        <v>1.967741935483871</v>
      </c>
      <c r="AC61" s="215">
        <v>1.78125</v>
      </c>
      <c r="AD61" s="215">
        <v>3.0588235294117645</v>
      </c>
      <c r="AE61" s="215">
        <v>1.4761904761904763</v>
      </c>
      <c r="AF61" s="215">
        <v>1.7333333333333334</v>
      </c>
      <c r="AG61" s="215">
        <v>1.5555555555555556</v>
      </c>
      <c r="AH61" s="215">
        <v>1.4736842105263157</v>
      </c>
      <c r="AI61" s="215">
        <v>1.875</v>
      </c>
      <c r="AJ61" s="215">
        <v>1.9848484848484849</v>
      </c>
      <c r="AK61" s="215">
        <v>1.2258064516129032</v>
      </c>
      <c r="AL61" s="215">
        <v>1.5873015873015872</v>
      </c>
      <c r="AM61" s="215">
        <v>1.7464788732394365</v>
      </c>
      <c r="AN61" s="215">
        <v>1.7966101694915255</v>
      </c>
      <c r="AO61" s="215">
        <v>1.7252747252747254</v>
      </c>
      <c r="AP61" s="215">
        <v>1.4948453608247423</v>
      </c>
      <c r="AQ61" s="215">
        <v>1.7326732673267327</v>
      </c>
      <c r="AR61" s="215">
        <v>1.7027027027027026</v>
      </c>
      <c r="AS61" s="215">
        <v>1.7333333333333334</v>
      </c>
      <c r="AT61" s="215">
        <v>1.7829457364341086</v>
      </c>
      <c r="AU61" s="215">
        <v>1.6194029850746268</v>
      </c>
      <c r="AV61" s="215">
        <v>1.6076923076923078</v>
      </c>
      <c r="AW61" s="215">
        <v>1.6901408450704225</v>
      </c>
      <c r="AX61" s="215">
        <v>1.717557251908397</v>
      </c>
      <c r="AY61" s="215">
        <v>1.6647058823529413</v>
      </c>
      <c r="AZ61" s="215">
        <v>1.5668789808917198</v>
      </c>
      <c r="BA61" s="215">
        <v>2.0226244343891402</v>
      </c>
      <c r="BB61" s="215">
        <v>1.7472527472527473</v>
      </c>
      <c r="BC61" s="215">
        <v>1.3846153846153846</v>
      </c>
      <c r="BD61" s="215">
        <v>1.5333333333333334</v>
      </c>
      <c r="BE61" s="215">
        <v>1.8097826086956521</v>
      </c>
      <c r="BF61" s="215">
        <v>1.8926174496644295</v>
      </c>
      <c r="BG61" s="215">
        <v>1.9910714285714286</v>
      </c>
      <c r="BH61" s="215">
        <v>2.5118343195266273</v>
      </c>
      <c r="BI61" s="215">
        <v>2.3794466403162056</v>
      </c>
      <c r="BJ61" s="215">
        <v>2.6170212765957448</v>
      </c>
      <c r="BK61" s="215">
        <v>1.825287356321839</v>
      </c>
      <c r="BL61" s="215">
        <v>1.8076009501187649</v>
      </c>
      <c r="BM61" s="215">
        <v>1.6688596491228069</v>
      </c>
      <c r="BN61" s="215">
        <v>1.8984962406015038</v>
      </c>
      <c r="BO61" s="215">
        <v>1.3640776699029127</v>
      </c>
      <c r="BP61" s="215">
        <v>1.7405247813411078</v>
      </c>
      <c r="BQ61" s="215">
        <v>2.0730478589420653</v>
      </c>
      <c r="BR61" s="215">
        <v>1.9476923076923076</v>
      </c>
      <c r="BS61" s="215">
        <v>1.8833333333333333</v>
      </c>
      <c r="BT61" s="215">
        <v>2.6367346938775511</v>
      </c>
      <c r="BU61" s="215">
        <v>2.4658385093167703</v>
      </c>
      <c r="BV61" s="215" t="s">
        <v>4378</v>
      </c>
      <c r="BW61" s="215" t="s">
        <v>4378</v>
      </c>
      <c r="BX61" s="215" t="s">
        <v>4378</v>
      </c>
      <c r="BY61" s="215" t="s">
        <v>4378</v>
      </c>
      <c r="BZ61" s="215" t="s">
        <v>4378</v>
      </c>
    </row>
    <row r="62" spans="1:305">
      <c r="B62" s="931" t="s">
        <v>184</v>
      </c>
      <c r="C62" s="242">
        <v>0.53874419107316551</v>
      </c>
      <c r="H62" s="242">
        <v>0.7142857142857143</v>
      </c>
      <c r="J62" s="215" t="e">
        <v>#DIV/0!</v>
      </c>
      <c r="K62" s="215" t="e">
        <v>#DIV/0!</v>
      </c>
      <c r="L62" s="215" t="e">
        <v>#DIV/0!</v>
      </c>
      <c r="M62" s="215" t="e">
        <v>#DIV/0!</v>
      </c>
      <c r="N62" s="215" t="e">
        <v>#DIV/0!</v>
      </c>
      <c r="O62" s="215" t="e">
        <v>#DIV/0!</v>
      </c>
      <c r="P62" s="215" t="e">
        <v>#DIV/0!</v>
      </c>
      <c r="Q62" s="215" t="e">
        <v>#DIV/0!</v>
      </c>
      <c r="R62" s="215" t="e">
        <v>#DIV/0!</v>
      </c>
      <c r="S62" s="215" t="e">
        <v>#DIV/0!</v>
      </c>
      <c r="T62" s="215" t="e">
        <v>#DIV/0!</v>
      </c>
      <c r="U62" s="215">
        <v>1.3636363636363635</v>
      </c>
      <c r="V62" s="215">
        <v>1</v>
      </c>
      <c r="W62" s="215">
        <v>0.77777777777777779</v>
      </c>
      <c r="X62" s="215">
        <v>0.671875</v>
      </c>
      <c r="Y62" s="215">
        <v>0.53030303030303028</v>
      </c>
      <c r="Z62" s="215">
        <v>0.63380281690140849</v>
      </c>
      <c r="AA62" s="215">
        <v>0.74358974358974361</v>
      </c>
      <c r="AB62" s="215">
        <v>0.88405797101449279</v>
      </c>
      <c r="AC62" s="215">
        <v>0.76</v>
      </c>
      <c r="AD62" s="215">
        <v>1.4246575342465753</v>
      </c>
      <c r="AE62" s="215">
        <v>0.36470588235294116</v>
      </c>
      <c r="AF62" s="215">
        <v>0.30952380952380953</v>
      </c>
      <c r="AG62" s="215">
        <v>0.33333333333333331</v>
      </c>
      <c r="AH62" s="215">
        <v>0.57731958762886593</v>
      </c>
      <c r="AI62" s="215">
        <v>0.66371681415929207</v>
      </c>
      <c r="AJ62" s="215">
        <v>0.97761194029850751</v>
      </c>
      <c r="AK62" s="215">
        <v>0.60317460317460314</v>
      </c>
      <c r="AL62" s="215">
        <v>0.7142857142857143</v>
      </c>
      <c r="AM62" s="215">
        <v>0.76073619631901845</v>
      </c>
      <c r="AN62" s="215">
        <v>0.60227272727272729</v>
      </c>
      <c r="AO62" s="215">
        <v>0.72018348623853212</v>
      </c>
      <c r="AP62" s="215">
        <v>0.55769230769230771</v>
      </c>
      <c r="AQ62" s="215">
        <v>0.58922558922558921</v>
      </c>
      <c r="AR62" s="215">
        <v>0.39374999999999999</v>
      </c>
      <c r="AS62" s="215">
        <v>0.6227544910179641</v>
      </c>
      <c r="AT62" s="215">
        <v>0.61170212765957444</v>
      </c>
      <c r="AU62" s="215">
        <v>0.54522613065326631</v>
      </c>
      <c r="AV62" s="215">
        <v>0.55000000000000004</v>
      </c>
      <c r="AW62" s="215">
        <v>0.625</v>
      </c>
      <c r="AX62" s="215">
        <v>0.60321715817694366</v>
      </c>
      <c r="AY62" s="215">
        <v>0.65057471264367817</v>
      </c>
      <c r="AZ62" s="215">
        <v>0.52903225806451615</v>
      </c>
      <c r="BA62" s="215">
        <v>0.91786447638603696</v>
      </c>
      <c r="BB62" s="215">
        <v>0.65163934426229508</v>
      </c>
      <c r="BC62" s="215">
        <v>0.25049701789264411</v>
      </c>
      <c r="BD62" s="215">
        <v>0.22593320235756384</v>
      </c>
      <c r="BE62" s="215">
        <v>0.62476547842401498</v>
      </c>
      <c r="BF62" s="215">
        <v>0.47554806070826305</v>
      </c>
      <c r="BG62" s="215">
        <v>0.68300153139356812</v>
      </c>
      <c r="BH62" s="215">
        <v>1.1171052631578948</v>
      </c>
      <c r="BI62" s="215">
        <v>0.75156054931335825</v>
      </c>
      <c r="BJ62" s="215">
        <v>0.82642777155655101</v>
      </c>
      <c r="BK62" s="215">
        <v>0.76053639846743293</v>
      </c>
      <c r="BL62" s="215">
        <v>0.65716753022452501</v>
      </c>
      <c r="BM62" s="215">
        <v>0.65716753022452501</v>
      </c>
      <c r="BN62" s="215">
        <v>0.7464892830746489</v>
      </c>
      <c r="BO62" s="215">
        <v>0.207380073800738</v>
      </c>
      <c r="BP62" s="215">
        <v>0.42161016949152541</v>
      </c>
      <c r="BQ62" s="215">
        <v>0.58827734095782702</v>
      </c>
      <c r="BR62" s="215">
        <v>0.49842519685039371</v>
      </c>
      <c r="BS62" s="215">
        <v>0.42835481425322214</v>
      </c>
      <c r="BT62" s="215">
        <v>0.98325722983257224</v>
      </c>
      <c r="BU62" s="215">
        <v>0.67288135593220344</v>
      </c>
      <c r="BV62" s="215" t="s">
        <v>4378</v>
      </c>
      <c r="BW62" s="215" t="s">
        <v>4378</v>
      </c>
      <c r="BX62" s="215" t="s">
        <v>4378</v>
      </c>
      <c r="BY62" s="215" t="s">
        <v>4378</v>
      </c>
      <c r="BZ62" s="215" t="s">
        <v>4378</v>
      </c>
    </row>
    <row r="63" spans="1:305">
      <c r="B63" s="931" t="s">
        <v>251</v>
      </c>
      <c r="C63" s="1898">
        <v>1180</v>
      </c>
      <c r="H63" s="242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</row>
    <row r="65" spans="1:84" s="960" customFormat="1" ht="16.5" customHeight="1">
      <c r="A65" s="935"/>
      <c r="B65" s="944" t="s">
        <v>160</v>
      </c>
      <c r="C65" s="957"/>
      <c r="D65" s="958"/>
      <c r="E65" s="957"/>
      <c r="F65" s="957"/>
      <c r="G65" s="957"/>
      <c r="H65" s="957"/>
      <c r="I65" s="958"/>
      <c r="J65" s="959"/>
      <c r="K65" s="959"/>
      <c r="L65" s="959"/>
      <c r="M65" s="959"/>
      <c r="N65" s="959"/>
      <c r="O65" s="959"/>
      <c r="P65" s="959"/>
      <c r="Q65" s="959"/>
      <c r="R65" s="959"/>
      <c r="S65" s="959"/>
      <c r="T65" s="959"/>
      <c r="U65" s="959"/>
      <c r="V65" s="959"/>
      <c r="W65" s="959"/>
      <c r="X65" s="959"/>
      <c r="Y65" s="959"/>
      <c r="Z65" s="959"/>
      <c r="AA65" s="959"/>
      <c r="AB65" s="959"/>
      <c r="AC65" s="959"/>
      <c r="AD65" s="959"/>
    </row>
    <row r="66" spans="1:84" s="952" customFormat="1">
      <c r="A66" s="935"/>
      <c r="B66" s="949" t="s">
        <v>1</v>
      </c>
      <c r="C66" s="950" t="s">
        <v>163</v>
      </c>
      <c r="D66" s="950"/>
      <c r="E66" s="951" t="s">
        <v>59</v>
      </c>
      <c r="F66" s="951" t="s">
        <v>94</v>
      </c>
      <c r="G66" s="951" t="s">
        <v>97</v>
      </c>
      <c r="H66" s="951" t="s">
        <v>150</v>
      </c>
      <c r="I66" s="950"/>
      <c r="J66" s="227">
        <v>41000</v>
      </c>
      <c r="K66" s="227">
        <v>41030</v>
      </c>
      <c r="L66" s="227">
        <v>41061</v>
      </c>
      <c r="M66" s="227">
        <v>41091</v>
      </c>
      <c r="N66" s="227">
        <v>41122</v>
      </c>
      <c r="O66" s="227">
        <v>41153</v>
      </c>
      <c r="P66" s="227">
        <v>41183</v>
      </c>
      <c r="Q66" s="227">
        <v>41214</v>
      </c>
      <c r="R66" s="227">
        <v>41244</v>
      </c>
      <c r="S66" s="227">
        <v>41275</v>
      </c>
      <c r="T66" s="227">
        <v>41306</v>
      </c>
      <c r="U66" s="227">
        <v>41334</v>
      </c>
      <c r="V66" s="227">
        <v>41365</v>
      </c>
      <c r="W66" s="227">
        <v>41395</v>
      </c>
      <c r="X66" s="227">
        <v>41426</v>
      </c>
      <c r="Y66" s="227">
        <v>41456</v>
      </c>
      <c r="Z66" s="227">
        <v>41487</v>
      </c>
      <c r="AA66" s="227">
        <v>41518</v>
      </c>
      <c r="AB66" s="227">
        <v>41548</v>
      </c>
      <c r="AC66" s="227">
        <v>41579</v>
      </c>
      <c r="AD66" s="227">
        <v>41609</v>
      </c>
      <c r="AE66" s="227">
        <v>41640</v>
      </c>
      <c r="AF66" s="227">
        <v>41671</v>
      </c>
      <c r="AG66" s="227">
        <v>41699</v>
      </c>
      <c r="AH66" s="227">
        <v>41730</v>
      </c>
      <c r="AI66" s="227">
        <v>41760</v>
      </c>
      <c r="AJ66" s="227">
        <v>41791</v>
      </c>
      <c r="AK66" s="227">
        <v>41821</v>
      </c>
      <c r="AL66" s="227">
        <v>41852</v>
      </c>
      <c r="AM66" s="227">
        <v>41883</v>
      </c>
      <c r="AN66" s="227">
        <v>41913</v>
      </c>
      <c r="AO66" s="227">
        <v>41944</v>
      </c>
      <c r="AP66" s="227">
        <v>41974</v>
      </c>
      <c r="AQ66" s="252">
        <v>42005</v>
      </c>
      <c r="AR66" s="211">
        <v>42036</v>
      </c>
      <c r="AS66" s="211">
        <v>42064</v>
      </c>
      <c r="AT66" s="211">
        <v>42095</v>
      </c>
      <c r="AU66" s="211">
        <v>42155</v>
      </c>
      <c r="AV66" s="211">
        <v>42185</v>
      </c>
      <c r="AW66" s="211">
        <v>42216</v>
      </c>
      <c r="AX66" s="211">
        <v>42247</v>
      </c>
      <c r="AY66" s="211">
        <v>42277</v>
      </c>
      <c r="AZ66" s="211">
        <v>42308</v>
      </c>
      <c r="BA66" s="211">
        <v>42338</v>
      </c>
      <c r="BB66" s="211">
        <v>42369</v>
      </c>
      <c r="BC66" s="252">
        <v>42370</v>
      </c>
      <c r="BD66" s="211">
        <v>42401</v>
      </c>
      <c r="BE66" s="211">
        <v>42430</v>
      </c>
      <c r="BF66" s="211">
        <v>42461</v>
      </c>
      <c r="BG66" s="211">
        <v>42521</v>
      </c>
      <c r="BH66" s="211">
        <v>42551</v>
      </c>
      <c r="BI66" s="211">
        <v>42582</v>
      </c>
      <c r="BJ66" s="211">
        <v>42613</v>
      </c>
      <c r="BK66" s="211">
        <v>42643</v>
      </c>
      <c r="BL66" s="211">
        <v>42674</v>
      </c>
      <c r="BM66" s="211">
        <v>42704</v>
      </c>
      <c r="BN66" s="211">
        <v>42735</v>
      </c>
      <c r="BO66" s="211">
        <v>42766</v>
      </c>
      <c r="BP66" s="211">
        <v>42794</v>
      </c>
      <c r="BQ66" s="211">
        <v>42825</v>
      </c>
      <c r="BR66" s="211">
        <v>42855</v>
      </c>
      <c r="BS66" s="252">
        <v>42886</v>
      </c>
      <c r="BT66" s="211">
        <v>42916</v>
      </c>
      <c r="BU66" s="211">
        <v>42947</v>
      </c>
      <c r="BV66" s="211">
        <v>42978</v>
      </c>
      <c r="BW66" s="211">
        <v>43008</v>
      </c>
      <c r="BX66" s="211">
        <v>43039</v>
      </c>
      <c r="BY66" s="211">
        <v>43069</v>
      </c>
      <c r="BZ66" s="211">
        <v>43100</v>
      </c>
    </row>
    <row r="67" spans="1:84">
      <c r="B67" s="1592" t="s">
        <v>152</v>
      </c>
      <c r="C67" s="242">
        <v>1213.835</v>
      </c>
      <c r="H67" s="242">
        <v>186.601</v>
      </c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321">
        <v>186.601</v>
      </c>
      <c r="V67" s="321">
        <v>144.83600000000001</v>
      </c>
      <c r="W67" s="321">
        <v>280.041</v>
      </c>
      <c r="X67" s="321">
        <v>227.65799999999999</v>
      </c>
      <c r="Y67" s="321">
        <v>131.21899999999999</v>
      </c>
      <c r="Z67" s="321">
        <v>332.80599999999998</v>
      </c>
      <c r="AA67" s="321">
        <v>414.44799999999998</v>
      </c>
      <c r="AB67" s="522">
        <v>378.91800000000001</v>
      </c>
      <c r="AC67" s="321">
        <v>472.93299999999999</v>
      </c>
      <c r="AD67" s="321">
        <v>1121.69</v>
      </c>
      <c r="AE67" s="775">
        <v>76.075000000000003</v>
      </c>
      <c r="AF67" s="818">
        <v>263.22300000000001</v>
      </c>
      <c r="AG67" s="818">
        <v>104.059</v>
      </c>
      <c r="AH67" s="775">
        <v>285.05700000000002</v>
      </c>
      <c r="AI67" s="818">
        <v>485.42099999999999</v>
      </c>
      <c r="BC67" s="1869"/>
      <c r="BD67" s="1869"/>
      <c r="BE67" s="1869"/>
      <c r="BF67" s="1869"/>
      <c r="BG67" s="1869"/>
      <c r="BH67" s="1869"/>
      <c r="BI67" s="1869"/>
    </row>
    <row r="68" spans="1:84">
      <c r="B68" s="1592" t="s">
        <v>153</v>
      </c>
      <c r="C68" s="242">
        <v>701.33699999999999</v>
      </c>
      <c r="H68" s="242">
        <v>0</v>
      </c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321"/>
      <c r="V68" s="321">
        <v>200.43700000000001</v>
      </c>
      <c r="W68" s="321">
        <v>198.999</v>
      </c>
      <c r="X68" s="321">
        <v>173.274</v>
      </c>
      <c r="Y68" s="321">
        <v>111.548</v>
      </c>
      <c r="Z68" s="321">
        <v>78.195999999999998</v>
      </c>
      <c r="AA68" s="321">
        <v>476.56799999999998</v>
      </c>
      <c r="AB68" s="522">
        <v>287.84300000000002</v>
      </c>
      <c r="AC68" s="321">
        <v>259.47899999999998</v>
      </c>
      <c r="AD68" s="321">
        <v>315.98099999999999</v>
      </c>
      <c r="AE68" s="775">
        <v>280.71800000000002</v>
      </c>
      <c r="AF68" s="818">
        <v>76.617999999999995</v>
      </c>
      <c r="AG68" s="818">
        <v>37.499000000000002</v>
      </c>
      <c r="AH68" s="775">
        <v>122.621</v>
      </c>
      <c r="AI68" s="818">
        <v>183.881</v>
      </c>
      <c r="BC68" s="1869"/>
      <c r="BD68" s="1869"/>
      <c r="BE68" s="1869"/>
      <c r="BF68" s="1869"/>
      <c r="BG68" s="1869"/>
      <c r="BH68" s="1869"/>
      <c r="BI68" s="1869"/>
    </row>
    <row r="69" spans="1:84">
      <c r="B69" s="1592" t="s">
        <v>70</v>
      </c>
      <c r="C69" s="242">
        <v>509.45200000000006</v>
      </c>
      <c r="H69" s="242">
        <v>0</v>
      </c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321"/>
      <c r="V69" s="321"/>
      <c r="W69" s="321">
        <v>151.661</v>
      </c>
      <c r="X69" s="321">
        <v>66.998999999999995</v>
      </c>
      <c r="Y69" s="321">
        <v>15.222</v>
      </c>
      <c r="Z69" s="321">
        <v>69.224000000000004</v>
      </c>
      <c r="AA69" s="321">
        <v>156.74799999999999</v>
      </c>
      <c r="AB69" s="522">
        <v>164.15600000000001</v>
      </c>
      <c r="AC69" s="321">
        <v>245.22399999999999</v>
      </c>
      <c r="AD69" s="321">
        <v>153.58500000000001</v>
      </c>
      <c r="AE69" s="775">
        <v>43.417999999999999</v>
      </c>
      <c r="AF69" s="818">
        <v>169.197</v>
      </c>
      <c r="AG69" s="818">
        <v>132.43700000000001</v>
      </c>
      <c r="AH69" s="775">
        <v>160.52799999999999</v>
      </c>
      <c r="AI69" s="818">
        <v>3.8719999999999999</v>
      </c>
      <c r="BC69" s="1869"/>
      <c r="BD69" s="1869"/>
      <c r="BE69" s="1869"/>
      <c r="BF69" s="1869"/>
      <c r="BG69" s="1869"/>
      <c r="BH69" s="1869"/>
      <c r="BI69" s="1869"/>
    </row>
    <row r="70" spans="1:84">
      <c r="B70" s="1592" t="s">
        <v>71</v>
      </c>
      <c r="C70" s="242">
        <v>728.82900000000006</v>
      </c>
      <c r="H70" s="242">
        <v>0</v>
      </c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321"/>
      <c r="V70" s="321"/>
      <c r="W70" s="321"/>
      <c r="X70" s="321">
        <v>80.022000000000006</v>
      </c>
      <c r="Y70" s="321">
        <v>77.683000000000007</v>
      </c>
      <c r="Z70" s="321">
        <v>71.010000000000005</v>
      </c>
      <c r="AA70" s="321">
        <v>202.01400000000001</v>
      </c>
      <c r="AB70" s="522">
        <v>12.836</v>
      </c>
      <c r="AC70" s="321">
        <v>171.49600000000001</v>
      </c>
      <c r="AD70" s="321">
        <v>597.53599999999994</v>
      </c>
      <c r="AE70" s="775">
        <v>38.134999999999998</v>
      </c>
      <c r="AF70" s="818">
        <v>112.601</v>
      </c>
      <c r="AG70" s="818">
        <v>245.16200000000001</v>
      </c>
      <c r="AH70" s="775">
        <v>218.262</v>
      </c>
      <c r="AI70" s="818">
        <v>114.669</v>
      </c>
      <c r="BC70" s="1869"/>
      <c r="BD70" s="1869"/>
      <c r="BE70" s="1869"/>
      <c r="BF70" s="1869"/>
      <c r="BG70" s="1869"/>
      <c r="BH70" s="1869"/>
      <c r="BI70" s="1869"/>
    </row>
    <row r="71" spans="1:84">
      <c r="B71" s="1592" t="s">
        <v>72</v>
      </c>
      <c r="C71" s="242">
        <v>285.29899999999998</v>
      </c>
      <c r="H71" s="242">
        <v>0</v>
      </c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321"/>
      <c r="V71" s="321"/>
      <c r="W71" s="321"/>
      <c r="X71" s="321"/>
      <c r="Y71" s="321"/>
      <c r="Z71" s="321"/>
      <c r="AA71" s="321">
        <v>89.382000000000005</v>
      </c>
      <c r="AB71" s="522">
        <v>27.619</v>
      </c>
      <c r="AC71" s="321">
        <v>16.574000000000002</v>
      </c>
      <c r="AD71" s="321">
        <v>149.678</v>
      </c>
      <c r="AE71" s="775">
        <v>30.907</v>
      </c>
      <c r="AF71" s="818">
        <v>89.623000000000005</v>
      </c>
      <c r="AG71" s="818">
        <v>65.033000000000001</v>
      </c>
      <c r="AH71" s="775">
        <v>21.199000000000002</v>
      </c>
      <c r="AI71" s="818">
        <v>78.537000000000006</v>
      </c>
      <c r="BC71" s="1869"/>
      <c r="BD71" s="1869"/>
      <c r="BE71" s="1869"/>
      <c r="BF71" s="1869"/>
      <c r="BG71" s="1869"/>
      <c r="BH71" s="1869"/>
      <c r="BI71" s="1869"/>
    </row>
    <row r="72" spans="1:84">
      <c r="B72" s="1592" t="s">
        <v>73</v>
      </c>
      <c r="C72" s="242">
        <v>1543.2130000000002</v>
      </c>
      <c r="H72" s="242">
        <v>92.313999999999993</v>
      </c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321">
        <v>92.313999999999993</v>
      </c>
      <c r="V72" s="321">
        <v>284.81599999999997</v>
      </c>
      <c r="W72" s="321">
        <v>221.84399999999999</v>
      </c>
      <c r="X72" s="321">
        <v>213.93600000000001</v>
      </c>
      <c r="Y72" s="321">
        <v>288.77499999999998</v>
      </c>
      <c r="Z72" s="321">
        <v>249.958</v>
      </c>
      <c r="AA72" s="321">
        <v>755.12900000000002</v>
      </c>
      <c r="AB72" s="522">
        <v>182.148</v>
      </c>
      <c r="AC72" s="321">
        <v>471.94</v>
      </c>
      <c r="AD72" s="321">
        <v>375.78100000000001</v>
      </c>
      <c r="AE72" s="775">
        <v>47.731000000000002</v>
      </c>
      <c r="AF72" s="818">
        <v>234.54</v>
      </c>
      <c r="AG72" s="818">
        <v>-15.257999999999999</v>
      </c>
      <c r="AH72" s="775">
        <v>531.87900000000002</v>
      </c>
      <c r="AI72" s="818">
        <v>744.32100000000003</v>
      </c>
      <c r="BC72" s="1869"/>
      <c r="BD72" s="1869"/>
      <c r="BE72" s="1869"/>
      <c r="BF72" s="1869"/>
      <c r="BG72" s="1869"/>
      <c r="BH72" s="1869"/>
      <c r="BI72" s="1869"/>
    </row>
    <row r="73" spans="1:84" s="956" customFormat="1">
      <c r="A73" s="935"/>
      <c r="B73" s="1592" t="s">
        <v>75</v>
      </c>
      <c r="C73" s="961">
        <v>0</v>
      </c>
      <c r="D73" s="932"/>
      <c r="E73" s="954"/>
      <c r="F73" s="954"/>
      <c r="G73" s="954"/>
      <c r="H73" s="961">
        <v>0</v>
      </c>
      <c r="I73" s="932"/>
      <c r="J73" s="962"/>
      <c r="K73" s="962"/>
      <c r="L73" s="962"/>
      <c r="M73" s="962"/>
      <c r="N73" s="962"/>
      <c r="O73" s="962"/>
      <c r="P73" s="962"/>
      <c r="Q73" s="962"/>
      <c r="R73" s="962"/>
      <c r="S73" s="962"/>
      <c r="T73" s="962"/>
      <c r="U73" s="955"/>
      <c r="V73" s="955"/>
      <c r="W73" s="955"/>
      <c r="X73" s="955"/>
      <c r="Y73" s="955"/>
      <c r="Z73" s="955"/>
      <c r="AA73" s="955"/>
      <c r="AB73" s="1195"/>
      <c r="AC73" s="955"/>
      <c r="AD73" s="955"/>
      <c r="AH73" s="1198"/>
      <c r="BC73" s="1870"/>
      <c r="BD73" s="1870"/>
      <c r="BE73" s="1870"/>
      <c r="BF73" s="1870"/>
      <c r="BG73" s="1870"/>
      <c r="BH73" s="1870"/>
      <c r="BI73" s="1870"/>
      <c r="BU73" s="2373"/>
    </row>
    <row r="74" spans="1:84" s="2200" customFormat="1">
      <c r="A74" s="935" t="s">
        <v>4287</v>
      </c>
      <c r="B74" s="1592" t="s">
        <v>4197</v>
      </c>
      <c r="C74" s="778"/>
      <c r="D74" s="932"/>
      <c r="E74" s="932"/>
      <c r="F74" s="932"/>
      <c r="G74" s="932"/>
      <c r="H74" s="778"/>
      <c r="I74" s="932"/>
      <c r="J74" s="2203"/>
      <c r="K74" s="2203"/>
      <c r="L74" s="2203"/>
      <c r="M74" s="2203"/>
      <c r="N74" s="2203"/>
      <c r="O74" s="2203"/>
      <c r="P74" s="2203"/>
      <c r="Q74" s="2203"/>
      <c r="R74" s="2203"/>
      <c r="S74" s="2203"/>
      <c r="T74" s="2203"/>
      <c r="U74" s="2199"/>
      <c r="V74" s="2199"/>
      <c r="W74" s="2199"/>
      <c r="X74" s="2199"/>
      <c r="Y74" s="2199"/>
      <c r="Z74" s="2199"/>
      <c r="AA74" s="2199"/>
      <c r="AB74" s="2206"/>
      <c r="AC74" s="2199"/>
      <c r="AD74" s="2199"/>
      <c r="AH74" s="2207"/>
      <c r="BC74" s="2201"/>
      <c r="BD74" s="2201"/>
      <c r="BE74" s="2201"/>
      <c r="BF74" s="2201"/>
      <c r="BG74" s="2201"/>
      <c r="BH74" s="2201"/>
      <c r="BI74" s="2201"/>
      <c r="BO74" s="2200">
        <v>0</v>
      </c>
      <c r="BP74" s="2201">
        <v>1074.5830000000001</v>
      </c>
      <c r="BQ74" s="2201">
        <v>800.98</v>
      </c>
      <c r="BR74" s="2201">
        <v>2179.6849999999999</v>
      </c>
      <c r="BS74" s="2201">
        <v>894.63</v>
      </c>
      <c r="BT74" s="2201">
        <v>654.79999999999995</v>
      </c>
      <c r="BU74" s="2201">
        <v>752.53</v>
      </c>
      <c r="BV74" s="2201">
        <v>0</v>
      </c>
      <c r="BW74" s="2201">
        <v>0</v>
      </c>
      <c r="BX74" s="2201">
        <v>0</v>
      </c>
      <c r="BY74" s="2201">
        <v>0</v>
      </c>
      <c r="BZ74" s="2201">
        <v>0</v>
      </c>
      <c r="CA74" s="2201"/>
      <c r="CB74" s="2201"/>
      <c r="CC74" s="2201"/>
      <c r="CD74" s="2201"/>
      <c r="CE74" s="2201"/>
      <c r="CF74" s="2201"/>
    </row>
    <row r="75" spans="1:84" s="976" customFormat="1">
      <c r="A75" s="2377" t="s">
        <v>4328</v>
      </c>
      <c r="B75" s="971" t="s">
        <v>4208</v>
      </c>
      <c r="C75" s="1305">
        <v>164845.3144400001</v>
      </c>
      <c r="D75" s="972"/>
      <c r="E75" s="973"/>
      <c r="F75" s="973"/>
      <c r="G75" s="973"/>
      <c r="H75" s="1305">
        <v>278.91499999999996</v>
      </c>
      <c r="I75" s="972"/>
      <c r="J75" s="1306">
        <v>0</v>
      </c>
      <c r="K75" s="1306">
        <v>0</v>
      </c>
      <c r="L75" s="1306">
        <v>0</v>
      </c>
      <c r="M75" s="1306">
        <v>0</v>
      </c>
      <c r="N75" s="1306">
        <v>0</v>
      </c>
      <c r="O75" s="1306">
        <v>0</v>
      </c>
      <c r="P75" s="1306">
        <v>0</v>
      </c>
      <c r="Q75" s="1306">
        <v>0</v>
      </c>
      <c r="R75" s="1306">
        <v>0</v>
      </c>
      <c r="S75" s="1306">
        <v>0</v>
      </c>
      <c r="T75" s="1306">
        <v>0</v>
      </c>
      <c r="U75" s="1306">
        <v>278.91499999999996</v>
      </c>
      <c r="V75" s="1306">
        <v>630.08899999999994</v>
      </c>
      <c r="W75" s="1306">
        <v>852.54500000000007</v>
      </c>
      <c r="X75" s="1306">
        <v>761.88900000000012</v>
      </c>
      <c r="Y75" s="1306">
        <v>624.44699999999989</v>
      </c>
      <c r="Z75" s="1306">
        <v>801.19399999999996</v>
      </c>
      <c r="AA75" s="1306">
        <v>2094.2889999999998</v>
      </c>
      <c r="AB75" s="929">
        <v>1053.52</v>
      </c>
      <c r="AC75" s="929">
        <v>1637.6460000000002</v>
      </c>
      <c r="AD75" s="929">
        <v>2714.2509999999997</v>
      </c>
      <c r="AE75" s="929">
        <v>516.98400000000004</v>
      </c>
      <c r="AF75" s="929">
        <v>945.80200000000002</v>
      </c>
      <c r="AG75" s="929">
        <v>568.93200000000002</v>
      </c>
      <c r="AH75" s="929">
        <v>1339.546</v>
      </c>
      <c r="AI75" s="929">
        <v>1610.701</v>
      </c>
      <c r="AJ75" s="929">
        <v>4082.1039999999998</v>
      </c>
      <c r="AK75" s="929">
        <v>2996.8719999999998</v>
      </c>
      <c r="AL75" s="929">
        <v>3828.9560000000001</v>
      </c>
      <c r="AM75" s="929">
        <v>5641.8149999999996</v>
      </c>
      <c r="AN75" s="929">
        <v>5902.7430000000004</v>
      </c>
      <c r="AO75" s="929">
        <v>6960.9740000000002</v>
      </c>
      <c r="AP75" s="929">
        <v>14155.986000000001</v>
      </c>
      <c r="AQ75" s="929">
        <v>5188.1790000000001</v>
      </c>
      <c r="AR75" s="929">
        <v>4095.5790000000006</v>
      </c>
      <c r="AS75" s="929">
        <v>8145.9447</v>
      </c>
      <c r="AT75" s="929">
        <v>9811.2913000000008</v>
      </c>
      <c r="AU75" s="929">
        <v>7228.6789999999992</v>
      </c>
      <c r="AV75" s="929">
        <v>8690.9287000000004</v>
      </c>
      <c r="AW75" s="1871">
        <v>12824.906799999999</v>
      </c>
      <c r="AX75" s="1871">
        <v>6827.1124000000009</v>
      </c>
      <c r="AY75" s="1871">
        <v>17419.816000000003</v>
      </c>
      <c r="AZ75" s="1871">
        <v>12070.6067</v>
      </c>
      <c r="BA75" s="1871">
        <v>21238.814000000031</v>
      </c>
      <c r="BB75" s="1871">
        <v>24115.970000000023</v>
      </c>
      <c r="BC75" s="1871">
        <v>7314.6919999999991</v>
      </c>
      <c r="BD75" s="1871">
        <v>7046.1557999999995</v>
      </c>
      <c r="BE75" s="1871">
        <v>16416.163</v>
      </c>
      <c r="BF75" s="1871">
        <v>12573.556000000011</v>
      </c>
      <c r="BG75" s="1871">
        <v>15243.324000000001</v>
      </c>
      <c r="BH75" s="1871">
        <v>25036.574900000065</v>
      </c>
      <c r="BI75" s="1871">
        <v>16282.324900000011</v>
      </c>
      <c r="BJ75" s="1963">
        <v>18211.759800000029</v>
      </c>
      <c r="BK75" s="1963">
        <v>29046.328700000071</v>
      </c>
      <c r="BL75" s="1963">
        <v>22151.736600000018</v>
      </c>
      <c r="BM75" s="1871">
        <v>24700.202600000055</v>
      </c>
      <c r="BN75" s="1871">
        <v>51760.349470000212</v>
      </c>
      <c r="BO75" s="1871">
        <v>13431.969839999998</v>
      </c>
      <c r="BP75" s="1871">
        <v>19182.5484</v>
      </c>
      <c r="BQ75" s="1871">
        <v>29812.296999999999</v>
      </c>
      <c r="BR75" s="1871">
        <v>24740.853299999999</v>
      </c>
      <c r="BS75" s="1871">
        <v>22062.347000000002</v>
      </c>
      <c r="BT75" s="1871">
        <v>27545.569</v>
      </c>
      <c r="BU75" s="1871">
        <v>21712.521900000102</v>
      </c>
      <c r="BV75" s="1871">
        <v>0</v>
      </c>
      <c r="BW75" s="1871">
        <v>0</v>
      </c>
      <c r="BX75" s="1871">
        <v>0</v>
      </c>
      <c r="BY75" s="1871">
        <v>0</v>
      </c>
      <c r="BZ75" s="1871">
        <v>0</v>
      </c>
    </row>
    <row r="77" spans="1:84" s="952" customFormat="1">
      <c r="A77" s="935"/>
      <c r="B77" s="949" t="s">
        <v>78</v>
      </c>
      <c r="C77" s="950" t="s">
        <v>163</v>
      </c>
      <c r="D77" s="950"/>
      <c r="E77" s="951" t="s">
        <v>59</v>
      </c>
      <c r="F77" s="951" t="s">
        <v>94</v>
      </c>
      <c r="G77" s="951" t="s">
        <v>97</v>
      </c>
      <c r="H77" s="951" t="s">
        <v>150</v>
      </c>
      <c r="I77" s="950"/>
      <c r="J77" s="227">
        <v>41000</v>
      </c>
      <c r="K77" s="227">
        <v>41030</v>
      </c>
      <c r="L77" s="227">
        <v>41061</v>
      </c>
      <c r="M77" s="227">
        <v>41091</v>
      </c>
      <c r="N77" s="227">
        <v>41122</v>
      </c>
      <c r="O77" s="227">
        <v>41153</v>
      </c>
      <c r="P77" s="227">
        <v>41183</v>
      </c>
      <c r="Q77" s="227">
        <v>41214</v>
      </c>
      <c r="R77" s="227">
        <v>41244</v>
      </c>
      <c r="S77" s="227">
        <v>41275</v>
      </c>
      <c r="T77" s="227">
        <v>41306</v>
      </c>
      <c r="U77" s="227">
        <v>41334</v>
      </c>
      <c r="V77" s="227">
        <v>41365</v>
      </c>
      <c r="W77" s="227">
        <v>41395</v>
      </c>
      <c r="X77" s="227">
        <v>41426</v>
      </c>
      <c r="Y77" s="227">
        <v>41456</v>
      </c>
      <c r="Z77" s="227">
        <v>41487</v>
      </c>
      <c r="AA77" s="227">
        <v>41518</v>
      </c>
      <c r="AB77" s="227">
        <v>41548</v>
      </c>
      <c r="AC77" s="227">
        <v>41579</v>
      </c>
      <c r="AD77" s="227">
        <v>41609</v>
      </c>
      <c r="AE77" s="227">
        <v>41640</v>
      </c>
      <c r="AF77" s="227">
        <v>41671</v>
      </c>
      <c r="AG77" s="227">
        <v>41699</v>
      </c>
      <c r="AH77" s="227">
        <v>41730</v>
      </c>
      <c r="AI77" s="227">
        <v>41760</v>
      </c>
      <c r="AJ77" s="227">
        <v>41791</v>
      </c>
      <c r="AK77" s="227">
        <v>41821</v>
      </c>
      <c r="AL77" s="227">
        <v>41852</v>
      </c>
      <c r="AM77" s="227">
        <v>41883</v>
      </c>
      <c r="AN77" s="227">
        <v>41913</v>
      </c>
      <c r="AO77" s="227">
        <v>41944</v>
      </c>
      <c r="AP77" s="227">
        <v>41974</v>
      </c>
      <c r="AQ77" s="252">
        <v>42005</v>
      </c>
      <c r="AR77" s="211">
        <v>42036</v>
      </c>
      <c r="AS77" s="211">
        <v>42064</v>
      </c>
      <c r="AT77" s="211">
        <v>42095</v>
      </c>
      <c r="AU77" s="211">
        <v>42155</v>
      </c>
      <c r="AV77" s="211">
        <v>42185</v>
      </c>
      <c r="AW77" s="211">
        <v>42216</v>
      </c>
      <c r="AX77" s="211">
        <v>42247</v>
      </c>
      <c r="AY77" s="211">
        <v>42277</v>
      </c>
      <c r="AZ77" s="211">
        <v>42308</v>
      </c>
      <c r="BA77" s="211">
        <v>42338</v>
      </c>
      <c r="BB77" s="211">
        <v>42369</v>
      </c>
      <c r="BC77" s="252">
        <v>42370</v>
      </c>
      <c r="BD77" s="211">
        <v>42401</v>
      </c>
      <c r="BE77" s="211">
        <v>42430</v>
      </c>
      <c r="BF77" s="211">
        <v>42461</v>
      </c>
      <c r="BG77" s="211">
        <v>42521</v>
      </c>
      <c r="BH77" s="211">
        <v>42551</v>
      </c>
      <c r="BI77" s="211">
        <v>42582</v>
      </c>
      <c r="BJ77" s="211">
        <v>42613</v>
      </c>
      <c r="BK77" s="211">
        <v>42643</v>
      </c>
      <c r="BL77" s="211">
        <v>42674</v>
      </c>
      <c r="BM77" s="211">
        <v>42704</v>
      </c>
      <c r="BN77" s="211">
        <v>42735</v>
      </c>
      <c r="BO77" s="211">
        <v>42766</v>
      </c>
      <c r="BP77" s="211">
        <v>42794</v>
      </c>
      <c r="BQ77" s="211">
        <v>42825</v>
      </c>
      <c r="BR77" s="211">
        <v>42855</v>
      </c>
      <c r="BS77" s="252">
        <v>42886</v>
      </c>
      <c r="BT77" s="211">
        <v>42916</v>
      </c>
      <c r="BU77" s="211">
        <v>42947</v>
      </c>
      <c r="BV77" s="211">
        <v>42978</v>
      </c>
      <c r="BW77" s="211">
        <v>43008</v>
      </c>
      <c r="BX77" s="211">
        <v>43039</v>
      </c>
      <c r="BY77" s="211">
        <v>43069</v>
      </c>
      <c r="BZ77" s="211">
        <v>43100</v>
      </c>
    </row>
    <row r="78" spans="1:84">
      <c r="B78" s="1592" t="s">
        <v>152</v>
      </c>
      <c r="C78" s="243">
        <v>78</v>
      </c>
      <c r="H78" s="243">
        <v>9</v>
      </c>
      <c r="U78" s="937">
        <v>9</v>
      </c>
      <c r="V78" s="937">
        <v>10</v>
      </c>
      <c r="W78" s="937">
        <v>16</v>
      </c>
      <c r="X78" s="937">
        <v>16</v>
      </c>
      <c r="Y78" s="937">
        <v>8</v>
      </c>
      <c r="Z78" s="937">
        <v>17</v>
      </c>
      <c r="AA78" s="937">
        <v>16</v>
      </c>
      <c r="AB78" s="937">
        <v>26</v>
      </c>
      <c r="AC78" s="937">
        <v>23</v>
      </c>
      <c r="AD78" s="937">
        <v>43</v>
      </c>
      <c r="AE78" s="935">
        <v>5</v>
      </c>
      <c r="AF78" s="935">
        <v>18</v>
      </c>
      <c r="AG78" s="935">
        <v>6</v>
      </c>
      <c r="AH78" s="935">
        <v>19</v>
      </c>
      <c r="AI78" s="935">
        <v>30</v>
      </c>
    </row>
    <row r="79" spans="1:84">
      <c r="B79" s="1592" t="s">
        <v>153</v>
      </c>
      <c r="C79" s="243">
        <v>50</v>
      </c>
      <c r="H79" s="243">
        <v>0</v>
      </c>
      <c r="V79" s="937">
        <v>5</v>
      </c>
      <c r="W79" s="937">
        <v>10</v>
      </c>
      <c r="X79" s="937">
        <v>13</v>
      </c>
      <c r="Y79" s="937">
        <v>5</v>
      </c>
      <c r="Z79" s="937">
        <v>6</v>
      </c>
      <c r="AA79" s="937">
        <v>11</v>
      </c>
      <c r="AB79" s="937">
        <v>15</v>
      </c>
      <c r="AC79" s="937">
        <v>13</v>
      </c>
      <c r="AD79" s="937">
        <v>15</v>
      </c>
      <c r="AE79" s="935">
        <v>15</v>
      </c>
      <c r="AF79" s="935">
        <v>8</v>
      </c>
      <c r="AG79" s="935">
        <v>6</v>
      </c>
      <c r="AH79" s="935">
        <v>6</v>
      </c>
      <c r="AI79" s="935">
        <v>15</v>
      </c>
    </row>
    <row r="80" spans="1:84">
      <c r="B80" s="1592" t="s">
        <v>70</v>
      </c>
      <c r="C80" s="243">
        <v>24</v>
      </c>
      <c r="H80" s="243">
        <v>0</v>
      </c>
      <c r="W80" s="937">
        <v>5</v>
      </c>
      <c r="X80" s="937">
        <v>4</v>
      </c>
      <c r="Y80" s="937">
        <v>2</v>
      </c>
      <c r="Z80" s="937">
        <v>4</v>
      </c>
      <c r="AA80" s="937">
        <v>7</v>
      </c>
      <c r="AB80" s="937">
        <v>8</v>
      </c>
      <c r="AC80" s="937">
        <v>8</v>
      </c>
      <c r="AD80" s="937">
        <v>10</v>
      </c>
      <c r="AE80" s="935">
        <v>2</v>
      </c>
      <c r="AF80" s="935">
        <v>10</v>
      </c>
      <c r="AG80" s="935">
        <v>6</v>
      </c>
      <c r="AH80" s="935">
        <v>4</v>
      </c>
      <c r="AI80" s="935">
        <v>2</v>
      </c>
    </row>
    <row r="81" spans="1:85">
      <c r="B81" s="1592" t="s">
        <v>71</v>
      </c>
      <c r="C81" s="243">
        <v>42</v>
      </c>
      <c r="H81" s="243">
        <v>0</v>
      </c>
      <c r="X81" s="937">
        <v>4</v>
      </c>
      <c r="Y81" s="937">
        <v>4</v>
      </c>
      <c r="Z81" s="937">
        <v>8</v>
      </c>
      <c r="AA81" s="937">
        <v>9</v>
      </c>
      <c r="AB81" s="937">
        <v>3</v>
      </c>
      <c r="AC81" s="937">
        <v>7</v>
      </c>
      <c r="AD81" s="937">
        <v>15</v>
      </c>
      <c r="AE81" s="935">
        <v>2</v>
      </c>
      <c r="AF81" s="935">
        <v>9</v>
      </c>
      <c r="AG81" s="935">
        <v>15</v>
      </c>
      <c r="AH81" s="935">
        <v>8</v>
      </c>
      <c r="AI81" s="935">
        <v>8</v>
      </c>
    </row>
    <row r="82" spans="1:85">
      <c r="B82" s="1592" t="s">
        <v>72</v>
      </c>
      <c r="C82" s="243">
        <v>20</v>
      </c>
      <c r="H82" s="243">
        <v>0</v>
      </c>
      <c r="AA82" s="937">
        <v>2</v>
      </c>
      <c r="AB82" s="937">
        <v>2</v>
      </c>
      <c r="AC82" s="937">
        <v>1</v>
      </c>
      <c r="AD82" s="937">
        <v>7</v>
      </c>
      <c r="AE82" s="935">
        <v>2</v>
      </c>
      <c r="AF82" s="935">
        <v>4</v>
      </c>
      <c r="AG82" s="935">
        <v>4</v>
      </c>
      <c r="AH82" s="935">
        <v>3</v>
      </c>
      <c r="AI82" s="935">
        <v>7</v>
      </c>
    </row>
    <row r="83" spans="1:85">
      <c r="B83" s="1592" t="s">
        <v>73</v>
      </c>
      <c r="C83" s="243">
        <v>68</v>
      </c>
      <c r="H83" s="243">
        <v>7</v>
      </c>
      <c r="U83" s="937">
        <v>7</v>
      </c>
      <c r="V83" s="937">
        <v>17</v>
      </c>
      <c r="W83" s="937">
        <v>19</v>
      </c>
      <c r="X83" s="937">
        <v>16</v>
      </c>
      <c r="Y83" s="937">
        <v>13</v>
      </c>
      <c r="Z83" s="937">
        <v>11</v>
      </c>
      <c r="AA83" s="937">
        <v>32</v>
      </c>
      <c r="AB83" s="937">
        <v>12</v>
      </c>
      <c r="AC83" s="937">
        <v>14</v>
      </c>
      <c r="AD83" s="937">
        <v>17</v>
      </c>
      <c r="AE83" s="935">
        <v>4</v>
      </c>
      <c r="AF83" s="935">
        <v>16</v>
      </c>
      <c r="AG83" s="935">
        <v>3</v>
      </c>
      <c r="AH83" s="935">
        <v>18</v>
      </c>
      <c r="AI83" s="935">
        <v>27</v>
      </c>
    </row>
    <row r="84" spans="1:85" s="956" customFormat="1">
      <c r="A84" s="935"/>
      <c r="B84" s="1592" t="s">
        <v>75</v>
      </c>
      <c r="C84" s="953">
        <v>0</v>
      </c>
      <c r="D84" s="932"/>
      <c r="E84" s="954"/>
      <c r="F84" s="954"/>
      <c r="G84" s="954"/>
      <c r="H84" s="953">
        <v>0</v>
      </c>
      <c r="I84" s="932"/>
      <c r="J84" s="955"/>
      <c r="K84" s="955"/>
      <c r="L84" s="955"/>
      <c r="M84" s="955"/>
      <c r="N84" s="955"/>
      <c r="O84" s="955"/>
      <c r="P84" s="955"/>
      <c r="Q84" s="955"/>
      <c r="R84" s="955"/>
      <c r="S84" s="955"/>
      <c r="T84" s="955"/>
      <c r="U84" s="955"/>
      <c r="V84" s="955"/>
      <c r="W84" s="955"/>
      <c r="X84" s="955"/>
      <c r="Y84" s="955"/>
      <c r="Z84" s="955"/>
      <c r="AA84" s="955"/>
      <c r="AB84" s="955"/>
      <c r="AC84" s="955"/>
      <c r="AD84" s="955"/>
      <c r="BU84" s="2373"/>
    </row>
    <row r="85" spans="1:85" s="2200" customFormat="1">
      <c r="A85" s="935" t="s">
        <v>4288</v>
      </c>
      <c r="B85" s="2197" t="s">
        <v>4197</v>
      </c>
      <c r="C85" s="776"/>
      <c r="D85" s="932"/>
      <c r="E85" s="932"/>
      <c r="F85" s="932"/>
      <c r="G85" s="932"/>
      <c r="H85" s="776"/>
      <c r="I85" s="932"/>
      <c r="J85" s="2199"/>
      <c r="K85" s="2199"/>
      <c r="L85" s="2199"/>
      <c r="M85" s="2199"/>
      <c r="N85" s="2199"/>
      <c r="O85" s="2199"/>
      <c r="P85" s="2199"/>
      <c r="Q85" s="2199"/>
      <c r="R85" s="2199"/>
      <c r="S85" s="2199"/>
      <c r="T85" s="2199"/>
      <c r="U85" s="2199"/>
      <c r="V85" s="2199"/>
      <c r="W85" s="2199"/>
      <c r="X85" s="2199"/>
      <c r="Y85" s="2199"/>
      <c r="Z85" s="2199"/>
      <c r="AA85" s="2199"/>
      <c r="AB85" s="2199"/>
      <c r="AC85" s="2199"/>
      <c r="AD85" s="2199"/>
      <c r="BO85" s="2200">
        <v>0</v>
      </c>
      <c r="BP85" s="2201">
        <v>67</v>
      </c>
      <c r="BQ85" s="2201">
        <v>45</v>
      </c>
      <c r="BR85" s="2201">
        <v>115</v>
      </c>
      <c r="BS85" s="2201">
        <v>44</v>
      </c>
      <c r="BT85" s="2201">
        <v>42</v>
      </c>
      <c r="BU85" s="2201">
        <v>32</v>
      </c>
      <c r="BV85" s="2201">
        <v>0</v>
      </c>
      <c r="BW85" s="2201">
        <v>0</v>
      </c>
      <c r="BX85" s="2201">
        <v>0</v>
      </c>
      <c r="BY85" s="2201">
        <v>0</v>
      </c>
      <c r="BZ85" s="2201">
        <v>0</v>
      </c>
      <c r="CA85" s="2201"/>
      <c r="CB85" s="2201"/>
      <c r="CC85" s="2201"/>
      <c r="CD85" s="2201"/>
      <c r="CE85" s="2201"/>
      <c r="CF85" s="2201"/>
      <c r="CG85" s="2201"/>
    </row>
    <row r="86" spans="1:85" s="976" customFormat="1">
      <c r="A86" s="935" t="s">
        <v>4385</v>
      </c>
      <c r="B86" s="1313" t="s">
        <v>4208</v>
      </c>
      <c r="C86" s="2233">
        <v>7251</v>
      </c>
      <c r="D86" s="972"/>
      <c r="E86" s="973"/>
      <c r="F86" s="973"/>
      <c r="G86" s="973"/>
      <c r="H86" s="973">
        <v>16</v>
      </c>
      <c r="I86" s="972"/>
      <c r="J86" s="974">
        <v>0</v>
      </c>
      <c r="K86" s="975">
        <v>0</v>
      </c>
      <c r="L86" s="975">
        <v>0</v>
      </c>
      <c r="M86" s="975">
        <v>0</v>
      </c>
      <c r="N86" s="975">
        <v>0</v>
      </c>
      <c r="O86" s="975">
        <v>0</v>
      </c>
      <c r="P86" s="975">
        <v>0</v>
      </c>
      <c r="Q86" s="975">
        <v>0</v>
      </c>
      <c r="R86" s="975">
        <v>0</v>
      </c>
      <c r="S86" s="1905">
        <v>0</v>
      </c>
      <c r="T86" s="1905">
        <v>0</v>
      </c>
      <c r="U86" s="1905">
        <v>16</v>
      </c>
      <c r="V86" s="1905">
        <v>32</v>
      </c>
      <c r="W86" s="1905">
        <v>50</v>
      </c>
      <c r="X86" s="1905">
        <v>53</v>
      </c>
      <c r="Y86" s="1905">
        <v>32</v>
      </c>
      <c r="Z86" s="1905">
        <v>46</v>
      </c>
      <c r="AA86" s="1905">
        <v>77</v>
      </c>
      <c r="AB86" s="1905">
        <v>66</v>
      </c>
      <c r="AC86" s="1905">
        <v>66</v>
      </c>
      <c r="AD86" s="1905">
        <v>107</v>
      </c>
      <c r="AE86" s="1905">
        <v>30</v>
      </c>
      <c r="AF86" s="1905">
        <v>65</v>
      </c>
      <c r="AG86" s="1905">
        <v>40</v>
      </c>
      <c r="AH86" s="1905">
        <v>58</v>
      </c>
      <c r="AI86" s="1905">
        <v>89</v>
      </c>
      <c r="AJ86" s="1905">
        <v>157</v>
      </c>
      <c r="AK86" s="1905">
        <v>142</v>
      </c>
      <c r="AL86" s="1905">
        <v>173</v>
      </c>
      <c r="AM86" s="1905">
        <v>233</v>
      </c>
      <c r="AN86" s="1905">
        <v>240</v>
      </c>
      <c r="AO86" s="1905">
        <v>282</v>
      </c>
      <c r="AP86" s="1905">
        <v>376</v>
      </c>
      <c r="AQ86" s="1905">
        <v>262</v>
      </c>
      <c r="AR86" s="1871">
        <v>238</v>
      </c>
      <c r="AS86" s="1871">
        <v>336</v>
      </c>
      <c r="AT86" s="1871">
        <v>344</v>
      </c>
      <c r="AU86" s="1871">
        <v>415</v>
      </c>
      <c r="AV86" s="1871">
        <v>453</v>
      </c>
      <c r="AW86" s="1871">
        <v>502</v>
      </c>
      <c r="AX86" s="1871">
        <v>411</v>
      </c>
      <c r="AY86" s="1871">
        <v>765</v>
      </c>
      <c r="AZ86" s="1871">
        <v>636</v>
      </c>
      <c r="BA86" s="1871">
        <v>755</v>
      </c>
      <c r="BB86" s="1871">
        <v>808</v>
      </c>
      <c r="BC86" s="1871">
        <v>394</v>
      </c>
      <c r="BD86" s="1871">
        <v>387</v>
      </c>
      <c r="BE86" s="1871">
        <v>655</v>
      </c>
      <c r="BF86" s="1871">
        <v>553</v>
      </c>
      <c r="BG86" s="1871">
        <v>665</v>
      </c>
      <c r="BH86" s="1871">
        <v>1065</v>
      </c>
      <c r="BI86" s="1871">
        <v>831</v>
      </c>
      <c r="BJ86" s="1871">
        <v>956</v>
      </c>
      <c r="BK86" s="1871">
        <v>1203</v>
      </c>
      <c r="BL86" s="1871">
        <v>990</v>
      </c>
      <c r="BM86" s="1871">
        <v>965</v>
      </c>
      <c r="BN86" s="1871">
        <v>1698</v>
      </c>
      <c r="BO86" s="1871">
        <v>661</v>
      </c>
      <c r="BP86" s="1871">
        <v>987</v>
      </c>
      <c r="BQ86" s="1871">
        <v>1291</v>
      </c>
      <c r="BR86" s="1871">
        <v>1213</v>
      </c>
      <c r="BS86" s="1871">
        <v>908</v>
      </c>
      <c r="BT86" s="1871">
        <v>1268</v>
      </c>
      <c r="BU86" s="1871">
        <v>923</v>
      </c>
      <c r="BV86" s="1871">
        <v>0</v>
      </c>
      <c r="BW86" s="1871">
        <v>0</v>
      </c>
      <c r="BX86" s="1871">
        <v>0</v>
      </c>
      <c r="BY86" s="1871">
        <v>0</v>
      </c>
      <c r="BZ86" s="1871">
        <v>0</v>
      </c>
      <c r="CA86" s="1871"/>
      <c r="CB86" s="1871"/>
      <c r="CC86" s="1871"/>
      <c r="CD86" s="1871"/>
      <c r="CE86" s="1871"/>
      <c r="CF86" s="1871"/>
      <c r="CG86" s="1871"/>
    </row>
    <row r="87" spans="1:85">
      <c r="A87" s="935" t="s">
        <v>4289</v>
      </c>
      <c r="BO87" s="935">
        <v>661</v>
      </c>
      <c r="BP87" s="935">
        <v>920</v>
      </c>
      <c r="BQ87" s="935">
        <v>1246</v>
      </c>
      <c r="BR87" s="935">
        <v>1098</v>
      </c>
      <c r="BS87" s="935">
        <v>864</v>
      </c>
      <c r="BT87" s="935">
        <v>1226</v>
      </c>
      <c r="BU87" s="935">
        <v>891</v>
      </c>
      <c r="BV87" s="935">
        <v>0</v>
      </c>
      <c r="BW87" s="935">
        <v>0</v>
      </c>
      <c r="BX87" s="935">
        <v>0</v>
      </c>
      <c r="BY87" s="935">
        <v>0</v>
      </c>
      <c r="BZ87" s="935">
        <v>0</v>
      </c>
    </row>
    <row r="88" spans="1:85" s="952" customFormat="1">
      <c r="A88" s="935"/>
      <c r="B88" s="949" t="s">
        <v>161</v>
      </c>
      <c r="C88" s="950" t="s">
        <v>163</v>
      </c>
      <c r="D88" s="950"/>
      <c r="E88" s="951" t="s">
        <v>59</v>
      </c>
      <c r="F88" s="951" t="s">
        <v>94</v>
      </c>
      <c r="G88" s="951" t="s">
        <v>97</v>
      </c>
      <c r="H88" s="951" t="s">
        <v>150</v>
      </c>
      <c r="I88" s="950"/>
      <c r="J88" s="227">
        <v>41000</v>
      </c>
      <c r="K88" s="227">
        <v>41030</v>
      </c>
      <c r="L88" s="227">
        <v>41061</v>
      </c>
      <c r="M88" s="227">
        <v>41091</v>
      </c>
      <c r="N88" s="227">
        <v>41122</v>
      </c>
      <c r="O88" s="227">
        <v>41153</v>
      </c>
      <c r="P88" s="227">
        <v>41183</v>
      </c>
      <c r="Q88" s="227">
        <v>41214</v>
      </c>
      <c r="R88" s="227">
        <v>41244</v>
      </c>
      <c r="S88" s="227">
        <v>41275</v>
      </c>
      <c r="T88" s="227">
        <v>41306</v>
      </c>
      <c r="U88" s="227">
        <v>41334</v>
      </c>
      <c r="V88" s="227">
        <v>41365</v>
      </c>
      <c r="W88" s="227">
        <v>41395</v>
      </c>
      <c r="X88" s="227">
        <v>41426</v>
      </c>
      <c r="Y88" s="227">
        <v>41456</v>
      </c>
      <c r="Z88" s="227">
        <v>41487</v>
      </c>
      <c r="AA88" s="227">
        <v>41518</v>
      </c>
      <c r="AB88" s="227">
        <v>41548</v>
      </c>
      <c r="AC88" s="227">
        <v>41579</v>
      </c>
      <c r="AD88" s="227">
        <v>41609</v>
      </c>
      <c r="AE88" s="227">
        <v>41640</v>
      </c>
      <c r="AF88" s="227">
        <v>41671</v>
      </c>
      <c r="AG88" s="227">
        <v>41699</v>
      </c>
      <c r="AH88" s="227">
        <v>41730</v>
      </c>
      <c r="AI88" s="227">
        <v>41760</v>
      </c>
      <c r="AJ88" s="227">
        <v>41791</v>
      </c>
      <c r="AK88" s="227">
        <v>41821</v>
      </c>
      <c r="AL88" s="227">
        <v>41852</v>
      </c>
      <c r="AM88" s="227">
        <v>41883</v>
      </c>
      <c r="AN88" s="227">
        <v>41913</v>
      </c>
      <c r="AO88" s="227">
        <v>41944</v>
      </c>
      <c r="AP88" s="227">
        <v>41974</v>
      </c>
      <c r="AQ88" s="252">
        <v>42005</v>
      </c>
      <c r="AR88" s="211">
        <v>42036</v>
      </c>
      <c r="AS88" s="211">
        <v>42064</v>
      </c>
      <c r="AT88" s="211">
        <v>42095</v>
      </c>
      <c r="AU88" s="211">
        <v>42155</v>
      </c>
      <c r="AV88" s="211">
        <v>42185</v>
      </c>
      <c r="AW88" s="211">
        <v>42216</v>
      </c>
      <c r="AX88" s="211">
        <v>42247</v>
      </c>
      <c r="AY88" s="211">
        <v>42277</v>
      </c>
      <c r="AZ88" s="211">
        <v>42308</v>
      </c>
      <c r="BA88" s="211">
        <v>42338</v>
      </c>
      <c r="BB88" s="211">
        <v>42369</v>
      </c>
      <c r="BC88" s="252">
        <v>42370</v>
      </c>
      <c r="BD88" s="211">
        <v>42401</v>
      </c>
      <c r="BE88" s="211">
        <v>42430</v>
      </c>
      <c r="BF88" s="211">
        <v>42461</v>
      </c>
      <c r="BG88" s="211">
        <v>42521</v>
      </c>
      <c r="BH88" s="211">
        <v>42551</v>
      </c>
      <c r="BI88" s="211">
        <v>42582</v>
      </c>
      <c r="BJ88" s="211">
        <v>42613</v>
      </c>
      <c r="BK88" s="211">
        <v>42643</v>
      </c>
      <c r="BL88" s="211">
        <v>42674</v>
      </c>
      <c r="BM88" s="211">
        <v>42704</v>
      </c>
      <c r="BN88" s="211">
        <v>42735</v>
      </c>
      <c r="BO88" s="211">
        <v>42766</v>
      </c>
      <c r="BP88" s="211">
        <v>42794</v>
      </c>
      <c r="BQ88" s="211">
        <v>42825</v>
      </c>
      <c r="BR88" s="211">
        <v>42855</v>
      </c>
      <c r="BS88" s="252">
        <v>42886</v>
      </c>
      <c r="BT88" s="211">
        <v>42916</v>
      </c>
      <c r="BU88" s="211">
        <v>42947</v>
      </c>
      <c r="BV88" s="211">
        <v>42978</v>
      </c>
      <c r="BW88" s="211">
        <v>43008</v>
      </c>
      <c r="BX88" s="211">
        <v>43039</v>
      </c>
      <c r="BY88" s="211">
        <v>43069</v>
      </c>
      <c r="BZ88" s="211">
        <v>43100</v>
      </c>
    </row>
    <row r="89" spans="1:85">
      <c r="B89" s="1592" t="s">
        <v>152</v>
      </c>
      <c r="C89" s="243">
        <v>101</v>
      </c>
      <c r="H89" s="243">
        <v>11</v>
      </c>
      <c r="U89" s="937">
        <v>11</v>
      </c>
      <c r="V89" s="937">
        <v>12</v>
      </c>
      <c r="W89" s="937">
        <v>21</v>
      </c>
      <c r="X89" s="937">
        <v>21</v>
      </c>
      <c r="Y89" s="937">
        <v>11</v>
      </c>
      <c r="Z89" s="937">
        <v>26</v>
      </c>
      <c r="AA89" s="937">
        <v>23</v>
      </c>
      <c r="AB89" s="937">
        <v>30</v>
      </c>
      <c r="AC89" s="937">
        <v>32</v>
      </c>
      <c r="AD89" s="937">
        <v>75</v>
      </c>
      <c r="AE89" s="935">
        <v>5</v>
      </c>
      <c r="AF89" s="935">
        <v>20</v>
      </c>
      <c r="AG89" s="935">
        <v>7</v>
      </c>
      <c r="AH89" s="935">
        <v>29</v>
      </c>
      <c r="AI89" s="935">
        <v>40</v>
      </c>
    </row>
    <row r="90" spans="1:85">
      <c r="B90" s="1592" t="s">
        <v>153</v>
      </c>
      <c r="C90" s="243">
        <v>60</v>
      </c>
      <c r="H90" s="243">
        <v>0</v>
      </c>
      <c r="V90" s="937">
        <v>13</v>
      </c>
      <c r="W90" s="937">
        <v>17</v>
      </c>
      <c r="X90" s="937">
        <v>19</v>
      </c>
      <c r="Y90" s="937">
        <v>7</v>
      </c>
      <c r="Z90" s="937">
        <v>7</v>
      </c>
      <c r="AA90" s="937">
        <v>23</v>
      </c>
      <c r="AB90" s="937">
        <v>19</v>
      </c>
      <c r="AC90" s="937">
        <v>18</v>
      </c>
      <c r="AD90" s="937">
        <v>27</v>
      </c>
      <c r="AE90" s="935">
        <v>21</v>
      </c>
      <c r="AF90" s="935">
        <v>8</v>
      </c>
      <c r="AG90" s="935">
        <v>6</v>
      </c>
      <c r="AH90" s="935">
        <v>7</v>
      </c>
      <c r="AI90" s="935">
        <v>18</v>
      </c>
    </row>
    <row r="91" spans="1:85">
      <c r="B91" s="1592" t="s">
        <v>70</v>
      </c>
      <c r="C91" s="243">
        <v>33</v>
      </c>
      <c r="H91" s="243">
        <v>0</v>
      </c>
      <c r="W91" s="937">
        <v>8</v>
      </c>
      <c r="X91" s="937">
        <v>7</v>
      </c>
      <c r="Y91" s="937">
        <v>2</v>
      </c>
      <c r="Z91" s="937">
        <v>6</v>
      </c>
      <c r="AA91" s="937">
        <v>9</v>
      </c>
      <c r="AB91" s="937">
        <v>9</v>
      </c>
      <c r="AC91" s="937">
        <v>12</v>
      </c>
      <c r="AD91" s="937">
        <v>13</v>
      </c>
      <c r="AE91" s="935">
        <v>3</v>
      </c>
      <c r="AF91" s="935">
        <v>15</v>
      </c>
      <c r="AG91" s="935">
        <v>8</v>
      </c>
      <c r="AH91" s="935">
        <v>6</v>
      </c>
      <c r="AI91" s="935">
        <v>1</v>
      </c>
    </row>
    <row r="92" spans="1:85">
      <c r="B92" s="1592" t="s">
        <v>71</v>
      </c>
      <c r="C92" s="243">
        <v>57.5</v>
      </c>
      <c r="H92" s="243">
        <v>0</v>
      </c>
      <c r="X92" s="937">
        <v>7</v>
      </c>
      <c r="Y92" s="937">
        <v>6</v>
      </c>
      <c r="Z92" s="937">
        <v>7</v>
      </c>
      <c r="AA92" s="937">
        <v>13</v>
      </c>
      <c r="AB92" s="937">
        <v>3</v>
      </c>
      <c r="AC92" s="937">
        <v>10</v>
      </c>
      <c r="AD92" s="937">
        <v>28</v>
      </c>
      <c r="AE92" s="935">
        <v>2</v>
      </c>
      <c r="AF92" s="935">
        <v>10</v>
      </c>
      <c r="AG92" s="935">
        <v>21</v>
      </c>
      <c r="AH92" s="935">
        <v>14.5</v>
      </c>
      <c r="AI92" s="935">
        <v>10</v>
      </c>
    </row>
    <row r="93" spans="1:85">
      <c r="B93" s="1592" t="s">
        <v>72</v>
      </c>
      <c r="C93" s="243">
        <v>18</v>
      </c>
      <c r="H93" s="243">
        <v>0</v>
      </c>
      <c r="AA93" s="937">
        <v>5</v>
      </c>
      <c r="AB93" s="937">
        <v>2</v>
      </c>
      <c r="AC93" s="937">
        <v>1</v>
      </c>
      <c r="AD93" s="937">
        <v>10</v>
      </c>
      <c r="AE93" s="935">
        <v>2</v>
      </c>
      <c r="AF93" s="935">
        <v>6</v>
      </c>
      <c r="AG93" s="935">
        <v>2</v>
      </c>
      <c r="AH93" s="935">
        <v>1</v>
      </c>
      <c r="AI93" s="935">
        <v>7</v>
      </c>
    </row>
    <row r="94" spans="1:85">
      <c r="B94" s="1592" t="s">
        <v>73</v>
      </c>
      <c r="C94" s="243">
        <v>86.5</v>
      </c>
      <c r="H94" s="243">
        <v>8</v>
      </c>
      <c r="U94" s="937">
        <v>8</v>
      </c>
      <c r="V94" s="937">
        <v>20</v>
      </c>
      <c r="W94" s="937">
        <v>19</v>
      </c>
      <c r="X94" s="937">
        <v>19</v>
      </c>
      <c r="Y94" s="937">
        <v>15</v>
      </c>
      <c r="Z94" s="937">
        <v>14</v>
      </c>
      <c r="AA94" s="937">
        <v>38</v>
      </c>
      <c r="AB94" s="937">
        <v>11</v>
      </c>
      <c r="AC94" s="937">
        <v>23</v>
      </c>
      <c r="AD94" s="937">
        <v>25</v>
      </c>
      <c r="AE94" s="935">
        <v>3</v>
      </c>
      <c r="AF94" s="935">
        <v>20</v>
      </c>
      <c r="AG94" s="935">
        <v>0</v>
      </c>
      <c r="AH94" s="935">
        <v>28.5</v>
      </c>
      <c r="AI94" s="935">
        <v>35</v>
      </c>
    </row>
    <row r="95" spans="1:85" s="956" customFormat="1">
      <c r="A95" s="935"/>
      <c r="B95" s="1592" t="s">
        <v>75</v>
      </c>
      <c r="C95" s="953">
        <v>0</v>
      </c>
      <c r="D95" s="932"/>
      <c r="E95" s="954"/>
      <c r="F95" s="954"/>
      <c r="G95" s="954"/>
      <c r="H95" s="953">
        <v>0</v>
      </c>
      <c r="I95" s="932"/>
      <c r="J95" s="955"/>
      <c r="K95" s="955"/>
      <c r="L95" s="955"/>
      <c r="M95" s="955"/>
      <c r="N95" s="955"/>
      <c r="O95" s="955"/>
      <c r="P95" s="955"/>
      <c r="Q95" s="955"/>
      <c r="R95" s="955"/>
      <c r="S95" s="955"/>
      <c r="T95" s="955"/>
      <c r="U95" s="955"/>
      <c r="V95" s="955"/>
      <c r="W95" s="955"/>
      <c r="X95" s="955"/>
      <c r="Y95" s="955"/>
      <c r="Z95" s="955"/>
      <c r="AA95" s="955"/>
      <c r="AB95" s="955"/>
      <c r="AC95" s="955"/>
      <c r="AD95" s="955"/>
      <c r="BU95" s="2373"/>
    </row>
    <row r="96" spans="1:85" s="2200" customFormat="1">
      <c r="A96" s="935" t="s">
        <v>4290</v>
      </c>
      <c r="B96" s="2197" t="s">
        <v>4197</v>
      </c>
      <c r="C96" s="776"/>
      <c r="D96" s="932"/>
      <c r="E96" s="932"/>
      <c r="F96" s="932"/>
      <c r="G96" s="932"/>
      <c r="H96" s="776"/>
      <c r="I96" s="932"/>
      <c r="J96" s="2199"/>
      <c r="K96" s="2199"/>
      <c r="L96" s="2199"/>
      <c r="M96" s="2199"/>
      <c r="N96" s="2199"/>
      <c r="O96" s="2199"/>
      <c r="P96" s="2199"/>
      <c r="Q96" s="2199"/>
      <c r="R96" s="2199"/>
      <c r="S96" s="2199"/>
      <c r="T96" s="2199"/>
      <c r="U96" s="2199"/>
      <c r="V96" s="2199"/>
      <c r="W96" s="2199"/>
      <c r="X96" s="2199"/>
      <c r="Y96" s="2199"/>
      <c r="Z96" s="2199"/>
      <c r="AA96" s="2199"/>
      <c r="AB96" s="2199"/>
      <c r="AC96" s="2199"/>
      <c r="AD96" s="2199"/>
      <c r="BO96" s="2200">
        <v>0</v>
      </c>
      <c r="BP96" s="2200">
        <v>81</v>
      </c>
      <c r="BQ96" s="2200">
        <v>64</v>
      </c>
      <c r="BR96" s="2200">
        <v>159</v>
      </c>
      <c r="BS96" s="2200">
        <v>57</v>
      </c>
      <c r="BT96" s="2200">
        <v>47</v>
      </c>
      <c r="BU96" s="2201">
        <v>49</v>
      </c>
      <c r="BV96" s="2201">
        <v>0</v>
      </c>
      <c r="BW96" s="2201">
        <v>0</v>
      </c>
      <c r="BX96" s="2201">
        <v>0</v>
      </c>
      <c r="BY96" s="2201">
        <v>0</v>
      </c>
      <c r="BZ96" s="2201">
        <v>0</v>
      </c>
    </row>
    <row r="97" spans="1:78" s="976" customFormat="1">
      <c r="A97" s="2377" t="s">
        <v>4329</v>
      </c>
      <c r="B97" s="1313" t="s">
        <v>4208</v>
      </c>
      <c r="C97" s="925">
        <v>11176</v>
      </c>
      <c r="D97" s="972"/>
      <c r="E97" s="973"/>
      <c r="F97" s="973"/>
      <c r="G97" s="973"/>
      <c r="H97" s="925">
        <v>19</v>
      </c>
      <c r="I97" s="972"/>
      <c r="J97" s="974">
        <v>0</v>
      </c>
      <c r="K97" s="975">
        <v>0</v>
      </c>
      <c r="L97" s="975">
        <v>0</v>
      </c>
      <c r="M97" s="975">
        <v>0</v>
      </c>
      <c r="N97" s="975">
        <v>0</v>
      </c>
      <c r="O97" s="975">
        <v>0</v>
      </c>
      <c r="P97" s="975">
        <v>0</v>
      </c>
      <c r="Q97" s="975">
        <v>0</v>
      </c>
      <c r="R97" s="975">
        <v>0</v>
      </c>
      <c r="S97" s="1905">
        <v>0</v>
      </c>
      <c r="T97" s="1905">
        <v>0</v>
      </c>
      <c r="U97" s="1905">
        <v>19</v>
      </c>
      <c r="V97" s="1905">
        <v>45</v>
      </c>
      <c r="W97" s="1905">
        <v>65</v>
      </c>
      <c r="X97" s="1905">
        <v>73</v>
      </c>
      <c r="Y97" s="1905">
        <v>41</v>
      </c>
      <c r="Z97" s="1905">
        <v>60</v>
      </c>
      <c r="AA97" s="1905">
        <v>111</v>
      </c>
      <c r="AB97" s="1905">
        <v>74</v>
      </c>
      <c r="AC97" s="1905">
        <v>96</v>
      </c>
      <c r="AD97" s="1905">
        <v>178</v>
      </c>
      <c r="AE97" s="1905">
        <v>36</v>
      </c>
      <c r="AF97" s="1905">
        <v>79</v>
      </c>
      <c r="AG97" s="1905">
        <v>44</v>
      </c>
      <c r="AH97" s="1905">
        <v>86</v>
      </c>
      <c r="AI97" s="1905">
        <v>111</v>
      </c>
      <c r="AJ97" s="1905">
        <v>260</v>
      </c>
      <c r="AK97" s="1905">
        <v>184</v>
      </c>
      <c r="AL97" s="1905">
        <v>259</v>
      </c>
      <c r="AM97" s="1905">
        <v>350</v>
      </c>
      <c r="AN97" s="1905">
        <v>360</v>
      </c>
      <c r="AO97" s="1905">
        <v>432</v>
      </c>
      <c r="AP97" s="1905">
        <v>784</v>
      </c>
      <c r="AQ97" s="1905">
        <v>342</v>
      </c>
      <c r="AR97" s="1871">
        <v>282</v>
      </c>
      <c r="AS97" s="1871">
        <v>486</v>
      </c>
      <c r="AT97" s="1871">
        <v>492</v>
      </c>
      <c r="AU97" s="1871">
        <v>519</v>
      </c>
      <c r="AV97" s="1871">
        <v>578</v>
      </c>
      <c r="AW97" s="1871">
        <v>730</v>
      </c>
      <c r="AX97" s="1871">
        <v>483</v>
      </c>
      <c r="AY97" s="1871">
        <v>1106</v>
      </c>
      <c r="AZ97" s="1871">
        <v>817</v>
      </c>
      <c r="BA97" s="1871">
        <v>1435</v>
      </c>
      <c r="BB97" s="1871">
        <v>1429</v>
      </c>
      <c r="BC97" s="1871">
        <v>468</v>
      </c>
      <c r="BD97" s="1871">
        <v>483</v>
      </c>
      <c r="BE97" s="1871">
        <v>1079</v>
      </c>
      <c r="BF97" s="1871">
        <v>696</v>
      </c>
      <c r="BG97" s="1871">
        <v>957</v>
      </c>
      <c r="BH97" s="1871">
        <v>1760</v>
      </c>
      <c r="BI97" s="1871">
        <v>1086</v>
      </c>
      <c r="BJ97" s="1871">
        <v>1321</v>
      </c>
      <c r="BK97" s="1871">
        <v>2032</v>
      </c>
      <c r="BL97" s="1871">
        <v>1454</v>
      </c>
      <c r="BM97" s="1871">
        <v>1636</v>
      </c>
      <c r="BN97" s="1871">
        <v>3209</v>
      </c>
      <c r="BO97" s="976">
        <v>912</v>
      </c>
      <c r="BP97" s="976">
        <v>1324</v>
      </c>
      <c r="BQ97" s="976">
        <v>2031</v>
      </c>
      <c r="BR97" s="976">
        <v>1716</v>
      </c>
      <c r="BS97" s="976">
        <v>1436</v>
      </c>
      <c r="BT97" s="976">
        <v>1852</v>
      </c>
      <c r="BU97" s="1871">
        <v>1448</v>
      </c>
      <c r="BV97" s="1871">
        <v>0</v>
      </c>
      <c r="BW97" s="1871">
        <v>0</v>
      </c>
      <c r="BX97" s="1871">
        <v>0</v>
      </c>
      <c r="BY97" s="1871">
        <v>0</v>
      </c>
      <c r="BZ97" s="1871">
        <v>0</v>
      </c>
    </row>
    <row r="99" spans="1:78" s="952" customFormat="1" hidden="1">
      <c r="A99" s="935"/>
      <c r="B99" s="949" t="s">
        <v>173</v>
      </c>
      <c r="C99" s="950" t="s">
        <v>163</v>
      </c>
      <c r="D99" s="950"/>
      <c r="E99" s="951" t="s">
        <v>59</v>
      </c>
      <c r="F99" s="951" t="s">
        <v>94</v>
      </c>
      <c r="G99" s="951" t="s">
        <v>97</v>
      </c>
      <c r="H99" s="951" t="s">
        <v>150</v>
      </c>
      <c r="I99" s="950"/>
      <c r="J99" s="227">
        <v>41000</v>
      </c>
      <c r="K99" s="227">
        <v>41030</v>
      </c>
      <c r="L99" s="227">
        <v>41061</v>
      </c>
      <c r="M99" s="227">
        <v>41091</v>
      </c>
      <c r="N99" s="227">
        <v>41122</v>
      </c>
      <c r="O99" s="227">
        <v>41153</v>
      </c>
      <c r="P99" s="227">
        <v>41183</v>
      </c>
      <c r="Q99" s="227">
        <v>41214</v>
      </c>
      <c r="R99" s="227">
        <v>41244</v>
      </c>
      <c r="S99" s="227">
        <v>41275</v>
      </c>
      <c r="T99" s="227">
        <v>41306</v>
      </c>
      <c r="U99" s="227">
        <v>41334</v>
      </c>
      <c r="V99" s="227">
        <v>41365</v>
      </c>
      <c r="W99" s="227">
        <v>41395</v>
      </c>
      <c r="X99" s="227">
        <v>41426</v>
      </c>
      <c r="Y99" s="227">
        <v>41456</v>
      </c>
      <c r="Z99" s="227">
        <v>41487</v>
      </c>
      <c r="AA99" s="227">
        <v>41518</v>
      </c>
      <c r="AB99" s="227">
        <v>41548</v>
      </c>
      <c r="AC99" s="227">
        <v>41579</v>
      </c>
      <c r="AD99" s="227">
        <v>41609</v>
      </c>
      <c r="AE99" s="227">
        <v>41640</v>
      </c>
      <c r="AF99" s="227">
        <v>41671</v>
      </c>
      <c r="AG99" s="227">
        <v>41699</v>
      </c>
      <c r="AH99" s="227">
        <v>41730</v>
      </c>
      <c r="AI99" s="227">
        <v>41760</v>
      </c>
      <c r="AJ99" s="227">
        <v>41791</v>
      </c>
      <c r="AK99" s="227">
        <v>41821</v>
      </c>
      <c r="AL99" s="227">
        <v>41852</v>
      </c>
      <c r="AM99" s="227">
        <v>41883</v>
      </c>
      <c r="AN99" s="227">
        <v>41913</v>
      </c>
      <c r="AO99" s="227">
        <v>41944</v>
      </c>
      <c r="AP99" s="227">
        <v>41974</v>
      </c>
    </row>
    <row r="100" spans="1:78" hidden="1">
      <c r="B100" s="931" t="s">
        <v>152</v>
      </c>
      <c r="C100" s="245">
        <v>0.3611111111111111</v>
      </c>
      <c r="H100" s="245">
        <v>0.25714285714285712</v>
      </c>
      <c r="J100" s="240">
        <v>0</v>
      </c>
      <c r="K100" s="240">
        <v>0</v>
      </c>
      <c r="L100" s="240">
        <v>0</v>
      </c>
      <c r="M100" s="240">
        <v>0</v>
      </c>
      <c r="N100" s="240">
        <v>0</v>
      </c>
      <c r="O100" s="240">
        <v>0</v>
      </c>
      <c r="P100" s="240">
        <v>0</v>
      </c>
      <c r="Q100" s="240">
        <v>0</v>
      </c>
      <c r="R100" s="240">
        <v>0</v>
      </c>
      <c r="S100" s="240">
        <v>0</v>
      </c>
      <c r="T100" s="240">
        <v>0</v>
      </c>
      <c r="U100" s="240">
        <v>0.6</v>
      </c>
      <c r="V100" s="240">
        <v>0.25641025641025639</v>
      </c>
      <c r="W100" s="240">
        <v>0.38095238095238093</v>
      </c>
      <c r="X100" s="240">
        <v>0.37209302325581395</v>
      </c>
      <c r="Y100" s="240">
        <v>0.22857142857142856</v>
      </c>
      <c r="Z100" s="240">
        <v>0.37777777777777777</v>
      </c>
      <c r="AA100" s="570">
        <v>0.27586206896551724</v>
      </c>
      <c r="AB100" s="568">
        <v>0.42622950819672129</v>
      </c>
      <c r="AC100" s="584">
        <v>0.40350877192982454</v>
      </c>
      <c r="AD100" s="568">
        <v>0.41346153846153844</v>
      </c>
      <c r="AE100" s="584">
        <v>0.16129032258064516</v>
      </c>
      <c r="AF100" s="584">
        <v>0.69230769230769229</v>
      </c>
      <c r="AG100" s="584">
        <v>0.21428571428571427</v>
      </c>
      <c r="AH100" s="584">
        <v>0.3392857142857143</v>
      </c>
      <c r="AI100" s="584">
        <v>0.4</v>
      </c>
    </row>
    <row r="101" spans="1:78" hidden="1">
      <c r="B101" s="931" t="s">
        <v>153</v>
      </c>
      <c r="C101" s="245">
        <v>0.1984126984126984</v>
      </c>
      <c r="H101" s="245">
        <v>0</v>
      </c>
      <c r="J101" s="240">
        <v>0</v>
      </c>
      <c r="K101" s="240">
        <v>0</v>
      </c>
      <c r="L101" s="240">
        <v>0</v>
      </c>
      <c r="M101" s="240">
        <v>0</v>
      </c>
      <c r="N101" s="240">
        <v>0</v>
      </c>
      <c r="O101" s="240">
        <v>0</v>
      </c>
      <c r="P101" s="240">
        <v>0</v>
      </c>
      <c r="Q101" s="240">
        <v>0</v>
      </c>
      <c r="R101" s="240">
        <v>0</v>
      </c>
      <c r="S101" s="240">
        <v>0</v>
      </c>
      <c r="T101" s="240">
        <v>0</v>
      </c>
      <c r="U101" s="240">
        <v>0</v>
      </c>
      <c r="V101" s="240">
        <v>0.33333333333333331</v>
      </c>
      <c r="W101" s="240">
        <v>0.25641025641025639</v>
      </c>
      <c r="X101" s="240">
        <v>0.30952380952380953</v>
      </c>
      <c r="Y101" s="240">
        <v>0.11627906976744186</v>
      </c>
      <c r="Z101" s="240">
        <v>0.17142857142857143</v>
      </c>
      <c r="AA101" s="323">
        <v>0.24444444444444444</v>
      </c>
      <c r="AB101" s="571">
        <v>0.25862068965517243</v>
      </c>
      <c r="AC101" s="585">
        <v>0.21311475409836064</v>
      </c>
      <c r="AD101" s="571">
        <v>0.25</v>
      </c>
      <c r="AE101" s="585">
        <v>0.14563106796116504</v>
      </c>
      <c r="AF101" s="585">
        <v>0.2</v>
      </c>
      <c r="AG101" s="585">
        <v>0.23076923076923078</v>
      </c>
      <c r="AH101" s="585">
        <v>0.21428571428571427</v>
      </c>
      <c r="AI101" s="585">
        <v>0.27272727272727271</v>
      </c>
    </row>
    <row r="102" spans="1:78" hidden="1">
      <c r="B102" s="931" t="s">
        <v>70</v>
      </c>
      <c r="C102" s="245">
        <v>0.10619469026548672</v>
      </c>
      <c r="H102" s="245">
        <v>0</v>
      </c>
      <c r="J102" s="240">
        <v>0</v>
      </c>
      <c r="K102" s="240">
        <v>0</v>
      </c>
      <c r="L102" s="240">
        <v>0</v>
      </c>
      <c r="M102" s="240">
        <v>0</v>
      </c>
      <c r="N102" s="240">
        <v>0</v>
      </c>
      <c r="O102" s="240">
        <v>0</v>
      </c>
      <c r="P102" s="240">
        <v>0</v>
      </c>
      <c r="Q102" s="240">
        <v>0</v>
      </c>
      <c r="R102" s="240">
        <v>0</v>
      </c>
      <c r="S102" s="240">
        <v>0</v>
      </c>
      <c r="T102" s="240">
        <v>0</v>
      </c>
      <c r="U102" s="240">
        <v>0</v>
      </c>
      <c r="V102" s="240">
        <v>0</v>
      </c>
      <c r="W102" s="240">
        <v>0.33333333333333331</v>
      </c>
      <c r="X102" s="363">
        <v>0.10526315789473684</v>
      </c>
      <c r="Y102" s="363">
        <v>4.7619047619047616E-2</v>
      </c>
      <c r="Z102" s="363">
        <v>9.3023255813953487E-2</v>
      </c>
      <c r="AA102" s="571">
        <v>0.2</v>
      </c>
      <c r="AB102" s="585">
        <v>0.17777777777777778</v>
      </c>
      <c r="AC102" s="588">
        <v>0.13793103448275862</v>
      </c>
      <c r="AD102" s="571">
        <v>0.17241379310344829</v>
      </c>
      <c r="AE102" s="588">
        <v>3.5087719298245612E-2</v>
      </c>
      <c r="AF102" s="585">
        <v>0.10638297872340426</v>
      </c>
      <c r="AG102" s="585">
        <v>0.2</v>
      </c>
      <c r="AH102" s="585">
        <v>0.15384615384615385</v>
      </c>
      <c r="AI102" s="585">
        <v>0.10526315789473684</v>
      </c>
    </row>
    <row r="103" spans="1:78" hidden="1">
      <c r="B103" s="931" t="s">
        <v>71</v>
      </c>
      <c r="C103" s="245">
        <v>6.7092651757188496E-2</v>
      </c>
      <c r="H103" s="245">
        <v>0</v>
      </c>
      <c r="J103" s="240">
        <v>0</v>
      </c>
      <c r="K103" s="240">
        <v>0</v>
      </c>
      <c r="L103" s="240">
        <v>0</v>
      </c>
      <c r="M103" s="240">
        <v>0</v>
      </c>
      <c r="N103" s="240">
        <v>0</v>
      </c>
      <c r="O103" s="240">
        <v>0</v>
      </c>
      <c r="P103" s="240">
        <v>0</v>
      </c>
      <c r="Q103" s="240">
        <v>0</v>
      </c>
      <c r="R103" s="240">
        <v>0</v>
      </c>
      <c r="S103" s="240">
        <v>0</v>
      </c>
      <c r="T103" s="240">
        <v>0</v>
      </c>
      <c r="U103" s="240">
        <v>0</v>
      </c>
      <c r="V103" s="240">
        <v>0</v>
      </c>
      <c r="W103" s="240">
        <v>0</v>
      </c>
      <c r="X103" s="240">
        <v>0.26666666666666666</v>
      </c>
      <c r="Y103" s="240">
        <v>8.3333333333333329E-2</v>
      </c>
      <c r="Z103" s="240">
        <v>0.11428571428571428</v>
      </c>
      <c r="AA103" s="323">
        <v>0.10714285714285714</v>
      </c>
      <c r="AB103" s="588">
        <v>3.6585365853658534E-2</v>
      </c>
      <c r="AC103" s="588">
        <v>8.7499999999999994E-2</v>
      </c>
      <c r="AD103" s="585">
        <v>0.13157894736842105</v>
      </c>
      <c r="AE103" s="588">
        <v>1.7241379310344827E-2</v>
      </c>
      <c r="AF103" s="585">
        <v>7.43801652892562E-2</v>
      </c>
      <c r="AG103" s="585">
        <v>9.7402597402597407E-2</v>
      </c>
      <c r="AH103" s="585">
        <v>5.8823529411764705E-2</v>
      </c>
      <c r="AI103" s="585">
        <v>8.0808080808080815E-2</v>
      </c>
    </row>
    <row r="104" spans="1:78" hidden="1">
      <c r="B104" s="931" t="s">
        <v>72</v>
      </c>
      <c r="C104" s="245">
        <v>5.0251256281407038E-2</v>
      </c>
      <c r="H104" s="245">
        <v>0</v>
      </c>
      <c r="J104" s="240">
        <v>0</v>
      </c>
      <c r="K104" s="240">
        <v>0</v>
      </c>
      <c r="L104" s="240">
        <v>0</v>
      </c>
      <c r="M104" s="240">
        <v>0</v>
      </c>
      <c r="N104" s="240">
        <v>0</v>
      </c>
      <c r="O104" s="240">
        <v>0</v>
      </c>
      <c r="P104" s="240">
        <v>0</v>
      </c>
      <c r="Q104" s="240">
        <v>0</v>
      </c>
      <c r="R104" s="240">
        <v>0</v>
      </c>
      <c r="S104" s="240">
        <v>0</v>
      </c>
      <c r="T104" s="240">
        <v>0</v>
      </c>
      <c r="U104" s="240">
        <v>0</v>
      </c>
      <c r="V104" s="240">
        <v>0</v>
      </c>
      <c r="W104" s="240">
        <v>0</v>
      </c>
      <c r="X104" s="240">
        <v>0</v>
      </c>
      <c r="Y104" s="240">
        <v>0</v>
      </c>
      <c r="Z104" s="240">
        <v>0</v>
      </c>
      <c r="AA104" s="571">
        <v>0.18181818181818182</v>
      </c>
      <c r="AB104" s="588">
        <v>8.3333333333333329E-2</v>
      </c>
      <c r="AC104" s="588">
        <v>2.1739130434782608E-2</v>
      </c>
      <c r="AD104" s="585">
        <v>0.10606060606060606</v>
      </c>
      <c r="AE104" s="588">
        <v>2.564102564102564E-2</v>
      </c>
      <c r="AF104" s="585">
        <v>5.7971014492753624E-2</v>
      </c>
      <c r="AG104" s="585">
        <v>6.5573770491803282E-2</v>
      </c>
      <c r="AH104" s="585">
        <v>3.4883720930232558E-2</v>
      </c>
      <c r="AI104" s="585">
        <v>6.7307692307692304E-2</v>
      </c>
    </row>
    <row r="105" spans="1:78" hidden="1">
      <c r="B105" s="931" t="s">
        <v>73</v>
      </c>
      <c r="C105" s="245">
        <v>0.13385826771653545</v>
      </c>
      <c r="H105" s="245">
        <v>0.27272727272727276</v>
      </c>
      <c r="J105" s="240">
        <v>0</v>
      </c>
      <c r="K105" s="240">
        <v>0</v>
      </c>
      <c r="L105" s="240">
        <v>0</v>
      </c>
      <c r="M105" s="240">
        <v>0</v>
      </c>
      <c r="N105" s="240">
        <v>0</v>
      </c>
      <c r="O105" s="240">
        <v>0</v>
      </c>
      <c r="P105" s="240">
        <v>0</v>
      </c>
      <c r="Q105" s="240">
        <v>0</v>
      </c>
      <c r="R105" s="240">
        <v>0</v>
      </c>
      <c r="S105" s="240">
        <v>0</v>
      </c>
      <c r="T105" s="240">
        <v>0</v>
      </c>
      <c r="U105" s="240">
        <v>0.63636363636363635</v>
      </c>
      <c r="V105" s="240">
        <v>0.4358974358974359</v>
      </c>
      <c r="W105" s="240">
        <v>0.35185185185185186</v>
      </c>
      <c r="X105" s="363">
        <v>0.25</v>
      </c>
      <c r="Y105" s="363">
        <v>0.20634920634920634</v>
      </c>
      <c r="Z105" s="363">
        <v>0.16666666666666666</v>
      </c>
      <c r="AA105" s="571">
        <v>0.44444444444444442</v>
      </c>
      <c r="AB105" s="588">
        <v>0.16438356164383561</v>
      </c>
      <c r="AC105" s="588">
        <v>0.17499999999999999</v>
      </c>
      <c r="AD105" s="571">
        <v>0.2073170731707317</v>
      </c>
      <c r="AE105" s="588">
        <v>4.6511627906976744E-2</v>
      </c>
      <c r="AF105" s="585">
        <v>0.19753086419753085</v>
      </c>
      <c r="AG105" s="585">
        <v>3.3707865168539325E-2</v>
      </c>
      <c r="AH105" s="585">
        <v>0.15652173913043479</v>
      </c>
      <c r="AI105" s="585">
        <v>0.19708029197080293</v>
      </c>
    </row>
    <row r="106" spans="1:78" s="956" customFormat="1" hidden="1">
      <c r="A106" s="935"/>
      <c r="B106" s="931" t="s">
        <v>75</v>
      </c>
      <c r="C106" s="963">
        <v>0</v>
      </c>
      <c r="D106" s="932"/>
      <c r="E106" s="954"/>
      <c r="F106" s="954"/>
      <c r="G106" s="954"/>
      <c r="H106" s="963">
        <v>0</v>
      </c>
      <c r="I106" s="932"/>
      <c r="J106" s="964">
        <v>0</v>
      </c>
      <c r="K106" s="964">
        <v>0</v>
      </c>
      <c r="L106" s="964">
        <v>0</v>
      </c>
      <c r="M106" s="964">
        <v>0</v>
      </c>
      <c r="N106" s="964">
        <v>0</v>
      </c>
      <c r="O106" s="964">
        <v>0</v>
      </c>
      <c r="P106" s="964">
        <v>0</v>
      </c>
      <c r="Q106" s="964">
        <v>0</v>
      </c>
      <c r="R106" s="964">
        <v>0</v>
      </c>
      <c r="S106" s="964">
        <v>0</v>
      </c>
      <c r="T106" s="964">
        <v>0</v>
      </c>
      <c r="U106" s="964">
        <v>0</v>
      </c>
      <c r="V106" s="964">
        <v>0</v>
      </c>
      <c r="W106" s="964">
        <v>0</v>
      </c>
      <c r="X106" s="964">
        <v>0</v>
      </c>
      <c r="Y106" s="964">
        <v>0</v>
      </c>
      <c r="Z106" s="964">
        <v>0</v>
      </c>
      <c r="AA106" s="964">
        <v>0</v>
      </c>
      <c r="AB106" s="965">
        <v>0</v>
      </c>
      <c r="AC106" s="965">
        <v>0</v>
      </c>
      <c r="AD106" s="965">
        <v>0</v>
      </c>
      <c r="AE106" s="965">
        <v>0</v>
      </c>
      <c r="AF106" s="965">
        <v>0</v>
      </c>
      <c r="AG106" s="965">
        <v>0</v>
      </c>
      <c r="AH106" s="965">
        <v>0</v>
      </c>
      <c r="AI106" s="965">
        <v>0</v>
      </c>
      <c r="BU106" s="2373"/>
    </row>
    <row r="107" spans="1:78" s="969" customFormat="1" hidden="1">
      <c r="A107" s="935"/>
      <c r="B107" s="966" t="s">
        <v>76</v>
      </c>
      <c r="C107" s="246">
        <v>0.18996096513059652</v>
      </c>
      <c r="D107" s="967"/>
      <c r="E107" s="968"/>
      <c r="F107" s="968"/>
      <c r="G107" s="968"/>
      <c r="H107" s="246">
        <v>0.26373626373626374</v>
      </c>
      <c r="I107" s="967"/>
      <c r="J107" s="240">
        <v>0</v>
      </c>
      <c r="K107" s="240">
        <v>0</v>
      </c>
      <c r="L107" s="240">
        <v>0</v>
      </c>
      <c r="M107" s="240">
        <v>0</v>
      </c>
      <c r="N107" s="240">
        <v>0</v>
      </c>
      <c r="O107" s="240">
        <v>0</v>
      </c>
      <c r="P107" s="240">
        <v>0</v>
      </c>
      <c r="Q107" s="240">
        <v>0</v>
      </c>
      <c r="R107" s="240">
        <v>0</v>
      </c>
      <c r="S107" s="240">
        <v>0</v>
      </c>
      <c r="T107" s="240">
        <v>0</v>
      </c>
      <c r="U107" s="240">
        <v>0.61538461538461542</v>
      </c>
      <c r="V107" s="240">
        <v>0.34408602150537637</v>
      </c>
      <c r="W107" s="240">
        <v>0.33333333333333331</v>
      </c>
      <c r="X107" s="240">
        <v>0.26237623762376239</v>
      </c>
      <c r="Y107" s="240">
        <v>0.13852813852813853</v>
      </c>
      <c r="Z107" s="450">
        <v>0.17760617760617761</v>
      </c>
      <c r="AA107" s="450">
        <v>0.25245901639344265</v>
      </c>
      <c r="AB107" s="587">
        <v>0.1924198250728863</v>
      </c>
      <c r="AC107" s="587">
        <v>0.17277486910994763</v>
      </c>
      <c r="AD107" s="587">
        <v>0.22107438016528927</v>
      </c>
      <c r="AE107" s="587">
        <v>6.3694267515923567E-2</v>
      </c>
      <c r="AF107" s="587">
        <v>0.15081206496519722</v>
      </c>
      <c r="AG107" s="587">
        <v>0.10309278350515463</v>
      </c>
      <c r="AH107" s="587">
        <v>0.12975391498881431</v>
      </c>
      <c r="AI107" s="587">
        <v>0.18200408997955012</v>
      </c>
    </row>
    <row r="108" spans="1:78" s="952" customFormat="1" hidden="1">
      <c r="A108" s="935"/>
      <c r="B108" s="949" t="s">
        <v>162</v>
      </c>
      <c r="C108" s="950" t="s">
        <v>163</v>
      </c>
      <c r="D108" s="950"/>
      <c r="E108" s="951" t="s">
        <v>59</v>
      </c>
      <c r="F108" s="951" t="s">
        <v>94</v>
      </c>
      <c r="G108" s="951" t="s">
        <v>97</v>
      </c>
      <c r="H108" s="951" t="s">
        <v>150</v>
      </c>
      <c r="I108" s="950"/>
      <c r="J108" s="227">
        <v>41000</v>
      </c>
      <c r="K108" s="227">
        <v>41030</v>
      </c>
      <c r="L108" s="227">
        <v>41061</v>
      </c>
      <c r="M108" s="227">
        <v>41091</v>
      </c>
      <c r="N108" s="227">
        <v>41122</v>
      </c>
      <c r="O108" s="227">
        <v>41153</v>
      </c>
      <c r="P108" s="227">
        <v>41183</v>
      </c>
      <c r="Q108" s="227">
        <v>41214</v>
      </c>
      <c r="R108" s="227">
        <v>41244</v>
      </c>
      <c r="S108" s="227">
        <v>41275</v>
      </c>
      <c r="T108" s="227">
        <v>41306</v>
      </c>
      <c r="U108" s="227">
        <v>41334</v>
      </c>
      <c r="V108" s="227">
        <v>41365</v>
      </c>
      <c r="W108" s="227">
        <v>41395</v>
      </c>
      <c r="X108" s="227">
        <v>41426</v>
      </c>
      <c r="Y108" s="227">
        <v>41456</v>
      </c>
      <c r="Z108" s="227">
        <v>41487</v>
      </c>
      <c r="AA108" s="227">
        <v>41518</v>
      </c>
      <c r="AB108" s="227">
        <v>41548</v>
      </c>
      <c r="AC108" s="227">
        <v>41579</v>
      </c>
      <c r="AD108" s="227">
        <v>41609</v>
      </c>
      <c r="AE108" s="227">
        <v>41640</v>
      </c>
      <c r="AF108" s="227">
        <v>41671</v>
      </c>
      <c r="AG108" s="227">
        <v>41699</v>
      </c>
      <c r="AH108" s="227">
        <v>41730</v>
      </c>
      <c r="AI108" s="227">
        <v>41760</v>
      </c>
      <c r="AJ108" s="227">
        <v>41791</v>
      </c>
      <c r="AK108" s="227">
        <v>41821</v>
      </c>
      <c r="AL108" s="227">
        <v>41852</v>
      </c>
      <c r="AM108" s="227">
        <v>41883</v>
      </c>
      <c r="AN108" s="227">
        <v>41913</v>
      </c>
      <c r="AO108" s="227">
        <v>41944</v>
      </c>
      <c r="AP108" s="227">
        <v>41974</v>
      </c>
    </row>
    <row r="109" spans="1:78" hidden="1">
      <c r="B109" s="931" t="s">
        <v>152</v>
      </c>
      <c r="C109" s="242">
        <v>12.018168316831684</v>
      </c>
      <c r="H109" s="242">
        <v>16.963727272727272</v>
      </c>
      <c r="J109" s="215">
        <v>0</v>
      </c>
      <c r="K109" s="215">
        <v>0</v>
      </c>
      <c r="L109" s="215">
        <v>0</v>
      </c>
      <c r="M109" s="215">
        <v>0</v>
      </c>
      <c r="N109" s="215">
        <v>0</v>
      </c>
      <c r="O109" s="215">
        <v>0</v>
      </c>
      <c r="P109" s="215">
        <v>0</v>
      </c>
      <c r="Q109" s="215">
        <v>0</v>
      </c>
      <c r="R109" s="215">
        <v>0</v>
      </c>
      <c r="S109" s="215">
        <v>0</v>
      </c>
      <c r="T109" s="215">
        <v>0</v>
      </c>
      <c r="U109" s="215">
        <v>16.963727272727272</v>
      </c>
      <c r="V109" s="215">
        <v>12.069666666666668</v>
      </c>
      <c r="W109" s="215">
        <v>13.335285714285714</v>
      </c>
      <c r="X109" s="215">
        <v>10.840857142857143</v>
      </c>
      <c r="Y109" s="215">
        <v>11.929</v>
      </c>
      <c r="Z109" s="215">
        <v>12.800230769230769</v>
      </c>
      <c r="AA109" s="215">
        <v>18.019478260869565</v>
      </c>
      <c r="AB109" s="215">
        <v>12.630599999999999</v>
      </c>
      <c r="AC109" s="609">
        <v>14.77915625</v>
      </c>
      <c r="AD109" s="581">
        <v>14.955866666666667</v>
      </c>
      <c r="AE109" s="581">
        <v>15.215</v>
      </c>
      <c r="AF109" s="581">
        <v>13.161150000000001</v>
      </c>
      <c r="AG109" s="581">
        <v>14.865571428571428</v>
      </c>
      <c r="AH109" s="581">
        <v>9.8295517241379322</v>
      </c>
      <c r="AI109" s="581">
        <v>12.135524999999999</v>
      </c>
    </row>
    <row r="110" spans="1:78" hidden="1">
      <c r="B110" s="931" t="s">
        <v>153</v>
      </c>
      <c r="C110" s="242">
        <v>11.68895</v>
      </c>
      <c r="H110" s="242">
        <v>0</v>
      </c>
      <c r="J110" s="215">
        <v>0</v>
      </c>
      <c r="K110" s="215">
        <v>0</v>
      </c>
      <c r="L110" s="215">
        <v>0</v>
      </c>
      <c r="M110" s="215">
        <v>0</v>
      </c>
      <c r="N110" s="215">
        <v>0</v>
      </c>
      <c r="O110" s="215">
        <v>0</v>
      </c>
      <c r="P110" s="215">
        <v>0</v>
      </c>
      <c r="Q110" s="215">
        <v>0</v>
      </c>
      <c r="R110" s="215">
        <v>0</v>
      </c>
      <c r="S110" s="215">
        <v>0</v>
      </c>
      <c r="T110" s="215">
        <v>0</v>
      </c>
      <c r="U110" s="215">
        <v>0</v>
      </c>
      <c r="V110" s="215">
        <v>15.418230769230771</v>
      </c>
      <c r="W110" s="215">
        <v>11.705823529411765</v>
      </c>
      <c r="X110" s="215">
        <v>9.1196842105263158</v>
      </c>
      <c r="Y110" s="215">
        <v>15.935428571428572</v>
      </c>
      <c r="Z110" s="215">
        <v>11.170857142857143</v>
      </c>
      <c r="AA110" s="215">
        <v>20.720347826086957</v>
      </c>
      <c r="AB110" s="215">
        <v>15.149631578947369</v>
      </c>
      <c r="AC110" s="609">
        <v>14.4155</v>
      </c>
      <c r="AD110" s="581">
        <v>11.702999999999999</v>
      </c>
      <c r="AE110" s="581">
        <v>13.36752380952381</v>
      </c>
      <c r="AF110" s="581">
        <v>9.5772499999999994</v>
      </c>
      <c r="AG110" s="581">
        <v>6.249833333333334</v>
      </c>
      <c r="AH110" s="581">
        <v>17.517285714285713</v>
      </c>
      <c r="AI110" s="581">
        <v>10.215611111111111</v>
      </c>
    </row>
    <row r="111" spans="1:78" hidden="1">
      <c r="B111" s="931" t="s">
        <v>70</v>
      </c>
      <c r="C111" s="242">
        <v>15.437939393939395</v>
      </c>
      <c r="H111" s="242">
        <v>0</v>
      </c>
      <c r="J111" s="215">
        <v>0</v>
      </c>
      <c r="K111" s="215">
        <v>0</v>
      </c>
      <c r="L111" s="215">
        <v>0</v>
      </c>
      <c r="M111" s="215">
        <v>0</v>
      </c>
      <c r="N111" s="215">
        <v>0</v>
      </c>
      <c r="O111" s="215">
        <v>0</v>
      </c>
      <c r="P111" s="215">
        <v>0</v>
      </c>
      <c r="Q111" s="215">
        <v>0</v>
      </c>
      <c r="R111" s="215">
        <v>0</v>
      </c>
      <c r="S111" s="215">
        <v>0</v>
      </c>
      <c r="T111" s="215">
        <v>0</v>
      </c>
      <c r="U111" s="215">
        <v>0</v>
      </c>
      <c r="V111" s="215">
        <v>0</v>
      </c>
      <c r="W111" s="215">
        <v>18.957625</v>
      </c>
      <c r="X111" s="215">
        <v>9.5712857142857128</v>
      </c>
      <c r="Y111" s="215">
        <v>7.6109999999999998</v>
      </c>
      <c r="Z111" s="215">
        <v>11.537333333333335</v>
      </c>
      <c r="AA111" s="215">
        <v>17.416444444444444</v>
      </c>
      <c r="AB111" s="215">
        <v>18.239555555555555</v>
      </c>
      <c r="AC111" s="215">
        <v>20.435333333333332</v>
      </c>
      <c r="AD111" s="581">
        <v>11.81423076923077</v>
      </c>
      <c r="AE111" s="581">
        <v>14.472666666666667</v>
      </c>
      <c r="AF111" s="581">
        <v>11.2798</v>
      </c>
      <c r="AG111" s="581">
        <v>16.554625000000001</v>
      </c>
      <c r="AH111" s="581">
        <v>26.754666666666665</v>
      </c>
      <c r="AI111" s="581">
        <v>3.8719999999999999</v>
      </c>
    </row>
    <row r="112" spans="1:78" hidden="1">
      <c r="B112" s="931" t="s">
        <v>71</v>
      </c>
      <c r="C112" s="242">
        <v>12.67528695652174</v>
      </c>
      <c r="H112" s="242">
        <v>0</v>
      </c>
      <c r="J112" s="215">
        <v>0</v>
      </c>
      <c r="K112" s="215">
        <v>0</v>
      </c>
      <c r="L112" s="215">
        <v>0</v>
      </c>
      <c r="M112" s="215">
        <v>0</v>
      </c>
      <c r="N112" s="215">
        <v>0</v>
      </c>
      <c r="O112" s="215">
        <v>0</v>
      </c>
      <c r="P112" s="215">
        <v>0</v>
      </c>
      <c r="Q112" s="215">
        <v>0</v>
      </c>
      <c r="R112" s="215">
        <v>0</v>
      </c>
      <c r="S112" s="215">
        <v>0</v>
      </c>
      <c r="T112" s="215">
        <v>0</v>
      </c>
      <c r="U112" s="215">
        <v>0</v>
      </c>
      <c r="V112" s="215">
        <v>0</v>
      </c>
      <c r="W112" s="215">
        <v>0</v>
      </c>
      <c r="X112" s="215">
        <v>11.431714285714287</v>
      </c>
      <c r="Y112" s="215">
        <v>12.947166666666668</v>
      </c>
      <c r="Z112" s="215">
        <v>10.144285714285715</v>
      </c>
      <c r="AA112" s="215">
        <v>15.539538461538463</v>
      </c>
      <c r="AB112" s="215">
        <v>4.2786666666666671</v>
      </c>
      <c r="AC112" s="215">
        <v>17.1496</v>
      </c>
      <c r="AD112" s="569">
        <v>21.340571428571426</v>
      </c>
      <c r="AE112" s="581">
        <v>19.067499999999999</v>
      </c>
      <c r="AF112" s="581">
        <v>11.2601</v>
      </c>
      <c r="AG112" s="581">
        <v>11.674380952380952</v>
      </c>
      <c r="AH112" s="581">
        <v>15.052551724137931</v>
      </c>
      <c r="AI112" s="581">
        <v>11.466899999999999</v>
      </c>
    </row>
    <row r="113" spans="1:73" hidden="1">
      <c r="B113" s="931" t="s">
        <v>72</v>
      </c>
      <c r="C113" s="242">
        <v>15.849944444444443</v>
      </c>
      <c r="H113" s="242">
        <v>0</v>
      </c>
      <c r="J113" s="215">
        <v>0</v>
      </c>
      <c r="K113" s="215">
        <v>0</v>
      </c>
      <c r="L113" s="215">
        <v>0</v>
      </c>
      <c r="M113" s="215">
        <v>0</v>
      </c>
      <c r="N113" s="215">
        <v>0</v>
      </c>
      <c r="O113" s="215">
        <v>0</v>
      </c>
      <c r="P113" s="215">
        <v>0</v>
      </c>
      <c r="Q113" s="215">
        <v>0</v>
      </c>
      <c r="R113" s="215">
        <v>0</v>
      </c>
      <c r="S113" s="215">
        <v>0</v>
      </c>
      <c r="T113" s="215">
        <v>0</v>
      </c>
      <c r="U113" s="215">
        <v>0</v>
      </c>
      <c r="V113" s="215">
        <v>0</v>
      </c>
      <c r="W113" s="215">
        <v>0</v>
      </c>
      <c r="X113" s="215">
        <v>0</v>
      </c>
      <c r="Y113" s="215">
        <v>0</v>
      </c>
      <c r="Z113" s="215">
        <v>0</v>
      </c>
      <c r="AA113" s="215">
        <v>17.8764</v>
      </c>
      <c r="AB113" s="215">
        <v>13.8095</v>
      </c>
      <c r="AC113" s="215">
        <v>16.574000000000002</v>
      </c>
      <c r="AD113" s="581">
        <v>14.9678</v>
      </c>
      <c r="AE113" s="581">
        <v>15.4535</v>
      </c>
      <c r="AF113" s="581">
        <v>14.937166666666668</v>
      </c>
      <c r="AG113" s="581">
        <v>32.516500000000001</v>
      </c>
      <c r="AH113" s="581">
        <v>21.199000000000002</v>
      </c>
      <c r="AI113" s="581">
        <v>11.219571428571429</v>
      </c>
    </row>
    <row r="114" spans="1:73" hidden="1">
      <c r="B114" s="931" t="s">
        <v>73</v>
      </c>
      <c r="C114" s="242">
        <v>17.840612716763008</v>
      </c>
      <c r="H114" s="242">
        <v>11.539249999999999</v>
      </c>
      <c r="J114" s="215">
        <v>0</v>
      </c>
      <c r="K114" s="215">
        <v>0</v>
      </c>
      <c r="L114" s="215">
        <v>0</v>
      </c>
      <c r="M114" s="215">
        <v>0</v>
      </c>
      <c r="N114" s="215">
        <v>0</v>
      </c>
      <c r="O114" s="215">
        <v>0</v>
      </c>
      <c r="P114" s="215">
        <v>0</v>
      </c>
      <c r="Q114" s="215">
        <v>0</v>
      </c>
      <c r="R114" s="215">
        <v>0</v>
      </c>
      <c r="S114" s="215">
        <v>0</v>
      </c>
      <c r="T114" s="215">
        <v>0</v>
      </c>
      <c r="U114" s="215">
        <v>11.539249999999999</v>
      </c>
      <c r="V114" s="215">
        <v>14.240799999999998</v>
      </c>
      <c r="W114" s="215">
        <v>11.676</v>
      </c>
      <c r="X114" s="215">
        <v>11.259789473684211</v>
      </c>
      <c r="Y114" s="215">
        <v>19.251666666666665</v>
      </c>
      <c r="Z114" s="215">
        <v>17.854142857142858</v>
      </c>
      <c r="AA114" s="215">
        <v>19.871815789473686</v>
      </c>
      <c r="AB114" s="215">
        <v>16.55890909090909</v>
      </c>
      <c r="AC114" s="215">
        <v>20.519130434782607</v>
      </c>
      <c r="AD114" s="215">
        <v>15.03124</v>
      </c>
      <c r="AE114" s="581">
        <v>15.910333333333334</v>
      </c>
      <c r="AF114" s="581">
        <v>11.727</v>
      </c>
      <c r="AG114" s="581">
        <v>0</v>
      </c>
      <c r="AH114" s="581">
        <v>18.662421052631579</v>
      </c>
      <c r="AI114" s="581">
        <v>21.266314285714287</v>
      </c>
    </row>
    <row r="115" spans="1:73" s="956" customFormat="1" hidden="1">
      <c r="A115" s="935"/>
      <c r="B115" s="931" t="s">
        <v>75</v>
      </c>
      <c r="C115" s="961">
        <v>0</v>
      </c>
      <c r="D115" s="932"/>
      <c r="E115" s="954"/>
      <c r="F115" s="954"/>
      <c r="G115" s="954"/>
      <c r="H115" s="961">
        <v>0</v>
      </c>
      <c r="I115" s="932"/>
      <c r="J115" s="962">
        <v>0</v>
      </c>
      <c r="K115" s="962">
        <v>0</v>
      </c>
      <c r="L115" s="962">
        <v>0</v>
      </c>
      <c r="M115" s="962">
        <v>0</v>
      </c>
      <c r="N115" s="962">
        <v>0</v>
      </c>
      <c r="O115" s="962">
        <v>0</v>
      </c>
      <c r="P115" s="962">
        <v>0</v>
      </c>
      <c r="Q115" s="962">
        <v>0</v>
      </c>
      <c r="R115" s="962">
        <v>0</v>
      </c>
      <c r="S115" s="962">
        <v>0</v>
      </c>
      <c r="T115" s="962">
        <v>0</v>
      </c>
      <c r="U115" s="962">
        <v>0</v>
      </c>
      <c r="V115" s="962">
        <v>0</v>
      </c>
      <c r="W115" s="962">
        <v>0</v>
      </c>
      <c r="X115" s="962">
        <v>0</v>
      </c>
      <c r="Y115" s="962">
        <v>0</v>
      </c>
      <c r="Z115" s="962">
        <v>0</v>
      </c>
      <c r="AA115" s="962">
        <v>0</v>
      </c>
      <c r="AB115" s="962">
        <v>0</v>
      </c>
      <c r="AC115" s="962">
        <v>0</v>
      </c>
      <c r="AD115" s="962">
        <v>0</v>
      </c>
      <c r="AE115" s="970">
        <v>0</v>
      </c>
      <c r="AF115" s="970">
        <v>0</v>
      </c>
      <c r="AG115" s="970">
        <v>0</v>
      </c>
      <c r="AH115" s="970">
        <v>0</v>
      </c>
      <c r="AI115" s="970">
        <v>0</v>
      </c>
      <c r="BU115" s="2373"/>
    </row>
    <row r="116" spans="1:73" s="969" customFormat="1" hidden="1">
      <c r="A116" s="2200"/>
      <c r="B116" s="966" t="s">
        <v>76</v>
      </c>
      <c r="C116" s="244">
        <v>14.749938657838234</v>
      </c>
      <c r="D116" s="967"/>
      <c r="E116" s="968"/>
      <c r="F116" s="968"/>
      <c r="G116" s="968"/>
      <c r="H116" s="244">
        <v>14.679736842105262</v>
      </c>
      <c r="I116" s="967"/>
      <c r="J116" s="215">
        <v>0</v>
      </c>
      <c r="K116" s="215">
        <v>0</v>
      </c>
      <c r="L116" s="215">
        <v>0</v>
      </c>
      <c r="M116" s="215">
        <v>0</v>
      </c>
      <c r="N116" s="215">
        <v>0</v>
      </c>
      <c r="O116" s="215">
        <v>0</v>
      </c>
      <c r="P116" s="215">
        <v>0</v>
      </c>
      <c r="Q116" s="215">
        <v>0</v>
      </c>
      <c r="R116" s="215">
        <v>0</v>
      </c>
      <c r="S116" s="215">
        <v>0</v>
      </c>
      <c r="T116" s="215">
        <v>0</v>
      </c>
      <c r="U116" s="215">
        <v>14.679736842105262</v>
      </c>
      <c r="V116" s="215">
        <v>14.001977777777777</v>
      </c>
      <c r="W116" s="215">
        <v>13.116076923076925</v>
      </c>
      <c r="X116" s="215">
        <v>10.436835616438358</v>
      </c>
      <c r="Y116" s="215">
        <v>15.230414634146339</v>
      </c>
      <c r="Z116" s="215">
        <v>13.353233333333332</v>
      </c>
      <c r="AA116" s="215">
        <v>18.867468468468466</v>
      </c>
      <c r="AB116" s="215">
        <v>14.236756756756757</v>
      </c>
      <c r="AC116" s="215">
        <v>17.058812500000002</v>
      </c>
      <c r="AD116" s="215">
        <v>15.248601123595504</v>
      </c>
      <c r="AE116" s="581">
        <v>14.360666666666667</v>
      </c>
      <c r="AF116" s="581">
        <v>11.972177215189873</v>
      </c>
      <c r="AG116" s="581">
        <v>12.930272727272728</v>
      </c>
      <c r="AH116" s="581">
        <v>15.576116279069767</v>
      </c>
      <c r="AI116" s="581">
        <v>14.510819819819821</v>
      </c>
    </row>
    <row r="117" spans="1:73" hidden="1">
      <c r="A117" s="1318"/>
    </row>
    <row r="118" spans="1:73" s="952" customFormat="1" hidden="1">
      <c r="B118" s="949" t="s">
        <v>93</v>
      </c>
      <c r="C118" s="950" t="s">
        <v>163</v>
      </c>
      <c r="D118" s="950"/>
      <c r="E118" s="951" t="s">
        <v>59</v>
      </c>
      <c r="F118" s="951" t="s">
        <v>94</v>
      </c>
      <c r="G118" s="951" t="s">
        <v>97</v>
      </c>
      <c r="H118" s="951" t="s">
        <v>150</v>
      </c>
      <c r="I118" s="950"/>
      <c r="J118" s="227">
        <v>41000</v>
      </c>
      <c r="K118" s="227">
        <v>41030</v>
      </c>
      <c r="L118" s="227">
        <v>41061</v>
      </c>
      <c r="M118" s="227">
        <v>41091</v>
      </c>
      <c r="N118" s="227">
        <v>41122</v>
      </c>
      <c r="O118" s="227">
        <v>41153</v>
      </c>
      <c r="P118" s="227">
        <v>41183</v>
      </c>
      <c r="Q118" s="227">
        <v>41214</v>
      </c>
      <c r="R118" s="227">
        <v>41244</v>
      </c>
      <c r="S118" s="227">
        <v>41275</v>
      </c>
      <c r="T118" s="227">
        <v>41306</v>
      </c>
      <c r="U118" s="227">
        <v>41334</v>
      </c>
      <c r="V118" s="227">
        <v>41365</v>
      </c>
      <c r="W118" s="227">
        <v>41395</v>
      </c>
      <c r="X118" s="227">
        <v>41426</v>
      </c>
      <c r="Y118" s="227">
        <v>41456</v>
      </c>
      <c r="Z118" s="227">
        <v>41487</v>
      </c>
      <c r="AA118" s="227">
        <v>41518</v>
      </c>
      <c r="AB118" s="227">
        <v>41548</v>
      </c>
      <c r="AC118" s="227">
        <v>41579</v>
      </c>
      <c r="AD118" s="227">
        <v>41609</v>
      </c>
      <c r="AE118" s="227">
        <v>41640</v>
      </c>
      <c r="AF118" s="227">
        <v>41671</v>
      </c>
      <c r="AG118" s="227">
        <v>41699</v>
      </c>
      <c r="AH118" s="227">
        <v>41730</v>
      </c>
      <c r="AI118" s="227">
        <v>41760</v>
      </c>
      <c r="AJ118" s="227">
        <v>41791</v>
      </c>
      <c r="AK118" s="227">
        <v>41821</v>
      </c>
      <c r="AL118" s="227">
        <v>41852</v>
      </c>
      <c r="AM118" s="227">
        <v>41883</v>
      </c>
      <c r="AN118" s="227">
        <v>41913</v>
      </c>
      <c r="AO118" s="227">
        <v>41944</v>
      </c>
      <c r="AP118" s="227">
        <v>41974</v>
      </c>
    </row>
    <row r="119" spans="1:73" hidden="1">
      <c r="A119" s="1203"/>
      <c r="B119" s="931" t="s">
        <v>152</v>
      </c>
      <c r="C119" s="242">
        <v>1.2948717948717949</v>
      </c>
      <c r="H119" s="242">
        <v>1.2222222222222223</v>
      </c>
      <c r="J119" s="215">
        <v>0</v>
      </c>
      <c r="K119" s="215">
        <v>0</v>
      </c>
      <c r="L119" s="215">
        <v>0</v>
      </c>
      <c r="M119" s="215">
        <v>0</v>
      </c>
      <c r="N119" s="215">
        <v>0</v>
      </c>
      <c r="O119" s="215">
        <v>0</v>
      </c>
      <c r="P119" s="215">
        <v>0</v>
      </c>
      <c r="Q119" s="215">
        <v>0</v>
      </c>
      <c r="R119" s="215">
        <v>0</v>
      </c>
      <c r="S119" s="215">
        <v>0</v>
      </c>
      <c r="T119" s="215">
        <v>0</v>
      </c>
      <c r="U119" s="215">
        <v>1.2222222222222223</v>
      </c>
      <c r="V119" s="215">
        <v>1.2</v>
      </c>
      <c r="W119" s="215">
        <v>1.3125</v>
      </c>
      <c r="X119" s="215">
        <v>1.3125</v>
      </c>
      <c r="Y119" s="215">
        <v>1.375</v>
      </c>
      <c r="Z119" s="215">
        <v>1.5294117647058822</v>
      </c>
      <c r="AA119" s="215">
        <v>1.4375</v>
      </c>
      <c r="AB119" s="215">
        <v>1.1538461538461537</v>
      </c>
      <c r="AC119" s="215">
        <v>1.3913043478260869</v>
      </c>
      <c r="AD119" s="215">
        <v>1.7441860465116279</v>
      </c>
      <c r="AE119" s="215">
        <v>1</v>
      </c>
      <c r="AF119" s="215">
        <v>1.1111111111111112</v>
      </c>
      <c r="AG119" s="215">
        <v>1.1666666666666667</v>
      </c>
      <c r="AH119" s="215">
        <v>1.5263157894736843</v>
      </c>
      <c r="AI119" s="215">
        <v>1.3333333333333333</v>
      </c>
    </row>
    <row r="120" spans="1:73" hidden="1">
      <c r="A120" s="1203"/>
      <c r="B120" s="931" t="s">
        <v>153</v>
      </c>
      <c r="C120" s="242">
        <v>1.2</v>
      </c>
      <c r="H120" s="242">
        <v>0</v>
      </c>
      <c r="J120" s="215">
        <v>0</v>
      </c>
      <c r="K120" s="215">
        <v>0</v>
      </c>
      <c r="L120" s="215">
        <v>0</v>
      </c>
      <c r="M120" s="215">
        <v>0</v>
      </c>
      <c r="N120" s="215">
        <v>0</v>
      </c>
      <c r="O120" s="215">
        <v>0</v>
      </c>
      <c r="P120" s="215">
        <v>0</v>
      </c>
      <c r="Q120" s="215">
        <v>0</v>
      </c>
      <c r="R120" s="215">
        <v>0</v>
      </c>
      <c r="S120" s="215">
        <v>0</v>
      </c>
      <c r="T120" s="215">
        <v>0</v>
      </c>
      <c r="U120" s="215">
        <v>0</v>
      </c>
      <c r="V120" s="215">
        <v>2.6</v>
      </c>
      <c r="W120" s="215">
        <v>1.7</v>
      </c>
      <c r="X120" s="215">
        <v>1.4615384615384615</v>
      </c>
      <c r="Y120" s="215">
        <v>1.4</v>
      </c>
      <c r="Z120" s="215">
        <v>1.1666666666666667</v>
      </c>
      <c r="AA120" s="215">
        <v>2.0909090909090908</v>
      </c>
      <c r="AB120" s="215">
        <v>1.2666666666666666</v>
      </c>
      <c r="AC120" s="215">
        <v>1.3846153846153846</v>
      </c>
      <c r="AD120" s="215">
        <v>1.8</v>
      </c>
      <c r="AE120" s="215">
        <v>1.4</v>
      </c>
      <c r="AF120" s="215">
        <v>1</v>
      </c>
      <c r="AG120" s="215">
        <v>1</v>
      </c>
      <c r="AH120" s="215">
        <v>1.1666666666666667</v>
      </c>
      <c r="AI120" s="215">
        <v>1.2</v>
      </c>
    </row>
    <row r="121" spans="1:73" hidden="1">
      <c r="A121" s="1203"/>
      <c r="B121" s="931" t="s">
        <v>70</v>
      </c>
      <c r="C121" s="242">
        <v>1.375</v>
      </c>
      <c r="H121" s="242">
        <v>0</v>
      </c>
      <c r="J121" s="215">
        <v>0</v>
      </c>
      <c r="K121" s="215">
        <v>0</v>
      </c>
      <c r="L121" s="215">
        <v>0</v>
      </c>
      <c r="M121" s="215">
        <v>0</v>
      </c>
      <c r="N121" s="215">
        <v>0</v>
      </c>
      <c r="O121" s="215">
        <v>0</v>
      </c>
      <c r="P121" s="215">
        <v>0</v>
      </c>
      <c r="Q121" s="215">
        <v>0</v>
      </c>
      <c r="R121" s="215">
        <v>0</v>
      </c>
      <c r="S121" s="215">
        <v>0</v>
      </c>
      <c r="T121" s="215">
        <v>0</v>
      </c>
      <c r="U121" s="215">
        <v>0</v>
      </c>
      <c r="V121" s="215">
        <v>0</v>
      </c>
      <c r="W121" s="215">
        <v>1.6</v>
      </c>
      <c r="X121" s="215">
        <v>1.75</v>
      </c>
      <c r="Y121" s="215">
        <v>1</v>
      </c>
      <c r="Z121" s="215">
        <v>1.5</v>
      </c>
      <c r="AA121" s="215">
        <v>1.2857142857142858</v>
      </c>
      <c r="AB121" s="215">
        <v>1.125</v>
      </c>
      <c r="AC121" s="215">
        <v>1.5</v>
      </c>
      <c r="AD121" s="215">
        <v>1.3</v>
      </c>
      <c r="AE121" s="215">
        <v>1.5</v>
      </c>
      <c r="AF121" s="215">
        <v>1.5</v>
      </c>
      <c r="AG121" s="215">
        <v>1.3333333333333333</v>
      </c>
      <c r="AH121" s="215">
        <v>1.5</v>
      </c>
      <c r="AI121" s="215">
        <v>0.5</v>
      </c>
    </row>
    <row r="122" spans="1:73" hidden="1">
      <c r="A122" s="1203"/>
      <c r="B122" s="931" t="s">
        <v>71</v>
      </c>
      <c r="C122" s="242">
        <v>1.3690476190476191</v>
      </c>
      <c r="H122" s="242">
        <v>0</v>
      </c>
      <c r="J122" s="215">
        <v>0</v>
      </c>
      <c r="K122" s="215">
        <v>0</v>
      </c>
      <c r="L122" s="215">
        <v>0</v>
      </c>
      <c r="M122" s="215">
        <v>0</v>
      </c>
      <c r="N122" s="215">
        <v>0</v>
      </c>
      <c r="O122" s="215">
        <v>0</v>
      </c>
      <c r="P122" s="215">
        <v>0</v>
      </c>
      <c r="Q122" s="215">
        <v>0</v>
      </c>
      <c r="R122" s="215">
        <v>0</v>
      </c>
      <c r="S122" s="215">
        <v>0</v>
      </c>
      <c r="T122" s="215">
        <v>0</v>
      </c>
      <c r="U122" s="215">
        <v>0</v>
      </c>
      <c r="V122" s="215">
        <v>0</v>
      </c>
      <c r="W122" s="215">
        <v>0</v>
      </c>
      <c r="X122" s="215">
        <v>1.75</v>
      </c>
      <c r="Y122" s="215">
        <v>1.5</v>
      </c>
      <c r="Z122" s="215">
        <v>0.875</v>
      </c>
      <c r="AA122" s="215">
        <v>1.4444444444444444</v>
      </c>
      <c r="AB122" s="215">
        <v>1</v>
      </c>
      <c r="AC122" s="215">
        <v>1.4285714285714286</v>
      </c>
      <c r="AD122" s="215">
        <v>1.8666666666666667</v>
      </c>
      <c r="AE122" s="215">
        <v>1</v>
      </c>
      <c r="AF122" s="215">
        <v>1.1111111111111112</v>
      </c>
      <c r="AG122" s="215">
        <v>1.4</v>
      </c>
      <c r="AH122" s="215">
        <v>1.8125</v>
      </c>
      <c r="AI122" s="215">
        <v>1.25</v>
      </c>
    </row>
    <row r="123" spans="1:73" hidden="1">
      <c r="A123" s="1312"/>
      <c r="B123" s="931" t="s">
        <v>72</v>
      </c>
      <c r="C123" s="242">
        <v>0.9</v>
      </c>
      <c r="H123" s="242">
        <v>0</v>
      </c>
      <c r="J123" s="215">
        <v>0</v>
      </c>
      <c r="K123" s="215">
        <v>0</v>
      </c>
      <c r="L123" s="215">
        <v>0</v>
      </c>
      <c r="M123" s="215">
        <v>0</v>
      </c>
      <c r="N123" s="215">
        <v>0</v>
      </c>
      <c r="O123" s="215">
        <v>0</v>
      </c>
      <c r="P123" s="215">
        <v>0</v>
      </c>
      <c r="Q123" s="215">
        <v>0</v>
      </c>
      <c r="R123" s="215">
        <v>0</v>
      </c>
      <c r="S123" s="215">
        <v>0</v>
      </c>
      <c r="T123" s="215">
        <v>0</v>
      </c>
      <c r="U123" s="215">
        <v>0</v>
      </c>
      <c r="V123" s="215">
        <v>0</v>
      </c>
      <c r="W123" s="215">
        <v>0</v>
      </c>
      <c r="X123" s="215">
        <v>0</v>
      </c>
      <c r="Y123" s="215">
        <v>0</v>
      </c>
      <c r="Z123" s="215">
        <v>0</v>
      </c>
      <c r="AA123" s="215">
        <v>2.5</v>
      </c>
      <c r="AB123" s="215">
        <v>1</v>
      </c>
      <c r="AC123" s="215">
        <v>1</v>
      </c>
      <c r="AD123" s="215">
        <v>1.4285714285714286</v>
      </c>
      <c r="AE123" s="215">
        <v>1</v>
      </c>
      <c r="AF123" s="215">
        <v>1.5</v>
      </c>
      <c r="AG123" s="215">
        <v>0.5</v>
      </c>
      <c r="AH123" s="215">
        <v>0.33333333333333331</v>
      </c>
      <c r="AI123" s="215">
        <v>1</v>
      </c>
    </row>
    <row r="124" spans="1:73" hidden="1">
      <c r="A124" s="1312"/>
      <c r="B124" s="931" t="s">
        <v>73</v>
      </c>
      <c r="C124" s="242">
        <v>1.2720588235294117</v>
      </c>
      <c r="H124" s="242">
        <v>1.1428571428571428</v>
      </c>
      <c r="J124" s="215">
        <v>0</v>
      </c>
      <c r="K124" s="215">
        <v>0</v>
      </c>
      <c r="L124" s="215">
        <v>0</v>
      </c>
      <c r="M124" s="215">
        <v>0</v>
      </c>
      <c r="N124" s="215">
        <v>0</v>
      </c>
      <c r="O124" s="215">
        <v>0</v>
      </c>
      <c r="P124" s="215">
        <v>0</v>
      </c>
      <c r="Q124" s="215">
        <v>0</v>
      </c>
      <c r="R124" s="215">
        <v>0</v>
      </c>
      <c r="S124" s="215">
        <v>0</v>
      </c>
      <c r="T124" s="215">
        <v>0</v>
      </c>
      <c r="U124" s="215">
        <v>1.1428571428571428</v>
      </c>
      <c r="V124" s="215">
        <v>1.1764705882352942</v>
      </c>
      <c r="W124" s="215">
        <v>1</v>
      </c>
      <c r="X124" s="215">
        <v>1.1875</v>
      </c>
      <c r="Y124" s="215">
        <v>1.1538461538461537</v>
      </c>
      <c r="Z124" s="215">
        <v>1.2727272727272727</v>
      </c>
      <c r="AA124" s="215">
        <v>1.1875</v>
      </c>
      <c r="AB124" s="215">
        <v>0.91666666666666663</v>
      </c>
      <c r="AC124" s="215">
        <v>1.6428571428571428</v>
      </c>
      <c r="AD124" s="215">
        <v>1.4705882352941178</v>
      </c>
      <c r="AE124" s="215">
        <v>0.75</v>
      </c>
      <c r="AF124" s="215">
        <v>1.25</v>
      </c>
      <c r="AG124" s="215">
        <v>0</v>
      </c>
      <c r="AH124" s="215">
        <v>1.5833333333333333</v>
      </c>
      <c r="AI124" s="215">
        <v>1.2962962962962963</v>
      </c>
    </row>
    <row r="125" spans="1:73" s="954" customFormat="1" hidden="1">
      <c r="A125" s="1312"/>
      <c r="B125" s="931" t="s">
        <v>75</v>
      </c>
      <c r="C125" s="961">
        <v>0</v>
      </c>
      <c r="D125" s="932"/>
      <c r="H125" s="961">
        <v>0</v>
      </c>
      <c r="I125" s="932"/>
      <c r="J125" s="962">
        <v>0</v>
      </c>
      <c r="K125" s="962">
        <v>0</v>
      </c>
      <c r="L125" s="962">
        <v>0</v>
      </c>
      <c r="M125" s="962">
        <v>0</v>
      </c>
      <c r="N125" s="962">
        <v>0</v>
      </c>
      <c r="O125" s="962">
        <v>0</v>
      </c>
      <c r="P125" s="962">
        <v>0</v>
      </c>
      <c r="Q125" s="962">
        <v>0</v>
      </c>
      <c r="R125" s="962">
        <v>0</v>
      </c>
      <c r="S125" s="962">
        <v>0</v>
      </c>
      <c r="T125" s="962">
        <v>0</v>
      </c>
      <c r="U125" s="962">
        <v>0</v>
      </c>
      <c r="V125" s="962">
        <v>0</v>
      </c>
      <c r="W125" s="962">
        <v>0</v>
      </c>
      <c r="X125" s="962">
        <v>0</v>
      </c>
      <c r="Y125" s="962">
        <v>0</v>
      </c>
      <c r="Z125" s="962">
        <v>0</v>
      </c>
      <c r="AA125" s="962">
        <v>0</v>
      </c>
      <c r="AB125" s="962">
        <v>0</v>
      </c>
      <c r="AC125" s="962">
        <v>0</v>
      </c>
      <c r="AD125" s="962">
        <v>0</v>
      </c>
      <c r="AE125" s="962">
        <v>0</v>
      </c>
      <c r="AF125" s="962">
        <v>0</v>
      </c>
      <c r="AG125" s="962">
        <v>0</v>
      </c>
      <c r="AH125" s="962">
        <v>0</v>
      </c>
      <c r="AI125" s="962">
        <v>0</v>
      </c>
      <c r="BU125" s="2374"/>
    </row>
    <row r="126" spans="1:73" s="968" customFormat="1" hidden="1">
      <c r="A126" s="935"/>
      <c r="B126" s="966" t="s">
        <v>76</v>
      </c>
      <c r="C126" s="244">
        <v>1.5413046476348089</v>
      </c>
      <c r="D126" s="967"/>
      <c r="H126" s="244">
        <v>1.1875</v>
      </c>
      <c r="I126" s="967"/>
      <c r="J126" s="215">
        <v>0</v>
      </c>
      <c r="K126" s="215">
        <v>0</v>
      </c>
      <c r="L126" s="215">
        <v>0</v>
      </c>
      <c r="M126" s="215">
        <v>0</v>
      </c>
      <c r="N126" s="215">
        <v>0</v>
      </c>
      <c r="O126" s="215">
        <v>0</v>
      </c>
      <c r="P126" s="215">
        <v>0</v>
      </c>
      <c r="Q126" s="215">
        <v>0</v>
      </c>
      <c r="R126" s="215">
        <v>0</v>
      </c>
      <c r="S126" s="215">
        <v>0</v>
      </c>
      <c r="T126" s="215">
        <v>0</v>
      </c>
      <c r="U126" s="215">
        <v>1.1875</v>
      </c>
      <c r="V126" s="215">
        <v>1.40625</v>
      </c>
      <c r="W126" s="215">
        <v>1.3</v>
      </c>
      <c r="X126" s="215">
        <v>1.3773584905660377</v>
      </c>
      <c r="Y126" s="215">
        <v>1.28125</v>
      </c>
      <c r="Z126" s="215">
        <v>1.3043478260869565</v>
      </c>
      <c r="AA126" s="215">
        <v>1.4415584415584415</v>
      </c>
      <c r="AB126" s="215">
        <v>1.1212121212121211</v>
      </c>
      <c r="AC126" s="215">
        <v>1.4545454545454546</v>
      </c>
      <c r="AD126" s="215">
        <v>1.6635514018691588</v>
      </c>
      <c r="AE126" s="215">
        <v>1.2</v>
      </c>
      <c r="AF126" s="215">
        <v>1.2153846153846153</v>
      </c>
      <c r="AG126" s="215">
        <v>1.1000000000000001</v>
      </c>
      <c r="AH126" s="215">
        <v>1.4827586206896552</v>
      </c>
      <c r="AI126" s="215">
        <v>1.247191011235955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A1:BP136"/>
  <sheetViews>
    <sheetView zoomScaleNormal="100" workbookViewId="0">
      <selection activeCell="BA5" sqref="BA5:BG5"/>
    </sheetView>
  </sheetViews>
  <sheetFormatPr defaultColWidth="9.140625" defaultRowHeight="12.75" outlineLevelCol="1"/>
  <cols>
    <col min="1" max="1" width="4.7109375" style="1016" customWidth="1"/>
    <col min="2" max="2" width="18" style="1016" bestFit="1" customWidth="1"/>
    <col min="3" max="3" width="13" style="1016" customWidth="1"/>
    <col min="4" max="4" width="7.140625" style="1016" customWidth="1"/>
    <col min="5" max="5" width="7.7109375" style="1016" customWidth="1"/>
    <col min="6" max="15" width="7.7109375" style="1016" customWidth="1" outlineLevel="1"/>
    <col min="16" max="16" width="8.7109375" style="1016" customWidth="1"/>
    <col min="17" max="17" width="7.7109375" style="1016" customWidth="1"/>
    <col min="18" max="27" width="7.7109375" style="1016" customWidth="1" outlineLevel="1"/>
    <col min="28" max="28" width="7.7109375" style="1016" customWidth="1"/>
    <col min="29" max="29" width="16.140625" style="1016" bestFit="1" customWidth="1"/>
    <col min="30" max="30" width="12" style="1016" customWidth="1" outlineLevel="1"/>
    <col min="31" max="31" width="12.28515625" style="1016" customWidth="1" outlineLevel="1"/>
    <col min="32" max="39" width="11.85546875" style="1016" customWidth="1" outlineLevel="1"/>
    <col min="40" max="40" width="11.85546875" style="1016" bestFit="1" customWidth="1"/>
    <col min="41" max="41" width="8.85546875" style="1206" customWidth="1"/>
    <col min="42" max="42" width="10" style="1206" customWidth="1" outlineLevel="1"/>
    <col min="43" max="43" width="9.28515625" style="1206" customWidth="1" outlineLevel="1"/>
    <col min="44" max="44" width="9.85546875" style="1206" customWidth="1" outlineLevel="1"/>
    <col min="45" max="45" width="8.28515625" style="1206" customWidth="1" outlineLevel="1"/>
    <col min="46" max="46" width="8.85546875" style="1206" customWidth="1" outlineLevel="1"/>
    <col min="47" max="47" width="9.140625" style="1206" customWidth="1" outlineLevel="1"/>
    <col min="48" max="51" width="7.140625" style="1206" customWidth="1" outlineLevel="1"/>
    <col min="52" max="52" width="7.140625" style="1206" bestFit="1" customWidth="1"/>
    <col min="53" max="55" width="7.140625" style="1206" customWidth="1"/>
    <col min="56" max="56" width="8.140625" style="1206" bestFit="1" customWidth="1"/>
    <col min="57" max="59" width="8.28515625" style="1206" bestFit="1" customWidth="1"/>
    <col min="60" max="60" width="12.7109375" style="1206" bestFit="1" customWidth="1"/>
    <col min="61" max="61" width="12.85546875" style="1206" bestFit="1" customWidth="1"/>
    <col min="62" max="63" width="12.7109375" style="1206" bestFit="1" customWidth="1"/>
    <col min="64" max="64" width="12.85546875" style="1206" bestFit="1" customWidth="1"/>
    <col min="65" max="65" width="10.7109375" style="1016" bestFit="1" customWidth="1"/>
    <col min="66" max="66" width="10.5703125" style="1016" bestFit="1" customWidth="1"/>
    <col min="67" max="67" width="17.85546875" style="1016" customWidth="1"/>
    <col min="68" max="16384" width="9.140625" style="1016"/>
  </cols>
  <sheetData>
    <row r="1" spans="1:68">
      <c r="A1" s="1205" t="s">
        <v>106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</row>
    <row r="2" spans="1:68">
      <c r="A2" s="1207">
        <f>MONTH(Cover!G5)</f>
        <v>7</v>
      </c>
      <c r="J2" s="137"/>
      <c r="M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749"/>
      <c r="AD2" s="1749"/>
      <c r="AE2" s="1749"/>
      <c r="AF2" s="1749"/>
      <c r="AG2" s="137"/>
      <c r="AH2" s="137"/>
      <c r="AI2" s="137"/>
      <c r="AJ2" s="137"/>
      <c r="AK2" s="137"/>
      <c r="AL2" s="137"/>
      <c r="AM2" s="137"/>
      <c r="AN2" s="137"/>
      <c r="AO2" s="763"/>
      <c r="AP2" s="763"/>
      <c r="AQ2" s="763"/>
      <c r="AR2" s="763"/>
      <c r="AS2" s="763"/>
      <c r="AT2" s="763"/>
      <c r="AU2" s="763"/>
      <c r="AV2" s="763"/>
      <c r="AW2" s="763"/>
      <c r="AX2" s="763"/>
      <c r="AY2" s="763"/>
      <c r="AZ2" s="763"/>
      <c r="BA2" s="763"/>
      <c r="BB2" s="763"/>
      <c r="BC2" s="763"/>
      <c r="BD2" s="763"/>
      <c r="BE2" s="763"/>
      <c r="BF2" s="763"/>
      <c r="BG2" s="763"/>
      <c r="BH2" s="763"/>
      <c r="BI2" s="763"/>
      <c r="BJ2" s="763"/>
      <c r="BK2" s="763"/>
      <c r="BL2" s="763"/>
    </row>
    <row r="3" spans="1:68">
      <c r="A3" s="1208" t="s">
        <v>131</v>
      </c>
      <c r="B3" s="1208"/>
      <c r="C3" s="1208"/>
      <c r="D3" s="1208"/>
      <c r="E3" s="322">
        <v>1</v>
      </c>
      <c r="F3" s="322">
        <v>2</v>
      </c>
      <c r="G3" s="322">
        <v>3</v>
      </c>
      <c r="H3" s="322">
        <v>4</v>
      </c>
      <c r="I3" s="322">
        <v>5</v>
      </c>
      <c r="J3" s="322">
        <v>6</v>
      </c>
      <c r="K3" s="322">
        <v>7</v>
      </c>
      <c r="L3" s="322">
        <v>8</v>
      </c>
      <c r="M3" s="322">
        <v>9</v>
      </c>
      <c r="N3" s="322">
        <v>10</v>
      </c>
      <c r="O3" s="322">
        <v>11</v>
      </c>
      <c r="P3" s="322">
        <v>12</v>
      </c>
      <c r="Q3" s="322">
        <v>1</v>
      </c>
      <c r="R3" s="322">
        <v>2</v>
      </c>
      <c r="S3" s="322">
        <v>3</v>
      </c>
      <c r="T3" s="322">
        <v>4</v>
      </c>
      <c r="U3" s="322">
        <v>5</v>
      </c>
      <c r="V3" s="322">
        <v>6</v>
      </c>
      <c r="W3" s="322">
        <v>7</v>
      </c>
      <c r="X3" s="322">
        <v>8</v>
      </c>
      <c r="Y3" s="322">
        <v>9</v>
      </c>
      <c r="Z3" s="322">
        <v>10</v>
      </c>
      <c r="AA3" s="322">
        <v>11</v>
      </c>
      <c r="AB3" s="322">
        <v>12</v>
      </c>
      <c r="AC3" s="322">
        <v>1</v>
      </c>
      <c r="AD3" s="322">
        <v>2</v>
      </c>
      <c r="AE3" s="322">
        <v>3</v>
      </c>
      <c r="AF3" s="322">
        <v>4</v>
      </c>
      <c r="AG3" s="322">
        <v>5</v>
      </c>
      <c r="AH3" s="322">
        <v>6</v>
      </c>
      <c r="AI3" s="322">
        <v>7</v>
      </c>
      <c r="AJ3" s="322">
        <v>8</v>
      </c>
      <c r="AK3" s="322">
        <v>9</v>
      </c>
      <c r="AL3" s="322">
        <v>10</v>
      </c>
      <c r="AM3" s="322">
        <v>11</v>
      </c>
      <c r="AN3" s="322">
        <v>12</v>
      </c>
      <c r="AO3" s="322">
        <v>1</v>
      </c>
      <c r="AP3" s="322">
        <v>2</v>
      </c>
      <c r="AQ3" s="322">
        <v>3</v>
      </c>
      <c r="AR3" s="322">
        <v>4</v>
      </c>
      <c r="AS3" s="322">
        <v>5</v>
      </c>
      <c r="AT3" s="322">
        <v>6</v>
      </c>
      <c r="AU3" s="322">
        <v>7</v>
      </c>
      <c r="AV3" s="322">
        <v>8</v>
      </c>
      <c r="AW3" s="322">
        <v>9</v>
      </c>
      <c r="AX3" s="322">
        <v>10</v>
      </c>
      <c r="AY3" s="322">
        <v>11</v>
      </c>
      <c r="AZ3" s="322">
        <v>12</v>
      </c>
      <c r="BA3" s="322">
        <v>1</v>
      </c>
      <c r="BB3" s="322">
        <v>2</v>
      </c>
      <c r="BC3" s="322">
        <v>3</v>
      </c>
      <c r="BD3" s="322">
        <v>4</v>
      </c>
      <c r="BE3" s="322">
        <v>5</v>
      </c>
      <c r="BF3" s="322">
        <v>6</v>
      </c>
      <c r="BG3" s="322">
        <v>7</v>
      </c>
      <c r="BH3" s="322">
        <v>8</v>
      </c>
      <c r="BI3" s="322">
        <v>9</v>
      </c>
      <c r="BJ3" s="322">
        <v>10</v>
      </c>
      <c r="BK3" s="322">
        <v>11</v>
      </c>
      <c r="BL3" s="322">
        <v>12</v>
      </c>
    </row>
    <row r="4" spans="1:68">
      <c r="B4" s="1209" t="s">
        <v>107</v>
      </c>
      <c r="C4" s="1210" t="s">
        <v>163</v>
      </c>
      <c r="D4" s="1209"/>
      <c r="E4" s="1211" t="s">
        <v>98</v>
      </c>
      <c r="F4" s="1211" t="s">
        <v>34</v>
      </c>
      <c r="G4" s="1211" t="s">
        <v>35</v>
      </c>
      <c r="H4" s="1211" t="s">
        <v>36</v>
      </c>
      <c r="I4" s="1211" t="s">
        <v>37</v>
      </c>
      <c r="J4" s="1211" t="s">
        <v>38</v>
      </c>
      <c r="K4" s="1211" t="s">
        <v>39</v>
      </c>
      <c r="L4" s="1211" t="s">
        <v>40</v>
      </c>
      <c r="M4" s="1211" t="s">
        <v>41</v>
      </c>
      <c r="N4" s="1211" t="s">
        <v>42</v>
      </c>
      <c r="O4" s="1211" t="s">
        <v>43</v>
      </c>
      <c r="P4" s="1211" t="s">
        <v>44</v>
      </c>
      <c r="Q4" s="1211" t="s">
        <v>556</v>
      </c>
      <c r="R4" s="1211" t="s">
        <v>34</v>
      </c>
      <c r="S4" s="1211" t="s">
        <v>35</v>
      </c>
      <c r="T4" s="1211" t="s">
        <v>36</v>
      </c>
      <c r="U4" s="1211" t="s">
        <v>37</v>
      </c>
      <c r="V4" s="1211" t="s">
        <v>38</v>
      </c>
      <c r="W4" s="1211" t="s">
        <v>39</v>
      </c>
      <c r="X4" s="1211" t="s">
        <v>40</v>
      </c>
      <c r="Y4" s="1211" t="s">
        <v>41</v>
      </c>
      <c r="Z4" s="1211" t="s">
        <v>42</v>
      </c>
      <c r="AA4" s="1211" t="s">
        <v>43</v>
      </c>
      <c r="AB4" s="1211" t="s">
        <v>44</v>
      </c>
      <c r="AC4" s="1211" t="s">
        <v>1097</v>
      </c>
      <c r="AD4" s="1211" t="s">
        <v>34</v>
      </c>
      <c r="AE4" s="1211" t="s">
        <v>35</v>
      </c>
      <c r="AF4" s="1211" t="s">
        <v>36</v>
      </c>
      <c r="AG4" s="1590" t="s">
        <v>37</v>
      </c>
      <c r="AH4" s="1211" t="s">
        <v>38</v>
      </c>
      <c r="AI4" s="1211" t="s">
        <v>39</v>
      </c>
      <c r="AJ4" s="1211" t="s">
        <v>40</v>
      </c>
      <c r="AK4" s="1211" t="s">
        <v>41</v>
      </c>
      <c r="AL4" s="1211" t="s">
        <v>42</v>
      </c>
      <c r="AM4" s="1211" t="s">
        <v>43</v>
      </c>
      <c r="AN4" s="1211" t="s">
        <v>44</v>
      </c>
      <c r="AO4" s="1590" t="s">
        <v>2552</v>
      </c>
      <c r="AP4" s="1211" t="s">
        <v>34</v>
      </c>
      <c r="AQ4" s="1211" t="s">
        <v>35</v>
      </c>
      <c r="AR4" s="1211" t="s">
        <v>36</v>
      </c>
      <c r="AS4" s="1211" t="s">
        <v>37</v>
      </c>
      <c r="AT4" s="1211" t="s">
        <v>38</v>
      </c>
      <c r="AU4" s="1211" t="s">
        <v>39</v>
      </c>
      <c r="AV4" s="1211" t="s">
        <v>40</v>
      </c>
      <c r="AW4" s="1211" t="s">
        <v>41</v>
      </c>
      <c r="AX4" s="1211" t="s">
        <v>42</v>
      </c>
      <c r="AY4" s="1211" t="s">
        <v>43</v>
      </c>
      <c r="AZ4" s="1211" t="s">
        <v>44</v>
      </c>
      <c r="BA4" s="1590" t="s">
        <v>4133</v>
      </c>
      <c r="BB4" s="1211" t="s">
        <v>34</v>
      </c>
      <c r="BC4" s="1211" t="s">
        <v>35</v>
      </c>
      <c r="BD4" s="1211" t="s">
        <v>36</v>
      </c>
      <c r="BE4" s="1590" t="s">
        <v>37</v>
      </c>
      <c r="BF4" s="1211" t="s">
        <v>38</v>
      </c>
      <c r="BG4" s="1211" t="s">
        <v>39</v>
      </c>
      <c r="BH4" s="1211" t="s">
        <v>40</v>
      </c>
      <c r="BI4" s="1211" t="s">
        <v>41</v>
      </c>
      <c r="BJ4" s="1211" t="s">
        <v>42</v>
      </c>
      <c r="BK4" s="1211" t="s">
        <v>43</v>
      </c>
      <c r="BL4" s="1211" t="s">
        <v>44</v>
      </c>
      <c r="BM4" s="1211" t="s">
        <v>108</v>
      </c>
      <c r="BN4" s="1211" t="s">
        <v>555</v>
      </c>
      <c r="BO4" s="1211" t="s">
        <v>2435</v>
      </c>
    </row>
    <row r="5" spans="1:68">
      <c r="B5" s="1213" t="s">
        <v>1</v>
      </c>
      <c r="C5" s="2275">
        <f>SUMIF($BA$3:$BL$3, "&lt;=" &amp;$A$2, BA5:BL5)</f>
        <v>323609.43409365858</v>
      </c>
      <c r="D5" s="1213"/>
      <c r="E5" s="202">
        <v>600</v>
      </c>
      <c r="F5" s="202">
        <v>550</v>
      </c>
      <c r="G5" s="202">
        <v>850</v>
      </c>
      <c r="H5" s="202">
        <v>1100</v>
      </c>
      <c r="I5" s="202">
        <v>1850</v>
      </c>
      <c r="J5" s="202">
        <v>2650</v>
      </c>
      <c r="K5" s="202">
        <v>2700</v>
      </c>
      <c r="L5" s="202">
        <v>3300</v>
      </c>
      <c r="M5" s="202">
        <v>4000</v>
      </c>
      <c r="N5" s="202">
        <v>3200</v>
      </c>
      <c r="O5" s="202">
        <v>4000</v>
      </c>
      <c r="P5" s="202">
        <v>4900</v>
      </c>
      <c r="Q5" s="202">
        <v>2920</v>
      </c>
      <c r="R5" s="202">
        <v>2980</v>
      </c>
      <c r="S5" s="202">
        <v>4000</v>
      </c>
      <c r="T5" s="202">
        <v>4720</v>
      </c>
      <c r="U5" s="202">
        <v>6000</v>
      </c>
      <c r="V5" s="202">
        <v>8530</v>
      </c>
      <c r="W5" s="202">
        <v>8740</v>
      </c>
      <c r="X5" s="202">
        <v>10240</v>
      </c>
      <c r="Y5" s="202">
        <v>13500</v>
      </c>
      <c r="Z5" s="202">
        <v>12620</v>
      </c>
      <c r="AA5" s="202">
        <v>13500</v>
      </c>
      <c r="AB5" s="202">
        <v>16900</v>
      </c>
      <c r="AC5" s="1595">
        <v>15911</v>
      </c>
      <c r="AD5" s="1612">
        <v>9532</v>
      </c>
      <c r="AE5" s="1612">
        <v>23621</v>
      </c>
      <c r="AF5" s="1612">
        <v>22863</v>
      </c>
      <c r="AG5" s="1612">
        <v>26167</v>
      </c>
      <c r="AH5" s="1612">
        <v>31609</v>
      </c>
      <c r="AI5" s="1612">
        <v>24625</v>
      </c>
      <c r="AJ5" s="1612">
        <v>28320</v>
      </c>
      <c r="AK5" s="1612">
        <v>38428</v>
      </c>
      <c r="AL5" s="1612">
        <v>32394</v>
      </c>
      <c r="AM5" s="1612">
        <v>41499</v>
      </c>
      <c r="AN5" s="1612">
        <v>63313</v>
      </c>
      <c r="AO5" s="764">
        <v>16000</v>
      </c>
      <c r="AP5" s="764">
        <v>12000</v>
      </c>
      <c r="AQ5" s="764">
        <v>32000</v>
      </c>
      <c r="AR5" s="764">
        <v>42000</v>
      </c>
      <c r="AS5" s="764">
        <v>36000</v>
      </c>
      <c r="AT5" s="764">
        <v>47000</v>
      </c>
      <c r="AU5" s="764">
        <f t="shared" ref="AU5:AZ5" si="0">AU26+AU49</f>
        <v>38297.87384285</v>
      </c>
      <c r="AV5" s="1909">
        <f t="shared" si="0"/>
        <v>43606.079122571406</v>
      </c>
      <c r="AW5" s="1909">
        <f t="shared" si="0"/>
        <v>57115.435752778598</v>
      </c>
      <c r="AX5" s="1909">
        <f t="shared" si="0"/>
        <v>47631.558536618817</v>
      </c>
      <c r="AY5" s="1909">
        <f t="shared" si="0"/>
        <v>53942.523858297791</v>
      </c>
      <c r="AZ5" s="1909">
        <f t="shared" si="0"/>
        <v>70376.04561490973</v>
      </c>
      <c r="BA5" s="1909">
        <f t="shared" ref="BA5:BL5" si="1">BA26+BA49</f>
        <v>21159.465884169891</v>
      </c>
      <c r="BB5" s="1909">
        <f t="shared" si="1"/>
        <v>20867.642534235856</v>
      </c>
      <c r="BC5" s="1909">
        <f t="shared" si="1"/>
        <v>49678.550803872873</v>
      </c>
      <c r="BD5" s="1909">
        <f t="shared" si="1"/>
        <v>49306.357366960248</v>
      </c>
      <c r="BE5" s="1909">
        <f t="shared" si="1"/>
        <v>57719.167284380776</v>
      </c>
      <c r="BF5" s="1909">
        <f t="shared" si="1"/>
        <v>64986.347978287136</v>
      </c>
      <c r="BG5" s="1909">
        <f t="shared" si="1"/>
        <v>59891.902241751806</v>
      </c>
      <c r="BH5" s="1909">
        <f t="shared" si="1"/>
        <v>66554.351797741721</v>
      </c>
      <c r="BI5" s="1909">
        <f t="shared" si="1"/>
        <v>74354.220299720444</v>
      </c>
      <c r="BJ5" s="1909">
        <f t="shared" si="1"/>
        <v>70348.989256097513</v>
      </c>
      <c r="BK5" s="1909">
        <f t="shared" si="1"/>
        <v>77982.43853511526</v>
      </c>
      <c r="BL5" s="1909">
        <f t="shared" si="1"/>
        <v>87307.252311144897</v>
      </c>
      <c r="BM5" s="203">
        <v>29700</v>
      </c>
      <c r="BN5" s="203">
        <v>104650</v>
      </c>
      <c r="BO5" s="1595">
        <f>INDEX(BA5:BL5,1,MATCH($A$2,$BA$3:$BL$3,0))</f>
        <v>59891.902241751806</v>
      </c>
      <c r="BP5" s="1724"/>
    </row>
    <row r="6" spans="1:68" ht="15">
      <c r="B6" s="1213" t="s">
        <v>2</v>
      </c>
      <c r="C6" s="2275">
        <f>SUMIF($BA$3:$BL$3, "&lt;=" &amp;$A$2, BA6:BL6)</f>
        <v>323609.43409365858</v>
      </c>
      <c r="D6" s="1213"/>
      <c r="E6" s="204">
        <v>498</v>
      </c>
      <c r="F6" s="204">
        <v>456.5</v>
      </c>
      <c r="G6" s="204">
        <v>705.5</v>
      </c>
      <c r="H6" s="204">
        <v>913</v>
      </c>
      <c r="I6" s="204">
        <v>1535.5</v>
      </c>
      <c r="J6" s="204">
        <v>2199.5</v>
      </c>
      <c r="K6" s="204">
        <v>2241</v>
      </c>
      <c r="L6" s="204">
        <v>2739</v>
      </c>
      <c r="M6" s="204">
        <v>3320</v>
      </c>
      <c r="N6" s="204">
        <v>2656</v>
      </c>
      <c r="O6" s="204">
        <v>3320</v>
      </c>
      <c r="P6" s="204">
        <v>4067</v>
      </c>
      <c r="Q6" s="204">
        <v>2511.1999999999998</v>
      </c>
      <c r="R6" s="204">
        <v>2562.8000000000002</v>
      </c>
      <c r="S6" s="204">
        <v>3440</v>
      </c>
      <c r="T6" s="204">
        <v>4059.2</v>
      </c>
      <c r="U6" s="204">
        <v>5160</v>
      </c>
      <c r="V6" s="204">
        <v>7335.8</v>
      </c>
      <c r="W6" s="204">
        <v>7516.4000000000005</v>
      </c>
      <c r="X6" s="204">
        <v>8806.3999999999978</v>
      </c>
      <c r="Y6" s="204">
        <v>11609.999999999998</v>
      </c>
      <c r="Z6" s="204">
        <v>10853.2</v>
      </c>
      <c r="AA6" s="204">
        <v>11610</v>
      </c>
      <c r="AB6" s="204">
        <v>14535</v>
      </c>
      <c r="AC6" s="1595">
        <v>15128</v>
      </c>
      <c r="AD6" s="1616">
        <v>9063</v>
      </c>
      <c r="AE6" s="1616">
        <v>22467</v>
      </c>
      <c r="AF6" s="1616">
        <v>21746</v>
      </c>
      <c r="AG6" s="1616">
        <v>24899</v>
      </c>
      <c r="AH6" s="1616">
        <v>30063</v>
      </c>
      <c r="AI6" s="1616">
        <v>23417</v>
      </c>
      <c r="AJ6" s="1616">
        <v>26929</v>
      </c>
      <c r="AK6" s="1616">
        <v>36556</v>
      </c>
      <c r="AL6" s="1616">
        <v>30812</v>
      </c>
      <c r="AM6" s="1616">
        <v>39473</v>
      </c>
      <c r="AN6" s="1616">
        <v>60247</v>
      </c>
      <c r="AO6" s="765">
        <v>16000</v>
      </c>
      <c r="AP6" s="765">
        <v>12000</v>
      </c>
      <c r="AQ6" s="765">
        <v>32000</v>
      </c>
      <c r="AR6" s="765">
        <v>42000</v>
      </c>
      <c r="AS6" s="765">
        <v>36000</v>
      </c>
      <c r="AT6" s="765">
        <v>47000</v>
      </c>
      <c r="AU6" s="764">
        <f t="shared" ref="AU6:AU16" si="2">AU27+AU50</f>
        <v>45603</v>
      </c>
      <c r="AV6" s="1909">
        <f t="shared" ref="AV6:AZ7" si="3">AV27+AV50</f>
        <v>52172.121516872925</v>
      </c>
      <c r="AW6" s="1909">
        <f t="shared" si="3"/>
        <v>67800.20317574768</v>
      </c>
      <c r="AX6" s="1909">
        <f t="shared" si="3"/>
        <v>57106.537058741087</v>
      </c>
      <c r="AY6" s="1909">
        <f t="shared" si="3"/>
        <v>64722.593531540086</v>
      </c>
      <c r="AZ6" s="1909">
        <f t="shared" si="3"/>
        <v>84587.779647807823</v>
      </c>
      <c r="BA6" s="1909">
        <f t="shared" ref="BA6:BL6" si="4">BA27+BA50</f>
        <v>21159.465884169891</v>
      </c>
      <c r="BB6" s="1909">
        <f t="shared" si="4"/>
        <v>20867.642534235856</v>
      </c>
      <c r="BC6" s="1909">
        <f t="shared" si="4"/>
        <v>49678.550803872873</v>
      </c>
      <c r="BD6" s="1909">
        <f t="shared" si="4"/>
        <v>49306.357366960248</v>
      </c>
      <c r="BE6" s="1909">
        <f t="shared" si="4"/>
        <v>57719.167284380776</v>
      </c>
      <c r="BF6" s="1909">
        <f t="shared" si="4"/>
        <v>64986.347978287136</v>
      </c>
      <c r="BG6" s="1909">
        <f t="shared" si="4"/>
        <v>59891.902241751806</v>
      </c>
      <c r="BH6" s="1909">
        <f t="shared" si="4"/>
        <v>66554.351797741721</v>
      </c>
      <c r="BI6" s="1909">
        <f t="shared" si="4"/>
        <v>74354.220299720444</v>
      </c>
      <c r="BJ6" s="1909">
        <f t="shared" si="4"/>
        <v>70348.989256097513</v>
      </c>
      <c r="BK6" s="1909">
        <f t="shared" si="4"/>
        <v>77982.43853511526</v>
      </c>
      <c r="BL6" s="1909">
        <f t="shared" si="4"/>
        <v>87307.252311144897</v>
      </c>
      <c r="BM6" s="205">
        <v>24651</v>
      </c>
      <c r="BN6" s="205">
        <v>90000</v>
      </c>
      <c r="BO6" s="1595">
        <f>INDEX(BA6:BL6,1,MATCH($A$2,$BA$3:$BL$3,0))</f>
        <v>59891.902241751806</v>
      </c>
      <c r="BP6" s="1724"/>
    </row>
    <row r="7" spans="1:68">
      <c r="B7" s="2235" t="s">
        <v>7</v>
      </c>
      <c r="C7" s="2276">
        <f>SUMIF($BA$3:$BL$3, "=" &amp;$A$2, BA7:BL7)</f>
        <v>11603.932911977012</v>
      </c>
      <c r="D7" s="2235"/>
      <c r="E7" s="2236">
        <v>87</v>
      </c>
      <c r="F7" s="2236">
        <v>94</v>
      </c>
      <c r="G7" s="2236">
        <v>125</v>
      </c>
      <c r="H7" s="2236">
        <v>166</v>
      </c>
      <c r="I7" s="2236">
        <v>267</v>
      </c>
      <c r="J7" s="2236">
        <v>365</v>
      </c>
      <c r="K7" s="2236">
        <v>457</v>
      </c>
      <c r="L7" s="2236">
        <v>539</v>
      </c>
      <c r="M7" s="2236">
        <v>622</v>
      </c>
      <c r="N7" s="2236">
        <v>710</v>
      </c>
      <c r="O7" s="2236">
        <v>776</v>
      </c>
      <c r="P7" s="2236">
        <v>826</v>
      </c>
      <c r="Q7" s="2236">
        <v>714</v>
      </c>
      <c r="R7" s="2236">
        <v>706</v>
      </c>
      <c r="S7" s="2236">
        <v>758</v>
      </c>
      <c r="T7" s="2236">
        <v>960</v>
      </c>
      <c r="U7" s="2236">
        <v>1208</v>
      </c>
      <c r="V7" s="2236">
        <v>1454</v>
      </c>
      <c r="W7" s="2236">
        <v>1742</v>
      </c>
      <c r="X7" s="2236">
        <v>2030</v>
      </c>
      <c r="Y7" s="2236">
        <v>2286</v>
      </c>
      <c r="Z7" s="2236">
        <v>2506</v>
      </c>
      <c r="AA7" s="2236">
        <v>2708</v>
      </c>
      <c r="AB7" s="2236">
        <v>2888</v>
      </c>
      <c r="AC7" s="2237">
        <v>2383</v>
      </c>
      <c r="AD7" s="2238">
        <v>2535</v>
      </c>
      <c r="AE7" s="2238">
        <v>2917</v>
      </c>
      <c r="AF7" s="2238">
        <v>3321</v>
      </c>
      <c r="AG7" s="2238">
        <v>3747</v>
      </c>
      <c r="AH7" s="2238">
        <v>4117</v>
      </c>
      <c r="AI7" s="2238">
        <v>4551</v>
      </c>
      <c r="AJ7" s="2238">
        <v>4946</v>
      </c>
      <c r="AK7" s="2238">
        <v>5296</v>
      </c>
      <c r="AL7" s="2238">
        <v>5708</v>
      </c>
      <c r="AM7" s="2239">
        <v>6181</v>
      </c>
      <c r="AN7" s="2239">
        <v>6554</v>
      </c>
      <c r="AO7" s="2240">
        <v>4155</v>
      </c>
      <c r="AP7" s="2240">
        <v>4123</v>
      </c>
      <c r="AQ7" s="2240">
        <v>4461</v>
      </c>
      <c r="AR7" s="2240">
        <v>4838</v>
      </c>
      <c r="AS7" s="2240">
        <v>5177</v>
      </c>
      <c r="AT7" s="2240">
        <v>5942</v>
      </c>
      <c r="AU7" s="2241">
        <f t="shared" si="2"/>
        <v>6180.0679899999996</v>
      </c>
      <c r="AV7" s="2241">
        <f t="shared" si="3"/>
        <v>6865.0370171000004</v>
      </c>
      <c r="AW7" s="2241">
        <f t="shared" si="3"/>
        <v>7404.3885447590001</v>
      </c>
      <c r="AX7" s="2241">
        <f t="shared" si="3"/>
        <v>7844.4534984541751</v>
      </c>
      <c r="AY7" s="2241">
        <f t="shared" si="3"/>
        <v>8513.1431387582907</v>
      </c>
      <c r="AZ7" s="2241">
        <f t="shared" si="3"/>
        <v>9373.7092471275755</v>
      </c>
      <c r="BA7" s="2241">
        <f t="shared" ref="BA7:BL7" si="5">BA28+BA51</f>
        <v>9971.7775109676732</v>
      </c>
      <c r="BB7" s="2241">
        <f t="shared" si="5"/>
        <v>9764.5229665469487</v>
      </c>
      <c r="BC7" s="2241">
        <f t="shared" si="5"/>
        <v>10074.342287148558</v>
      </c>
      <c r="BD7" s="2241">
        <f t="shared" si="5"/>
        <v>10315.069279174604</v>
      </c>
      <c r="BE7" s="2241">
        <f t="shared" si="5"/>
        <v>10733.240152274808</v>
      </c>
      <c r="BF7" s="2241">
        <f t="shared" si="5"/>
        <v>11536.536904661592</v>
      </c>
      <c r="BG7" s="2241">
        <f t="shared" si="5"/>
        <v>11603.932911977012</v>
      </c>
      <c r="BH7" s="2241">
        <f t="shared" si="5"/>
        <v>12042.793382315393</v>
      </c>
      <c r="BI7" s="2241">
        <f t="shared" si="5"/>
        <v>12856.471758648278</v>
      </c>
      <c r="BJ7" s="2241">
        <f t="shared" si="5"/>
        <v>13174.629317775245</v>
      </c>
      <c r="BK7" s="2241">
        <f t="shared" si="5"/>
        <v>13772.12079595208</v>
      </c>
      <c r="BL7" s="2241">
        <f t="shared" si="5"/>
        <v>14741.670769023571</v>
      </c>
      <c r="BM7" s="2242">
        <v>5034</v>
      </c>
      <c r="BN7" s="2242">
        <v>2888</v>
      </c>
      <c r="BO7" s="2243">
        <f>INDEX(BA7:BL7,1,MATCH($A$2,$BA$3:$BL$3,0))</f>
        <v>11603.932911977012</v>
      </c>
      <c r="BP7" s="1724"/>
    </row>
    <row r="8" spans="1:68">
      <c r="B8" s="2244" t="s">
        <v>96</v>
      </c>
      <c r="C8" s="2277">
        <f>SUMIF($BA$3:$BL$3, "&lt;=" &amp;$A$2, $BA$8:$BL$8) /$A$2</f>
        <v>10412.044311475211</v>
      </c>
      <c r="D8" s="2244"/>
      <c r="E8" s="2245">
        <v>80</v>
      </c>
      <c r="F8" s="2245">
        <v>90.5</v>
      </c>
      <c r="G8" s="2245">
        <v>109.5</v>
      </c>
      <c r="H8" s="2245">
        <v>145.5</v>
      </c>
      <c r="I8" s="2245">
        <v>216.5</v>
      </c>
      <c r="J8" s="2245">
        <v>316</v>
      </c>
      <c r="K8" s="2245">
        <v>411</v>
      </c>
      <c r="L8" s="2245">
        <v>498</v>
      </c>
      <c r="M8" s="2245">
        <v>580.5</v>
      </c>
      <c r="N8" s="2245">
        <v>666</v>
      </c>
      <c r="O8" s="2245">
        <v>743</v>
      </c>
      <c r="P8" s="2245">
        <v>801</v>
      </c>
      <c r="Q8" s="2245">
        <v>696.90681702760457</v>
      </c>
      <c r="R8" s="2245">
        <v>710.04977690185262</v>
      </c>
      <c r="S8" s="2245">
        <v>731.76016993929852</v>
      </c>
      <c r="T8" s="2245">
        <v>859.06871165520874</v>
      </c>
      <c r="U8" s="2245">
        <v>1083.9696283444966</v>
      </c>
      <c r="V8" s="2245">
        <v>1330.2853862008953</v>
      </c>
      <c r="W8" s="2245">
        <v>1597.7176389283932</v>
      </c>
      <c r="X8" s="2245">
        <v>1886.3222651013753</v>
      </c>
      <c r="Y8" s="2245">
        <v>2158.1366771836592</v>
      </c>
      <c r="Z8" s="2245">
        <v>2395.5384964970403</v>
      </c>
      <c r="AA8" s="2245">
        <v>2607.0359316310369</v>
      </c>
      <c r="AB8" s="2245">
        <v>2797.8061677940868</v>
      </c>
      <c r="AC8" s="2246">
        <v>2280</v>
      </c>
      <c r="AD8" s="2247">
        <v>2459</v>
      </c>
      <c r="AE8" s="2247">
        <v>2726</v>
      </c>
      <c r="AF8" s="2247">
        <v>3119</v>
      </c>
      <c r="AG8" s="2247">
        <v>3534</v>
      </c>
      <c r="AH8" s="2247">
        <v>3932</v>
      </c>
      <c r="AI8" s="2247">
        <v>4334</v>
      </c>
      <c r="AJ8" s="2247">
        <v>4749</v>
      </c>
      <c r="AK8" s="2247">
        <v>5121</v>
      </c>
      <c r="AL8" s="2247">
        <v>5502</v>
      </c>
      <c r="AM8" s="2248">
        <v>5945</v>
      </c>
      <c r="AN8" s="2248">
        <v>6368</v>
      </c>
      <c r="AO8" s="2249">
        <v>4138</v>
      </c>
      <c r="AP8" s="2249">
        <v>4139</v>
      </c>
      <c r="AQ8" s="2249">
        <v>4292</v>
      </c>
      <c r="AR8" s="2249">
        <v>4650</v>
      </c>
      <c r="AS8" s="2249">
        <v>5008</v>
      </c>
      <c r="AT8" s="2249">
        <v>5560</v>
      </c>
      <c r="AU8" s="2250">
        <f t="shared" ref="AU8:BA8" si="6">AVERAGE(AT7:AU7)</f>
        <v>6061.0339949999998</v>
      </c>
      <c r="AV8" s="2250">
        <f t="shared" si="6"/>
        <v>6522.5525035499995</v>
      </c>
      <c r="AW8" s="2250">
        <f t="shared" si="6"/>
        <v>7134.7127809294998</v>
      </c>
      <c r="AX8" s="2250">
        <f t="shared" si="6"/>
        <v>7624.4210216065876</v>
      </c>
      <c r="AY8" s="2250">
        <f t="shared" si="6"/>
        <v>8178.7983186062329</v>
      </c>
      <c r="AZ8" s="2250">
        <f t="shared" si="6"/>
        <v>8943.426192942934</v>
      </c>
      <c r="BA8" s="2250">
        <f t="shared" si="6"/>
        <v>9672.7433790476243</v>
      </c>
      <c r="BB8" s="2250">
        <f t="shared" ref="BB8:BL8" si="7">AVERAGE(BA7:BB7)</f>
        <v>9868.1502387573109</v>
      </c>
      <c r="BC8" s="2250">
        <f t="shared" si="7"/>
        <v>9919.4326268477525</v>
      </c>
      <c r="BD8" s="2250">
        <f t="shared" si="7"/>
        <v>10194.705783161582</v>
      </c>
      <c r="BE8" s="2250">
        <f t="shared" si="7"/>
        <v>10524.154715724706</v>
      </c>
      <c r="BF8" s="2250">
        <f t="shared" si="7"/>
        <v>11134.8885284682</v>
      </c>
      <c r="BG8" s="2250">
        <f t="shared" si="7"/>
        <v>11570.234908319302</v>
      </c>
      <c r="BH8" s="2250">
        <f t="shared" si="7"/>
        <v>11823.363147146203</v>
      </c>
      <c r="BI8" s="2250">
        <f t="shared" si="7"/>
        <v>12449.632570481836</v>
      </c>
      <c r="BJ8" s="2250">
        <f t="shared" si="7"/>
        <v>13015.550538211763</v>
      </c>
      <c r="BK8" s="2250">
        <f t="shared" si="7"/>
        <v>13473.375056863662</v>
      </c>
      <c r="BL8" s="2250">
        <f t="shared" si="7"/>
        <v>14256.895782487825</v>
      </c>
      <c r="BM8" s="2251">
        <v>4657.5</v>
      </c>
      <c r="BN8" s="2251">
        <f xml:space="preserve"> 1571.21647226708 * 12</f>
        <v>18854.597667204958</v>
      </c>
      <c r="BO8" s="2252">
        <f>INDEX(BA8:BL8,1,MATCH($A$2,$BA$3:$BL$3,0))</f>
        <v>11570.234908319302</v>
      </c>
      <c r="BP8" s="1724"/>
    </row>
    <row r="9" spans="1:68">
      <c r="B9" s="2244" t="s">
        <v>109</v>
      </c>
      <c r="C9" s="2277">
        <f>SUMIF($BA$3:BL$3, "=" &amp;$A$2, $BA$9:$BL$9)</f>
        <v>2071.9648378944012</v>
      </c>
      <c r="D9" s="2244"/>
      <c r="E9" s="2245">
        <v>17</v>
      </c>
      <c r="F9" s="2245">
        <v>17</v>
      </c>
      <c r="G9" s="2245">
        <v>32</v>
      </c>
      <c r="H9" s="2245">
        <v>47</v>
      </c>
      <c r="I9" s="2245">
        <v>82</v>
      </c>
      <c r="J9" s="2245">
        <v>107</v>
      </c>
      <c r="K9" s="2245">
        <v>132</v>
      </c>
      <c r="L9" s="2245">
        <v>152</v>
      </c>
      <c r="M9" s="2245">
        <v>172</v>
      </c>
      <c r="N9" s="2245">
        <v>207</v>
      </c>
      <c r="O9" s="2245">
        <v>207</v>
      </c>
      <c r="P9" s="2245">
        <v>207</v>
      </c>
      <c r="Q9" s="2245">
        <v>154</v>
      </c>
      <c r="R9" s="2245">
        <v>150</v>
      </c>
      <c r="S9" s="2245">
        <v>146</v>
      </c>
      <c r="T9" s="2245">
        <v>190</v>
      </c>
      <c r="U9" s="2245">
        <v>236</v>
      </c>
      <c r="V9" s="2245">
        <v>278</v>
      </c>
      <c r="W9" s="2245">
        <v>356</v>
      </c>
      <c r="X9" s="2245">
        <v>406</v>
      </c>
      <c r="Y9" s="2245">
        <v>434</v>
      </c>
      <c r="Z9" s="2245">
        <v>472</v>
      </c>
      <c r="AA9" s="2245">
        <v>476</v>
      </c>
      <c r="AB9" s="2245">
        <v>486</v>
      </c>
      <c r="AC9" s="2253">
        <v>502.84999999999997</v>
      </c>
      <c r="AD9" s="2247">
        <v>549.70749999999998</v>
      </c>
      <c r="AE9" s="2247">
        <v>614.22212500000001</v>
      </c>
      <c r="AF9" s="2247">
        <v>666.51101874999995</v>
      </c>
      <c r="AG9" s="2247">
        <v>720.18546781249995</v>
      </c>
      <c r="AH9" s="2247">
        <v>767.17619442187492</v>
      </c>
      <c r="AI9" s="2247">
        <v>818.81738470078119</v>
      </c>
      <c r="AJ9" s="2247">
        <v>853.87651546574205</v>
      </c>
      <c r="AK9" s="2247">
        <v>888.18268969245491</v>
      </c>
      <c r="AL9" s="2247">
        <v>924.77355520783215</v>
      </c>
      <c r="AM9" s="2248">
        <v>950.53487744744052</v>
      </c>
      <c r="AN9" s="2248">
        <v>974.00813357506843</v>
      </c>
      <c r="AO9" s="2249">
        <v>728.44999999999993</v>
      </c>
      <c r="AP9" s="2249">
        <v>619.18249999999989</v>
      </c>
      <c r="AQ9" s="2249">
        <v>526.30512499999986</v>
      </c>
      <c r="AR9" s="2249">
        <v>464.35935624999985</v>
      </c>
      <c r="AS9" s="2249">
        <v>434.70545281249986</v>
      </c>
      <c r="AT9" s="2249">
        <v>369.49963489062486</v>
      </c>
      <c r="AU9" s="2254">
        <f t="shared" si="2"/>
        <v>1321.4410000000003</v>
      </c>
      <c r="AV9" s="2254">
        <f t="shared" ref="AV9:BA9" si="8">AV30+AV53</f>
        <v>1439.5265900000002</v>
      </c>
      <c r="AW9" s="2254">
        <f t="shared" si="8"/>
        <v>1562.9383241</v>
      </c>
      <c r="AX9" s="2254">
        <f t="shared" si="8"/>
        <v>1617.7001207550002</v>
      </c>
      <c r="AY9" s="2254">
        <f t="shared" si="8"/>
        <v>1747.00834769425</v>
      </c>
      <c r="AZ9" s="2254">
        <f t="shared" si="8"/>
        <v>1882.2865947642799</v>
      </c>
      <c r="BA9" s="2254">
        <f t="shared" si="8"/>
        <v>1794.5917037284321</v>
      </c>
      <c r="BB9" s="2254">
        <f t="shared" ref="BB9:BL9" si="9">BB30+BB53</f>
        <v>1871.8082502962395</v>
      </c>
      <c r="BC9" s="2254">
        <f t="shared" si="9"/>
        <v>1973.9888797338533</v>
      </c>
      <c r="BD9" s="2254">
        <f t="shared" si="9"/>
        <v>1902.2907117976906</v>
      </c>
      <c r="BE9" s="2254">
        <f t="shared" si="9"/>
        <v>2014.9190846447136</v>
      </c>
      <c r="BF9" s="2254">
        <f t="shared" si="9"/>
        <v>2148.3476767016191</v>
      </c>
      <c r="BG9" s="2254">
        <f t="shared" si="9"/>
        <v>2071.9648378944012</v>
      </c>
      <c r="BH9" s="2254">
        <f t="shared" si="9"/>
        <v>2188.0217551482751</v>
      </c>
      <c r="BI9" s="2254">
        <f t="shared" si="9"/>
        <v>2331.1422846074338</v>
      </c>
      <c r="BJ9" s="2254">
        <f t="shared" si="9"/>
        <v>2260.6748094943923</v>
      </c>
      <c r="BK9" s="2254">
        <f t="shared" si="9"/>
        <v>2380.5711328942421</v>
      </c>
      <c r="BL9" s="2254">
        <f t="shared" si="9"/>
        <v>2508.4328014594726</v>
      </c>
      <c r="BM9" s="2255">
        <v>1379</v>
      </c>
      <c r="BN9" s="2256">
        <f>AVERAGE(Q9:AB9) * 12</f>
        <v>3784</v>
      </c>
      <c r="BO9" s="2252">
        <f>INDEX(BA9:BL9,1,MATCH($A$2,$BA$3:$BL$3,0))</f>
        <v>2071.9648378944012</v>
      </c>
      <c r="BP9" s="1724"/>
    </row>
    <row r="10" spans="1:68" ht="15">
      <c r="B10" s="2244" t="s">
        <v>21</v>
      </c>
      <c r="C10" s="2278">
        <f>SUM(BA11:INDEX(BA11:BL11,A2))/SUM(BA7:INDEX(BA7:BL7,A2))</f>
        <v>0.18309861352108003</v>
      </c>
      <c r="D10" s="2244"/>
      <c r="E10" s="2257">
        <v>0.36249999999999999</v>
      </c>
      <c r="F10" s="2257">
        <v>0.2983425414364641</v>
      </c>
      <c r="G10" s="2257">
        <v>0.37442922374429222</v>
      </c>
      <c r="H10" s="2257">
        <v>0.36426116838487971</v>
      </c>
      <c r="I10" s="2257">
        <v>0.41570438799076215</v>
      </c>
      <c r="J10" s="2257">
        <v>0.40822784810126583</v>
      </c>
      <c r="K10" s="2257">
        <v>0.32116788321167883</v>
      </c>
      <c r="L10" s="2257">
        <v>0.32329317269076308</v>
      </c>
      <c r="M10" s="2257">
        <v>0.33591731266149871</v>
      </c>
      <c r="N10" s="2257">
        <v>0.23573573573573572</v>
      </c>
      <c r="O10" s="2257">
        <v>0.26379542395693134</v>
      </c>
      <c r="P10" s="2257">
        <v>0.29962546816479402</v>
      </c>
      <c r="Q10" s="2257">
        <v>0.20088768911332744</v>
      </c>
      <c r="R10" s="2257">
        <v>0.19998597932047249</v>
      </c>
      <c r="S10" s="2257">
        <v>0.2596479117136985</v>
      </c>
      <c r="T10" s="2257">
        <v>0.26540368297281075</v>
      </c>
      <c r="U10" s="2257">
        <v>0.26938024125819826</v>
      </c>
      <c r="V10" s="2257">
        <v>0.31572172735014392</v>
      </c>
      <c r="W10" s="2257">
        <v>0.27288926990405515</v>
      </c>
      <c r="X10" s="2257">
        <v>0.27248790384837901</v>
      </c>
      <c r="Y10" s="2257">
        <v>0.31694007484855463</v>
      </c>
      <c r="Z10" s="2257">
        <v>0.26883308322605187</v>
      </c>
      <c r="AA10" s="2257">
        <v>0.26466838896551614</v>
      </c>
      <c r="AB10" s="2257">
        <v>0.31024307902086345</v>
      </c>
      <c r="AC10" s="2258">
        <v>0.28000000000000003</v>
      </c>
      <c r="AD10" s="2259">
        <v>0.28000000000000003</v>
      </c>
      <c r="AE10" s="2259">
        <v>0.28000000000000003</v>
      </c>
      <c r="AF10" s="2259">
        <v>0.28000000000000003</v>
      </c>
      <c r="AG10" s="2259">
        <v>0.28000000000000003</v>
      </c>
      <c r="AH10" s="2259">
        <v>0.28000000000000003</v>
      </c>
      <c r="AI10" s="2259">
        <v>0.28000000000000003</v>
      </c>
      <c r="AJ10" s="2259">
        <v>0.28000000000000003</v>
      </c>
      <c r="AK10" s="2259">
        <v>0.28000000000000003</v>
      </c>
      <c r="AL10" s="2259">
        <v>0.28000000000000003</v>
      </c>
      <c r="AM10" s="2259">
        <v>0.28000000000000003</v>
      </c>
      <c r="AN10" s="2259">
        <v>0.28000000000000003</v>
      </c>
      <c r="AO10" s="2260">
        <v>0.28000000000000003</v>
      </c>
      <c r="AP10" s="2260">
        <v>0.28000000000000003</v>
      </c>
      <c r="AQ10" s="2260">
        <v>0.28000000000000003</v>
      </c>
      <c r="AR10" s="2260">
        <v>0.28000000000000003</v>
      </c>
      <c r="AS10" s="2260">
        <v>0.28000000000000003</v>
      </c>
      <c r="AT10" s="2260">
        <v>0.28000000000000003</v>
      </c>
      <c r="AU10" s="2261">
        <v>0.24204368413429059</v>
      </c>
      <c r="AV10" s="2260">
        <v>0.24163311815421729</v>
      </c>
      <c r="AW10" s="2260">
        <v>0.27966748826580246</v>
      </c>
      <c r="AX10" s="2260">
        <v>0.23909086961505802</v>
      </c>
      <c r="AY10" s="2260">
        <v>0.24635239645980719</v>
      </c>
      <c r="AZ10" s="2260">
        <v>0.26198200717994302</v>
      </c>
      <c r="BA10" s="2260">
        <v>0.11533907202711635</v>
      </c>
      <c r="BB10" s="2260">
        <v>0.11059076128600601</v>
      </c>
      <c r="BC10" s="2260">
        <v>0.21544985625935578</v>
      </c>
      <c r="BD10" s="2260">
        <v>0.21220653281955817</v>
      </c>
      <c r="BE10" s="2260">
        <v>0.21846230582855145</v>
      </c>
      <c r="BF10" s="2260">
        <v>0.22474807097317945</v>
      </c>
      <c r="BG10" s="2260">
        <v>0.22256217480996743</v>
      </c>
      <c r="BH10" s="2260">
        <v>0.22562205437872304</v>
      </c>
      <c r="BI10" s="2260">
        <v>0.22925674662383244</v>
      </c>
      <c r="BJ10" s="2260">
        <v>0.22784400325480014</v>
      </c>
      <c r="BK10" s="2260">
        <v>0.23051047976034242</v>
      </c>
      <c r="BL10" s="2260">
        <v>0.2337157226470836</v>
      </c>
      <c r="BM10" s="2262">
        <v>0.31132581857219538</v>
      </c>
      <c r="BN10" s="2262">
        <v>0.27834059854420518</v>
      </c>
      <c r="BO10" s="2252">
        <f t="shared" ref="BO10:BO23" si="10">INDEX(BA10:BL10,1,MATCH($A$2,$AO$3:$AZ$3,0))</f>
        <v>0.22256217480996743</v>
      </c>
      <c r="BP10" s="1724"/>
    </row>
    <row r="11" spans="1:68">
      <c r="B11" s="2244" t="s">
        <v>60</v>
      </c>
      <c r="C11" s="2263">
        <f>SUMIF($BA$3:$BL$3, "&lt;=" &amp;$A$2, $BA$11:$BL$11)</f>
        <v>13549.191571896034</v>
      </c>
      <c r="D11" s="2244"/>
      <c r="E11" s="2245">
        <v>29</v>
      </c>
      <c r="F11" s="2245">
        <v>27</v>
      </c>
      <c r="G11" s="2245">
        <v>41</v>
      </c>
      <c r="H11" s="2245">
        <v>53</v>
      </c>
      <c r="I11" s="2245">
        <v>90</v>
      </c>
      <c r="J11" s="2245">
        <v>129</v>
      </c>
      <c r="K11" s="2245">
        <v>132</v>
      </c>
      <c r="L11" s="2245">
        <v>161</v>
      </c>
      <c r="M11" s="2245">
        <v>195</v>
      </c>
      <c r="N11" s="2245">
        <v>157</v>
      </c>
      <c r="O11" s="2245">
        <v>196</v>
      </c>
      <c r="P11" s="2245">
        <v>240</v>
      </c>
      <c r="Q11" s="2245">
        <v>140</v>
      </c>
      <c r="R11" s="2245">
        <v>142</v>
      </c>
      <c r="S11" s="2245">
        <v>190</v>
      </c>
      <c r="T11" s="2245">
        <v>228</v>
      </c>
      <c r="U11" s="2245">
        <v>292</v>
      </c>
      <c r="V11" s="2245">
        <v>420</v>
      </c>
      <c r="W11" s="2245">
        <v>436</v>
      </c>
      <c r="X11" s="2245">
        <v>514</v>
      </c>
      <c r="Y11" s="2245">
        <v>684</v>
      </c>
      <c r="Z11" s="2245">
        <v>644</v>
      </c>
      <c r="AA11" s="2245">
        <v>690</v>
      </c>
      <c r="AB11" s="2245">
        <v>868</v>
      </c>
      <c r="AC11" s="1120">
        <v>587</v>
      </c>
      <c r="AD11" s="2247">
        <v>443</v>
      </c>
      <c r="AE11" s="2247">
        <v>988</v>
      </c>
      <c r="AF11" s="2247">
        <v>946</v>
      </c>
      <c r="AG11" s="2247">
        <v>1064</v>
      </c>
      <c r="AH11" s="2247">
        <v>1270</v>
      </c>
      <c r="AI11" s="2247">
        <v>1276</v>
      </c>
      <c r="AJ11" s="2247">
        <v>1398</v>
      </c>
      <c r="AK11" s="2247">
        <v>1625</v>
      </c>
      <c r="AL11" s="2247">
        <v>1582</v>
      </c>
      <c r="AM11" s="2248">
        <v>1786</v>
      </c>
      <c r="AN11" s="2248">
        <v>2029</v>
      </c>
      <c r="AO11" s="2249">
        <v>1038</v>
      </c>
      <c r="AP11" s="2249">
        <v>640</v>
      </c>
      <c r="AQ11" s="2249">
        <v>1215</v>
      </c>
      <c r="AR11" s="2249">
        <v>1384</v>
      </c>
      <c r="AS11" s="2249">
        <v>1398</v>
      </c>
      <c r="AT11" s="2249">
        <v>1801</v>
      </c>
      <c r="AU11" s="2254">
        <f t="shared" si="2"/>
        <v>1400.9970806443321</v>
      </c>
      <c r="AV11" s="2254">
        <f>AV32+AV55</f>
        <v>1525.0841387853193</v>
      </c>
      <c r="AW11" s="2254">
        <f>AW32+AW55</f>
        <v>1937.3151121836938</v>
      </c>
      <c r="AX11" s="2254">
        <f>AX32+AX55</f>
        <v>1769.4046761790069</v>
      </c>
      <c r="AY11" s="2254">
        <f>AY32+AY55</f>
        <v>1957.8628160151388</v>
      </c>
      <c r="AZ11" s="2254">
        <f>AZ32+AZ55</f>
        <v>2284.1539703023686</v>
      </c>
      <c r="BA11" s="2254">
        <f t="shared" ref="BA11:BL11" si="11">BA32+BA55</f>
        <v>1071.4436696022717</v>
      </c>
      <c r="BB11" s="2254">
        <f t="shared" si="11"/>
        <v>1045.502947732751</v>
      </c>
      <c r="BC11" s="2254">
        <f t="shared" si="11"/>
        <v>2088.8410275305455</v>
      </c>
      <c r="BD11" s="2254">
        <f t="shared" si="11"/>
        <v>2115.7980469467684</v>
      </c>
      <c r="BE11" s="2254">
        <f t="shared" si="11"/>
        <v>2250.0949280846307</v>
      </c>
      <c r="BF11" s="2254">
        <f t="shared" si="11"/>
        <v>2453.8998503600515</v>
      </c>
      <c r="BG11" s="2254">
        <f t="shared" si="11"/>
        <v>2523.6111016390141</v>
      </c>
      <c r="BH11" s="2254">
        <f t="shared" si="11"/>
        <v>2616.8447697034439</v>
      </c>
      <c r="BI11" s="2254">
        <f t="shared" si="11"/>
        <v>2804.8356466764481</v>
      </c>
      <c r="BJ11" s="2254">
        <f t="shared" si="11"/>
        <v>2914.7173477010315</v>
      </c>
      <c r="BK11" s="2254">
        <f t="shared" si="11"/>
        <v>3055.1347944526424</v>
      </c>
      <c r="BL11" s="2254">
        <f t="shared" si="11"/>
        <v>3283.1531469445499</v>
      </c>
      <c r="BM11" s="2255">
        <v>1450</v>
      </c>
      <c r="BN11" s="2255">
        <v>5248</v>
      </c>
      <c r="BO11" s="2252">
        <f t="shared" si="10"/>
        <v>2523.6111016390141</v>
      </c>
      <c r="BP11" s="1724"/>
    </row>
    <row r="12" spans="1:68">
      <c r="B12" s="2264" t="s">
        <v>61</v>
      </c>
      <c r="C12" s="2265">
        <f>C13/C11</f>
        <v>1.4605826509768711</v>
      </c>
      <c r="D12" s="2264"/>
      <c r="E12" s="2264">
        <v>1.4</v>
      </c>
      <c r="F12" s="2264">
        <v>1.4</v>
      </c>
      <c r="G12" s="2264">
        <v>1.4</v>
      </c>
      <c r="H12" s="2264">
        <v>1.3999999999999997</v>
      </c>
      <c r="I12" s="2266">
        <v>1.4</v>
      </c>
      <c r="J12" s="2266">
        <v>1.3999999999999997</v>
      </c>
      <c r="K12" s="2266">
        <v>1.4</v>
      </c>
      <c r="L12" s="2266">
        <v>1.4</v>
      </c>
      <c r="M12" s="2266">
        <v>1.4</v>
      </c>
      <c r="N12" s="2266">
        <v>1.4</v>
      </c>
      <c r="O12" s="2266">
        <v>1.4</v>
      </c>
      <c r="P12" s="2266">
        <v>1.4</v>
      </c>
      <c r="Q12" s="2266">
        <v>1.4</v>
      </c>
      <c r="R12" s="2266">
        <v>1.3943661971830985</v>
      </c>
      <c r="S12" s="2266">
        <v>1.4</v>
      </c>
      <c r="T12" s="2266">
        <v>1.3947368421052631</v>
      </c>
      <c r="U12" s="2266">
        <v>1.404109589041096</v>
      </c>
      <c r="V12" s="2266">
        <v>1.4095238095238096</v>
      </c>
      <c r="W12" s="2266">
        <v>1.4036697247706422</v>
      </c>
      <c r="X12" s="2266">
        <v>1.4124513618677044</v>
      </c>
      <c r="Y12" s="2266">
        <v>1.4181286549707601</v>
      </c>
      <c r="Z12" s="2266">
        <v>1.4130434782608696</v>
      </c>
      <c r="AA12" s="2266">
        <v>1.4202898550724639</v>
      </c>
      <c r="AB12" s="2266">
        <v>1.4239631336405529</v>
      </c>
      <c r="AC12" s="2267">
        <v>1.919931856899489</v>
      </c>
      <c r="AD12" s="2268">
        <v>1.5237020316027088</v>
      </c>
      <c r="AE12" s="2268">
        <v>1.6933198380566801</v>
      </c>
      <c r="AF12" s="2268">
        <v>1.7114164904862579</v>
      </c>
      <c r="AG12" s="2268">
        <v>1.7415413533834587</v>
      </c>
      <c r="AH12" s="2268">
        <v>1.762992125984252</v>
      </c>
      <c r="AI12" s="2268">
        <v>1.3667711598746082</v>
      </c>
      <c r="AJ12" s="2268">
        <v>1.4349070100143062</v>
      </c>
      <c r="AK12" s="2268">
        <v>1.6750769230769231</v>
      </c>
      <c r="AL12" s="2268">
        <v>1.4500632111251581</v>
      </c>
      <c r="AM12" s="2268">
        <v>1.6455767077267638</v>
      </c>
      <c r="AN12" s="2268">
        <v>2.2099556431739775</v>
      </c>
      <c r="AO12" s="2269">
        <v>1.0915221579961465</v>
      </c>
      <c r="AP12" s="2269">
        <v>1.328125</v>
      </c>
      <c r="AQ12" s="2269">
        <v>1.8650205761316871</v>
      </c>
      <c r="AR12" s="2269">
        <v>2.1495664739884393</v>
      </c>
      <c r="AS12" s="2269">
        <v>1.8240343347639485</v>
      </c>
      <c r="AT12" s="2269">
        <v>1.8484175458078844</v>
      </c>
      <c r="AU12" s="2270">
        <f t="shared" ref="AU12:BA12" si="12">AU13/AU11</f>
        <v>1.5394014435152688</v>
      </c>
      <c r="AV12" s="2270">
        <f t="shared" si="12"/>
        <v>1.5531988572331576</v>
      </c>
      <c r="AW12" s="2270">
        <f t="shared" si="12"/>
        <v>1.6673710513896418</v>
      </c>
      <c r="AX12" s="2270">
        <f t="shared" si="12"/>
        <v>1.5133924623028965</v>
      </c>
      <c r="AY12" s="2270">
        <f t="shared" si="12"/>
        <v>1.5195660783359426</v>
      </c>
      <c r="AZ12" s="2270">
        <f t="shared" si="12"/>
        <v>1.6992199988620096</v>
      </c>
      <c r="BA12" s="2271">
        <f t="shared" si="12"/>
        <v>1.2607549001690133</v>
      </c>
      <c r="BB12" s="2271">
        <f t="shared" ref="BB12:BL12" si="13">BB13/BB11</f>
        <v>1.3023419126980962</v>
      </c>
      <c r="BC12" s="2271">
        <f t="shared" si="13"/>
        <v>1.4344292310569435</v>
      </c>
      <c r="BD12" s="2271">
        <f t="shared" si="13"/>
        <v>1.4222186417325295</v>
      </c>
      <c r="BE12" s="2271">
        <f t="shared" si="13"/>
        <v>1.5408047783258265</v>
      </c>
      <c r="BF12" s="2271">
        <f t="shared" si="13"/>
        <v>1.5862163928431281</v>
      </c>
      <c r="BG12" s="2271">
        <f t="shared" si="13"/>
        <v>1.4711017626799168</v>
      </c>
      <c r="BH12" s="2271">
        <f t="shared" si="13"/>
        <v>1.5545601013606167</v>
      </c>
      <c r="BI12" s="2271">
        <f t="shared" si="13"/>
        <v>1.6091120479172669</v>
      </c>
      <c r="BJ12" s="2271">
        <f t="shared" si="13"/>
        <v>1.4872909587872283</v>
      </c>
      <c r="BK12" s="2271">
        <f t="shared" si="13"/>
        <v>1.5520651847553124</v>
      </c>
      <c r="BL12" s="2271">
        <f t="shared" si="13"/>
        <v>1.6088205269654734</v>
      </c>
      <c r="BM12" s="2272">
        <v>1.3999999999999997</v>
      </c>
      <c r="BN12" s="2272">
        <v>1.4239631336405529</v>
      </c>
      <c r="BO12" s="2273">
        <f t="shared" si="10"/>
        <v>1.4711017626799168</v>
      </c>
      <c r="BP12" s="1724"/>
    </row>
    <row r="13" spans="1:68">
      <c r="B13" s="1213" t="s">
        <v>3</v>
      </c>
      <c r="C13" s="2234">
        <f>SUMIF($BA$3:$BL$3, "&lt;=" &amp;$A$2, $BA$13:$BL$13)</f>
        <v>19789.714144673388</v>
      </c>
      <c r="D13" s="1213"/>
      <c r="E13" s="206">
        <v>40.599999999999994</v>
      </c>
      <c r="F13" s="206">
        <v>37.799999999999997</v>
      </c>
      <c r="G13" s="206">
        <v>57.4</v>
      </c>
      <c r="H13" s="206">
        <v>74.199999999999989</v>
      </c>
      <c r="I13" s="206">
        <v>125.99999999999999</v>
      </c>
      <c r="J13" s="206">
        <v>180.59999999999997</v>
      </c>
      <c r="K13" s="206">
        <v>184.79999999999998</v>
      </c>
      <c r="L13" s="206">
        <v>225.39999999999998</v>
      </c>
      <c r="M13" s="206">
        <v>273</v>
      </c>
      <c r="N13" s="206">
        <v>219.79999999999998</v>
      </c>
      <c r="O13" s="206">
        <v>274.39999999999998</v>
      </c>
      <c r="P13" s="206">
        <v>336</v>
      </c>
      <c r="Q13" s="206">
        <v>196</v>
      </c>
      <c r="R13" s="206">
        <v>198</v>
      </c>
      <c r="S13" s="206">
        <v>266</v>
      </c>
      <c r="T13" s="206">
        <v>318</v>
      </c>
      <c r="U13" s="206">
        <v>410</v>
      </c>
      <c r="V13" s="206">
        <v>592</v>
      </c>
      <c r="W13" s="206">
        <v>612</v>
      </c>
      <c r="X13" s="206">
        <v>726</v>
      </c>
      <c r="Y13" s="206">
        <v>970</v>
      </c>
      <c r="Z13" s="206">
        <v>910</v>
      </c>
      <c r="AA13" s="206">
        <v>980</v>
      </c>
      <c r="AB13" s="206">
        <v>1236</v>
      </c>
      <c r="AC13" s="169">
        <v>1127</v>
      </c>
      <c r="AD13" s="1612">
        <v>675</v>
      </c>
      <c r="AE13" s="1612">
        <v>1673</v>
      </c>
      <c r="AF13" s="1612">
        <v>1619</v>
      </c>
      <c r="AG13" s="1612">
        <v>1853</v>
      </c>
      <c r="AH13" s="1612">
        <v>2239</v>
      </c>
      <c r="AI13" s="1612">
        <v>1744</v>
      </c>
      <c r="AJ13" s="1612">
        <v>2006</v>
      </c>
      <c r="AK13" s="1612">
        <v>2722</v>
      </c>
      <c r="AL13" s="1612">
        <v>2294</v>
      </c>
      <c r="AM13" s="1612">
        <v>2939</v>
      </c>
      <c r="AN13" s="1612">
        <v>4484</v>
      </c>
      <c r="AO13" s="391">
        <v>1133</v>
      </c>
      <c r="AP13" s="391">
        <v>850</v>
      </c>
      <c r="AQ13" s="391">
        <v>2266</v>
      </c>
      <c r="AR13" s="391">
        <v>2975</v>
      </c>
      <c r="AS13" s="391">
        <v>2550</v>
      </c>
      <c r="AT13" s="391">
        <v>3329</v>
      </c>
      <c r="AU13" s="764">
        <f t="shared" si="2"/>
        <v>2156.6969283045623</v>
      </c>
      <c r="AV13" s="764">
        <f>AV34+AV57</f>
        <v>2368.7589415457724</v>
      </c>
      <c r="AW13" s="764">
        <f>AW34+AW57</f>
        <v>3230.2231354747673</v>
      </c>
      <c r="AX13" s="764">
        <f>AX34+AX57</f>
        <v>2677.8036996928063</v>
      </c>
      <c r="AY13" s="764">
        <f>AY34+AY57</f>
        <v>2975.1019212518895</v>
      </c>
      <c r="AZ13" s="764">
        <f>AZ34+AZ57</f>
        <v>3881.2801068178455</v>
      </c>
      <c r="BA13" s="764">
        <f t="shared" ref="BA13:BL13" si="14">BA34+BA57</f>
        <v>1350.8278567061334</v>
      </c>
      <c r="BB13" s="764">
        <f t="shared" si="14"/>
        <v>1361.6023086817686</v>
      </c>
      <c r="BC13" s="764">
        <f t="shared" si="14"/>
        <v>2996.2946289208362</v>
      </c>
      <c r="BD13" s="764">
        <f t="shared" si="14"/>
        <v>3009.1274245089717</v>
      </c>
      <c r="BE13" s="764">
        <f t="shared" si="14"/>
        <v>3466.9570168795062</v>
      </c>
      <c r="BF13" s="764">
        <f t="shared" si="14"/>
        <v>3892.4161690364126</v>
      </c>
      <c r="BG13" s="764">
        <f t="shared" si="14"/>
        <v>3712.4887399397603</v>
      </c>
      <c r="BH13" s="764">
        <f t="shared" si="14"/>
        <v>4068.0424704351858</v>
      </c>
      <c r="BI13" s="764">
        <f t="shared" si="14"/>
        <v>4513.2948314948908</v>
      </c>
      <c r="BJ13" s="764">
        <f t="shared" si="14"/>
        <v>4335.0327586560343</v>
      </c>
      <c r="BK13" s="764">
        <f t="shared" si="14"/>
        <v>4741.7683492045235</v>
      </c>
      <c r="BL13" s="764">
        <f t="shared" si="14"/>
        <v>5282.0041759756832</v>
      </c>
      <c r="BM13" s="1214">
        <v>2029.9999999999995</v>
      </c>
      <c r="BN13" s="1214">
        <v>7414</v>
      </c>
      <c r="BO13" s="1595">
        <f t="shared" si="10"/>
        <v>3712.4887399397603</v>
      </c>
      <c r="BP13" s="1724"/>
    </row>
    <row r="14" spans="1:68" ht="15">
      <c r="B14" s="1213" t="s">
        <v>62</v>
      </c>
      <c r="C14" s="2093">
        <f>C5/C13</f>
        <v>16.352405685494023</v>
      </c>
      <c r="D14" s="1213"/>
      <c r="E14" s="207">
        <v>14.7</v>
      </c>
      <c r="F14" s="207">
        <v>14.7</v>
      </c>
      <c r="G14" s="207">
        <v>14.7</v>
      </c>
      <c r="H14" s="207">
        <v>14.7</v>
      </c>
      <c r="I14" s="207">
        <v>14.682539682539684</v>
      </c>
      <c r="J14" s="207">
        <v>14.673311184939095</v>
      </c>
      <c r="K14" s="207">
        <v>14.610389610389612</v>
      </c>
      <c r="L14" s="207">
        <v>14.64063886424135</v>
      </c>
      <c r="M14" s="207">
        <v>14.652014652014651</v>
      </c>
      <c r="N14" s="207">
        <v>14.558689717925388</v>
      </c>
      <c r="O14" s="207">
        <v>14.577259475218661</v>
      </c>
      <c r="P14" s="207">
        <v>14.583333333333334</v>
      </c>
      <c r="Q14" s="207">
        <v>15</v>
      </c>
      <c r="R14" s="207">
        <v>15</v>
      </c>
      <c r="S14" s="207">
        <v>15.037593984962406</v>
      </c>
      <c r="T14" s="207">
        <v>14.842767295597485</v>
      </c>
      <c r="U14" s="207">
        <v>14.634146341463415</v>
      </c>
      <c r="V14" s="207">
        <v>14.408783783783784</v>
      </c>
      <c r="W14" s="207">
        <v>14.281045751633988</v>
      </c>
      <c r="X14" s="207">
        <v>14.104683195592287</v>
      </c>
      <c r="Y14" s="207">
        <v>13.917525773195877</v>
      </c>
      <c r="Z14" s="207">
        <v>13.868131868131869</v>
      </c>
      <c r="AA14" s="207">
        <v>13.775510204081632</v>
      </c>
      <c r="AB14" s="207">
        <v>13.673139158576053</v>
      </c>
      <c r="AC14" s="1221">
        <v>14.12</v>
      </c>
      <c r="AD14" s="1614">
        <v>14.12</v>
      </c>
      <c r="AE14" s="1614">
        <v>14.12</v>
      </c>
      <c r="AF14" s="1614">
        <v>14.12</v>
      </c>
      <c r="AG14" s="1614">
        <v>14.12</v>
      </c>
      <c r="AH14" s="1614">
        <v>14.12</v>
      </c>
      <c r="AI14" s="1614">
        <v>14.12</v>
      </c>
      <c r="AJ14" s="1614">
        <v>14.12</v>
      </c>
      <c r="AK14" s="1614">
        <v>14.12</v>
      </c>
      <c r="AL14" s="1614">
        <v>14.12</v>
      </c>
      <c r="AM14" s="1614">
        <v>14.12</v>
      </c>
      <c r="AN14" s="1614">
        <v>14.12</v>
      </c>
      <c r="AO14" s="763">
        <v>14.12</v>
      </c>
      <c r="AP14" s="763">
        <v>14.12</v>
      </c>
      <c r="AQ14" s="763">
        <v>14.12</v>
      </c>
      <c r="AR14" s="763">
        <v>14.12</v>
      </c>
      <c r="AS14" s="763">
        <v>14.12</v>
      </c>
      <c r="AT14" s="763">
        <v>14.12</v>
      </c>
      <c r="AU14" s="1906">
        <f t="shared" ref="AU14:AZ14" si="15">AU5/AU13</f>
        <v>17.757652148629429</v>
      </c>
      <c r="AV14" s="1906">
        <f t="shared" si="15"/>
        <v>18.408829348466984</v>
      </c>
      <c r="AW14" s="1906">
        <f t="shared" si="15"/>
        <v>17.681575964684544</v>
      </c>
      <c r="AX14" s="1906">
        <f t="shared" si="15"/>
        <v>17.787546765314815</v>
      </c>
      <c r="AY14" s="1906">
        <f t="shared" si="15"/>
        <v>18.131319627395953</v>
      </c>
      <c r="AZ14" s="1906">
        <f t="shared" si="15"/>
        <v>18.132173839060822</v>
      </c>
      <c r="BA14" s="1906">
        <f t="shared" ref="BA14:BL14" si="16">BA5/BA13</f>
        <v>15.6640727973772</v>
      </c>
      <c r="BB14" s="1906">
        <f t="shared" si="16"/>
        <v>15.32579843701852</v>
      </c>
      <c r="BC14" s="1906">
        <f t="shared" si="16"/>
        <v>16.579995279624889</v>
      </c>
      <c r="BD14" s="1906">
        <f t="shared" si="16"/>
        <v>16.385599680946061</v>
      </c>
      <c r="BE14" s="1906">
        <f t="shared" si="16"/>
        <v>16.648365411905768</v>
      </c>
      <c r="BF14" s="1906">
        <f t="shared" si="16"/>
        <v>16.695632007503153</v>
      </c>
      <c r="BG14" s="1906">
        <f t="shared" si="16"/>
        <v>16.132547850562268</v>
      </c>
      <c r="BH14" s="1906">
        <f t="shared" si="16"/>
        <v>16.360289323779345</v>
      </c>
      <c r="BI14" s="1906">
        <f t="shared" si="16"/>
        <v>16.47448772476778</v>
      </c>
      <c r="BJ14" s="1906">
        <f t="shared" si="16"/>
        <v>16.228017911889417</v>
      </c>
      <c r="BK14" s="1906">
        <f t="shared" si="16"/>
        <v>16.445855805713823</v>
      </c>
      <c r="BL14" s="1906">
        <f t="shared" si="16"/>
        <v>16.529190322917085</v>
      </c>
      <c r="BM14" s="208">
        <v>14.630541871921185</v>
      </c>
      <c r="BN14" s="208">
        <v>14.12</v>
      </c>
      <c r="BO14" s="1595">
        <f t="shared" si="10"/>
        <v>16.132547850562268</v>
      </c>
      <c r="BP14" s="1724"/>
    </row>
    <row r="15" spans="1:68">
      <c r="B15" s="1213" t="s">
        <v>110</v>
      </c>
      <c r="C15" s="2234">
        <f>SUMIF($BA$3:$BL$3, "&lt;=" &amp;$A$2, $BA$15:$BL$15)</f>
        <v>7123.9208819125888</v>
      </c>
      <c r="D15" s="1213"/>
      <c r="E15" s="1910">
        <v>15</v>
      </c>
      <c r="F15" s="1910">
        <v>10</v>
      </c>
      <c r="G15" s="1910">
        <v>20</v>
      </c>
      <c r="H15" s="1910">
        <v>30</v>
      </c>
      <c r="I15" s="1910">
        <v>60</v>
      </c>
      <c r="J15" s="1910">
        <v>80</v>
      </c>
      <c r="K15" s="1910">
        <v>100</v>
      </c>
      <c r="L15" s="1910">
        <v>90</v>
      </c>
      <c r="M15" s="1910">
        <v>90</v>
      </c>
      <c r="N15" s="1910">
        <v>115</v>
      </c>
      <c r="O15" s="1910">
        <v>110</v>
      </c>
      <c r="P15" s="1910">
        <v>100</v>
      </c>
      <c r="Q15" s="1910">
        <v>70</v>
      </c>
      <c r="R15" s="1910">
        <v>60</v>
      </c>
      <c r="S15" s="1910">
        <v>120</v>
      </c>
      <c r="T15" s="1910">
        <v>230</v>
      </c>
      <c r="U15" s="1910">
        <v>260</v>
      </c>
      <c r="V15" s="1910">
        <v>270</v>
      </c>
      <c r="W15" s="1910">
        <v>320</v>
      </c>
      <c r="X15" s="1910">
        <v>360</v>
      </c>
      <c r="Y15" s="1910">
        <v>370</v>
      </c>
      <c r="Z15" s="1910">
        <v>380</v>
      </c>
      <c r="AA15" s="1910">
        <v>390</v>
      </c>
      <c r="AB15" s="1910">
        <v>390</v>
      </c>
      <c r="AC15" s="1595">
        <v>309</v>
      </c>
      <c r="AD15" s="1907">
        <v>253</v>
      </c>
      <c r="AE15" s="1907">
        <v>524</v>
      </c>
      <c r="AF15" s="1907">
        <v>562</v>
      </c>
      <c r="AG15" s="1907">
        <v>577</v>
      </c>
      <c r="AH15" s="1907">
        <v>580</v>
      </c>
      <c r="AI15" s="1907">
        <v>608</v>
      </c>
      <c r="AJ15" s="1907">
        <v>612</v>
      </c>
      <c r="AK15" s="1907">
        <v>641</v>
      </c>
      <c r="AL15" s="1907">
        <v>659</v>
      </c>
      <c r="AM15" s="1907">
        <v>753</v>
      </c>
      <c r="AN15" s="1907">
        <v>772</v>
      </c>
      <c r="AO15" s="1908">
        <v>301</v>
      </c>
      <c r="AP15" s="1908">
        <v>180</v>
      </c>
      <c r="AQ15" s="1908">
        <v>568</v>
      </c>
      <c r="AR15" s="1908">
        <v>621</v>
      </c>
      <c r="AS15" s="1908">
        <v>649</v>
      </c>
      <c r="AT15" s="1908">
        <v>1542</v>
      </c>
      <c r="AU15" s="1909">
        <f t="shared" si="2"/>
        <v>851.06799000000024</v>
      </c>
      <c r="AV15" s="1909">
        <f t="shared" ref="AV15:AZ16" si="17">AV36+AV59</f>
        <v>958.96902710000006</v>
      </c>
      <c r="AW15" s="1909">
        <f t="shared" si="17"/>
        <v>1075.9549271590001</v>
      </c>
      <c r="AX15" s="1909">
        <f t="shared" si="17"/>
        <v>1039.8736035501752</v>
      </c>
      <c r="AY15" s="1909">
        <f t="shared" si="17"/>
        <v>1122.3395397270654</v>
      </c>
      <c r="AZ15" s="1909">
        <f t="shared" si="17"/>
        <v>1208.4067293306437</v>
      </c>
      <c r="BA15" s="1909">
        <f t="shared" ref="BA15:BL15" si="18">BA36+BA59</f>
        <v>403.78313333889719</v>
      </c>
      <c r="BB15" s="1909">
        <f t="shared" si="18"/>
        <v>421.15685631665389</v>
      </c>
      <c r="BC15" s="1909">
        <f t="shared" si="18"/>
        <v>1100.7202601023207</v>
      </c>
      <c r="BD15" s="1909">
        <f t="shared" si="18"/>
        <v>1065.7614684765738</v>
      </c>
      <c r="BE15" s="1909">
        <f t="shared" si="18"/>
        <v>1300.9996124012082</v>
      </c>
      <c r="BF15" s="1909">
        <f t="shared" si="18"/>
        <v>1670.6740965621302</v>
      </c>
      <c r="BG15" s="1909">
        <f t="shared" si="18"/>
        <v>1160.8254547148047</v>
      </c>
      <c r="BH15" s="1909">
        <f t="shared" si="18"/>
        <v>1413.2698134488169</v>
      </c>
      <c r="BI15" s="1909">
        <f t="shared" si="18"/>
        <v>1666.9132116041837</v>
      </c>
      <c r="BJ15" s="1909">
        <f t="shared" si="18"/>
        <v>1293.7400579646248</v>
      </c>
      <c r="BK15" s="1909">
        <f t="shared" si="18"/>
        <v>1539.0841279619865</v>
      </c>
      <c r="BL15" s="1909">
        <f t="shared" si="18"/>
        <v>1796.0022303166488</v>
      </c>
      <c r="BM15" s="1214">
        <v>820</v>
      </c>
      <c r="BN15" s="1214">
        <v>3220</v>
      </c>
      <c r="BO15" s="1595">
        <f>INDEX(BA15:BL15,1,MATCH($A$2,$AO$3:$AZ$3,0))</f>
        <v>1160.8254547148047</v>
      </c>
      <c r="BP15" s="1724"/>
    </row>
    <row r="16" spans="1:68">
      <c r="B16" s="1213" t="s">
        <v>111</v>
      </c>
      <c r="C16" s="2234">
        <f>SUMIF($BA$3:$BL$3, "&lt;=" &amp;$A$2, $BA16:$BL16)</f>
        <v>295</v>
      </c>
      <c r="D16" s="1213"/>
      <c r="E16" s="1910">
        <v>5</v>
      </c>
      <c r="F16" s="1910">
        <v>0</v>
      </c>
      <c r="G16" s="1910">
        <v>15</v>
      </c>
      <c r="H16" s="1910">
        <v>15</v>
      </c>
      <c r="I16" s="1910">
        <v>35</v>
      </c>
      <c r="J16" s="1910">
        <v>25</v>
      </c>
      <c r="K16" s="1910">
        <v>25</v>
      </c>
      <c r="L16" s="1910">
        <v>20</v>
      </c>
      <c r="M16" s="1910">
        <v>20</v>
      </c>
      <c r="N16" s="1910">
        <v>10</v>
      </c>
      <c r="O16" s="1910">
        <v>0</v>
      </c>
      <c r="P16" s="1910">
        <v>0</v>
      </c>
      <c r="Q16" s="1910">
        <v>16</v>
      </c>
      <c r="R16" s="1910">
        <v>0</v>
      </c>
      <c r="S16" s="1910">
        <v>0</v>
      </c>
      <c r="T16" s="1910">
        <v>40</v>
      </c>
      <c r="U16" s="1910">
        <v>50</v>
      </c>
      <c r="V16" s="1910">
        <v>50</v>
      </c>
      <c r="W16" s="1910">
        <v>70</v>
      </c>
      <c r="X16" s="1910">
        <v>60</v>
      </c>
      <c r="Y16" s="1910">
        <v>40</v>
      </c>
      <c r="Z16" s="1910">
        <v>20</v>
      </c>
      <c r="AA16" s="1910">
        <v>20</v>
      </c>
      <c r="AB16" s="1910">
        <v>20</v>
      </c>
      <c r="AC16" s="1595">
        <v>63</v>
      </c>
      <c r="AD16" s="1907">
        <v>72</v>
      </c>
      <c r="AE16" s="1907">
        <v>92</v>
      </c>
      <c r="AF16" s="1907">
        <v>83</v>
      </c>
      <c r="AG16" s="1907">
        <v>87</v>
      </c>
      <c r="AH16" s="1907">
        <v>83</v>
      </c>
      <c r="AI16" s="1907">
        <v>90</v>
      </c>
      <c r="AJ16" s="1907">
        <v>76</v>
      </c>
      <c r="AK16" s="1907">
        <v>77</v>
      </c>
      <c r="AL16" s="1907">
        <v>81</v>
      </c>
      <c r="AM16" s="1907">
        <v>72</v>
      </c>
      <c r="AN16" s="1907">
        <v>71</v>
      </c>
      <c r="AO16" s="1908">
        <v>0</v>
      </c>
      <c r="AP16" s="1908"/>
      <c r="AQ16" s="1908"/>
      <c r="AR16" s="1908">
        <v>17</v>
      </c>
      <c r="AS16" s="1908">
        <v>40</v>
      </c>
      <c r="AT16" s="1908"/>
      <c r="AU16" s="1909">
        <f t="shared" si="2"/>
        <v>95</v>
      </c>
      <c r="AV16" s="1909">
        <f t="shared" si="17"/>
        <v>95</v>
      </c>
      <c r="AW16" s="1909">
        <f t="shared" si="17"/>
        <v>95</v>
      </c>
      <c r="AX16" s="1909">
        <f t="shared" si="17"/>
        <v>95</v>
      </c>
      <c r="AY16" s="1909">
        <f t="shared" si="17"/>
        <v>95</v>
      </c>
      <c r="AZ16" s="1909">
        <f t="shared" si="17"/>
        <v>95</v>
      </c>
      <c r="BA16" s="1909">
        <f t="shared" ref="BA16:BL16" si="19">BA37+BA60</f>
        <v>20</v>
      </c>
      <c r="BB16" s="1909">
        <f t="shared" si="19"/>
        <v>20</v>
      </c>
      <c r="BC16" s="1909">
        <f t="shared" si="19"/>
        <v>40</v>
      </c>
      <c r="BD16" s="1909">
        <f t="shared" si="19"/>
        <v>50</v>
      </c>
      <c r="BE16" s="1909">
        <f t="shared" si="19"/>
        <v>55</v>
      </c>
      <c r="BF16" s="1909">
        <f t="shared" si="19"/>
        <v>55</v>
      </c>
      <c r="BG16" s="1909">
        <f t="shared" si="19"/>
        <v>55</v>
      </c>
      <c r="BH16" s="1909">
        <f t="shared" si="19"/>
        <v>55</v>
      </c>
      <c r="BI16" s="1909">
        <f t="shared" si="19"/>
        <v>55</v>
      </c>
      <c r="BJ16" s="1909">
        <f t="shared" si="19"/>
        <v>55</v>
      </c>
      <c r="BK16" s="1909">
        <f t="shared" si="19"/>
        <v>45</v>
      </c>
      <c r="BL16" s="1909">
        <f t="shared" si="19"/>
        <v>45</v>
      </c>
      <c r="BM16" s="1214">
        <v>170</v>
      </c>
      <c r="BN16" s="1214">
        <v>386</v>
      </c>
      <c r="BO16" s="1595">
        <f t="shared" si="10"/>
        <v>55</v>
      </c>
      <c r="BP16" s="1724"/>
    </row>
    <row r="17" spans="2:68">
      <c r="B17" s="1213"/>
      <c r="C17" s="1213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3"/>
      <c r="O17" s="1213"/>
      <c r="P17" s="1213"/>
      <c r="Q17" s="1619"/>
      <c r="R17" s="1619"/>
      <c r="S17" s="1619"/>
      <c r="T17" s="1619"/>
      <c r="U17" s="1619"/>
      <c r="V17" s="1619"/>
      <c r="W17" s="1619"/>
      <c r="X17" s="1619"/>
      <c r="Y17" s="1619"/>
      <c r="Z17" s="1619"/>
      <c r="AA17" s="1619"/>
      <c r="AB17" s="1619"/>
      <c r="AC17" s="1595"/>
      <c r="AD17" s="1612"/>
      <c r="AE17" s="1612"/>
      <c r="AF17" s="1612"/>
      <c r="AG17" s="1612"/>
      <c r="AH17" s="1612"/>
      <c r="AI17" s="1612"/>
      <c r="AJ17" s="1612"/>
      <c r="AK17" s="1612"/>
      <c r="AL17" s="1612"/>
      <c r="AM17" s="1612"/>
      <c r="AN17" s="1612"/>
      <c r="AU17" s="764"/>
      <c r="AV17" s="764"/>
      <c r="AW17" s="764"/>
      <c r="AX17" s="764"/>
      <c r="AY17" s="764"/>
      <c r="AZ17" s="764"/>
      <c r="BA17" s="764"/>
      <c r="BB17" s="764"/>
      <c r="BC17" s="764"/>
      <c r="BD17" s="764"/>
      <c r="BE17" s="764"/>
      <c r="BF17" s="764"/>
      <c r="BG17" s="764"/>
      <c r="BM17" s="1213"/>
      <c r="BN17" s="1213"/>
      <c r="BO17" s="1595">
        <f t="shared" si="10"/>
        <v>0</v>
      </c>
      <c r="BP17" s="1724"/>
    </row>
    <row r="18" spans="2:68">
      <c r="B18" s="1215" t="s">
        <v>63</v>
      </c>
      <c r="C18" s="271">
        <f>ROUND(C5/ SUM(BA7:INDEX(BA7:BL7,A2)),0)</f>
        <v>4</v>
      </c>
      <c r="D18" s="1213"/>
      <c r="E18" s="392">
        <v>7.5</v>
      </c>
      <c r="F18" s="392">
        <v>6.0773480662983426</v>
      </c>
      <c r="G18" s="392">
        <v>7.762557077625571</v>
      </c>
      <c r="H18" s="392">
        <v>7.5601374570446733</v>
      </c>
      <c r="I18" s="392">
        <v>8.5450346420323324</v>
      </c>
      <c r="J18" s="392">
        <v>8.386075949367088</v>
      </c>
      <c r="K18" s="392">
        <v>6.5693430656934311</v>
      </c>
      <c r="L18" s="392">
        <v>6.6265060240963853</v>
      </c>
      <c r="M18" s="392">
        <v>6.8906115417743328</v>
      </c>
      <c r="N18" s="392">
        <v>4.8048048048048049</v>
      </c>
      <c r="O18" s="392">
        <v>5.3835800807537009</v>
      </c>
      <c r="P18" s="392">
        <v>6.1173533083645442</v>
      </c>
      <c r="Q18" s="392">
        <f>Q5/ (Q8)</f>
        <v>4.1899432300779722</v>
      </c>
      <c r="R18" s="392">
        <f t="shared" ref="R18:AA18" si="20">R5/ (R8)</f>
        <v>4.1968888617958306</v>
      </c>
      <c r="S18" s="392">
        <f t="shared" si="20"/>
        <v>5.4662718255515479</v>
      </c>
      <c r="T18" s="392">
        <f t="shared" si="20"/>
        <v>5.4943218580336266</v>
      </c>
      <c r="U18" s="392">
        <f t="shared" si="20"/>
        <v>5.5352104368122932</v>
      </c>
      <c r="V18" s="392">
        <f t="shared" si="20"/>
        <v>6.4121579388017329</v>
      </c>
      <c r="W18" s="392">
        <f t="shared" si="20"/>
        <v>5.4703032544987202</v>
      </c>
      <c r="X18" s="392">
        <f t="shared" si="20"/>
        <v>5.4285527926214021</v>
      </c>
      <c r="Y18" s="392">
        <f t="shared" si="20"/>
        <v>6.2553962141162103</v>
      </c>
      <c r="Z18" s="392">
        <f t="shared" si="20"/>
        <v>5.2681265688086558</v>
      </c>
      <c r="AA18" s="392">
        <f t="shared" si="20"/>
        <v>5.1782945667166205</v>
      </c>
      <c r="AB18" s="392">
        <f>AB5/ (AB8)</f>
        <v>6.0404470454522947</v>
      </c>
      <c r="AC18" s="1595">
        <v>7</v>
      </c>
      <c r="AD18" s="1612">
        <v>4</v>
      </c>
      <c r="AE18" s="1612">
        <v>8</v>
      </c>
      <c r="AF18" s="1612">
        <v>7</v>
      </c>
      <c r="AG18" s="1612">
        <v>7</v>
      </c>
      <c r="AH18" s="1612">
        <v>8</v>
      </c>
      <c r="AI18" s="1612">
        <v>5</v>
      </c>
      <c r="AJ18" s="1612">
        <v>6</v>
      </c>
      <c r="AK18" s="1612">
        <v>7</v>
      </c>
      <c r="AL18" s="1612">
        <v>6</v>
      </c>
      <c r="AM18" s="1612">
        <v>7</v>
      </c>
      <c r="AN18" s="1612">
        <v>10</v>
      </c>
      <c r="AO18" s="767">
        <v>4</v>
      </c>
      <c r="AP18" s="767">
        <v>3</v>
      </c>
      <c r="AQ18" s="767">
        <v>7</v>
      </c>
      <c r="AR18" s="767">
        <v>9</v>
      </c>
      <c r="AS18" s="767">
        <v>7</v>
      </c>
      <c r="AT18" s="767">
        <v>8</v>
      </c>
      <c r="AU18" s="767">
        <f t="shared" ref="AU18:BB18" si="21">AU5/AU7</f>
        <v>6.1969987878482877</v>
      </c>
      <c r="AV18" s="767">
        <f t="shared" si="21"/>
        <v>6.3519073551903347</v>
      </c>
      <c r="AW18" s="767">
        <f t="shared" si="21"/>
        <v>7.7137275289539264</v>
      </c>
      <c r="AX18" s="767">
        <f t="shared" si="21"/>
        <v>6.0720047031963507</v>
      </c>
      <c r="AY18" s="767">
        <f t="shared" si="21"/>
        <v>6.3363816370842478</v>
      </c>
      <c r="AZ18" s="767">
        <f t="shared" si="21"/>
        <v>7.5078118767632303</v>
      </c>
      <c r="BA18" s="767">
        <f t="shared" si="21"/>
        <v>2.1219352177580375</v>
      </c>
      <c r="BB18" s="767">
        <f t="shared" si="21"/>
        <v>2.1370877620676363</v>
      </c>
      <c r="BC18" s="767">
        <f t="shared" ref="BC18:BL18" si="22">BC5/BC7</f>
        <v>4.9311954456069893</v>
      </c>
      <c r="BD18" s="767">
        <f t="shared" si="22"/>
        <v>4.7800316248487347</v>
      </c>
      <c r="BE18" s="767">
        <f t="shared" si="22"/>
        <v>5.3776088548757341</v>
      </c>
      <c r="BF18" s="767">
        <f t="shared" si="22"/>
        <v>5.6330897664816524</v>
      </c>
      <c r="BG18" s="767">
        <f t="shared" si="22"/>
        <v>5.1613450970519068</v>
      </c>
      <c r="BH18" s="767">
        <f t="shared" si="22"/>
        <v>5.5264878907144164</v>
      </c>
      <c r="BI18" s="767">
        <f t="shared" si="22"/>
        <v>5.7834078972486305</v>
      </c>
      <c r="BJ18" s="767">
        <f t="shared" si="22"/>
        <v>5.3397319620357342</v>
      </c>
      <c r="BK18" s="767">
        <f t="shared" si="22"/>
        <v>5.6623405857749924</v>
      </c>
      <c r="BL18" s="767">
        <f t="shared" si="22"/>
        <v>5.9224801366885895</v>
      </c>
      <c r="BM18" s="392">
        <f>BM5/ (BM8)</f>
        <v>6.3768115942028984</v>
      </c>
      <c r="BN18" s="392">
        <f>BN5/(BN8)</f>
        <v>5.5503703577841188</v>
      </c>
      <c r="BO18" s="1595">
        <f t="shared" si="10"/>
        <v>5.1613450970519068</v>
      </c>
      <c r="BP18" s="1724"/>
    </row>
    <row r="19" spans="2:68">
      <c r="B19" s="1215" t="s">
        <v>64</v>
      </c>
      <c r="C19" s="271">
        <f>ROUND(C5/C11,0)</f>
        <v>24</v>
      </c>
      <c r="D19" s="1213"/>
      <c r="E19" s="392">
        <v>20.689655172413794</v>
      </c>
      <c r="F19" s="392">
        <v>20.37037037037037</v>
      </c>
      <c r="G19" s="392">
        <v>20.73170731707317</v>
      </c>
      <c r="H19" s="392">
        <v>20.754716981132077</v>
      </c>
      <c r="I19" s="392">
        <v>20.555555555555557</v>
      </c>
      <c r="J19" s="392">
        <v>20.54263565891473</v>
      </c>
      <c r="K19" s="392">
        <v>20.454545454545453</v>
      </c>
      <c r="L19" s="392">
        <v>20.496894409937887</v>
      </c>
      <c r="M19" s="392">
        <v>20.512820512820515</v>
      </c>
      <c r="N19" s="392">
        <v>20.38216560509554</v>
      </c>
      <c r="O19" s="392">
        <v>20.408163265306122</v>
      </c>
      <c r="P19" s="392">
        <v>20.416666666666668</v>
      </c>
      <c r="Q19" s="392">
        <f>Q5/Q11</f>
        <v>20.857142857142858</v>
      </c>
      <c r="R19" s="392">
        <f t="shared" ref="R19:AB19" si="23">R5/R11</f>
        <v>20.985915492957748</v>
      </c>
      <c r="S19" s="392">
        <f t="shared" si="23"/>
        <v>21.05263157894737</v>
      </c>
      <c r="T19" s="392">
        <f t="shared" si="23"/>
        <v>20.701754385964911</v>
      </c>
      <c r="U19" s="392">
        <f t="shared" si="23"/>
        <v>20.547945205479451</v>
      </c>
      <c r="V19" s="392">
        <f t="shared" si="23"/>
        <v>20.30952380952381</v>
      </c>
      <c r="W19" s="392">
        <f t="shared" si="23"/>
        <v>20.045871559633028</v>
      </c>
      <c r="X19" s="392">
        <f t="shared" si="23"/>
        <v>19.922178988326849</v>
      </c>
      <c r="Y19" s="392">
        <f t="shared" si="23"/>
        <v>19.736842105263158</v>
      </c>
      <c r="Z19" s="392">
        <f t="shared" si="23"/>
        <v>19.596273291925467</v>
      </c>
      <c r="AA19" s="392">
        <f t="shared" si="23"/>
        <v>19.565217391304348</v>
      </c>
      <c r="AB19" s="392">
        <f t="shared" si="23"/>
        <v>19.47004608294931</v>
      </c>
      <c r="AC19" s="1221">
        <v>27</v>
      </c>
      <c r="AD19" s="1612">
        <v>22</v>
      </c>
      <c r="AE19" s="1612">
        <v>24</v>
      </c>
      <c r="AF19" s="1612">
        <v>24</v>
      </c>
      <c r="AG19" s="1612">
        <v>25</v>
      </c>
      <c r="AH19" s="1612">
        <v>25</v>
      </c>
      <c r="AI19" s="1612">
        <v>19</v>
      </c>
      <c r="AJ19" s="1612">
        <v>20</v>
      </c>
      <c r="AK19" s="1612">
        <v>24</v>
      </c>
      <c r="AL19" s="1612">
        <v>20</v>
      </c>
      <c r="AM19" s="1612">
        <v>23</v>
      </c>
      <c r="AN19" s="1612">
        <v>31</v>
      </c>
      <c r="AO19" s="767">
        <v>15</v>
      </c>
      <c r="AP19" s="767">
        <v>19</v>
      </c>
      <c r="AQ19" s="767">
        <v>26</v>
      </c>
      <c r="AR19" s="767">
        <v>30</v>
      </c>
      <c r="AS19" s="767">
        <v>26</v>
      </c>
      <c r="AT19" s="767">
        <v>26</v>
      </c>
      <c r="AU19" s="767">
        <f t="shared" ref="AU19:BB19" si="24">+AU5/AU11</f>
        <v>27.336155351042159</v>
      </c>
      <c r="AV19" s="767">
        <f t="shared" si="24"/>
        <v>28.592572707039135</v>
      </c>
      <c r="AW19" s="767">
        <f t="shared" si="24"/>
        <v>29.481747906461891</v>
      </c>
      <c r="AX19" s="767">
        <f t="shared" si="24"/>
        <v>26.919539197487705</v>
      </c>
      <c r="AY19" s="767">
        <f t="shared" si="24"/>
        <v>27.551738261257569</v>
      </c>
      <c r="AZ19" s="767">
        <f t="shared" si="24"/>
        <v>30.81055241017469</v>
      </c>
      <c r="BA19" s="767">
        <f t="shared" si="24"/>
        <v>19.74855653589745</v>
      </c>
      <c r="BB19" s="767">
        <f t="shared" si="24"/>
        <v>19.95942965009219</v>
      </c>
      <c r="BC19" s="767">
        <f t="shared" ref="BC19:BL19" si="25">+BC5/BC11</f>
        <v>23.782829879880083</v>
      </c>
      <c r="BD19" s="767">
        <f t="shared" si="25"/>
        <v>23.303905322208077</v>
      </c>
      <c r="BE19" s="767">
        <f t="shared" si="25"/>
        <v>25.651880977978827</v>
      </c>
      <c r="BF19" s="767">
        <f t="shared" si="25"/>
        <v>26.482885179177927</v>
      </c>
      <c r="BG19" s="767">
        <f t="shared" si="25"/>
        <v>23.732619579480257</v>
      </c>
      <c r="BH19" s="767">
        <f t="shared" si="25"/>
        <v>25.433053029463437</v>
      </c>
      <c r="BI19" s="767">
        <f t="shared" si="25"/>
        <v>26.509296681188957</v>
      </c>
      <c r="BJ19" s="767">
        <f t="shared" si="25"/>
        <v>24.135784319390325</v>
      </c>
      <c r="BK19" s="767">
        <f t="shared" si="25"/>
        <v>25.525040229554449</v>
      </c>
      <c r="BL19" s="767">
        <f t="shared" si="25"/>
        <v>26.592500685628071</v>
      </c>
      <c r="BM19" s="392">
        <f>BM5/BM11</f>
        <v>20.482758620689655</v>
      </c>
      <c r="BN19" s="392">
        <f>BN5/BN11</f>
        <v>19.940929878048781</v>
      </c>
      <c r="BO19" s="1595">
        <f t="shared" si="10"/>
        <v>23.732619579480257</v>
      </c>
      <c r="BP19" s="1724"/>
    </row>
    <row r="20" spans="2:68">
      <c r="B20" s="1215" t="s">
        <v>65</v>
      </c>
      <c r="C20" s="271">
        <f>ROUND(C6/ (C8 *$A$2),0)</f>
        <v>4</v>
      </c>
      <c r="D20" s="1213"/>
      <c r="E20" s="392">
        <v>6.2249999999999996</v>
      </c>
      <c r="F20" s="392">
        <v>5.0441988950276242</v>
      </c>
      <c r="G20" s="392">
        <v>6.4429223744292239</v>
      </c>
      <c r="H20" s="392">
        <v>6.2749140893470789</v>
      </c>
      <c r="I20" s="392">
        <v>7.0923787528868356</v>
      </c>
      <c r="J20" s="392">
        <v>6.9604430379746836</v>
      </c>
      <c r="K20" s="392">
        <v>5.4525547445255471</v>
      </c>
      <c r="L20" s="392">
        <v>5.5</v>
      </c>
      <c r="M20" s="392">
        <v>5.7192075796726956</v>
      </c>
      <c r="N20" s="392">
        <v>3.9879879879879878</v>
      </c>
      <c r="O20" s="392">
        <v>4.4683714670255723</v>
      </c>
      <c r="P20" s="392">
        <v>5.0774032459425715</v>
      </c>
      <c r="Q20" s="392">
        <f t="shared" ref="Q20:AB20" si="26">Q6/ (Q8 )</f>
        <v>3.6033511778670562</v>
      </c>
      <c r="R20" s="392">
        <f t="shared" si="26"/>
        <v>3.6093244211444149</v>
      </c>
      <c r="S20" s="392">
        <f t="shared" si="26"/>
        <v>4.7009937699743309</v>
      </c>
      <c r="T20" s="392">
        <f t="shared" si="26"/>
        <v>4.7251167979089184</v>
      </c>
      <c r="U20" s="392">
        <f t="shared" si="26"/>
        <v>4.7602809756585716</v>
      </c>
      <c r="V20" s="392">
        <f t="shared" si="26"/>
        <v>5.5144558273694901</v>
      </c>
      <c r="W20" s="392">
        <f t="shared" si="26"/>
        <v>4.7044607988688991</v>
      </c>
      <c r="X20" s="392">
        <f t="shared" si="26"/>
        <v>4.6685554016544053</v>
      </c>
      <c r="Y20" s="392">
        <f t="shared" si="26"/>
        <v>5.3796407441399401</v>
      </c>
      <c r="Z20" s="392">
        <f t="shared" si="26"/>
        <v>4.5305888491754445</v>
      </c>
      <c r="AA20" s="392">
        <f t="shared" si="26"/>
        <v>4.4533333273762929</v>
      </c>
      <c r="AB20" s="392">
        <f t="shared" si="26"/>
        <v>5.1951418819910717</v>
      </c>
      <c r="AC20" s="176">
        <v>6</v>
      </c>
      <c r="AD20" s="1612">
        <v>4</v>
      </c>
      <c r="AE20" s="1612">
        <v>8</v>
      </c>
      <c r="AF20" s="1612">
        <v>7</v>
      </c>
      <c r="AG20" s="1612">
        <v>7</v>
      </c>
      <c r="AH20" s="1612">
        <v>7</v>
      </c>
      <c r="AI20" s="1612">
        <v>5</v>
      </c>
      <c r="AJ20" s="1612">
        <v>5</v>
      </c>
      <c r="AK20" s="1612">
        <v>7</v>
      </c>
      <c r="AL20" s="1612">
        <v>5</v>
      </c>
      <c r="AM20" s="1612">
        <v>6</v>
      </c>
      <c r="AN20" s="1612">
        <v>9</v>
      </c>
      <c r="AO20" s="767">
        <v>4</v>
      </c>
      <c r="AP20" s="767">
        <v>3</v>
      </c>
      <c r="AQ20" s="767">
        <v>7</v>
      </c>
      <c r="AR20" s="767">
        <v>9</v>
      </c>
      <c r="AS20" s="767">
        <v>7</v>
      </c>
      <c r="AT20" s="767">
        <v>8</v>
      </c>
      <c r="AU20" s="767">
        <f t="shared" ref="AU20:BB20" si="27">AU6/AU7</f>
        <v>7.3790450321566778</v>
      </c>
      <c r="AV20" s="767">
        <f t="shared" si="27"/>
        <v>7.599685389447763</v>
      </c>
      <c r="AW20" s="767">
        <f t="shared" si="27"/>
        <v>9.1567592335140571</v>
      </c>
      <c r="AX20" s="767">
        <f t="shared" si="27"/>
        <v>7.2798617609237501</v>
      </c>
      <c r="AY20" s="767">
        <f t="shared" si="27"/>
        <v>7.6026671320576886</v>
      </c>
      <c r="AZ20" s="767">
        <f t="shared" si="27"/>
        <v>9.0239389144407696</v>
      </c>
      <c r="BA20" s="767">
        <f t="shared" si="27"/>
        <v>2.1219352177580375</v>
      </c>
      <c r="BB20" s="767">
        <f t="shared" si="27"/>
        <v>2.1370877620676363</v>
      </c>
      <c r="BC20" s="767">
        <f t="shared" ref="BC20:BL20" si="28">BC6/BC7</f>
        <v>4.9311954456069893</v>
      </c>
      <c r="BD20" s="767">
        <f t="shared" si="28"/>
        <v>4.7800316248487347</v>
      </c>
      <c r="BE20" s="767">
        <f t="shared" si="28"/>
        <v>5.3776088548757341</v>
      </c>
      <c r="BF20" s="767">
        <f t="shared" si="28"/>
        <v>5.6330897664816524</v>
      </c>
      <c r="BG20" s="767">
        <f t="shared" si="28"/>
        <v>5.1613450970519068</v>
      </c>
      <c r="BH20" s="767">
        <f t="shared" si="28"/>
        <v>5.5264878907144164</v>
      </c>
      <c r="BI20" s="767">
        <f t="shared" si="28"/>
        <v>5.7834078972486305</v>
      </c>
      <c r="BJ20" s="767">
        <f t="shared" si="28"/>
        <v>5.3397319620357342</v>
      </c>
      <c r="BK20" s="767">
        <f t="shared" si="28"/>
        <v>5.6623405857749924</v>
      </c>
      <c r="BL20" s="767">
        <f t="shared" si="28"/>
        <v>5.9224801366885895</v>
      </c>
      <c r="BM20" s="392">
        <f>BM6/ (BM8 )</f>
        <v>5.292753623188406</v>
      </c>
      <c r="BN20" s="392">
        <f>BN6/ (BN8 )</f>
        <v>4.7733715451559551</v>
      </c>
      <c r="BO20" s="1595">
        <f t="shared" si="10"/>
        <v>5.1613450970519068</v>
      </c>
      <c r="BP20" s="1724"/>
    </row>
    <row r="21" spans="2:68">
      <c r="B21" s="1215" t="s">
        <v>66</v>
      </c>
      <c r="C21" s="271">
        <f>ROUND(C6/C11,0)</f>
        <v>24</v>
      </c>
      <c r="D21" s="1213"/>
      <c r="E21" s="392">
        <v>17.172413793103448</v>
      </c>
      <c r="F21" s="392">
        <v>16.907407407407408</v>
      </c>
      <c r="G21" s="392">
        <v>17.207317073170731</v>
      </c>
      <c r="H21" s="392">
        <v>17.226415094339622</v>
      </c>
      <c r="I21" s="392">
        <v>17.06111111111111</v>
      </c>
      <c r="J21" s="392">
        <v>17.050387596899224</v>
      </c>
      <c r="K21" s="392">
        <v>16.977272727272727</v>
      </c>
      <c r="L21" s="392">
        <v>17.012422360248447</v>
      </c>
      <c r="M21" s="392">
        <v>17.025641025641026</v>
      </c>
      <c r="N21" s="392">
        <v>16.917197452229299</v>
      </c>
      <c r="O21" s="392">
        <v>16.938775510204081</v>
      </c>
      <c r="P21" s="392">
        <v>16.945833333333333</v>
      </c>
      <c r="Q21" s="392">
        <f t="shared" ref="Q21:AB21" si="29">Q6/Q11</f>
        <v>17.937142857142856</v>
      </c>
      <c r="R21" s="392">
        <f t="shared" si="29"/>
        <v>18.047887323943662</v>
      </c>
      <c r="S21" s="392">
        <f t="shared" si="29"/>
        <v>18.105263157894736</v>
      </c>
      <c r="T21" s="392">
        <f t="shared" si="29"/>
        <v>17.803508771929824</v>
      </c>
      <c r="U21" s="392">
        <f t="shared" si="29"/>
        <v>17.671232876712327</v>
      </c>
      <c r="V21" s="392">
        <f t="shared" si="29"/>
        <v>17.466190476190476</v>
      </c>
      <c r="W21" s="392">
        <f t="shared" si="29"/>
        <v>17.239449541284404</v>
      </c>
      <c r="X21" s="392">
        <f t="shared" si="29"/>
        <v>17.133073929961085</v>
      </c>
      <c r="Y21" s="392">
        <f t="shared" si="29"/>
        <v>16.973684210526311</v>
      </c>
      <c r="Z21" s="392">
        <f t="shared" si="29"/>
        <v>16.852795031055901</v>
      </c>
      <c r="AA21" s="392">
        <f t="shared" si="29"/>
        <v>16.826086956521738</v>
      </c>
      <c r="AB21" s="392">
        <f t="shared" si="29"/>
        <v>16.745391705069125</v>
      </c>
      <c r="AC21" s="1221">
        <v>26</v>
      </c>
      <c r="AD21" s="1612">
        <v>20</v>
      </c>
      <c r="AE21" s="1612">
        <v>23</v>
      </c>
      <c r="AF21" s="1612">
        <v>23</v>
      </c>
      <c r="AG21" s="1612">
        <v>23</v>
      </c>
      <c r="AH21" s="1612">
        <v>24</v>
      </c>
      <c r="AI21" s="1612">
        <v>18</v>
      </c>
      <c r="AJ21" s="1612">
        <v>19</v>
      </c>
      <c r="AK21" s="1612">
        <v>22</v>
      </c>
      <c r="AL21" s="1612">
        <v>19</v>
      </c>
      <c r="AM21" s="1612">
        <v>22</v>
      </c>
      <c r="AN21" s="1612">
        <v>30</v>
      </c>
      <c r="AO21" s="767">
        <v>15</v>
      </c>
      <c r="AP21" s="767">
        <v>19</v>
      </c>
      <c r="AQ21" s="767">
        <v>26</v>
      </c>
      <c r="AR21" s="767">
        <v>30</v>
      </c>
      <c r="AS21" s="767">
        <v>26</v>
      </c>
      <c r="AT21" s="767">
        <v>26</v>
      </c>
      <c r="AU21" s="767">
        <f t="shared" ref="AU21:BB21" si="30">AU6/AU11</f>
        <v>32.550389026525835</v>
      </c>
      <c r="AV21" s="767">
        <f t="shared" si="30"/>
        <v>34.209339793164688</v>
      </c>
      <c r="AW21" s="767">
        <f t="shared" si="30"/>
        <v>34.996992873980609</v>
      </c>
      <c r="AX21" s="767">
        <f t="shared" si="30"/>
        <v>32.274435479656063</v>
      </c>
      <c r="AY21" s="767">
        <f t="shared" si="30"/>
        <v>33.05777759407615</v>
      </c>
      <c r="AZ21" s="767">
        <f t="shared" si="30"/>
        <v>37.032433341877727</v>
      </c>
      <c r="BA21" s="767">
        <f t="shared" si="30"/>
        <v>19.74855653589745</v>
      </c>
      <c r="BB21" s="767">
        <f t="shared" si="30"/>
        <v>19.95942965009219</v>
      </c>
      <c r="BC21" s="767">
        <f t="shared" ref="BC21:BL21" si="31">BC6/BC11</f>
        <v>23.782829879880083</v>
      </c>
      <c r="BD21" s="767">
        <f t="shared" si="31"/>
        <v>23.303905322208077</v>
      </c>
      <c r="BE21" s="767">
        <f t="shared" si="31"/>
        <v>25.651880977978827</v>
      </c>
      <c r="BF21" s="767">
        <f t="shared" si="31"/>
        <v>26.482885179177927</v>
      </c>
      <c r="BG21" s="767">
        <f t="shared" si="31"/>
        <v>23.732619579480257</v>
      </c>
      <c r="BH21" s="767">
        <f t="shared" si="31"/>
        <v>25.433053029463437</v>
      </c>
      <c r="BI21" s="767">
        <f t="shared" si="31"/>
        <v>26.509296681188957</v>
      </c>
      <c r="BJ21" s="767">
        <f t="shared" si="31"/>
        <v>24.135784319390325</v>
      </c>
      <c r="BK21" s="767">
        <f t="shared" si="31"/>
        <v>25.525040229554449</v>
      </c>
      <c r="BL21" s="767">
        <f t="shared" si="31"/>
        <v>26.592500685628071</v>
      </c>
      <c r="BM21" s="392">
        <f>BM6/BM11</f>
        <v>17.000689655172415</v>
      </c>
      <c r="BN21" s="392">
        <f>BN6/BN11</f>
        <v>17.149390243902438</v>
      </c>
      <c r="BO21" s="1595">
        <f t="shared" si="10"/>
        <v>23.732619579480257</v>
      </c>
      <c r="BP21" s="1724"/>
    </row>
    <row r="22" spans="2:68">
      <c r="B22" s="1215" t="s">
        <v>67</v>
      </c>
      <c r="C22" s="271">
        <f>C13/ ($A$2 * C8)</f>
        <v>0.27152228093688108</v>
      </c>
      <c r="D22" s="1213"/>
      <c r="E22" s="392">
        <v>0.50749999999999995</v>
      </c>
      <c r="F22" s="392">
        <v>0.41767955801104967</v>
      </c>
      <c r="G22" s="392">
        <v>0.52420091324200913</v>
      </c>
      <c r="H22" s="392">
        <v>0.50996563573883158</v>
      </c>
      <c r="I22" s="392">
        <v>0.58198614318706687</v>
      </c>
      <c r="J22" s="392">
        <v>0.57151898734177209</v>
      </c>
      <c r="K22" s="392">
        <v>0.44963503649635034</v>
      </c>
      <c r="L22" s="392">
        <v>0.45261044176706822</v>
      </c>
      <c r="M22" s="392">
        <v>0.47028423772609818</v>
      </c>
      <c r="N22" s="392">
        <v>0.33003003003003001</v>
      </c>
      <c r="O22" s="392">
        <v>0.36931359353970389</v>
      </c>
      <c r="P22" s="392">
        <v>0.41947565543071164</v>
      </c>
      <c r="Q22" s="392">
        <f t="shared" ref="Q22:AB22" si="32">Q13/ ( Q8)</f>
        <v>0.28124276475865845</v>
      </c>
      <c r="R22" s="392">
        <f t="shared" si="32"/>
        <v>0.27885368947502504</v>
      </c>
      <c r="S22" s="392">
        <f t="shared" si="32"/>
        <v>0.3635070763991779</v>
      </c>
      <c r="T22" s="392">
        <f t="shared" si="32"/>
        <v>0.37016829467260448</v>
      </c>
      <c r="U22" s="392">
        <f t="shared" si="32"/>
        <v>0.37823937984883998</v>
      </c>
      <c r="V22" s="392">
        <f t="shared" si="32"/>
        <v>0.4450172918840124</v>
      </c>
      <c r="W22" s="392">
        <f t="shared" si="32"/>
        <v>0.38304640637908655</v>
      </c>
      <c r="X22" s="392">
        <f t="shared" si="32"/>
        <v>0.38487591088311895</v>
      </c>
      <c r="Y22" s="392">
        <f t="shared" si="32"/>
        <v>0.44946180205131292</v>
      </c>
      <c r="Z22" s="392">
        <f t="shared" si="32"/>
        <v>0.37987283499333413</v>
      </c>
      <c r="AA22" s="392">
        <f t="shared" si="32"/>
        <v>0.37590582780609538</v>
      </c>
      <c r="AB22" s="392">
        <f t="shared" si="32"/>
        <v>0.44177470699284244</v>
      </c>
      <c r="AC22" s="167">
        <v>0.47293327738145197</v>
      </c>
      <c r="AD22" s="1613">
        <v>0.26627218934911245</v>
      </c>
      <c r="AE22" s="1613">
        <v>0.5735344532053479</v>
      </c>
      <c r="AF22" s="1613">
        <v>0.48750376392652817</v>
      </c>
      <c r="AG22" s="1613">
        <v>0.49452895649853218</v>
      </c>
      <c r="AH22" s="1613">
        <v>0.54384260383774596</v>
      </c>
      <c r="AI22" s="1613">
        <v>0.38321248077345638</v>
      </c>
      <c r="AJ22" s="1613">
        <v>0.40558026688232918</v>
      </c>
      <c r="AK22" s="1613">
        <v>0.51397280966767367</v>
      </c>
      <c r="AL22" s="1613">
        <v>0.40189208128941833</v>
      </c>
      <c r="AM22" s="1613">
        <v>0.47548940300922182</v>
      </c>
      <c r="AN22" s="1613">
        <v>0.6841623436069576</v>
      </c>
      <c r="AO22" s="767">
        <v>0.2726835138387485</v>
      </c>
      <c r="AP22" s="767">
        <v>0.20616056269706523</v>
      </c>
      <c r="AQ22" s="767">
        <v>0.50795785698273932</v>
      </c>
      <c r="AR22" s="767">
        <v>0.61492352211657708</v>
      </c>
      <c r="AS22" s="767">
        <v>0.49256326057562294</v>
      </c>
      <c r="AT22" s="767">
        <v>0.56024907438572868</v>
      </c>
      <c r="AU22" s="767">
        <f t="shared" ref="AU22:BB22" si="33">AU13/AU7</f>
        <v>0.34897624618278067</v>
      </c>
      <c r="AV22" s="767">
        <f t="shared" si="33"/>
        <v>0.34504678352723694</v>
      </c>
      <c r="AW22" s="767">
        <f t="shared" si="33"/>
        <v>0.4362579186584144</v>
      </c>
      <c r="AX22" s="767">
        <f t="shared" si="33"/>
        <v>0.34136268386580315</v>
      </c>
      <c r="AY22" s="767">
        <f t="shared" si="33"/>
        <v>0.34947161967792684</v>
      </c>
      <c r="AZ22" s="767">
        <f t="shared" si="33"/>
        <v>0.41406021933176584</v>
      </c>
      <c r="BA22" s="767">
        <f t="shared" si="33"/>
        <v>0.13546510190589356</v>
      </c>
      <c r="BB22" s="767">
        <f t="shared" si="33"/>
        <v>0.13944381239581183</v>
      </c>
      <c r="BC22" s="767">
        <f t="shared" ref="BC22:BL22" si="34">BC13/BC7</f>
        <v>0.29741838658222791</v>
      </c>
      <c r="BD22" s="767">
        <f t="shared" si="34"/>
        <v>0.29172149435624123</v>
      </c>
      <c r="BE22" s="767">
        <f t="shared" si="34"/>
        <v>0.32301122193233678</v>
      </c>
      <c r="BF22" s="767">
        <f t="shared" si="34"/>
        <v>0.3373990133437354</v>
      </c>
      <c r="BG22" s="767">
        <f t="shared" si="34"/>
        <v>0.31993366112173149</v>
      </c>
      <c r="BH22" s="767">
        <f t="shared" si="34"/>
        <v>0.33779890938003027</v>
      </c>
      <c r="BI22" s="767">
        <f t="shared" si="34"/>
        <v>0.3510523661718381</v>
      </c>
      <c r="BJ22" s="767">
        <f t="shared" si="34"/>
        <v>0.32904400223292785</v>
      </c>
      <c r="BK22" s="767">
        <f t="shared" si="34"/>
        <v>0.34430197203892016</v>
      </c>
      <c r="BL22" s="767">
        <f t="shared" si="34"/>
        <v>0.35830431019221182</v>
      </c>
      <c r="BM22" s="392">
        <f>BM13/ ( BM8)</f>
        <v>0.43585614600107342</v>
      </c>
      <c r="BN22" s="392">
        <f>BN13/ ( BN8)</f>
        <v>0.39321974039762503</v>
      </c>
      <c r="BO22" s="1595">
        <f t="shared" si="10"/>
        <v>0.31993366112173149</v>
      </c>
      <c r="BP22" s="1724"/>
    </row>
    <row r="23" spans="2:68">
      <c r="B23" s="1215" t="s">
        <v>68</v>
      </c>
      <c r="C23" s="271">
        <f>C8/(SUMIF($BA$3:$BL$3,"&lt;="&amp;A2,$BA$9:$BL$9)/$A$2)</f>
        <v>5.2899390491315739</v>
      </c>
      <c r="D23" s="1213"/>
      <c r="E23" s="392">
        <v>4.7058823529411766</v>
      </c>
      <c r="F23" s="392">
        <v>5.3235294117647056</v>
      </c>
      <c r="G23" s="392">
        <v>4.4693877551020407</v>
      </c>
      <c r="H23" s="392">
        <v>3.6835443037974684</v>
      </c>
      <c r="I23" s="392">
        <v>3.3565891472868219</v>
      </c>
      <c r="J23" s="392">
        <v>3.3439153439153437</v>
      </c>
      <c r="K23" s="392">
        <v>3.4393305439330546</v>
      </c>
      <c r="L23" s="392">
        <v>3.507042253521127</v>
      </c>
      <c r="M23" s="392">
        <v>3.5833333333333335</v>
      </c>
      <c r="N23" s="392">
        <v>3.5145118733509233</v>
      </c>
      <c r="O23" s="392">
        <v>3.5893719806763285</v>
      </c>
      <c r="P23" s="392">
        <v>3.8695652173913042</v>
      </c>
      <c r="Q23" s="392">
        <f t="shared" ref="Q23:AB23" si="35">Q8/AVERAGE(P9:Q9)</f>
        <v>3.8609795957208011</v>
      </c>
      <c r="R23" s="392">
        <f t="shared" si="35"/>
        <v>4.6713801111963988</v>
      </c>
      <c r="S23" s="392">
        <f t="shared" si="35"/>
        <v>4.9443254725628281</v>
      </c>
      <c r="T23" s="392">
        <f t="shared" si="35"/>
        <v>5.1135042360429095</v>
      </c>
      <c r="U23" s="392">
        <f t="shared" si="35"/>
        <v>5.089059288002332</v>
      </c>
      <c r="V23" s="392">
        <f t="shared" si="35"/>
        <v>5.1762077284081531</v>
      </c>
      <c r="W23" s="392">
        <f t="shared" si="35"/>
        <v>5.0401187347898837</v>
      </c>
      <c r="X23" s="392">
        <f t="shared" si="35"/>
        <v>4.9509770737568903</v>
      </c>
      <c r="Y23" s="392">
        <f t="shared" si="35"/>
        <v>5.1384206599610938</v>
      </c>
      <c r="Z23" s="392">
        <f t="shared" si="35"/>
        <v>5.2881644514283455</v>
      </c>
      <c r="AA23" s="392">
        <f t="shared" si="35"/>
        <v>5.5000758051287697</v>
      </c>
      <c r="AB23" s="392">
        <f t="shared" si="35"/>
        <v>5.8166448394887462</v>
      </c>
      <c r="AC23" s="1574">
        <v>4.7212300046591089</v>
      </c>
      <c r="AD23" s="1612">
        <v>4.672428822178361</v>
      </c>
      <c r="AE23" s="1612">
        <v>4.6841319981008303</v>
      </c>
      <c r="AF23" s="1612">
        <v>4.8706477461300572</v>
      </c>
      <c r="AG23" s="1612">
        <v>5.0970057748692774</v>
      </c>
      <c r="AH23" s="1612">
        <v>5.2872144009590656</v>
      </c>
      <c r="AI23" s="1612">
        <v>5.4653436899757093</v>
      </c>
      <c r="AJ23" s="1612">
        <v>5.6782654609157337</v>
      </c>
      <c r="AK23" s="1612">
        <v>5.8792490919216034</v>
      </c>
      <c r="AL23" s="1612">
        <v>6.0696445548277547</v>
      </c>
      <c r="AM23" s="1612">
        <v>6.3402903719495365</v>
      </c>
      <c r="AN23" s="1612">
        <v>6.6176749114239692</v>
      </c>
      <c r="AO23" s="767">
        <v>5.2199690939480909</v>
      </c>
      <c r="AP23" s="767">
        <v>6.1426241946524751</v>
      </c>
      <c r="AQ23" s="767">
        <v>7.4937518421467031</v>
      </c>
      <c r="AR23" s="767">
        <v>9.3876384750016015</v>
      </c>
      <c r="AS23" s="767">
        <v>11.140464957631018</v>
      </c>
      <c r="AT23" s="767">
        <v>13.827318640521943</v>
      </c>
      <c r="AU23" s="767">
        <f t="shared" ref="AU23:BB23" si="36">AU7/AU9</f>
        <v>4.6767642217851559</v>
      </c>
      <c r="AV23" s="767">
        <f t="shared" si="36"/>
        <v>4.7689546443876383</v>
      </c>
      <c r="AW23" s="767">
        <f t="shared" si="36"/>
        <v>4.7374796756760897</v>
      </c>
      <c r="AX23" s="767">
        <f t="shared" si="36"/>
        <v>4.8491394652261475</v>
      </c>
      <c r="AY23" s="767">
        <f t="shared" si="36"/>
        <v>4.872983663755341</v>
      </c>
      <c r="AZ23" s="767">
        <f t="shared" si="36"/>
        <v>4.9799585638027946</v>
      </c>
      <c r="BA23" s="767">
        <f t="shared" si="36"/>
        <v>5.5565717206038414</v>
      </c>
      <c r="BB23" s="767">
        <f t="shared" si="36"/>
        <v>5.216625669323542</v>
      </c>
      <c r="BC23" s="767">
        <f t="shared" ref="BC23:BL23" si="37">BC7/BC9</f>
        <v>5.1035456129351902</v>
      </c>
      <c r="BD23" s="767">
        <f t="shared" si="37"/>
        <v>5.422446324950366</v>
      </c>
      <c r="BE23" s="767">
        <f t="shared" si="37"/>
        <v>5.3268839597930437</v>
      </c>
      <c r="BF23" s="767">
        <f t="shared" si="37"/>
        <v>5.3699580518427812</v>
      </c>
      <c r="BG23" s="767">
        <f t="shared" si="37"/>
        <v>5.6004487623300161</v>
      </c>
      <c r="BH23" s="767">
        <f t="shared" si="37"/>
        <v>5.5039641877323522</v>
      </c>
      <c r="BI23" s="767">
        <f t="shared" si="37"/>
        <v>5.5150952576081469</v>
      </c>
      <c r="BJ23" s="767">
        <f t="shared" si="37"/>
        <v>5.8277419036317726</v>
      </c>
      <c r="BK23" s="767">
        <f t="shared" si="37"/>
        <v>5.7852170874676876</v>
      </c>
      <c r="BL23" s="767">
        <f t="shared" si="37"/>
        <v>5.8768450007695945</v>
      </c>
      <c r="BM23" s="392">
        <f>BM8/AVERAGE(AO9:BM9)</f>
        <v>2.9448655183670471</v>
      </c>
      <c r="BN23" s="392">
        <f>BN8/BN9</f>
        <v>4.9827160854135721</v>
      </c>
      <c r="BO23" s="1595">
        <f t="shared" si="10"/>
        <v>5.6004487623300161</v>
      </c>
      <c r="BP23" s="1724"/>
    </row>
    <row r="24" spans="2:68">
      <c r="B24" s="931"/>
    </row>
    <row r="25" spans="2:68">
      <c r="B25" s="1216" t="s">
        <v>1274</v>
      </c>
      <c r="C25" s="1217" t="s">
        <v>163</v>
      </c>
      <c r="D25" s="1216"/>
      <c r="E25" s="1218" t="s">
        <v>98</v>
      </c>
      <c r="F25" s="1218" t="s">
        <v>34</v>
      </c>
      <c r="G25" s="1218" t="s">
        <v>35</v>
      </c>
      <c r="H25" s="1218" t="s">
        <v>36</v>
      </c>
      <c r="I25" s="1218" t="s">
        <v>37</v>
      </c>
      <c r="J25" s="1218" t="s">
        <v>38</v>
      </c>
      <c r="K25" s="1218" t="s">
        <v>39</v>
      </c>
      <c r="L25" s="1218" t="s">
        <v>40</v>
      </c>
      <c r="M25" s="1218" t="s">
        <v>41</v>
      </c>
      <c r="N25" s="1218" t="s">
        <v>42</v>
      </c>
      <c r="O25" s="1218" t="s">
        <v>43</v>
      </c>
      <c r="P25" s="1218" t="s">
        <v>44</v>
      </c>
      <c r="Q25" s="1218" t="s">
        <v>556</v>
      </c>
      <c r="R25" s="1218" t="s">
        <v>34</v>
      </c>
      <c r="S25" s="1218" t="s">
        <v>35</v>
      </c>
      <c r="T25" s="1218" t="s">
        <v>36</v>
      </c>
      <c r="U25" s="1218" t="s">
        <v>37</v>
      </c>
      <c r="V25" s="1218" t="s">
        <v>38</v>
      </c>
      <c r="W25" s="1218" t="s">
        <v>39</v>
      </c>
      <c r="X25" s="1218" t="s">
        <v>40</v>
      </c>
      <c r="Y25" s="1218" t="s">
        <v>41</v>
      </c>
      <c r="Z25" s="1218" t="s">
        <v>42</v>
      </c>
      <c r="AA25" s="1218" t="s">
        <v>43</v>
      </c>
      <c r="AB25" s="1218" t="s">
        <v>44</v>
      </c>
      <c r="AC25" s="1590" t="s">
        <v>1097</v>
      </c>
      <c r="AD25" s="1211" t="s">
        <v>34</v>
      </c>
      <c r="AE25" s="1211" t="s">
        <v>35</v>
      </c>
      <c r="AF25" s="1211" t="s">
        <v>36</v>
      </c>
      <c r="AG25" s="1211" t="s">
        <v>37</v>
      </c>
      <c r="AH25" s="1211" t="s">
        <v>38</v>
      </c>
      <c r="AI25" s="1211" t="s">
        <v>39</v>
      </c>
      <c r="AJ25" s="1211" t="s">
        <v>40</v>
      </c>
      <c r="AK25" s="1211" t="s">
        <v>41</v>
      </c>
      <c r="AL25" s="1211" t="s">
        <v>42</v>
      </c>
      <c r="AM25" s="1211" t="s">
        <v>43</v>
      </c>
      <c r="AN25" s="1211" t="s">
        <v>44</v>
      </c>
      <c r="AO25" s="1590" t="str">
        <f>AO4</f>
        <v>Jan'16</v>
      </c>
      <c r="AP25" s="1211" t="s">
        <v>34</v>
      </c>
      <c r="AQ25" s="1211" t="s">
        <v>35</v>
      </c>
      <c r="AR25" s="1211" t="s">
        <v>36</v>
      </c>
      <c r="AS25" s="1211" t="s">
        <v>37</v>
      </c>
      <c r="AT25" s="1211" t="s">
        <v>38</v>
      </c>
      <c r="AU25" s="1211" t="s">
        <v>39</v>
      </c>
      <c r="AV25" s="1211" t="s">
        <v>40</v>
      </c>
      <c r="AW25" s="1211" t="s">
        <v>41</v>
      </c>
      <c r="AX25" s="1211" t="s">
        <v>42</v>
      </c>
      <c r="AY25" s="1211" t="s">
        <v>43</v>
      </c>
      <c r="AZ25" s="1211" t="s">
        <v>44</v>
      </c>
      <c r="BA25" s="1211" t="s">
        <v>4133</v>
      </c>
      <c r="BB25" s="1211" t="s">
        <v>34</v>
      </c>
      <c r="BC25" s="1211" t="s">
        <v>35</v>
      </c>
      <c r="BD25" s="1211" t="s">
        <v>36</v>
      </c>
      <c r="BE25" s="1590" t="s">
        <v>37</v>
      </c>
      <c r="BF25" s="1211" t="s">
        <v>38</v>
      </c>
      <c r="BG25" s="1211" t="s">
        <v>39</v>
      </c>
      <c r="BH25" s="1211" t="s">
        <v>40</v>
      </c>
      <c r="BI25" s="1211" t="s">
        <v>41</v>
      </c>
      <c r="BJ25" s="1211" t="s">
        <v>42</v>
      </c>
      <c r="BK25" s="1211" t="s">
        <v>43</v>
      </c>
      <c r="BL25" s="1211" t="s">
        <v>44</v>
      </c>
      <c r="BM25" s="1218" t="s">
        <v>108</v>
      </c>
      <c r="BN25" s="1218" t="s">
        <v>555</v>
      </c>
      <c r="BO25" s="1016" t="str">
        <f>INDEX(AO25:AZ25,1,MATCH($A$2,$AO$3:$AZ$3,0))</f>
        <v>Jul</v>
      </c>
    </row>
    <row r="26" spans="2:68">
      <c r="B26" s="1219" t="s">
        <v>1</v>
      </c>
      <c r="C26" s="2102">
        <f>SUMIF($BA$3:$BL$3, "&lt;=" &amp;$A$2, $BA$26:$BL$26)</f>
        <v>159266.37799054454</v>
      </c>
      <c r="D26" s="1219"/>
      <c r="E26" s="174">
        <v>600</v>
      </c>
      <c r="F26" s="174">
        <v>550</v>
      </c>
      <c r="G26" s="174">
        <v>850</v>
      </c>
      <c r="H26" s="174">
        <v>1100</v>
      </c>
      <c r="I26" s="174">
        <v>1500</v>
      </c>
      <c r="J26" s="174">
        <v>2000</v>
      </c>
      <c r="K26" s="174">
        <v>1700</v>
      </c>
      <c r="L26" s="174">
        <v>2000</v>
      </c>
      <c r="M26" s="174">
        <v>2500</v>
      </c>
      <c r="N26" s="174">
        <v>1700</v>
      </c>
      <c r="O26" s="174">
        <v>2200</v>
      </c>
      <c r="P26" s="174">
        <v>2600</v>
      </c>
      <c r="Q26" s="174">
        <v>1460</v>
      </c>
      <c r="R26" s="174">
        <v>1490</v>
      </c>
      <c r="S26" s="174">
        <v>2000</v>
      </c>
      <c r="T26" s="174">
        <v>2260</v>
      </c>
      <c r="U26" s="174">
        <v>2670</v>
      </c>
      <c r="V26" s="174">
        <v>3565</v>
      </c>
      <c r="W26" s="174">
        <v>3460</v>
      </c>
      <c r="X26" s="174">
        <v>3780</v>
      </c>
      <c r="Y26" s="174">
        <v>4620</v>
      </c>
      <c r="Z26" s="174">
        <v>4180</v>
      </c>
      <c r="AA26" s="174">
        <v>4340</v>
      </c>
      <c r="AB26" s="174">
        <v>5180</v>
      </c>
      <c r="AC26" s="1595">
        <v>9824</v>
      </c>
      <c r="AD26" s="174">
        <v>5897</v>
      </c>
      <c r="AE26" s="174">
        <v>11783</v>
      </c>
      <c r="AF26" s="174">
        <v>13752</v>
      </c>
      <c r="AG26" s="174">
        <v>15708</v>
      </c>
      <c r="AH26" s="174">
        <v>17680</v>
      </c>
      <c r="AI26" s="174">
        <v>11783</v>
      </c>
      <c r="AJ26" s="174">
        <v>13751</v>
      </c>
      <c r="AK26" s="174">
        <v>19637</v>
      </c>
      <c r="AL26" s="174">
        <v>15708</v>
      </c>
      <c r="AM26" s="174">
        <v>21605</v>
      </c>
      <c r="AN26" s="174">
        <v>39270</v>
      </c>
      <c r="AO26" s="764">
        <v>8800</v>
      </c>
      <c r="AP26" s="764">
        <v>6600.0000000000009</v>
      </c>
      <c r="AQ26" s="764">
        <v>17600</v>
      </c>
      <c r="AR26" s="764">
        <v>23100.000000000004</v>
      </c>
      <c r="AS26" s="764">
        <v>19800</v>
      </c>
      <c r="AT26" s="764">
        <v>25850.000000000004</v>
      </c>
      <c r="AU26" s="1909">
        <v>17319.69118785</v>
      </c>
      <c r="AV26" s="1909">
        <v>20802.433020796401</v>
      </c>
      <c r="AW26" s="1909">
        <v>24916.049684906597</v>
      </c>
      <c r="AX26" s="1909">
        <v>23237.593391695147</v>
      </c>
      <c r="AY26" s="1909">
        <v>26532.987180904391</v>
      </c>
      <c r="AZ26" s="1909">
        <v>35258.948269423709</v>
      </c>
      <c r="BA26" s="1909">
        <v>10048.466008322941</v>
      </c>
      <c r="BB26" s="1909">
        <v>9829.9856658560384</v>
      </c>
      <c r="BC26" s="1909">
        <v>26330.932833623116</v>
      </c>
      <c r="BD26" s="1909">
        <v>24764.776055533035</v>
      </c>
      <c r="BE26" s="1909">
        <v>28629.401880383874</v>
      </c>
      <c r="BF26" s="1909">
        <v>30700.415054812082</v>
      </c>
      <c r="BG26" s="1909">
        <v>28962.400492013472</v>
      </c>
      <c r="BH26" s="764">
        <v>31585.854977271927</v>
      </c>
      <c r="BI26" s="764">
        <v>33893.43770094616</v>
      </c>
      <c r="BJ26" s="764">
        <v>32930.364390066279</v>
      </c>
      <c r="BK26" s="764">
        <v>36423.238408592952</v>
      </c>
      <c r="BL26" s="764">
        <v>39702.942964118221</v>
      </c>
      <c r="BM26" s="175">
        <f>SUM(E26:P26)</f>
        <v>19300</v>
      </c>
      <c r="BN26" s="175">
        <v>39005</v>
      </c>
      <c r="BO26" s="1595">
        <f>INDEX(BA26:BL26,1,MATCH($A$2,$AO$3:$AZ$3,0))</f>
        <v>28962.400492013472</v>
      </c>
    </row>
    <row r="27" spans="2:68">
      <c r="B27" s="1219" t="s">
        <v>2</v>
      </c>
      <c r="C27" s="2102">
        <f>SUMIF($BA$3:$BL$3, "&lt;=" &amp;$A$2, $BA$27:$BL$27)</f>
        <v>159266.37799054454</v>
      </c>
      <c r="D27" s="1219"/>
      <c r="E27" s="176">
        <v>498</v>
      </c>
      <c r="F27" s="176">
        <v>456.5</v>
      </c>
      <c r="G27" s="176">
        <v>705.5</v>
      </c>
      <c r="H27" s="176">
        <v>913</v>
      </c>
      <c r="I27" s="176">
        <v>1245</v>
      </c>
      <c r="J27" s="176">
        <v>1660</v>
      </c>
      <c r="K27" s="176">
        <v>1411</v>
      </c>
      <c r="L27" s="176">
        <v>1660</v>
      </c>
      <c r="M27" s="176">
        <v>2075</v>
      </c>
      <c r="N27" s="176">
        <v>1411</v>
      </c>
      <c r="O27" s="176">
        <v>1826</v>
      </c>
      <c r="P27" s="176">
        <v>2158</v>
      </c>
      <c r="Q27" s="176">
        <v>1255.5999999999999</v>
      </c>
      <c r="R27" s="176">
        <v>1281.4000000000001</v>
      </c>
      <c r="S27" s="176">
        <v>1720</v>
      </c>
      <c r="T27" s="176">
        <v>1943.6</v>
      </c>
      <c r="U27" s="176">
        <v>2296.1999999999998</v>
      </c>
      <c r="V27" s="176">
        <v>3065.9</v>
      </c>
      <c r="W27" s="176">
        <v>2975.6</v>
      </c>
      <c r="X27" s="176">
        <v>3250.7999999999997</v>
      </c>
      <c r="Y27" s="176">
        <v>3973.2</v>
      </c>
      <c r="Z27" s="176">
        <v>3594.7999999999997</v>
      </c>
      <c r="AA27" s="176">
        <v>3732.4</v>
      </c>
      <c r="AB27" s="176">
        <v>4454.8</v>
      </c>
      <c r="AC27" s="1595">
        <v>9350</v>
      </c>
      <c r="AD27" s="176">
        <v>5610</v>
      </c>
      <c r="AE27" s="176">
        <v>11220</v>
      </c>
      <c r="AF27" s="176">
        <v>13090.000000000002</v>
      </c>
      <c r="AG27" s="176">
        <v>14960</v>
      </c>
      <c r="AH27" s="176">
        <v>16830</v>
      </c>
      <c r="AI27" s="176">
        <v>11220</v>
      </c>
      <c r="AJ27" s="176">
        <v>13090.000000000002</v>
      </c>
      <c r="AK27" s="176">
        <v>18700</v>
      </c>
      <c r="AL27" s="176">
        <v>14960</v>
      </c>
      <c r="AM27" s="176">
        <v>20570</v>
      </c>
      <c r="AN27" s="176">
        <v>37400</v>
      </c>
      <c r="AO27" s="768">
        <v>8800</v>
      </c>
      <c r="AP27" s="768">
        <v>6600.0000000000009</v>
      </c>
      <c r="AQ27" s="768">
        <v>17600</v>
      </c>
      <c r="AR27" s="768">
        <v>23100.000000000004</v>
      </c>
      <c r="AS27" s="768">
        <v>19800</v>
      </c>
      <c r="AT27" s="768">
        <v>25850.000000000004</v>
      </c>
      <c r="AU27" s="768">
        <v>22801</v>
      </c>
      <c r="AV27" s="1948">
        <f t="shared" ref="AV27:BL27" si="38">AU27/AU26*AV26</f>
        <v>27385.954527868147</v>
      </c>
      <c r="AW27" s="1948">
        <f t="shared" si="38"/>
        <v>32801.442167981193</v>
      </c>
      <c r="AX27" s="1948">
        <f t="shared" si="38"/>
        <v>30591.790649000213</v>
      </c>
      <c r="AY27" s="1948">
        <f t="shared" si="38"/>
        <v>34930.10551690447</v>
      </c>
      <c r="AZ27" s="1948">
        <f t="shared" si="38"/>
        <v>46417.645139949396</v>
      </c>
      <c r="BA27" s="1948">
        <f>BA26</f>
        <v>10048.466008322941</v>
      </c>
      <c r="BB27" s="1948">
        <f t="shared" si="38"/>
        <v>9829.9856658560384</v>
      </c>
      <c r="BC27" s="1948">
        <f t="shared" si="38"/>
        <v>26330.932833623116</v>
      </c>
      <c r="BD27" s="1948">
        <f t="shared" si="38"/>
        <v>24764.776055533035</v>
      </c>
      <c r="BE27" s="1948">
        <f t="shared" si="38"/>
        <v>28629.401880383874</v>
      </c>
      <c r="BF27" s="1948">
        <f t="shared" si="38"/>
        <v>30700.415054812082</v>
      </c>
      <c r="BG27" s="1948">
        <f t="shared" si="38"/>
        <v>28962.400492013472</v>
      </c>
      <c r="BH27" s="1948">
        <f t="shared" si="38"/>
        <v>31585.854977271927</v>
      </c>
      <c r="BI27" s="1948">
        <f t="shared" si="38"/>
        <v>33893.43770094616</v>
      </c>
      <c r="BJ27" s="1948">
        <f t="shared" si="38"/>
        <v>32930.364390066279</v>
      </c>
      <c r="BK27" s="1948">
        <f t="shared" si="38"/>
        <v>36423.238408592952</v>
      </c>
      <c r="BL27" s="1948">
        <f t="shared" si="38"/>
        <v>39702.942964118221</v>
      </c>
      <c r="BM27" s="177">
        <f>SUM(E27:P27)</f>
        <v>16019</v>
      </c>
      <c r="BN27" s="177">
        <v>33544.300000000003</v>
      </c>
      <c r="BO27" s="1595">
        <f t="shared" ref="BO27:BO44" si="39">INDEX(BA27:BL27,1,MATCH($A$2,$AO$3:$AZ$3,0))</f>
        <v>28962.400492013472</v>
      </c>
    </row>
    <row r="28" spans="2:68">
      <c r="B28" s="1219" t="s">
        <v>7</v>
      </c>
      <c r="C28" s="2102">
        <f>SUMIF($BA$3:$BL$3, "=" &amp;$A$2, $BA$28:$BL$28)</f>
        <v>4685.4053373888992</v>
      </c>
      <c r="D28" s="1219"/>
      <c r="E28" s="1221">
        <v>87</v>
      </c>
      <c r="F28" s="1221">
        <v>94</v>
      </c>
      <c r="G28" s="1221">
        <v>125</v>
      </c>
      <c r="H28" s="1221">
        <v>166</v>
      </c>
      <c r="I28" s="1221">
        <v>227</v>
      </c>
      <c r="J28" s="1221">
        <v>280</v>
      </c>
      <c r="K28" s="1221">
        <v>317</v>
      </c>
      <c r="L28" s="1221">
        <v>349</v>
      </c>
      <c r="M28" s="1221">
        <v>382</v>
      </c>
      <c r="N28" s="1221">
        <v>410</v>
      </c>
      <c r="O28" s="1221">
        <v>434</v>
      </c>
      <c r="P28" s="1221">
        <v>457</v>
      </c>
      <c r="Q28" s="1221">
        <v>357</v>
      </c>
      <c r="R28" s="1221">
        <v>353</v>
      </c>
      <c r="S28" s="1221">
        <v>379</v>
      </c>
      <c r="T28" s="1221">
        <v>450</v>
      </c>
      <c r="U28" s="1221">
        <v>529</v>
      </c>
      <c r="V28" s="1221">
        <v>603</v>
      </c>
      <c r="W28" s="1221">
        <v>666</v>
      </c>
      <c r="X28" s="1221">
        <v>716</v>
      </c>
      <c r="Y28" s="1221">
        <v>751</v>
      </c>
      <c r="Z28" s="1221">
        <v>781</v>
      </c>
      <c r="AA28" s="1221">
        <v>809</v>
      </c>
      <c r="AB28" s="1221">
        <v>834</v>
      </c>
      <c r="AC28" s="1221">
        <v>1359</v>
      </c>
      <c r="AD28" s="1221">
        <v>1443</v>
      </c>
      <c r="AE28" s="1221">
        <v>1673</v>
      </c>
      <c r="AF28" s="1221">
        <v>1884</v>
      </c>
      <c r="AG28" s="1221">
        <v>2094</v>
      </c>
      <c r="AH28" s="1221">
        <v>2293</v>
      </c>
      <c r="AI28" s="1221">
        <v>2477</v>
      </c>
      <c r="AJ28" s="1221">
        <v>2648</v>
      </c>
      <c r="AK28" s="1221">
        <v>2810</v>
      </c>
      <c r="AL28" s="1221">
        <v>2970</v>
      </c>
      <c r="AM28" s="1221">
        <v>3200</v>
      </c>
      <c r="AN28" s="1221">
        <v>3429</v>
      </c>
      <c r="AO28" s="1222">
        <v>1961</v>
      </c>
      <c r="AP28" s="1222">
        <v>2019</v>
      </c>
      <c r="AQ28" s="1222">
        <v>2260</v>
      </c>
      <c r="AR28" s="1222">
        <v>2418</v>
      </c>
      <c r="AS28" s="1222">
        <v>2609</v>
      </c>
      <c r="AT28" s="1222">
        <v>2950</v>
      </c>
      <c r="AU28" s="1894">
        <v>2351.3585899999998</v>
      </c>
      <c r="AV28" s="1894">
        <v>2714.6469440999999</v>
      </c>
      <c r="AW28" s="1894">
        <v>2905.7980351589999</v>
      </c>
      <c r="AX28" s="1894">
        <v>3069.766279134275</v>
      </c>
      <c r="AY28" s="1894">
        <v>3360.5837528297093</v>
      </c>
      <c r="AZ28" s="1894">
        <v>3884.6763645257588</v>
      </c>
      <c r="BA28" s="1894">
        <v>4089.0213894900098</v>
      </c>
      <c r="BB28" s="1894">
        <v>4146.6417886278978</v>
      </c>
      <c r="BC28" s="1894">
        <v>4365.0061544708824</v>
      </c>
      <c r="BD28" s="1894">
        <v>4479.5312891393423</v>
      </c>
      <c r="BE28" s="1894">
        <v>4562.584687043679</v>
      </c>
      <c r="BF28" s="1894">
        <v>4817.0767898369859</v>
      </c>
      <c r="BG28" s="1894">
        <v>4685.4053373888992</v>
      </c>
      <c r="BH28" s="768">
        <v>4731.6060606190413</v>
      </c>
      <c r="BI28" s="768">
        <v>5033.0369270043784</v>
      </c>
      <c r="BJ28" s="768">
        <v>5141.8141916097966</v>
      </c>
      <c r="BK28" s="768">
        <v>5376.8788394738713</v>
      </c>
      <c r="BL28" s="768">
        <v>5901.3945262194566</v>
      </c>
      <c r="BM28" s="1223">
        <f>+P28</f>
        <v>457</v>
      </c>
      <c r="BN28" s="1223">
        <v>834</v>
      </c>
      <c r="BO28" s="1595">
        <f t="shared" si="39"/>
        <v>4685.4053373888992</v>
      </c>
    </row>
    <row r="29" spans="2:68">
      <c r="B29" s="1219" t="s">
        <v>96</v>
      </c>
      <c r="C29" s="2102">
        <f>SUMIF($BA$3:$BL$3, "&lt;=" &amp;$A$2, $BA$29:$BL$29) /$A$2</f>
        <v>4392.1289927951602</v>
      </c>
      <c r="D29" s="1219"/>
      <c r="E29" s="1219">
        <v>80</v>
      </c>
      <c r="F29" s="1221">
        <v>90.5</v>
      </c>
      <c r="G29" s="1221">
        <v>109.5</v>
      </c>
      <c r="H29" s="1221">
        <v>145.5</v>
      </c>
      <c r="I29" s="1221">
        <v>196.5</v>
      </c>
      <c r="J29" s="1221">
        <v>253.5</v>
      </c>
      <c r="K29" s="1221">
        <v>298.5</v>
      </c>
      <c r="L29" s="1221">
        <v>333</v>
      </c>
      <c r="M29" s="1221">
        <v>365.5</v>
      </c>
      <c r="N29" s="1221">
        <v>396</v>
      </c>
      <c r="O29" s="1221">
        <v>422</v>
      </c>
      <c r="P29" s="1221">
        <v>445.5</v>
      </c>
      <c r="Q29" s="176">
        <v>348.45340851380229</v>
      </c>
      <c r="R29" s="176">
        <v>355.02488845092631</v>
      </c>
      <c r="S29" s="176">
        <v>365.88008496964926</v>
      </c>
      <c r="T29" s="176">
        <v>414.53435582760437</v>
      </c>
      <c r="U29" s="176">
        <v>489.63124182413219</v>
      </c>
      <c r="V29" s="176">
        <v>565.724115496536</v>
      </c>
      <c r="W29" s="176">
        <v>634.46214015045553</v>
      </c>
      <c r="X29" s="176">
        <v>691.34690910387599</v>
      </c>
      <c r="Y29" s="176">
        <v>733.4993423358369</v>
      </c>
      <c r="Z29" s="176">
        <v>765.98021344908625</v>
      </c>
      <c r="AA29" s="176">
        <v>795.18105798630813</v>
      </c>
      <c r="AB29" s="176">
        <v>821.40412527796093</v>
      </c>
      <c r="AC29" s="176">
        <v>1278</v>
      </c>
      <c r="AD29" s="176">
        <v>1401</v>
      </c>
      <c r="AE29" s="176">
        <v>1558</v>
      </c>
      <c r="AF29" s="176">
        <v>1779</v>
      </c>
      <c r="AG29" s="176">
        <v>1989</v>
      </c>
      <c r="AH29" s="176">
        <v>2194</v>
      </c>
      <c r="AI29" s="176">
        <v>2385</v>
      </c>
      <c r="AJ29" s="176">
        <v>2563</v>
      </c>
      <c r="AK29" s="176">
        <v>2729</v>
      </c>
      <c r="AL29" s="176">
        <v>2890</v>
      </c>
      <c r="AM29" s="176">
        <v>3085</v>
      </c>
      <c r="AN29" s="176">
        <v>3315</v>
      </c>
      <c r="AO29" s="768">
        <v>1945</v>
      </c>
      <c r="AP29" s="768">
        <v>1990</v>
      </c>
      <c r="AQ29" s="768">
        <v>2140</v>
      </c>
      <c r="AR29" s="768">
        <v>2339</v>
      </c>
      <c r="AS29" s="768">
        <v>2514</v>
      </c>
      <c r="AT29" s="768">
        <v>2780</v>
      </c>
      <c r="AU29" s="1945">
        <f>AVERAGE(AT28:AU28)</f>
        <v>2650.6792949999999</v>
      </c>
      <c r="AV29" s="1945">
        <f t="shared" ref="AV29:BA29" si="40">AVERAGE(AU28:AV28)</f>
        <v>2533.0027670499999</v>
      </c>
      <c r="AW29" s="1945">
        <f t="shared" si="40"/>
        <v>2810.2224896295002</v>
      </c>
      <c r="AX29" s="1945">
        <f t="shared" si="40"/>
        <v>2987.7821571466375</v>
      </c>
      <c r="AY29" s="1945">
        <f t="shared" si="40"/>
        <v>3215.1750159819921</v>
      </c>
      <c r="AZ29" s="1945">
        <f t="shared" si="40"/>
        <v>3622.6300586777343</v>
      </c>
      <c r="BA29" s="1945">
        <f t="shared" si="40"/>
        <v>3986.8488770078843</v>
      </c>
      <c r="BB29" s="1945">
        <f t="shared" ref="BB29:BL29" si="41">AVERAGE(BA28:BB28)</f>
        <v>4117.8315890589538</v>
      </c>
      <c r="BC29" s="1945">
        <f t="shared" si="41"/>
        <v>4255.8239715493901</v>
      </c>
      <c r="BD29" s="1945">
        <f t="shared" si="41"/>
        <v>4422.2687218051124</v>
      </c>
      <c r="BE29" s="1945">
        <f t="shared" si="41"/>
        <v>4521.0579880915102</v>
      </c>
      <c r="BF29" s="1945">
        <f t="shared" si="41"/>
        <v>4689.8307384403324</v>
      </c>
      <c r="BG29" s="1945">
        <f t="shared" si="41"/>
        <v>4751.2410636129425</v>
      </c>
      <c r="BH29" s="1945">
        <f t="shared" si="41"/>
        <v>4708.5056990039702</v>
      </c>
      <c r="BI29" s="1945">
        <f t="shared" si="41"/>
        <v>4882.3214938117098</v>
      </c>
      <c r="BJ29" s="1945">
        <f t="shared" si="41"/>
        <v>5087.4255593070875</v>
      </c>
      <c r="BK29" s="1945">
        <f t="shared" si="41"/>
        <v>5259.3465155418344</v>
      </c>
      <c r="BL29" s="1945">
        <f t="shared" si="41"/>
        <v>5639.1366828466635</v>
      </c>
      <c r="BM29" s="1223">
        <f>SUM(E29:P29)</f>
        <v>3136</v>
      </c>
      <c r="BN29" s="780">
        <f>581.760156948848 * 12</f>
        <v>6981.1218833861767</v>
      </c>
      <c r="BO29" s="1595">
        <f t="shared" si="39"/>
        <v>4751.2410636129425</v>
      </c>
    </row>
    <row r="30" spans="2:68">
      <c r="B30" s="1219" t="s">
        <v>109</v>
      </c>
      <c r="C30" s="2102">
        <f>SUMIF($BA$3:$BL$3, "=" &amp;$A$2, $BA$30:$BL$30)</f>
        <v>857.84841689412337</v>
      </c>
      <c r="D30" s="1219"/>
      <c r="E30" s="1221">
        <v>17</v>
      </c>
      <c r="F30" s="1221">
        <v>17</v>
      </c>
      <c r="G30" s="1221">
        <v>32</v>
      </c>
      <c r="H30" s="1221">
        <v>47</v>
      </c>
      <c r="I30" s="1221">
        <v>62</v>
      </c>
      <c r="J30" s="1221">
        <v>72</v>
      </c>
      <c r="K30" s="1221">
        <v>82</v>
      </c>
      <c r="L30" s="1221">
        <v>92</v>
      </c>
      <c r="M30" s="1221">
        <v>102</v>
      </c>
      <c r="N30" s="1221">
        <v>127</v>
      </c>
      <c r="O30" s="1221">
        <v>127</v>
      </c>
      <c r="P30" s="1221">
        <v>127</v>
      </c>
      <c r="Q30" s="1221">
        <v>77</v>
      </c>
      <c r="R30" s="1221">
        <v>75</v>
      </c>
      <c r="S30" s="1221">
        <v>73</v>
      </c>
      <c r="T30" s="1221">
        <v>85</v>
      </c>
      <c r="U30" s="1221">
        <v>98</v>
      </c>
      <c r="V30" s="1221">
        <v>110</v>
      </c>
      <c r="W30" s="1221">
        <v>127</v>
      </c>
      <c r="X30" s="1221">
        <v>134</v>
      </c>
      <c r="Y30" s="1221">
        <v>130</v>
      </c>
      <c r="Z30" s="1221">
        <v>133</v>
      </c>
      <c r="AA30" s="1221">
        <v>129</v>
      </c>
      <c r="AB30" s="1221">
        <v>126</v>
      </c>
      <c r="AC30" s="1221">
        <v>291.64999999999998</v>
      </c>
      <c r="AD30" s="1956">
        <v>334.06749999999994</v>
      </c>
      <c r="AE30" s="1956">
        <v>374.36412499999994</v>
      </c>
      <c r="AF30" s="1956">
        <v>412.64591874999991</v>
      </c>
      <c r="AG30" s="1956">
        <v>449.01362281249988</v>
      </c>
      <c r="AH30" s="1956">
        <v>483.56294167187485</v>
      </c>
      <c r="AI30" s="1956">
        <v>516.38479458828101</v>
      </c>
      <c r="AJ30" s="1956">
        <v>547.56555485886702</v>
      </c>
      <c r="AK30" s="1956">
        <v>577.18727711592362</v>
      </c>
      <c r="AL30" s="1956">
        <v>605.32791326012739</v>
      </c>
      <c r="AM30" s="1956">
        <v>632.061517597121</v>
      </c>
      <c r="AN30" s="1956">
        <v>657.45844171726492</v>
      </c>
      <c r="AO30" s="1944">
        <v>362.95</v>
      </c>
      <c r="AP30" s="1944">
        <v>308.50749999999999</v>
      </c>
      <c r="AQ30" s="1944">
        <v>262.23137500000001</v>
      </c>
      <c r="AR30" s="1944">
        <v>233.89666875</v>
      </c>
      <c r="AS30" s="1944">
        <v>216.81216843749999</v>
      </c>
      <c r="AT30" s="1944">
        <v>184.29034317187498</v>
      </c>
      <c r="AU30" s="1894">
        <v>557.60850000000005</v>
      </c>
      <c r="AV30" s="1894">
        <v>613.95991500000002</v>
      </c>
      <c r="AW30" s="1894">
        <v>670.75281585000005</v>
      </c>
      <c r="AX30" s="1894">
        <v>693.72490774125004</v>
      </c>
      <c r="AY30" s="1894">
        <v>752.81372562663751</v>
      </c>
      <c r="AZ30" s="1894">
        <v>815.77566055354316</v>
      </c>
      <c r="BA30" s="1894">
        <v>753.68163325774992</v>
      </c>
      <c r="BB30" s="1894">
        <v>788.93471395919232</v>
      </c>
      <c r="BC30" s="1894">
        <v>836.730677379913</v>
      </c>
      <c r="BD30" s="1894">
        <v>787.63498543792321</v>
      </c>
      <c r="BE30" s="1894">
        <v>841.87497576993189</v>
      </c>
      <c r="BF30" s="1894">
        <v>916.13274556372653</v>
      </c>
      <c r="BG30" s="1894">
        <v>857.84841689412337</v>
      </c>
      <c r="BH30" s="1944">
        <v>910.34934734596732</v>
      </c>
      <c r="BI30" s="1944">
        <v>985.12575033492635</v>
      </c>
      <c r="BJ30" s="1944">
        <v>921.54158429427275</v>
      </c>
      <c r="BK30" s="1944">
        <v>979.35126972294472</v>
      </c>
      <c r="BL30" s="1944">
        <v>1042.2386677472709</v>
      </c>
      <c r="BM30" s="2092">
        <v>1466.1941337122016</v>
      </c>
      <c r="BN30" s="781">
        <f>AVERAGE(Q30:AB30) * 12</f>
        <v>1297</v>
      </c>
      <c r="BO30" s="1595">
        <f t="shared" si="39"/>
        <v>857.84841689412337</v>
      </c>
    </row>
    <row r="31" spans="2:68">
      <c r="B31" s="1219" t="s">
        <v>21</v>
      </c>
      <c r="C31" s="2288">
        <f>C32/SUM(BA29:INDEX(BA29:BL29,A2))</f>
        <v>0.17525428529463785</v>
      </c>
      <c r="D31" s="1219"/>
      <c r="E31" s="167">
        <v>0.36249999999999999</v>
      </c>
      <c r="F31" s="167">
        <v>0.2983425414364641</v>
      </c>
      <c r="G31" s="167">
        <v>0.37442922374429222</v>
      </c>
      <c r="H31" s="167">
        <v>0.36426116838487971</v>
      </c>
      <c r="I31" s="167">
        <v>0.37150127226463103</v>
      </c>
      <c r="J31" s="167">
        <v>0.38264299802761342</v>
      </c>
      <c r="K31" s="167">
        <v>0.27805695142378561</v>
      </c>
      <c r="L31" s="167">
        <v>0.29129129129129128</v>
      </c>
      <c r="M31" s="167">
        <v>0.33105335157318744</v>
      </c>
      <c r="N31" s="167">
        <v>0.20959595959595959</v>
      </c>
      <c r="O31" s="167">
        <v>0.25355450236966826</v>
      </c>
      <c r="P31" s="167">
        <v>0.28507295173961839</v>
      </c>
      <c r="Q31" s="167">
        <v>0.2</v>
      </c>
      <c r="R31" s="167">
        <v>0.2</v>
      </c>
      <c r="S31" s="167">
        <v>0.26</v>
      </c>
      <c r="T31" s="167">
        <v>0.26</v>
      </c>
      <c r="U31" s="167">
        <v>0.26</v>
      </c>
      <c r="V31" s="167">
        <v>0.3</v>
      </c>
      <c r="W31" s="167">
        <v>0.26</v>
      </c>
      <c r="X31" s="167">
        <v>0.26</v>
      </c>
      <c r="Y31" s="167">
        <v>0.3</v>
      </c>
      <c r="Z31" s="167">
        <v>0.26</v>
      </c>
      <c r="AA31" s="167">
        <v>0.26</v>
      </c>
      <c r="AB31" s="167">
        <v>0.3</v>
      </c>
      <c r="AC31" s="167">
        <v>0.28000000000000003</v>
      </c>
      <c r="AD31" s="167">
        <v>0.28000000000000003</v>
      </c>
      <c r="AE31" s="167">
        <v>0.28000000000000003</v>
      </c>
      <c r="AF31" s="167">
        <v>0.28000000000000003</v>
      </c>
      <c r="AG31" s="167">
        <v>0.28000000000000003</v>
      </c>
      <c r="AH31" s="167">
        <v>0.28000000000000003</v>
      </c>
      <c r="AI31" s="167">
        <v>0.28000000000000003</v>
      </c>
      <c r="AJ31" s="167">
        <v>0.28000000000000003</v>
      </c>
      <c r="AK31" s="167">
        <v>0.28000000000000003</v>
      </c>
      <c r="AL31" s="167">
        <v>0.28000000000000003</v>
      </c>
      <c r="AM31" s="167">
        <v>0.28000000000000003</v>
      </c>
      <c r="AN31" s="167">
        <v>0.28000000000000003</v>
      </c>
      <c r="AO31" s="766">
        <v>0.28000000000000003</v>
      </c>
      <c r="AP31" s="766">
        <v>0.28000000000000003</v>
      </c>
      <c r="AQ31" s="766">
        <v>0.28000000000000003</v>
      </c>
      <c r="AR31" s="766">
        <v>0.28000000000000003</v>
      </c>
      <c r="AS31" s="766">
        <v>0.28000000000000003</v>
      </c>
      <c r="AT31" s="766">
        <v>0.28000000000000003</v>
      </c>
      <c r="AU31" s="1949">
        <v>0.20492493512016816</v>
      </c>
      <c r="AV31" s="1949">
        <v>0.21379114202580479</v>
      </c>
      <c r="AW31" s="1949">
        <v>0.22452365007299299</v>
      </c>
      <c r="AX31" s="1949">
        <v>0.21493942969078983</v>
      </c>
      <c r="AY31" s="1949">
        <v>0.22348891436873505</v>
      </c>
      <c r="AZ31" s="1949">
        <v>0.23672116559762552</v>
      </c>
      <c r="BA31" s="1949">
        <v>0.10887124198067767</v>
      </c>
      <c r="BB31" s="1949">
        <v>0.10467021340047815</v>
      </c>
      <c r="BC31" s="1949">
        <v>0.19793166023519423</v>
      </c>
      <c r="BD31" s="1949">
        <v>0.19262254483580823</v>
      </c>
      <c r="BE31" s="1949">
        <v>0.19906736721111917</v>
      </c>
      <c r="BF31" s="1949">
        <v>0.20451340059717008</v>
      </c>
      <c r="BG31" s="1949">
        <v>0.20411281539932316</v>
      </c>
      <c r="BH31" s="766">
        <v>0.20758156144156578</v>
      </c>
      <c r="BI31" s="766">
        <v>0.21182208715449441</v>
      </c>
      <c r="BJ31" s="766">
        <v>0.21077028957825217</v>
      </c>
      <c r="BK31" s="766">
        <v>0.21281543666497549</v>
      </c>
      <c r="BL31" s="766">
        <v>0.21562811572320686</v>
      </c>
      <c r="BM31" s="168">
        <f>+BM32/BM29</f>
        <v>0.29910714285714285</v>
      </c>
      <c r="BN31" s="168">
        <v>0.26614633450559133</v>
      </c>
      <c r="BO31" s="475">
        <f t="shared" si="39"/>
        <v>0.20411281539932316</v>
      </c>
    </row>
    <row r="32" spans="2:68">
      <c r="B32" s="1219" t="s">
        <v>60</v>
      </c>
      <c r="C32" s="2102">
        <f>SUMIF($BA$3:$BL$3, "&lt;=" &amp;$A$2, $BA$32:$BL$32)</f>
        <v>5388.1759928792144</v>
      </c>
      <c r="D32" s="1219"/>
      <c r="E32" s="1221">
        <v>29</v>
      </c>
      <c r="F32" s="1221">
        <v>27</v>
      </c>
      <c r="G32" s="1221">
        <v>41</v>
      </c>
      <c r="H32" s="1221">
        <v>53</v>
      </c>
      <c r="I32" s="1221">
        <v>73</v>
      </c>
      <c r="J32" s="1221">
        <v>97</v>
      </c>
      <c r="K32" s="1221">
        <v>83</v>
      </c>
      <c r="L32" s="1221">
        <v>97</v>
      </c>
      <c r="M32" s="1221">
        <v>121</v>
      </c>
      <c r="N32" s="1221">
        <v>83</v>
      </c>
      <c r="O32" s="1221">
        <v>107</v>
      </c>
      <c r="P32" s="1221">
        <v>127</v>
      </c>
      <c r="Q32" s="1221">
        <v>70</v>
      </c>
      <c r="R32" s="1221">
        <v>71</v>
      </c>
      <c r="S32" s="1221">
        <v>95</v>
      </c>
      <c r="T32" s="1221">
        <v>108</v>
      </c>
      <c r="U32" s="1221">
        <v>127</v>
      </c>
      <c r="V32" s="1221">
        <v>170</v>
      </c>
      <c r="W32" s="1221">
        <v>165</v>
      </c>
      <c r="X32" s="1221">
        <v>180</v>
      </c>
      <c r="Y32" s="1221">
        <v>220</v>
      </c>
      <c r="Z32" s="1221">
        <v>199</v>
      </c>
      <c r="AA32" s="1221">
        <v>207</v>
      </c>
      <c r="AB32" s="1221">
        <v>246</v>
      </c>
      <c r="AC32" s="1016">
        <v>337</v>
      </c>
      <c r="AD32" s="1221">
        <v>290</v>
      </c>
      <c r="AE32" s="1221">
        <v>501</v>
      </c>
      <c r="AF32" s="1221">
        <v>566</v>
      </c>
      <c r="AG32" s="1221">
        <v>628</v>
      </c>
      <c r="AH32" s="1221">
        <v>687</v>
      </c>
      <c r="AI32" s="1221">
        <v>744</v>
      </c>
      <c r="AJ32" s="1221">
        <v>792</v>
      </c>
      <c r="AK32" s="1221">
        <v>844</v>
      </c>
      <c r="AL32" s="1221">
        <v>891</v>
      </c>
      <c r="AM32" s="1221">
        <v>961</v>
      </c>
      <c r="AN32" s="1221">
        <v>1032</v>
      </c>
      <c r="AO32" s="1222">
        <v>574</v>
      </c>
      <c r="AP32" s="1222">
        <v>295</v>
      </c>
      <c r="AQ32" s="1222">
        <v>534</v>
      </c>
      <c r="AR32" s="1222">
        <v>654</v>
      </c>
      <c r="AS32" s="1222">
        <v>703</v>
      </c>
      <c r="AT32" s="1222">
        <v>821</v>
      </c>
      <c r="AU32" s="1946">
        <f>AU29*AU31</f>
        <v>543.19028255224805</v>
      </c>
      <c r="AV32" s="1946">
        <f t="shared" ref="AV32:BL32" si="42">AV29*AV31</f>
        <v>541.533554322143</v>
      </c>
      <c r="AW32" s="1946">
        <f t="shared" si="42"/>
        <v>630.96141088882905</v>
      </c>
      <c r="AX32" s="1946">
        <f t="shared" si="42"/>
        <v>642.19219289741602</v>
      </c>
      <c r="AY32" s="1946">
        <f t="shared" si="42"/>
        <v>718.55597382729582</v>
      </c>
      <c r="AZ32" s="1946">
        <f t="shared" si="42"/>
        <v>857.55321001918776</v>
      </c>
      <c r="BA32" s="1946">
        <f t="shared" si="42"/>
        <v>434.05318882911843</v>
      </c>
      <c r="BB32" s="1946">
        <f t="shared" si="42"/>
        <v>431.01431117403075</v>
      </c>
      <c r="BC32" s="1946">
        <f t="shared" si="42"/>
        <v>842.36230435750883</v>
      </c>
      <c r="BD32" s="1946">
        <f t="shared" si="42"/>
        <v>851.82865514189768</v>
      </c>
      <c r="BE32" s="1946">
        <f t="shared" si="42"/>
        <v>899.99511069817629</v>
      </c>
      <c r="BF32" s="1946">
        <f t="shared" si="42"/>
        <v>959.13323254356965</v>
      </c>
      <c r="BG32" s="1946">
        <f t="shared" si="42"/>
        <v>969.78919013491236</v>
      </c>
      <c r="BH32" s="1946">
        <f t="shared" si="42"/>
        <v>977.3989650557553</v>
      </c>
      <c r="BI32" s="1946">
        <f t="shared" si="42"/>
        <v>1034.1835289784453</v>
      </c>
      <c r="BJ32" s="1946">
        <f t="shared" si="42"/>
        <v>1072.2781583429564</v>
      </c>
      <c r="BK32" s="1946">
        <f t="shared" si="42"/>
        <v>1119.2701252774527</v>
      </c>
      <c r="BL32" s="1946">
        <f t="shared" si="42"/>
        <v>1215.9564172278413</v>
      </c>
      <c r="BM32" s="1223">
        <f>SUM(E32:P32)</f>
        <v>938</v>
      </c>
      <c r="BN32" s="1223">
        <v>1858</v>
      </c>
      <c r="BO32" s="1595">
        <f t="shared" si="39"/>
        <v>969.78919013491236</v>
      </c>
    </row>
    <row r="33" spans="1:67">
      <c r="B33" s="1219" t="s">
        <v>61</v>
      </c>
      <c r="C33" s="1220">
        <f>C34/C32</f>
        <v>1.6237413301206007</v>
      </c>
      <c r="D33" s="1219"/>
      <c r="E33" s="1221">
        <v>1.4</v>
      </c>
      <c r="F33" s="1221">
        <v>1.4</v>
      </c>
      <c r="G33" s="1221">
        <v>1.4</v>
      </c>
      <c r="H33" s="1221">
        <v>1.4</v>
      </c>
      <c r="I33" s="1221">
        <v>1.4</v>
      </c>
      <c r="J33" s="1221">
        <v>1.4</v>
      </c>
      <c r="K33" s="1221">
        <v>1.4</v>
      </c>
      <c r="L33" s="1221">
        <v>1.4</v>
      </c>
      <c r="M33" s="1221">
        <v>1.4</v>
      </c>
      <c r="N33" s="1221">
        <v>1.4</v>
      </c>
      <c r="O33" s="1221">
        <v>1.4</v>
      </c>
      <c r="P33" s="1221">
        <v>1.4</v>
      </c>
      <c r="Q33" s="1221">
        <v>1.4</v>
      </c>
      <c r="R33" s="1221">
        <v>1.4</v>
      </c>
      <c r="S33" s="1221">
        <v>1.4</v>
      </c>
      <c r="T33" s="1221">
        <v>1.4</v>
      </c>
      <c r="U33" s="1221">
        <v>1.4</v>
      </c>
      <c r="V33" s="1221">
        <v>1.4</v>
      </c>
      <c r="W33" s="1221">
        <v>1.4</v>
      </c>
      <c r="X33" s="1221">
        <v>1.4</v>
      </c>
      <c r="Y33" s="1221">
        <v>1.4</v>
      </c>
      <c r="Z33" s="1221">
        <v>1.4</v>
      </c>
      <c r="AA33" s="1221">
        <v>1.4</v>
      </c>
      <c r="AB33" s="1221">
        <v>1.4</v>
      </c>
      <c r="AC33" s="1615">
        <v>2.0652818991097921</v>
      </c>
      <c r="AD33" s="1957">
        <v>1.4413793103448276</v>
      </c>
      <c r="AE33" s="1957">
        <v>1.6646706586826348</v>
      </c>
      <c r="AF33" s="1957">
        <v>1.7208480565371025</v>
      </c>
      <c r="AG33" s="1957">
        <v>1.7707006369426752</v>
      </c>
      <c r="AH33" s="1957">
        <v>1.8224163027656477</v>
      </c>
      <c r="AI33" s="1957">
        <v>1.1209677419354838</v>
      </c>
      <c r="AJ33" s="1957">
        <v>1.2297979797979799</v>
      </c>
      <c r="AK33" s="1957">
        <v>1.6481042654028435</v>
      </c>
      <c r="AL33" s="1957">
        <v>1.2480359147025815</v>
      </c>
      <c r="AM33" s="1957">
        <v>1.5920915712799169</v>
      </c>
      <c r="AN33" s="1957">
        <v>2.6947674418604652</v>
      </c>
      <c r="AO33" s="1895">
        <v>1.0853658536585367</v>
      </c>
      <c r="AP33" s="1895">
        <v>1.583050847457627</v>
      </c>
      <c r="AQ33" s="1895">
        <v>2.3333333333333335</v>
      </c>
      <c r="AR33" s="1895">
        <v>2.5015290519877675</v>
      </c>
      <c r="AS33" s="1895">
        <v>1.9943100995732574</v>
      </c>
      <c r="AT33" s="1895">
        <v>2.2302070645554202</v>
      </c>
      <c r="AU33" s="1947">
        <v>1.6677842993479368</v>
      </c>
      <c r="AV33" s="1947">
        <v>1.6723547846339399</v>
      </c>
      <c r="AW33" s="1947">
        <v>1.7709728050323468</v>
      </c>
      <c r="AX33" s="1947">
        <v>1.6826740306806565</v>
      </c>
      <c r="AY33" s="1947">
        <v>1.6826798424978218</v>
      </c>
      <c r="AZ33" s="1947">
        <v>1.8687645963650747</v>
      </c>
      <c r="BA33" s="1947">
        <v>1.4000000000000001</v>
      </c>
      <c r="BB33" s="1947">
        <v>1.4</v>
      </c>
      <c r="BC33" s="1947">
        <v>1.6734645636607557</v>
      </c>
      <c r="BD33" s="1947">
        <v>1.5861112012637055</v>
      </c>
      <c r="BE33" s="1947">
        <v>1.7068714380270908</v>
      </c>
      <c r="BF33" s="1947">
        <v>1.710064673336817</v>
      </c>
      <c r="BG33" s="1947">
        <v>1.6506631807060661</v>
      </c>
      <c r="BH33" s="2087">
        <v>1.7573437905966471</v>
      </c>
      <c r="BI33" s="2087">
        <v>1.7549115828478274</v>
      </c>
      <c r="BJ33" s="2087">
        <v>1.6708306145156846</v>
      </c>
      <c r="BK33" s="2087">
        <v>1.7538745953170269</v>
      </c>
      <c r="BL33" s="2087">
        <v>1.73771585003733</v>
      </c>
      <c r="BM33" s="1223">
        <v>1.4</v>
      </c>
      <c r="BN33" s="1223">
        <v>1.4</v>
      </c>
      <c r="BO33" s="1951">
        <f t="shared" si="39"/>
        <v>1.6506631807060661</v>
      </c>
    </row>
    <row r="34" spans="1:67">
      <c r="B34" s="1219" t="s">
        <v>3</v>
      </c>
      <c r="C34" s="2102">
        <f>SUMIF($BA$3:$BL$3, "&lt;=" &amp;$A$2, $BA$34:$BL$34)</f>
        <v>8749.004053601584</v>
      </c>
      <c r="D34" s="1219"/>
      <c r="E34" s="169">
        <v>40.599999999999994</v>
      </c>
      <c r="F34" s="169">
        <v>37.799999999999997</v>
      </c>
      <c r="G34" s="169">
        <v>57.4</v>
      </c>
      <c r="H34" s="169">
        <v>74.199999999999989</v>
      </c>
      <c r="I34" s="169">
        <v>102.19999999999999</v>
      </c>
      <c r="J34" s="169">
        <v>135.79999999999998</v>
      </c>
      <c r="K34" s="169">
        <v>116.19999999999999</v>
      </c>
      <c r="L34" s="169">
        <v>135.79999999999998</v>
      </c>
      <c r="M34" s="169">
        <v>169.39999999999998</v>
      </c>
      <c r="N34" s="169">
        <v>116.19999999999999</v>
      </c>
      <c r="O34" s="169">
        <v>149.79999999999998</v>
      </c>
      <c r="P34" s="169">
        <v>177.79999999999998</v>
      </c>
      <c r="Q34" s="169">
        <v>98</v>
      </c>
      <c r="R34" s="169">
        <v>99</v>
      </c>
      <c r="S34" s="169">
        <v>133</v>
      </c>
      <c r="T34" s="169">
        <v>151</v>
      </c>
      <c r="U34" s="169">
        <v>178</v>
      </c>
      <c r="V34" s="169">
        <v>238</v>
      </c>
      <c r="W34" s="169">
        <v>231</v>
      </c>
      <c r="X34" s="169">
        <v>252</v>
      </c>
      <c r="Y34" s="169">
        <v>308</v>
      </c>
      <c r="Z34" s="169">
        <v>279</v>
      </c>
      <c r="AA34" s="169">
        <v>289</v>
      </c>
      <c r="AB34" s="169">
        <v>345</v>
      </c>
      <c r="AC34" s="169">
        <v>696</v>
      </c>
      <c r="AD34" s="169">
        <v>418</v>
      </c>
      <c r="AE34" s="169">
        <v>834</v>
      </c>
      <c r="AF34" s="169">
        <v>974</v>
      </c>
      <c r="AG34" s="169">
        <v>1112</v>
      </c>
      <c r="AH34" s="169">
        <v>1252</v>
      </c>
      <c r="AI34" s="169">
        <v>834</v>
      </c>
      <c r="AJ34" s="169">
        <v>974</v>
      </c>
      <c r="AK34" s="169">
        <v>1391</v>
      </c>
      <c r="AL34" s="169">
        <v>1112</v>
      </c>
      <c r="AM34" s="169">
        <v>1530</v>
      </c>
      <c r="AN34" s="169">
        <v>2781</v>
      </c>
      <c r="AO34" s="769">
        <v>623</v>
      </c>
      <c r="AP34" s="769">
        <v>467</v>
      </c>
      <c r="AQ34" s="769">
        <v>1246</v>
      </c>
      <c r="AR34" s="769">
        <v>1636</v>
      </c>
      <c r="AS34" s="769">
        <v>1402</v>
      </c>
      <c r="AT34" s="769">
        <v>1831</v>
      </c>
      <c r="AU34" s="1946">
        <f>AU32*AU33</f>
        <v>905.92422479900881</v>
      </c>
      <c r="AV34" s="1946">
        <f t="shared" ref="AV34:BL34" si="43">AV32*AV33</f>
        <v>905.63623061045951</v>
      </c>
      <c r="AW34" s="1946">
        <f t="shared" si="43"/>
        <v>1117.4154997089568</v>
      </c>
      <c r="AX34" s="1946">
        <f t="shared" si="43"/>
        <v>1080.6001256943446</v>
      </c>
      <c r="AY34" s="1946">
        <f t="shared" si="43"/>
        <v>1209.099652865583</v>
      </c>
      <c r="AZ34" s="1946">
        <f t="shared" si="43"/>
        <v>1602.5650783830815</v>
      </c>
      <c r="BA34" s="1946">
        <f t="shared" si="43"/>
        <v>607.67446436076591</v>
      </c>
      <c r="BB34" s="1946">
        <f t="shared" si="43"/>
        <v>603.42003564364302</v>
      </c>
      <c r="BC34" s="1946">
        <f t="shared" si="43"/>
        <v>1409.6634661059072</v>
      </c>
      <c r="BD34" s="1946">
        <f t="shared" si="43"/>
        <v>1351.0949714779622</v>
      </c>
      <c r="BE34" s="1946">
        <f t="shared" si="43"/>
        <v>1536.175948814747</v>
      </c>
      <c r="BF34" s="1946">
        <f t="shared" si="43"/>
        <v>1640.1798579961048</v>
      </c>
      <c r="BG34" s="1946">
        <f t="shared" si="43"/>
        <v>1600.7953092024543</v>
      </c>
      <c r="BH34" s="1946">
        <f t="shared" si="43"/>
        <v>1717.626002176321</v>
      </c>
      <c r="BI34" s="1946">
        <f t="shared" si="43"/>
        <v>1814.9006537947155</v>
      </c>
      <c r="BJ34" s="1946">
        <f t="shared" si="43"/>
        <v>1791.5951742359084</v>
      </c>
      <c r="BK34" s="1946">
        <f t="shared" si="43"/>
        <v>1963.0594380214304</v>
      </c>
      <c r="BL34" s="1946">
        <f t="shared" si="43"/>
        <v>2112.9867391714242</v>
      </c>
      <c r="BM34" s="170">
        <f>SUM(E34:P34)</f>
        <v>1313.1999999999996</v>
      </c>
      <c r="BN34" s="170">
        <v>2601</v>
      </c>
      <c r="BO34" s="1595">
        <f t="shared" si="39"/>
        <v>1600.7953092024543</v>
      </c>
    </row>
    <row r="35" spans="1:67">
      <c r="B35" s="1219" t="s">
        <v>62</v>
      </c>
      <c r="C35" s="1620">
        <f>C26/C34</f>
        <v>18.203943787748219</v>
      </c>
      <c r="D35" s="1219"/>
      <c r="E35" s="1221">
        <v>14.7</v>
      </c>
      <c r="F35" s="1221">
        <v>14.7</v>
      </c>
      <c r="G35" s="1221">
        <v>14.7</v>
      </c>
      <c r="H35" s="1221">
        <v>14.7</v>
      </c>
      <c r="I35" s="1221">
        <v>14.7</v>
      </c>
      <c r="J35" s="1221">
        <v>14.7</v>
      </c>
      <c r="K35" s="1221">
        <v>14.7</v>
      </c>
      <c r="L35" s="1221">
        <v>14.7</v>
      </c>
      <c r="M35" s="1221">
        <v>14.7</v>
      </c>
      <c r="N35" s="1221">
        <v>14.7</v>
      </c>
      <c r="O35" s="1221">
        <v>14.7</v>
      </c>
      <c r="P35" s="1221">
        <v>14.7</v>
      </c>
      <c r="Q35" s="1221">
        <v>15</v>
      </c>
      <c r="R35" s="1221">
        <v>15</v>
      </c>
      <c r="S35" s="1221">
        <v>15</v>
      </c>
      <c r="T35" s="1221">
        <v>15</v>
      </c>
      <c r="U35" s="1221">
        <v>15</v>
      </c>
      <c r="V35" s="1221">
        <v>15</v>
      </c>
      <c r="W35" s="1221">
        <v>15</v>
      </c>
      <c r="X35" s="1221">
        <v>15</v>
      </c>
      <c r="Y35" s="1221">
        <v>15</v>
      </c>
      <c r="Z35" s="1221">
        <v>15</v>
      </c>
      <c r="AA35" s="1221">
        <v>15</v>
      </c>
      <c r="AB35" s="1221">
        <v>15</v>
      </c>
      <c r="AC35" s="1221">
        <v>14.12</v>
      </c>
      <c r="AD35" s="1221">
        <v>14.12</v>
      </c>
      <c r="AE35" s="1221">
        <v>14.12</v>
      </c>
      <c r="AF35" s="1221">
        <v>14.12</v>
      </c>
      <c r="AG35" s="1221">
        <v>14.12</v>
      </c>
      <c r="AH35" s="1221">
        <v>14.12</v>
      </c>
      <c r="AI35" s="1221">
        <v>14.12</v>
      </c>
      <c r="AJ35" s="1221">
        <v>14.12</v>
      </c>
      <c r="AK35" s="1221">
        <v>14.12</v>
      </c>
      <c r="AL35" s="1221">
        <v>14.12</v>
      </c>
      <c r="AM35" s="1221">
        <v>14.12</v>
      </c>
      <c r="AN35" s="1221">
        <v>14.12</v>
      </c>
      <c r="AO35" s="1222">
        <v>14.12</v>
      </c>
      <c r="AP35" s="1222">
        <v>14.12</v>
      </c>
      <c r="AQ35" s="1222">
        <v>14.12</v>
      </c>
      <c r="AR35" s="1222">
        <v>14.12</v>
      </c>
      <c r="AS35" s="1222">
        <v>14.12</v>
      </c>
      <c r="AT35" s="1222">
        <v>14.12</v>
      </c>
      <c r="AU35" s="1947">
        <v>21.551951021074178</v>
      </c>
      <c r="AV35" s="1947">
        <v>21.432984658132973</v>
      </c>
      <c r="AW35" s="1947">
        <v>21.564519035829218</v>
      </c>
      <c r="AX35" s="1947">
        <v>20.930025271345851</v>
      </c>
      <c r="AY35" s="1947">
        <v>20.994906543065028</v>
      </c>
      <c r="AZ35" s="1947">
        <v>20.517423463764217</v>
      </c>
      <c r="BA35" s="1947">
        <v>16.122751951853626</v>
      </c>
      <c r="BB35" s="1947">
        <v>16.177269449781793</v>
      </c>
      <c r="BC35" s="1947">
        <v>18.211662652029201</v>
      </c>
      <c r="BD35" s="1947">
        <v>18.095103945413555</v>
      </c>
      <c r="BE35" s="1947">
        <v>18.467174481291117</v>
      </c>
      <c r="BF35" s="1947">
        <v>18.223272606155973</v>
      </c>
      <c r="BG35" s="1947">
        <v>18.346729145352839</v>
      </c>
      <c r="BH35" s="1895">
        <v>18.299471702275845</v>
      </c>
      <c r="BI35" s="1895">
        <v>18.115862676568341</v>
      </c>
      <c r="BJ35" s="1895">
        <v>18.186048350218773</v>
      </c>
      <c r="BK35" s="1895">
        <v>18.148746822332793</v>
      </c>
      <c r="BL35" s="1895">
        <v>17.954937598922836</v>
      </c>
      <c r="BM35" s="1223">
        <v>14.7</v>
      </c>
      <c r="BN35" s="1223">
        <v>15</v>
      </c>
      <c r="BO35" s="1951">
        <f t="shared" si="39"/>
        <v>18.346729145352839</v>
      </c>
    </row>
    <row r="36" spans="1:67">
      <c r="B36" s="1219" t="s">
        <v>112</v>
      </c>
      <c r="C36" s="1220">
        <f>SUMIF($AO$3:$AZ$3, "&lt;=" &amp;$A$2, $AO$36:$AZ$36)</f>
        <v>2249.1085899999998</v>
      </c>
      <c r="D36" s="1219"/>
      <c r="E36" s="1221">
        <v>15</v>
      </c>
      <c r="F36" s="1221">
        <v>10</v>
      </c>
      <c r="G36" s="1221">
        <v>20</v>
      </c>
      <c r="H36" s="1221">
        <v>30</v>
      </c>
      <c r="I36" s="1221">
        <v>40</v>
      </c>
      <c r="J36" s="1221">
        <v>50</v>
      </c>
      <c r="K36" s="1221">
        <v>60</v>
      </c>
      <c r="L36" s="1221">
        <v>50</v>
      </c>
      <c r="M36" s="1221">
        <v>50</v>
      </c>
      <c r="N36" s="1221">
        <v>65</v>
      </c>
      <c r="O36" s="1221">
        <v>60</v>
      </c>
      <c r="P36" s="1221">
        <v>60</v>
      </c>
      <c r="Q36" s="1221">
        <v>35</v>
      </c>
      <c r="R36" s="1221">
        <v>30</v>
      </c>
      <c r="S36" s="1221">
        <v>60</v>
      </c>
      <c r="T36" s="1221">
        <v>95</v>
      </c>
      <c r="U36" s="1221">
        <v>95</v>
      </c>
      <c r="V36" s="1221">
        <v>95</v>
      </c>
      <c r="W36" s="1221">
        <v>95</v>
      </c>
      <c r="X36" s="1221">
        <v>95</v>
      </c>
      <c r="Y36" s="1221">
        <v>95</v>
      </c>
      <c r="Z36" s="1221">
        <v>95</v>
      </c>
      <c r="AA36" s="1221">
        <v>95</v>
      </c>
      <c r="AB36" s="1221">
        <v>95</v>
      </c>
      <c r="AC36" s="1016">
        <v>210</v>
      </c>
      <c r="AD36" s="1221">
        <v>148</v>
      </c>
      <c r="AE36" s="1221">
        <v>297</v>
      </c>
      <c r="AF36" s="1221">
        <v>297</v>
      </c>
      <c r="AG36" s="1221">
        <v>297</v>
      </c>
      <c r="AH36" s="1221">
        <v>297</v>
      </c>
      <c r="AI36" s="1221">
        <v>297</v>
      </c>
      <c r="AJ36" s="1221">
        <v>297</v>
      </c>
      <c r="AK36" s="1221">
        <v>297</v>
      </c>
      <c r="AL36" s="1221">
        <v>297</v>
      </c>
      <c r="AM36" s="1221">
        <v>386</v>
      </c>
      <c r="AN36" s="1221">
        <v>386</v>
      </c>
      <c r="AO36" s="1222">
        <v>168</v>
      </c>
      <c r="AP36" s="1222">
        <v>58</v>
      </c>
      <c r="AQ36" s="1222">
        <v>321</v>
      </c>
      <c r="AR36" s="1222">
        <v>322</v>
      </c>
      <c r="AS36" s="1222">
        <v>347</v>
      </c>
      <c r="AT36" s="1222">
        <v>732</v>
      </c>
      <c r="AU36" s="1894">
        <v>301.10859000000005</v>
      </c>
      <c r="AV36" s="1894">
        <v>331.53835409999999</v>
      </c>
      <c r="AW36" s="1894">
        <v>362.20652055900001</v>
      </c>
      <c r="AX36" s="1894">
        <v>374.61145018027497</v>
      </c>
      <c r="AY36" s="1894">
        <v>406.51941183838426</v>
      </c>
      <c r="AZ36" s="1894">
        <v>440.51885669891328</v>
      </c>
      <c r="BA36" s="1894">
        <v>169.57836748299371</v>
      </c>
      <c r="BB36" s="1894">
        <v>177.51031064081826</v>
      </c>
      <c r="BC36" s="1894">
        <v>418.3653386899565</v>
      </c>
      <c r="BD36" s="1894">
        <v>396.96803266071333</v>
      </c>
      <c r="BE36" s="1894">
        <v>479.86873618886113</v>
      </c>
      <c r="BF36" s="1894">
        <v>586.32495716078495</v>
      </c>
      <c r="BG36" s="1894">
        <v>432.3556021146382</v>
      </c>
      <c r="BH36" s="769">
        <v>518.89912798720138</v>
      </c>
      <c r="BI36" s="769">
        <v>630.48048021435284</v>
      </c>
      <c r="BJ36" s="769">
        <v>490.26012284455311</v>
      </c>
      <c r="BK36" s="769">
        <v>558.23022374207846</v>
      </c>
      <c r="BL36" s="769">
        <v>667.03274735825346</v>
      </c>
      <c r="BM36" s="170">
        <f>SUM(E36:P36)</f>
        <v>510</v>
      </c>
      <c r="BN36" s="170">
        <v>980</v>
      </c>
      <c r="BO36" s="1595">
        <f t="shared" si="39"/>
        <v>432.3556021146382</v>
      </c>
    </row>
    <row r="37" spans="1:67">
      <c r="B37" s="1219" t="s">
        <v>111</v>
      </c>
      <c r="C37" s="1220">
        <f>SUMIF($BA$3:$BL$3, "&lt;=" &amp;$A$2, $BA$37:$BL$37)</f>
        <v>135</v>
      </c>
      <c r="D37" s="1219"/>
      <c r="E37" s="1219">
        <v>5</v>
      </c>
      <c r="F37" s="1219"/>
      <c r="G37" s="1219">
        <v>15</v>
      </c>
      <c r="H37" s="1219">
        <v>15</v>
      </c>
      <c r="I37" s="1219">
        <v>15</v>
      </c>
      <c r="J37" s="1219">
        <v>10</v>
      </c>
      <c r="K37" s="1219">
        <v>10</v>
      </c>
      <c r="L37" s="1219">
        <v>10</v>
      </c>
      <c r="M37" s="1219">
        <v>10</v>
      </c>
      <c r="N37" s="1219">
        <v>5</v>
      </c>
      <c r="O37" s="1219"/>
      <c r="P37" s="1219"/>
      <c r="Q37" s="1219">
        <v>8</v>
      </c>
      <c r="R37" s="1219">
        <v>0</v>
      </c>
      <c r="S37" s="1219">
        <v>0</v>
      </c>
      <c r="T37" s="1219">
        <v>10</v>
      </c>
      <c r="U37" s="1219">
        <v>15</v>
      </c>
      <c r="V37" s="1219">
        <v>15</v>
      </c>
      <c r="W37" s="1219">
        <v>15</v>
      </c>
      <c r="X37" s="1219">
        <v>10</v>
      </c>
      <c r="Y37" s="1219">
        <v>0</v>
      </c>
      <c r="Z37" s="1219">
        <v>0</v>
      </c>
      <c r="AA37" s="1219">
        <v>0</v>
      </c>
      <c r="AB37" s="1219">
        <v>0</v>
      </c>
      <c r="AC37" s="1016">
        <v>57</v>
      </c>
      <c r="AD37" s="1219">
        <v>57</v>
      </c>
      <c r="AE37" s="1219">
        <v>57</v>
      </c>
      <c r="AF37" s="1219">
        <v>57</v>
      </c>
      <c r="AG37" s="1219">
        <v>57</v>
      </c>
      <c r="AH37" s="1219">
        <v>57</v>
      </c>
      <c r="AI37" s="1219">
        <v>57</v>
      </c>
      <c r="AJ37" s="1219">
        <v>57</v>
      </c>
      <c r="AK37" s="1219">
        <v>57</v>
      </c>
      <c r="AL37" s="1219">
        <v>57</v>
      </c>
      <c r="AM37" s="1219">
        <v>57</v>
      </c>
      <c r="AN37" s="1219">
        <v>57</v>
      </c>
      <c r="AO37" s="1206">
        <v>0</v>
      </c>
      <c r="AQ37" s="1206">
        <v>0</v>
      </c>
      <c r="AR37" s="1206">
        <v>11</v>
      </c>
      <c r="AS37" s="1206">
        <v>18</v>
      </c>
      <c r="AU37" s="1894">
        <v>45</v>
      </c>
      <c r="AV37" s="1894">
        <v>45</v>
      </c>
      <c r="AW37" s="1894">
        <v>45</v>
      </c>
      <c r="AX37" s="1894">
        <v>45</v>
      </c>
      <c r="AY37" s="1894">
        <v>45</v>
      </c>
      <c r="AZ37" s="1894">
        <v>45</v>
      </c>
      <c r="BA37" s="1894">
        <v>10</v>
      </c>
      <c r="BB37" s="1894">
        <v>10</v>
      </c>
      <c r="BC37" s="1894">
        <v>20</v>
      </c>
      <c r="BD37" s="1894">
        <v>20</v>
      </c>
      <c r="BE37" s="1894">
        <v>25</v>
      </c>
      <c r="BF37" s="1894">
        <v>25</v>
      </c>
      <c r="BG37" s="1894">
        <v>25</v>
      </c>
      <c r="BH37" s="1206">
        <v>25</v>
      </c>
      <c r="BI37" s="1206">
        <v>25</v>
      </c>
      <c r="BJ37" s="1206">
        <v>25</v>
      </c>
      <c r="BK37" s="1206">
        <v>25</v>
      </c>
      <c r="BL37" s="1206">
        <v>25</v>
      </c>
      <c r="BM37" s="170">
        <f>SUM(E37:P37)</f>
        <v>95</v>
      </c>
      <c r="BN37" s="170">
        <v>73</v>
      </c>
      <c r="BO37" s="1595">
        <f t="shared" si="39"/>
        <v>25</v>
      </c>
    </row>
    <row r="38" spans="1:67">
      <c r="B38" s="1219"/>
      <c r="C38" s="1219"/>
      <c r="D38" s="1219"/>
      <c r="E38" s="1219"/>
      <c r="F38" s="1219"/>
      <c r="G38" s="1219"/>
      <c r="H38" s="1219"/>
      <c r="I38" s="1219"/>
      <c r="J38" s="1219"/>
      <c r="K38" s="1219"/>
      <c r="L38" s="1219"/>
      <c r="M38" s="1219"/>
      <c r="N38" s="1219"/>
      <c r="O38" s="1219"/>
      <c r="P38" s="1219"/>
      <c r="Q38" s="1219"/>
      <c r="R38" s="1219"/>
      <c r="S38" s="1219"/>
      <c r="T38" s="1219"/>
      <c r="U38" s="1219"/>
      <c r="V38" s="1219"/>
      <c r="W38" s="1219"/>
      <c r="X38" s="1219"/>
      <c r="Y38" s="1219"/>
      <c r="Z38" s="1219"/>
      <c r="AA38" s="1219"/>
      <c r="AB38" s="1219"/>
      <c r="AC38" s="1219"/>
      <c r="AD38" s="1219"/>
      <c r="AE38" s="1219"/>
      <c r="AF38" s="1219"/>
      <c r="AG38" s="1219"/>
      <c r="AH38" s="1219"/>
      <c r="AI38" s="1219"/>
      <c r="AJ38" s="1219"/>
      <c r="AK38" s="1219"/>
      <c r="AL38" s="1219"/>
      <c r="AM38" s="1219"/>
      <c r="AN38" s="1219"/>
      <c r="BM38" s="1219"/>
      <c r="BN38" s="1219"/>
      <c r="BO38" s="1951"/>
    </row>
    <row r="39" spans="1:67">
      <c r="B39" s="1224" t="s">
        <v>63</v>
      </c>
      <c r="C39" s="272">
        <f>ROUND(C26/ (C29* $A$2),0)</f>
        <v>5</v>
      </c>
      <c r="D39" s="1219"/>
      <c r="E39" s="393">
        <f>E26/ (E29)</f>
        <v>7.5</v>
      </c>
      <c r="F39" s="393">
        <f t="shared" ref="F39:P39" si="44">F26/ (F29)</f>
        <v>6.0773480662983426</v>
      </c>
      <c r="G39" s="393">
        <f t="shared" si="44"/>
        <v>7.762557077625571</v>
      </c>
      <c r="H39" s="393">
        <f t="shared" si="44"/>
        <v>7.5601374570446733</v>
      </c>
      <c r="I39" s="393">
        <f t="shared" si="44"/>
        <v>7.6335877862595423</v>
      </c>
      <c r="J39" s="393">
        <f t="shared" si="44"/>
        <v>7.8895463510848129</v>
      </c>
      <c r="K39" s="393">
        <f t="shared" si="44"/>
        <v>5.6951423785594644</v>
      </c>
      <c r="L39" s="393">
        <f t="shared" si="44"/>
        <v>6.0060060060060056</v>
      </c>
      <c r="M39" s="393">
        <f t="shared" si="44"/>
        <v>6.8399452804377567</v>
      </c>
      <c r="N39" s="393">
        <f t="shared" si="44"/>
        <v>4.2929292929292933</v>
      </c>
      <c r="O39" s="393">
        <f t="shared" si="44"/>
        <v>5.2132701421800949</v>
      </c>
      <c r="P39" s="393">
        <f t="shared" si="44"/>
        <v>5.8361391694725029</v>
      </c>
      <c r="Q39" s="393">
        <f t="shared" ref="Q39:AB39" si="45">Q26/ (Q29)</f>
        <v>4.1899432300779722</v>
      </c>
      <c r="R39" s="393">
        <f t="shared" si="45"/>
        <v>4.1968888617958306</v>
      </c>
      <c r="S39" s="393">
        <f t="shared" si="45"/>
        <v>5.4662718255515479</v>
      </c>
      <c r="T39" s="393">
        <f t="shared" si="45"/>
        <v>5.4519003509081498</v>
      </c>
      <c r="U39" s="393">
        <f t="shared" si="45"/>
        <v>5.453083406305641</v>
      </c>
      <c r="V39" s="393">
        <f t="shared" si="45"/>
        <v>6.3016581799257398</v>
      </c>
      <c r="W39" s="393">
        <f t="shared" si="45"/>
        <v>5.4534380872269228</v>
      </c>
      <c r="X39" s="393">
        <f t="shared" si="45"/>
        <v>5.4675879073497802</v>
      </c>
      <c r="Y39" s="393">
        <f t="shared" si="45"/>
        <v>6.2985741545282892</v>
      </c>
      <c r="Z39" s="393">
        <f t="shared" si="45"/>
        <v>5.4570600214046383</v>
      </c>
      <c r="AA39" s="393">
        <f t="shared" si="45"/>
        <v>5.4578764878913004</v>
      </c>
      <c r="AB39" s="393">
        <f t="shared" si="45"/>
        <v>6.3062746346046197</v>
      </c>
      <c r="AC39" s="393">
        <v>7</v>
      </c>
      <c r="AD39" s="393">
        <v>4</v>
      </c>
      <c r="AE39" s="393">
        <v>7</v>
      </c>
      <c r="AF39" s="393">
        <v>7</v>
      </c>
      <c r="AG39" s="393">
        <v>8</v>
      </c>
      <c r="AH39" s="393">
        <v>8</v>
      </c>
      <c r="AI39" s="393">
        <v>5</v>
      </c>
      <c r="AJ39" s="393">
        <v>5</v>
      </c>
      <c r="AK39" s="393">
        <v>7</v>
      </c>
      <c r="AL39" s="393">
        <v>5</v>
      </c>
      <c r="AM39" s="393">
        <v>7</v>
      </c>
      <c r="AN39" s="393">
        <v>11</v>
      </c>
      <c r="AO39" s="767">
        <v>4</v>
      </c>
      <c r="AP39" s="767">
        <v>3</v>
      </c>
      <c r="AQ39" s="767">
        <v>8</v>
      </c>
      <c r="AR39" s="767">
        <v>10</v>
      </c>
      <c r="AS39" s="767">
        <v>8</v>
      </c>
      <c r="AT39" s="767">
        <v>9</v>
      </c>
      <c r="AU39" s="767">
        <f t="shared" ref="AU39:BB39" si="46">AU26/AU28</f>
        <v>7.3658230018629363</v>
      </c>
      <c r="AV39" s="767">
        <f t="shared" si="46"/>
        <v>7.6630344384223905</v>
      </c>
      <c r="AW39" s="767">
        <f t="shared" si="46"/>
        <v>8.5745978844476838</v>
      </c>
      <c r="AX39" s="767">
        <f t="shared" si="46"/>
        <v>7.5698249569177412</v>
      </c>
      <c r="AY39" s="767">
        <f t="shared" si="46"/>
        <v>7.8953506689315045</v>
      </c>
      <c r="AZ39" s="767">
        <f t="shared" si="46"/>
        <v>9.0764184608537182</v>
      </c>
      <c r="BA39" s="767">
        <f t="shared" si="46"/>
        <v>2.4574256408025792</v>
      </c>
      <c r="BB39" s="767">
        <f t="shared" si="46"/>
        <v>2.3705895437639741</v>
      </c>
      <c r="BC39" s="767">
        <f t="shared" ref="BC39:BL39" si="47">BC26/BC28</f>
        <v>6.0322785127470002</v>
      </c>
      <c r="BD39" s="767">
        <f t="shared" si="47"/>
        <v>5.5284301988414333</v>
      </c>
      <c r="BE39" s="767">
        <f t="shared" si="47"/>
        <v>6.2748209280766813</v>
      </c>
      <c r="BF39" s="767">
        <f t="shared" si="47"/>
        <v>6.3732459319692536</v>
      </c>
      <c r="BG39" s="767">
        <f t="shared" si="47"/>
        <v>6.18140767051624</v>
      </c>
      <c r="BH39" s="767">
        <f t="shared" si="47"/>
        <v>6.6755039562907976</v>
      </c>
      <c r="BI39" s="767">
        <f t="shared" si="47"/>
        <v>6.7341921373740545</v>
      </c>
      <c r="BJ39" s="767">
        <f t="shared" si="47"/>
        <v>6.4044252014786354</v>
      </c>
      <c r="BK39" s="767">
        <f t="shared" si="47"/>
        <v>6.7740485690685519</v>
      </c>
      <c r="BL39" s="767">
        <f t="shared" si="47"/>
        <v>6.7277221998497136</v>
      </c>
      <c r="BM39" s="393">
        <f>BM26/ (BM29)</f>
        <v>6.154336734693878</v>
      </c>
      <c r="BN39" s="779">
        <f>BN26/ (BN29 )</f>
        <v>5.5872108597365893</v>
      </c>
      <c r="BO39" s="1951">
        <f t="shared" si="39"/>
        <v>6.18140767051624</v>
      </c>
    </row>
    <row r="40" spans="1:67">
      <c r="B40" s="1224" t="s">
        <v>64</v>
      </c>
      <c r="C40" s="272">
        <f>ROUND(C26/C32,0)</f>
        <v>30</v>
      </c>
      <c r="D40" s="1219"/>
      <c r="E40" s="393">
        <f>E26/E32</f>
        <v>20.689655172413794</v>
      </c>
      <c r="F40" s="393">
        <f t="shared" ref="F40:P40" si="48">F26/F32</f>
        <v>20.37037037037037</v>
      </c>
      <c r="G40" s="393">
        <f t="shared" si="48"/>
        <v>20.73170731707317</v>
      </c>
      <c r="H40" s="393">
        <f t="shared" si="48"/>
        <v>20.754716981132077</v>
      </c>
      <c r="I40" s="393">
        <f t="shared" si="48"/>
        <v>20.547945205479451</v>
      </c>
      <c r="J40" s="393">
        <f t="shared" si="48"/>
        <v>20.618556701030929</v>
      </c>
      <c r="K40" s="393">
        <f t="shared" si="48"/>
        <v>20.481927710843372</v>
      </c>
      <c r="L40" s="393">
        <f t="shared" si="48"/>
        <v>20.618556701030929</v>
      </c>
      <c r="M40" s="393">
        <f t="shared" si="48"/>
        <v>20.66115702479339</v>
      </c>
      <c r="N40" s="393">
        <f t="shared" si="48"/>
        <v>20.481927710843372</v>
      </c>
      <c r="O40" s="393">
        <f t="shared" si="48"/>
        <v>20.560747663551403</v>
      </c>
      <c r="P40" s="393">
        <f t="shared" si="48"/>
        <v>20.472440944881889</v>
      </c>
      <c r="Q40" s="393">
        <f t="shared" ref="Q40:AB40" si="49">Q26/Q32</f>
        <v>20.857142857142858</v>
      </c>
      <c r="R40" s="393">
        <f t="shared" si="49"/>
        <v>20.985915492957748</v>
      </c>
      <c r="S40" s="393">
        <f t="shared" si="49"/>
        <v>21.05263157894737</v>
      </c>
      <c r="T40" s="393">
        <f t="shared" si="49"/>
        <v>20.925925925925927</v>
      </c>
      <c r="U40" s="393">
        <f t="shared" si="49"/>
        <v>21.023622047244096</v>
      </c>
      <c r="V40" s="393">
        <f t="shared" si="49"/>
        <v>20.970588235294116</v>
      </c>
      <c r="W40" s="393">
        <f t="shared" si="49"/>
        <v>20.969696969696969</v>
      </c>
      <c r="X40" s="393">
        <f t="shared" si="49"/>
        <v>21</v>
      </c>
      <c r="Y40" s="393">
        <f t="shared" si="49"/>
        <v>21</v>
      </c>
      <c r="Z40" s="393">
        <f t="shared" si="49"/>
        <v>21.005025125628141</v>
      </c>
      <c r="AA40" s="393">
        <f t="shared" si="49"/>
        <v>20.966183574879228</v>
      </c>
      <c r="AB40" s="393">
        <f t="shared" si="49"/>
        <v>21.056910569105693</v>
      </c>
      <c r="AC40" s="393">
        <v>29</v>
      </c>
      <c r="AD40" s="393">
        <v>20</v>
      </c>
      <c r="AE40" s="393">
        <v>24</v>
      </c>
      <c r="AF40" s="393">
        <v>24</v>
      </c>
      <c r="AG40" s="393">
        <v>25</v>
      </c>
      <c r="AH40" s="393">
        <v>26</v>
      </c>
      <c r="AI40" s="393">
        <v>16</v>
      </c>
      <c r="AJ40" s="393">
        <v>17</v>
      </c>
      <c r="AK40" s="393">
        <v>23</v>
      </c>
      <c r="AL40" s="393">
        <v>18</v>
      </c>
      <c r="AM40" s="393">
        <v>22</v>
      </c>
      <c r="AN40" s="393">
        <v>38</v>
      </c>
      <c r="AO40" s="767">
        <v>15</v>
      </c>
      <c r="AP40" s="767">
        <v>22</v>
      </c>
      <c r="AQ40" s="767">
        <v>33</v>
      </c>
      <c r="AR40" s="767">
        <v>35</v>
      </c>
      <c r="AS40" s="767">
        <v>28</v>
      </c>
      <c r="AT40" s="767">
        <v>31</v>
      </c>
      <c r="AU40" s="767">
        <f t="shared" ref="AU40:BB40" si="50">+AU26/AU32</f>
        <v>31.885127080092904</v>
      </c>
      <c r="AV40" s="767">
        <f t="shared" si="50"/>
        <v>38.413931795667864</v>
      </c>
      <c r="AW40" s="767">
        <f t="shared" si="50"/>
        <v>39.489023028853076</v>
      </c>
      <c r="AX40" s="767">
        <f t="shared" si="50"/>
        <v>36.184795842585288</v>
      </c>
      <c r="AY40" s="767">
        <f t="shared" si="50"/>
        <v>36.925428424983863</v>
      </c>
      <c r="AZ40" s="767">
        <f t="shared" si="50"/>
        <v>41.115755684285517</v>
      </c>
      <c r="BA40" s="767">
        <f t="shared" si="50"/>
        <v>23.150310300516885</v>
      </c>
      <c r="BB40" s="767">
        <f t="shared" si="50"/>
        <v>22.80663405138532</v>
      </c>
      <c r="BC40" s="767">
        <f t="shared" ref="BC40:BL40" si="51">+BC26/BC32</f>
        <v>31.258441524999611</v>
      </c>
      <c r="BD40" s="767">
        <f t="shared" si="51"/>
        <v>29.072485300940851</v>
      </c>
      <c r="BE40" s="767">
        <f t="shared" si="51"/>
        <v>31.810619346781177</v>
      </c>
      <c r="BF40" s="767">
        <f t="shared" si="51"/>
        <v>32.008498937521153</v>
      </c>
      <c r="BG40" s="767">
        <f t="shared" si="51"/>
        <v>29.8646353110869</v>
      </c>
      <c r="BH40" s="767">
        <f t="shared" si="51"/>
        <v>32.316235341491407</v>
      </c>
      <c r="BI40" s="767">
        <f t="shared" si="51"/>
        <v>32.77313624828826</v>
      </c>
      <c r="BJ40" s="767">
        <f t="shared" si="51"/>
        <v>30.710654818293765</v>
      </c>
      <c r="BK40" s="767">
        <f t="shared" si="51"/>
        <v>32.541955320717683</v>
      </c>
      <c r="BL40" s="767">
        <f t="shared" si="51"/>
        <v>32.651616786260881</v>
      </c>
      <c r="BM40" s="393">
        <f>BM26/BM32</f>
        <v>20.575692963752665</v>
      </c>
      <c r="BN40" s="779">
        <f>BN26/BN32</f>
        <v>20.993003229278795</v>
      </c>
      <c r="BO40" s="1951">
        <f t="shared" si="39"/>
        <v>29.8646353110869</v>
      </c>
    </row>
    <row r="41" spans="1:67">
      <c r="B41" s="1224" t="s">
        <v>65</v>
      </c>
      <c r="C41" s="272">
        <f>ROUND(C27/ (C29 *$A$2),0)</f>
        <v>5</v>
      </c>
      <c r="D41" s="1219"/>
      <c r="E41" s="393">
        <f>E27/ (E29 )</f>
        <v>6.2249999999999996</v>
      </c>
      <c r="F41" s="393">
        <f t="shared" ref="F41:P41" si="52">F27/ (F29 )</f>
        <v>5.0441988950276242</v>
      </c>
      <c r="G41" s="393">
        <f t="shared" si="52"/>
        <v>6.4429223744292239</v>
      </c>
      <c r="H41" s="393">
        <f t="shared" si="52"/>
        <v>6.2749140893470789</v>
      </c>
      <c r="I41" s="393">
        <f t="shared" si="52"/>
        <v>6.33587786259542</v>
      </c>
      <c r="J41" s="393">
        <f t="shared" si="52"/>
        <v>6.5483234714003942</v>
      </c>
      <c r="K41" s="393">
        <f t="shared" si="52"/>
        <v>4.7269681742043552</v>
      </c>
      <c r="L41" s="393">
        <f t="shared" si="52"/>
        <v>4.984984984984985</v>
      </c>
      <c r="M41" s="393">
        <f t="shared" si="52"/>
        <v>5.6771545827633378</v>
      </c>
      <c r="N41" s="393">
        <f t="shared" si="52"/>
        <v>3.5631313131313131</v>
      </c>
      <c r="O41" s="393">
        <f t="shared" si="52"/>
        <v>4.3270142180094791</v>
      </c>
      <c r="P41" s="393">
        <f t="shared" si="52"/>
        <v>4.843995510662177</v>
      </c>
      <c r="Q41" s="393">
        <f t="shared" ref="Q41:AB41" si="53">Q27/ (Q29 )</f>
        <v>3.6033511778670562</v>
      </c>
      <c r="R41" s="393">
        <f t="shared" si="53"/>
        <v>3.6093244211444149</v>
      </c>
      <c r="S41" s="393">
        <f t="shared" si="53"/>
        <v>4.7009937699743309</v>
      </c>
      <c r="T41" s="393">
        <f t="shared" si="53"/>
        <v>4.6886343017810086</v>
      </c>
      <c r="U41" s="393">
        <f t="shared" si="53"/>
        <v>4.6896517294228515</v>
      </c>
      <c r="V41" s="393">
        <f t="shared" si="53"/>
        <v>5.4194260347361363</v>
      </c>
      <c r="W41" s="393">
        <f t="shared" si="53"/>
        <v>4.6899567550151531</v>
      </c>
      <c r="X41" s="393">
        <f t="shared" si="53"/>
        <v>4.7021256003208105</v>
      </c>
      <c r="Y41" s="393">
        <f t="shared" si="53"/>
        <v>5.4167737728943282</v>
      </c>
      <c r="Z41" s="393">
        <f t="shared" si="53"/>
        <v>4.6930716184079886</v>
      </c>
      <c r="AA41" s="393">
        <f t="shared" si="53"/>
        <v>4.6937737795865182</v>
      </c>
      <c r="AB41" s="393">
        <f t="shared" si="53"/>
        <v>5.4233961857599731</v>
      </c>
      <c r="AC41" s="393">
        <v>7</v>
      </c>
      <c r="AD41" s="393">
        <v>4</v>
      </c>
      <c r="AE41" s="393">
        <v>7</v>
      </c>
      <c r="AF41" s="393">
        <v>7</v>
      </c>
      <c r="AG41" s="393">
        <v>7</v>
      </c>
      <c r="AH41" s="393">
        <v>7</v>
      </c>
      <c r="AI41" s="393">
        <v>5</v>
      </c>
      <c r="AJ41" s="393">
        <v>5</v>
      </c>
      <c r="AK41" s="393">
        <v>7</v>
      </c>
      <c r="AL41" s="393">
        <v>5</v>
      </c>
      <c r="AM41" s="393">
        <v>6</v>
      </c>
      <c r="AN41" s="393">
        <v>11</v>
      </c>
      <c r="AO41" s="767">
        <v>4</v>
      </c>
      <c r="AP41" s="767">
        <v>3</v>
      </c>
      <c r="AQ41" s="767">
        <v>8</v>
      </c>
      <c r="AR41" s="767">
        <v>10</v>
      </c>
      <c r="AS41" s="767">
        <v>8</v>
      </c>
      <c r="AT41" s="767">
        <v>9</v>
      </c>
      <c r="AU41" s="767">
        <f t="shared" ref="AU41:BB41" si="54">AU27/AU28</f>
        <v>9.6969471593866938</v>
      </c>
      <c r="AV41" s="767">
        <f t="shared" si="54"/>
        <v>10.088219607116367</v>
      </c>
      <c r="AW41" s="767">
        <f t="shared" si="54"/>
        <v>11.288273228592214</v>
      </c>
      <c r="AX41" s="767">
        <f t="shared" si="54"/>
        <v>9.9655113345070703</v>
      </c>
      <c r="AY41" s="767">
        <f t="shared" si="54"/>
        <v>10.394058915357281</v>
      </c>
      <c r="AZ41" s="767">
        <f t="shared" si="54"/>
        <v>11.948909197128462</v>
      </c>
      <c r="BA41" s="767">
        <f t="shared" si="54"/>
        <v>2.4574256408025792</v>
      </c>
      <c r="BB41" s="767">
        <f t="shared" si="54"/>
        <v>2.3705895437639741</v>
      </c>
      <c r="BC41" s="767">
        <f t="shared" ref="BC41:BL41" si="55">BC27/BC28</f>
        <v>6.0322785127470002</v>
      </c>
      <c r="BD41" s="767">
        <f t="shared" si="55"/>
        <v>5.5284301988414333</v>
      </c>
      <c r="BE41" s="767">
        <f t="shared" si="55"/>
        <v>6.2748209280766813</v>
      </c>
      <c r="BF41" s="767">
        <f t="shared" si="55"/>
        <v>6.3732459319692536</v>
      </c>
      <c r="BG41" s="767">
        <f t="shared" si="55"/>
        <v>6.18140767051624</v>
      </c>
      <c r="BH41" s="767">
        <f t="shared" si="55"/>
        <v>6.6755039562907976</v>
      </c>
      <c r="BI41" s="767">
        <f t="shared" si="55"/>
        <v>6.7341921373740545</v>
      </c>
      <c r="BJ41" s="767">
        <f t="shared" si="55"/>
        <v>6.4044252014786354</v>
      </c>
      <c r="BK41" s="767">
        <f t="shared" si="55"/>
        <v>6.7740485690685519</v>
      </c>
      <c r="BL41" s="767">
        <f t="shared" si="55"/>
        <v>6.7277221998497136</v>
      </c>
      <c r="BM41" s="393">
        <f>BM27/ (BM29 )</f>
        <v>5.1080994897959187</v>
      </c>
      <c r="BN41" s="779">
        <f>BN27/ (BN29 )</f>
        <v>4.8050013393734679</v>
      </c>
      <c r="BO41" s="1951">
        <f t="shared" si="39"/>
        <v>6.18140767051624</v>
      </c>
    </row>
    <row r="42" spans="1:67">
      <c r="B42" s="1224" t="s">
        <v>66</v>
      </c>
      <c r="C42" s="272">
        <f>ROUND(C27/C32,0)</f>
        <v>30</v>
      </c>
      <c r="D42" s="1219"/>
      <c r="E42" s="393">
        <f>E27/E32</f>
        <v>17.172413793103448</v>
      </c>
      <c r="F42" s="393">
        <f t="shared" ref="F42:P42" si="56">F27/F32</f>
        <v>16.907407407407408</v>
      </c>
      <c r="G42" s="393">
        <f t="shared" si="56"/>
        <v>17.207317073170731</v>
      </c>
      <c r="H42" s="393">
        <f t="shared" si="56"/>
        <v>17.226415094339622</v>
      </c>
      <c r="I42" s="393">
        <f t="shared" si="56"/>
        <v>17.054794520547944</v>
      </c>
      <c r="J42" s="393">
        <f t="shared" si="56"/>
        <v>17.11340206185567</v>
      </c>
      <c r="K42" s="393">
        <f t="shared" si="56"/>
        <v>17</v>
      </c>
      <c r="L42" s="393">
        <f t="shared" si="56"/>
        <v>17.11340206185567</v>
      </c>
      <c r="M42" s="393">
        <f t="shared" si="56"/>
        <v>17.148760330578511</v>
      </c>
      <c r="N42" s="393">
        <f t="shared" si="56"/>
        <v>17</v>
      </c>
      <c r="O42" s="393">
        <f t="shared" si="56"/>
        <v>17.065420560747665</v>
      </c>
      <c r="P42" s="393">
        <f t="shared" si="56"/>
        <v>16.992125984251967</v>
      </c>
      <c r="Q42" s="393">
        <f t="shared" ref="Q42:AB42" si="57">Q27/Q32</f>
        <v>17.937142857142856</v>
      </c>
      <c r="R42" s="393">
        <f t="shared" si="57"/>
        <v>18.047887323943662</v>
      </c>
      <c r="S42" s="393">
        <f t="shared" si="57"/>
        <v>18.105263157894736</v>
      </c>
      <c r="T42" s="393">
        <f t="shared" si="57"/>
        <v>17.996296296296297</v>
      </c>
      <c r="U42" s="393">
        <f t="shared" si="57"/>
        <v>18.08031496062992</v>
      </c>
      <c r="V42" s="393">
        <f t="shared" si="57"/>
        <v>18.034705882352942</v>
      </c>
      <c r="W42" s="393">
        <f t="shared" si="57"/>
        <v>18.033939393939395</v>
      </c>
      <c r="X42" s="393">
        <f t="shared" si="57"/>
        <v>18.059999999999999</v>
      </c>
      <c r="Y42" s="393">
        <f t="shared" si="57"/>
        <v>18.059999999999999</v>
      </c>
      <c r="Z42" s="393">
        <f t="shared" si="57"/>
        <v>18.064321608040199</v>
      </c>
      <c r="AA42" s="393">
        <f t="shared" si="57"/>
        <v>18.030917874396135</v>
      </c>
      <c r="AB42" s="393">
        <f t="shared" si="57"/>
        <v>18.108943089430895</v>
      </c>
      <c r="AC42" s="393">
        <v>28</v>
      </c>
      <c r="AD42" s="393">
        <v>19</v>
      </c>
      <c r="AE42" s="393">
        <v>22</v>
      </c>
      <c r="AF42" s="393">
        <v>23</v>
      </c>
      <c r="AG42" s="393">
        <v>24</v>
      </c>
      <c r="AH42" s="393">
        <v>24</v>
      </c>
      <c r="AI42" s="393">
        <v>15</v>
      </c>
      <c r="AJ42" s="393">
        <v>17</v>
      </c>
      <c r="AK42" s="393">
        <v>22</v>
      </c>
      <c r="AL42" s="393">
        <v>17</v>
      </c>
      <c r="AM42" s="393">
        <v>21</v>
      </c>
      <c r="AN42" s="393">
        <v>36</v>
      </c>
      <c r="AO42" s="767">
        <v>15</v>
      </c>
      <c r="AP42" s="767">
        <v>22</v>
      </c>
      <c r="AQ42" s="767">
        <v>33</v>
      </c>
      <c r="AR42" s="767">
        <v>35</v>
      </c>
      <c r="AS42" s="767">
        <v>28</v>
      </c>
      <c r="AT42" s="767">
        <v>31</v>
      </c>
      <c r="AU42" s="767">
        <f t="shared" ref="AU42:BB42" si="58">AU27/AU32</f>
        <v>41.976082290844062</v>
      </c>
      <c r="AV42" s="767">
        <f t="shared" si="58"/>
        <v>50.571112924199369</v>
      </c>
      <c r="AW42" s="767">
        <f t="shared" si="58"/>
        <v>51.986447351469764</v>
      </c>
      <c r="AX42" s="767">
        <f t="shared" si="58"/>
        <v>47.636503506804473</v>
      </c>
      <c r="AY42" s="767">
        <f t="shared" si="58"/>
        <v>48.611530331943058</v>
      </c>
      <c r="AZ42" s="767">
        <f t="shared" si="58"/>
        <v>54.128005816584604</v>
      </c>
      <c r="BA42" s="767">
        <f t="shared" si="58"/>
        <v>23.150310300516885</v>
      </c>
      <c r="BB42" s="767">
        <f t="shared" si="58"/>
        <v>22.80663405138532</v>
      </c>
      <c r="BC42" s="767">
        <f t="shared" ref="BC42:BL42" si="59">BC27/BC32</f>
        <v>31.258441524999611</v>
      </c>
      <c r="BD42" s="767">
        <f t="shared" si="59"/>
        <v>29.072485300940851</v>
      </c>
      <c r="BE42" s="767">
        <f t="shared" si="59"/>
        <v>31.810619346781177</v>
      </c>
      <c r="BF42" s="767">
        <f t="shared" si="59"/>
        <v>32.008498937521153</v>
      </c>
      <c r="BG42" s="767">
        <f t="shared" si="59"/>
        <v>29.8646353110869</v>
      </c>
      <c r="BH42" s="767">
        <f t="shared" si="59"/>
        <v>32.316235341491407</v>
      </c>
      <c r="BI42" s="767">
        <f t="shared" si="59"/>
        <v>32.77313624828826</v>
      </c>
      <c r="BJ42" s="767">
        <f t="shared" si="59"/>
        <v>30.710654818293765</v>
      </c>
      <c r="BK42" s="767">
        <f t="shared" si="59"/>
        <v>32.541955320717683</v>
      </c>
      <c r="BL42" s="767">
        <f t="shared" si="59"/>
        <v>32.651616786260881</v>
      </c>
      <c r="BM42" s="393">
        <f>BM27/BM32</f>
        <v>17.077825159914713</v>
      </c>
      <c r="BN42" s="779">
        <f>BN27/BN32</f>
        <v>18.053982777179765</v>
      </c>
      <c r="BO42" s="1951">
        <f t="shared" si="39"/>
        <v>29.8646353110869</v>
      </c>
    </row>
    <row r="43" spans="1:67">
      <c r="B43" s="1224" t="s">
        <v>67</v>
      </c>
      <c r="C43" s="272">
        <f>ROUND(C34/ ($A$2 * C29),0)</f>
        <v>0</v>
      </c>
      <c r="D43" s="1219"/>
      <c r="E43" s="393">
        <f>E34/ ( E29)</f>
        <v>0.50749999999999995</v>
      </c>
      <c r="F43" s="393">
        <f t="shared" ref="F43:P43" si="60">F34/ ( F29)</f>
        <v>0.41767955801104967</v>
      </c>
      <c r="G43" s="393">
        <f t="shared" si="60"/>
        <v>0.52420091324200913</v>
      </c>
      <c r="H43" s="393">
        <f t="shared" si="60"/>
        <v>0.50996563573883158</v>
      </c>
      <c r="I43" s="393">
        <f t="shared" si="60"/>
        <v>0.52010178117048345</v>
      </c>
      <c r="J43" s="393">
        <f t="shared" si="60"/>
        <v>0.53570019723865869</v>
      </c>
      <c r="K43" s="393">
        <f t="shared" si="60"/>
        <v>0.38927973199329979</v>
      </c>
      <c r="L43" s="393">
        <f t="shared" si="60"/>
        <v>0.40780780780780773</v>
      </c>
      <c r="M43" s="393">
        <f t="shared" si="60"/>
        <v>0.46347469220246229</v>
      </c>
      <c r="N43" s="393">
        <f t="shared" si="60"/>
        <v>0.29343434343434338</v>
      </c>
      <c r="O43" s="393">
        <f t="shared" si="60"/>
        <v>0.35497630331753549</v>
      </c>
      <c r="P43" s="393">
        <f t="shared" si="60"/>
        <v>0.39910213243546572</v>
      </c>
      <c r="Q43" s="393">
        <f t="shared" ref="Q43:AB43" si="61">Q34/ ( Q29)</f>
        <v>0.28124276475865845</v>
      </c>
      <c r="R43" s="393">
        <f t="shared" si="61"/>
        <v>0.27885368947502504</v>
      </c>
      <c r="S43" s="393">
        <f t="shared" si="61"/>
        <v>0.3635070763991779</v>
      </c>
      <c r="T43" s="393">
        <f t="shared" si="61"/>
        <v>0.36426413848988076</v>
      </c>
      <c r="U43" s="393">
        <f t="shared" si="61"/>
        <v>0.3635388937537094</v>
      </c>
      <c r="V43" s="393">
        <f t="shared" si="61"/>
        <v>0.42069976067947434</v>
      </c>
      <c r="W43" s="393">
        <f t="shared" si="61"/>
        <v>0.36408791854029454</v>
      </c>
      <c r="X43" s="393">
        <f t="shared" si="61"/>
        <v>0.36450586048998534</v>
      </c>
      <c r="Y43" s="393">
        <f t="shared" si="61"/>
        <v>0.4199049436352193</v>
      </c>
      <c r="Z43" s="393">
        <f t="shared" si="61"/>
        <v>0.36423917367748659</v>
      </c>
      <c r="AA43" s="393">
        <f t="shared" si="61"/>
        <v>0.36343924078354511</v>
      </c>
      <c r="AB43" s="393">
        <f t="shared" si="61"/>
        <v>0.42001249979509531</v>
      </c>
      <c r="AC43" s="393">
        <v>0.51214128035320083</v>
      </c>
      <c r="AD43" s="393">
        <v>0.28967428967428965</v>
      </c>
      <c r="AE43" s="393">
        <v>0.49850567842199639</v>
      </c>
      <c r="AF43" s="393">
        <v>0.51698513800424628</v>
      </c>
      <c r="AG43" s="393">
        <v>0.53104106972301812</v>
      </c>
      <c r="AH43" s="393">
        <v>0.54600959441779329</v>
      </c>
      <c r="AI43" s="393">
        <v>0.33669761808639481</v>
      </c>
      <c r="AJ43" s="393">
        <v>0.3678247734138973</v>
      </c>
      <c r="AK43" s="393">
        <v>0.49501779359430603</v>
      </c>
      <c r="AL43" s="393">
        <v>0.37441077441077442</v>
      </c>
      <c r="AM43" s="393">
        <v>0.47812500000000002</v>
      </c>
      <c r="AN43" s="393">
        <v>0.8110236220472441</v>
      </c>
      <c r="AO43" s="767">
        <v>0.31769505354411015</v>
      </c>
      <c r="AP43" s="767">
        <v>0.23130262506191185</v>
      </c>
      <c r="AQ43" s="767">
        <v>0.5513274336283186</v>
      </c>
      <c r="AR43" s="767">
        <v>0.6765922249793217</v>
      </c>
      <c r="AS43" s="767">
        <v>0.53737064009198932</v>
      </c>
      <c r="AT43" s="767">
        <v>0.6206779661016949</v>
      </c>
      <c r="AU43" s="767">
        <f t="shared" ref="AU43:BB43" si="62">AU34/AU28</f>
        <v>0.38527693251543094</v>
      </c>
      <c r="AV43" s="767">
        <f t="shared" si="62"/>
        <v>0.33361105486618242</v>
      </c>
      <c r="AW43" s="767">
        <f t="shared" si="62"/>
        <v>0.38454685638460551</v>
      </c>
      <c r="AX43" s="767">
        <f t="shared" si="62"/>
        <v>0.35201381064068882</v>
      </c>
      <c r="AY43" s="767">
        <f t="shared" si="62"/>
        <v>0.35978857894777533</v>
      </c>
      <c r="AZ43" s="767">
        <f t="shared" si="62"/>
        <v>0.41253502943448483</v>
      </c>
      <c r="BA43" s="767">
        <f t="shared" si="62"/>
        <v>0.14861122172720065</v>
      </c>
      <c r="BB43" s="767">
        <f t="shared" si="62"/>
        <v>0.14552017425245492</v>
      </c>
      <c r="BC43" s="767">
        <f t="shared" ref="BC43:BL43" si="63">BC34/BC28</f>
        <v>0.3229465013839789</v>
      </c>
      <c r="BD43" s="767">
        <f t="shared" si="63"/>
        <v>0.30161525487135277</v>
      </c>
      <c r="BE43" s="767">
        <f t="shared" si="63"/>
        <v>0.33668984888697162</v>
      </c>
      <c r="BF43" s="767">
        <f t="shared" si="63"/>
        <v>0.34049277799692496</v>
      </c>
      <c r="BG43" s="767">
        <f t="shared" si="63"/>
        <v>0.34165567201375829</v>
      </c>
      <c r="BH43" s="767">
        <f t="shared" si="63"/>
        <v>0.36301120172958823</v>
      </c>
      <c r="BI43" s="767">
        <f t="shared" si="63"/>
        <v>0.36059752394364591</v>
      </c>
      <c r="BJ43" s="767">
        <f t="shared" si="63"/>
        <v>0.34843638985620301</v>
      </c>
      <c r="BK43" s="767">
        <f t="shared" si="63"/>
        <v>0.3650927418356178</v>
      </c>
      <c r="BL43" s="767">
        <f t="shared" si="63"/>
        <v>0.35804871709281277</v>
      </c>
      <c r="BM43" s="393">
        <f>BM34/ ( BM29)</f>
        <v>0.41874999999999984</v>
      </c>
      <c r="BN43" s="779">
        <f>BN34/ ( BN29)</f>
        <v>0.37257621961735343</v>
      </c>
      <c r="BO43" s="1951">
        <f t="shared" si="39"/>
        <v>0.34165567201375829</v>
      </c>
    </row>
    <row r="44" spans="1:67">
      <c r="B44" s="1224" t="s">
        <v>68</v>
      </c>
      <c r="C44" s="272">
        <f>C29/(SUMIF($AO$3:$AZ$3,"&lt;="&amp;$A$2,$AO$30:$AZ$30)/$A$2)</f>
        <v>14.459367331463218</v>
      </c>
      <c r="D44" s="1219"/>
      <c r="E44" s="393">
        <f>E29/AVERAGE(D30:E30)</f>
        <v>4.7058823529411766</v>
      </c>
      <c r="F44" s="393">
        <f t="shared" ref="F44:P44" si="64">F29/AVERAGE(E30:F30)</f>
        <v>5.3235294117647056</v>
      </c>
      <c r="G44" s="393">
        <f t="shared" si="64"/>
        <v>4.4693877551020407</v>
      </c>
      <c r="H44" s="393">
        <f t="shared" si="64"/>
        <v>3.6835443037974684</v>
      </c>
      <c r="I44" s="393">
        <f t="shared" si="64"/>
        <v>3.6055045871559632</v>
      </c>
      <c r="J44" s="393">
        <f t="shared" si="64"/>
        <v>3.783582089552239</v>
      </c>
      <c r="K44" s="393">
        <f t="shared" si="64"/>
        <v>3.8766233766233764</v>
      </c>
      <c r="L44" s="393">
        <f t="shared" si="64"/>
        <v>3.8275862068965516</v>
      </c>
      <c r="M44" s="393">
        <f t="shared" si="64"/>
        <v>3.768041237113402</v>
      </c>
      <c r="N44" s="393">
        <f t="shared" si="64"/>
        <v>3.4585152838427948</v>
      </c>
      <c r="O44" s="393">
        <f t="shared" si="64"/>
        <v>3.3228346456692912</v>
      </c>
      <c r="P44" s="393">
        <f t="shared" si="64"/>
        <v>3.5078740157480315</v>
      </c>
      <c r="Q44" s="393">
        <f t="shared" ref="Q44:AB44" si="65">Q29/AVERAGE(P30:Q30)</f>
        <v>3.4162098873902185</v>
      </c>
      <c r="R44" s="393">
        <f t="shared" si="65"/>
        <v>4.6713801111963988</v>
      </c>
      <c r="S44" s="393">
        <f t="shared" si="65"/>
        <v>4.9443254725628281</v>
      </c>
      <c r="T44" s="393">
        <f t="shared" si="65"/>
        <v>5.2472703269317007</v>
      </c>
      <c r="U44" s="393">
        <f t="shared" si="65"/>
        <v>5.3511611128320462</v>
      </c>
      <c r="V44" s="393">
        <f t="shared" si="65"/>
        <v>5.4396549566974617</v>
      </c>
      <c r="W44" s="393">
        <f t="shared" si="65"/>
        <v>5.354110887345616</v>
      </c>
      <c r="X44" s="393">
        <f t="shared" si="65"/>
        <v>5.2976774643975171</v>
      </c>
      <c r="Y44" s="393">
        <f t="shared" si="65"/>
        <v>5.5568131995139156</v>
      </c>
      <c r="Z44" s="393">
        <f t="shared" si="65"/>
        <v>5.8249445889664351</v>
      </c>
      <c r="AA44" s="393">
        <f t="shared" si="65"/>
        <v>6.0700844121092228</v>
      </c>
      <c r="AB44" s="393">
        <f t="shared" si="65"/>
        <v>6.4423852962977328</v>
      </c>
      <c r="AC44" s="393">
        <v>4.7451963241436932</v>
      </c>
      <c r="AD44" s="393">
        <v>4.4780591880521161</v>
      </c>
      <c r="AE44" s="393">
        <v>4.3984484741205625</v>
      </c>
      <c r="AF44" s="393">
        <v>4.5209079963536372</v>
      </c>
      <c r="AG44" s="393">
        <v>4.6166726045723934</v>
      </c>
      <c r="AH44" s="393">
        <v>4.7052436948446612</v>
      </c>
      <c r="AI44" s="393">
        <v>4.7702493110689854</v>
      </c>
      <c r="AJ44" s="393">
        <v>4.8178939953951634</v>
      </c>
      <c r="AK44" s="393">
        <v>4.8526217003757948</v>
      </c>
      <c r="AL44" s="393">
        <v>4.8878864703310105</v>
      </c>
      <c r="AM44" s="393">
        <v>4.9863041061579931</v>
      </c>
      <c r="AN44" s="393">
        <v>5.1414481428616652</v>
      </c>
      <c r="AO44" s="767">
        <v>4.924362301411481</v>
      </c>
      <c r="AP44" s="767">
        <v>5.9274041916279137</v>
      </c>
      <c r="AQ44" s="767">
        <v>7.4990511203569232</v>
      </c>
      <c r="AR44" s="767">
        <v>9.4290174863754608</v>
      </c>
      <c r="AS44" s="767">
        <v>11.155760848568175</v>
      </c>
      <c r="AT44" s="767">
        <v>13.86179303064241</v>
      </c>
      <c r="AU44" s="767">
        <f t="shared" ref="AU44:BB44" si="66">AU28/AU30</f>
        <v>4.2168628885678743</v>
      </c>
      <c r="AV44" s="767">
        <f t="shared" si="66"/>
        <v>4.4215377547897408</v>
      </c>
      <c r="AW44" s="767">
        <f t="shared" si="66"/>
        <v>4.3321443704663052</v>
      </c>
      <c r="AX44" s="767">
        <f t="shared" si="66"/>
        <v>4.4250483799541707</v>
      </c>
      <c r="AY44" s="767">
        <f t="shared" si="66"/>
        <v>4.4640309261529207</v>
      </c>
      <c r="AZ44" s="767">
        <f t="shared" si="66"/>
        <v>4.7619419803354006</v>
      </c>
      <c r="BA44" s="767">
        <f t="shared" si="66"/>
        <v>5.4253960943899164</v>
      </c>
      <c r="BB44" s="767">
        <f t="shared" si="66"/>
        <v>5.256001181413831</v>
      </c>
      <c r="BC44" s="767">
        <f t="shared" ref="BC44:BL44" si="67">BC28/BC30</f>
        <v>5.2167397138338396</v>
      </c>
      <c r="BD44" s="767">
        <f t="shared" si="67"/>
        <v>5.6873188367181706</v>
      </c>
      <c r="BE44" s="767">
        <f t="shared" si="67"/>
        <v>5.4195513803828099</v>
      </c>
      <c r="BF44" s="767">
        <f t="shared" si="67"/>
        <v>5.2580554653931513</v>
      </c>
      <c r="BG44" s="767">
        <f t="shared" si="67"/>
        <v>5.4618103211667721</v>
      </c>
      <c r="BH44" s="767">
        <f t="shared" si="67"/>
        <v>5.1975717612294297</v>
      </c>
      <c r="BI44" s="767">
        <f t="shared" si="67"/>
        <v>5.1090299134838668</v>
      </c>
      <c r="BJ44" s="767">
        <f t="shared" si="67"/>
        <v>5.579579130493018</v>
      </c>
      <c r="BK44" s="767">
        <f t="shared" si="67"/>
        <v>5.4902454366500928</v>
      </c>
      <c r="BL44" s="767">
        <f t="shared" si="67"/>
        <v>5.6622294958360406</v>
      </c>
      <c r="BM44" s="393">
        <f>BM29/AVERAGE(AO30:BM30)</f>
        <v>4.414175193570582</v>
      </c>
      <c r="BN44" s="779">
        <f>BN29/AVERAGE(BM30:BN30)</f>
        <v>5.0529362365194501</v>
      </c>
      <c r="BO44" s="1951">
        <f t="shared" si="39"/>
        <v>5.4618103211667721</v>
      </c>
    </row>
    <row r="47" spans="1:67">
      <c r="A47" s="1207">
        <f>A2</f>
        <v>7</v>
      </c>
      <c r="I47" s="147"/>
      <c r="J47" s="147"/>
      <c r="K47" s="147"/>
    </row>
    <row r="48" spans="1:67">
      <c r="B48" s="1216" t="s">
        <v>459</v>
      </c>
      <c r="C48" s="1217" t="s">
        <v>163</v>
      </c>
      <c r="D48" s="1216"/>
      <c r="E48" s="1218" t="s">
        <v>98</v>
      </c>
      <c r="F48" s="1218" t="s">
        <v>34</v>
      </c>
      <c r="G48" s="1218" t="s">
        <v>35</v>
      </c>
      <c r="H48" s="1218" t="s">
        <v>36</v>
      </c>
      <c r="I48" s="1218" t="s">
        <v>37</v>
      </c>
      <c r="J48" s="1218" t="s">
        <v>38</v>
      </c>
      <c r="K48" s="1218" t="s">
        <v>39</v>
      </c>
      <c r="L48" s="1218" t="s">
        <v>40</v>
      </c>
      <c r="M48" s="1218" t="s">
        <v>41</v>
      </c>
      <c r="N48" s="1218" t="s">
        <v>42</v>
      </c>
      <c r="O48" s="1218" t="s">
        <v>43</v>
      </c>
      <c r="P48" s="1218" t="s">
        <v>44</v>
      </c>
      <c r="Q48" s="1218" t="s">
        <v>556</v>
      </c>
      <c r="R48" s="1218" t="s">
        <v>34</v>
      </c>
      <c r="S48" s="1218" t="s">
        <v>35</v>
      </c>
      <c r="T48" s="1218" t="s">
        <v>36</v>
      </c>
      <c r="U48" s="1218" t="s">
        <v>37</v>
      </c>
      <c r="V48" s="1218" t="s">
        <v>38</v>
      </c>
      <c r="W48" s="1218" t="s">
        <v>39</v>
      </c>
      <c r="X48" s="1218" t="s">
        <v>40</v>
      </c>
      <c r="Y48" s="1218" t="s">
        <v>41</v>
      </c>
      <c r="Z48" s="1218" t="s">
        <v>42</v>
      </c>
      <c r="AA48" s="1218" t="s">
        <v>43</v>
      </c>
      <c r="AB48" s="1218" t="s">
        <v>44</v>
      </c>
      <c r="AC48" s="1590" t="s">
        <v>1097</v>
      </c>
      <c r="AD48" s="1211" t="s">
        <v>34</v>
      </c>
      <c r="AE48" s="1211" t="s">
        <v>35</v>
      </c>
      <c r="AF48" s="1211" t="s">
        <v>36</v>
      </c>
      <c r="AG48" s="1211" t="s">
        <v>37</v>
      </c>
      <c r="AH48" s="1211" t="s">
        <v>38</v>
      </c>
      <c r="AI48" s="1211" t="s">
        <v>39</v>
      </c>
      <c r="AJ48" s="1211" t="s">
        <v>40</v>
      </c>
      <c r="AK48" s="1211" t="s">
        <v>41</v>
      </c>
      <c r="AL48" s="1211" t="s">
        <v>42</v>
      </c>
      <c r="AM48" s="1211" t="s">
        <v>43</v>
      </c>
      <c r="AN48" s="1211" t="s">
        <v>44</v>
      </c>
      <c r="AO48" s="1590" t="str">
        <f>AO4</f>
        <v>Jan'16</v>
      </c>
      <c r="AP48" s="1211" t="s">
        <v>34</v>
      </c>
      <c r="AQ48" s="1211" t="s">
        <v>35</v>
      </c>
      <c r="AR48" s="1211" t="s">
        <v>36</v>
      </c>
      <c r="AS48" s="1211" t="s">
        <v>37</v>
      </c>
      <c r="AT48" s="1211" t="s">
        <v>38</v>
      </c>
      <c r="AU48" s="1211" t="s">
        <v>39</v>
      </c>
      <c r="AV48" s="1211" t="s">
        <v>40</v>
      </c>
      <c r="AW48" s="1211" t="s">
        <v>41</v>
      </c>
      <c r="AX48" s="1211" t="s">
        <v>42</v>
      </c>
      <c r="AY48" s="1211" t="s">
        <v>43</v>
      </c>
      <c r="AZ48" s="1211" t="s">
        <v>44</v>
      </c>
      <c r="BA48" s="1211" t="s">
        <v>4133</v>
      </c>
      <c r="BB48" s="1211" t="s">
        <v>34</v>
      </c>
      <c r="BC48" s="1211" t="s">
        <v>35</v>
      </c>
      <c r="BD48" s="1211" t="s">
        <v>36</v>
      </c>
      <c r="BE48" s="1590" t="s">
        <v>37</v>
      </c>
      <c r="BF48" s="1211" t="s">
        <v>38</v>
      </c>
      <c r="BG48" s="1211" t="s">
        <v>39</v>
      </c>
      <c r="BH48" s="1211" t="s">
        <v>40</v>
      </c>
      <c r="BI48" s="1211" t="s">
        <v>41</v>
      </c>
      <c r="BJ48" s="1211" t="s">
        <v>42</v>
      </c>
      <c r="BK48" s="1211" t="s">
        <v>43</v>
      </c>
      <c r="BL48" s="1211" t="s">
        <v>44</v>
      </c>
      <c r="BM48" s="1218" t="s">
        <v>108</v>
      </c>
      <c r="BN48" s="1218" t="s">
        <v>555</v>
      </c>
      <c r="BO48" s="1016" t="str">
        <f>INDEX(AO48:AZ48,1,MATCH($A$2,$AO$3:$AZ$3,0))</f>
        <v>Jul</v>
      </c>
    </row>
    <row r="49" spans="2:67">
      <c r="B49" s="1219" t="s">
        <v>1</v>
      </c>
      <c r="C49" s="2102">
        <f>SUMIF($BA$3:$BL$3, "&lt;=" &amp;$A$2, $BA49:$BL49)</f>
        <v>164343.05610311401</v>
      </c>
      <c r="D49" s="1219"/>
      <c r="E49" s="1219">
        <v>0</v>
      </c>
      <c r="F49" s="1219">
        <v>0</v>
      </c>
      <c r="G49" s="580">
        <v>345.09999999999997</v>
      </c>
      <c r="H49" s="580">
        <v>649.59999999999991</v>
      </c>
      <c r="I49" s="580">
        <v>844.98749999999995</v>
      </c>
      <c r="J49" s="580">
        <v>1299.1999999999998</v>
      </c>
      <c r="K49" s="580">
        <v>1502.1999999999998</v>
      </c>
      <c r="L49" s="580">
        <v>1644.3</v>
      </c>
      <c r="M49" s="580">
        <v>1954.8899999999999</v>
      </c>
      <c r="N49" s="580">
        <v>2164.9949999999994</v>
      </c>
      <c r="O49" s="580">
        <v>2381.19</v>
      </c>
      <c r="P49" s="580">
        <v>2649.1499999999996</v>
      </c>
      <c r="Q49" s="174">
        <v>1460</v>
      </c>
      <c r="R49" s="174">
        <v>1490</v>
      </c>
      <c r="S49" s="174">
        <v>2000</v>
      </c>
      <c r="T49" s="174">
        <v>2260</v>
      </c>
      <c r="U49" s="174">
        <v>2670</v>
      </c>
      <c r="V49" s="174">
        <v>3565</v>
      </c>
      <c r="W49" s="174">
        <v>3460</v>
      </c>
      <c r="X49" s="174">
        <v>3780</v>
      </c>
      <c r="Y49" s="174">
        <v>4620</v>
      </c>
      <c r="Z49" s="174">
        <v>4180</v>
      </c>
      <c r="AA49" s="174">
        <v>4340</v>
      </c>
      <c r="AB49" s="174">
        <v>5180</v>
      </c>
      <c r="AC49" s="1595">
        <v>6087</v>
      </c>
      <c r="AD49" s="174">
        <v>3635</v>
      </c>
      <c r="AE49" s="174">
        <v>11838</v>
      </c>
      <c r="AF49" s="174">
        <v>9111</v>
      </c>
      <c r="AG49" s="174">
        <v>10459</v>
      </c>
      <c r="AH49" s="174">
        <v>13929</v>
      </c>
      <c r="AI49" s="174">
        <v>12842</v>
      </c>
      <c r="AJ49" s="174">
        <v>14569</v>
      </c>
      <c r="AK49" s="174">
        <v>18791</v>
      </c>
      <c r="AL49" s="174">
        <v>16686</v>
      </c>
      <c r="AM49" s="174">
        <v>19894</v>
      </c>
      <c r="AN49" s="174">
        <v>24043</v>
      </c>
      <c r="AO49" s="764">
        <v>7200</v>
      </c>
      <c r="AP49" s="764">
        <v>5400</v>
      </c>
      <c r="AQ49" s="764">
        <v>14400</v>
      </c>
      <c r="AR49" s="764">
        <v>18900</v>
      </c>
      <c r="AS49" s="764">
        <v>16200</v>
      </c>
      <c r="AT49" s="764">
        <v>21150</v>
      </c>
      <c r="AU49" s="1950">
        <v>20978.182655000001</v>
      </c>
      <c r="AV49" s="1950">
        <v>22803.646101775001</v>
      </c>
      <c r="AW49" s="1950">
        <v>32199.386067872001</v>
      </c>
      <c r="AX49" s="1950">
        <v>24393.965144923666</v>
      </c>
      <c r="AY49" s="1950">
        <v>27409.5366773934</v>
      </c>
      <c r="AZ49" s="1950">
        <v>35117.097345486029</v>
      </c>
      <c r="BA49" s="1950">
        <v>11110.99987584695</v>
      </c>
      <c r="BB49" s="1950">
        <v>11037.65686837982</v>
      </c>
      <c r="BC49" s="1950">
        <v>23347.617970249754</v>
      </c>
      <c r="BD49" s="1950">
        <v>24541.581311427213</v>
      </c>
      <c r="BE49" s="1950">
        <v>29089.765403996902</v>
      </c>
      <c r="BF49" s="1950">
        <v>34285.932923475055</v>
      </c>
      <c r="BG49" s="1950">
        <v>30929.501749738334</v>
      </c>
      <c r="BH49" s="764">
        <v>34968.496820469794</v>
      </c>
      <c r="BI49" s="764">
        <v>40460.782598774276</v>
      </c>
      <c r="BJ49" s="764">
        <v>37418.624866031234</v>
      </c>
      <c r="BK49" s="764">
        <v>41559.200126522308</v>
      </c>
      <c r="BL49" s="764">
        <v>47604.309347026676</v>
      </c>
      <c r="BM49" s="174">
        <f>SUM(E49:P49)</f>
        <v>15435.612499999999</v>
      </c>
      <c r="BN49" s="174">
        <v>39005</v>
      </c>
      <c r="BO49" s="1595">
        <f>INDEX(BA49:BL49,1,MATCH($A$2,$AO$3:$AZ$3,0))</f>
        <v>30929.501749738334</v>
      </c>
    </row>
    <row r="50" spans="2:67">
      <c r="B50" s="1219" t="s">
        <v>2</v>
      </c>
      <c r="C50" s="2102">
        <f>SUMIF($BA$3:$BL$3, "&lt;=" &amp;$A$2, $BA50:$BL50)</f>
        <v>164343.05610311401</v>
      </c>
      <c r="D50" s="1219"/>
      <c r="E50" s="1219">
        <v>0</v>
      </c>
      <c r="F50" s="1219">
        <v>0</v>
      </c>
      <c r="G50" s="172">
        <v>286.43299999999994</v>
      </c>
      <c r="H50" s="172">
        <v>539.16799999999989</v>
      </c>
      <c r="I50" s="169">
        <v>701.33962499999996</v>
      </c>
      <c r="J50" s="169">
        <v>1078.3359999999998</v>
      </c>
      <c r="K50" s="169">
        <v>1246.8259999999998</v>
      </c>
      <c r="L50" s="169">
        <v>1364.769</v>
      </c>
      <c r="M50" s="169">
        <v>1622.5586999999998</v>
      </c>
      <c r="N50" s="169">
        <v>1796.9458499999994</v>
      </c>
      <c r="O50" s="169">
        <v>1976.3877</v>
      </c>
      <c r="P50" s="169">
        <v>2198.7945</v>
      </c>
      <c r="Q50" s="176">
        <v>1255.5999999999999</v>
      </c>
      <c r="R50" s="176">
        <v>1281.4000000000001</v>
      </c>
      <c r="S50" s="176">
        <v>1720</v>
      </c>
      <c r="T50" s="176">
        <v>1943.6</v>
      </c>
      <c r="U50" s="176">
        <v>2296.1999999999998</v>
      </c>
      <c r="V50" s="176">
        <v>3065.9</v>
      </c>
      <c r="W50" s="176">
        <v>2975.6</v>
      </c>
      <c r="X50" s="176">
        <v>3250.7999999999997</v>
      </c>
      <c r="Y50" s="176">
        <v>3973.2</v>
      </c>
      <c r="Z50" s="176">
        <v>3594.7999999999997</v>
      </c>
      <c r="AA50" s="176">
        <v>3732.4</v>
      </c>
      <c r="AB50" s="176">
        <v>4454.8</v>
      </c>
      <c r="AC50" s="1595">
        <v>5778</v>
      </c>
      <c r="AD50" s="176">
        <v>3453</v>
      </c>
      <c r="AE50" s="176">
        <v>11247</v>
      </c>
      <c r="AF50" s="176">
        <v>8656</v>
      </c>
      <c r="AG50" s="176">
        <v>9939</v>
      </c>
      <c r="AH50" s="176">
        <v>13233</v>
      </c>
      <c r="AI50" s="176">
        <v>12197</v>
      </c>
      <c r="AJ50" s="176">
        <v>13839</v>
      </c>
      <c r="AK50" s="176">
        <v>17856</v>
      </c>
      <c r="AL50" s="176">
        <v>15852</v>
      </c>
      <c r="AM50" s="176">
        <v>18903</v>
      </c>
      <c r="AN50" s="176">
        <v>22847</v>
      </c>
      <c r="AO50" s="768">
        <v>7200</v>
      </c>
      <c r="AP50" s="768">
        <v>5400</v>
      </c>
      <c r="AQ50" s="768">
        <v>14400</v>
      </c>
      <c r="AR50" s="768">
        <v>18900</v>
      </c>
      <c r="AS50" s="768">
        <v>16200</v>
      </c>
      <c r="AT50" s="768">
        <v>21150</v>
      </c>
      <c r="AU50" s="1946">
        <v>22802</v>
      </c>
      <c r="AV50" s="1946">
        <f t="shared" ref="AV50:BL50" si="68">AU50/AU49*AV49</f>
        <v>24786.166989004774</v>
      </c>
      <c r="AW50" s="1946">
        <f t="shared" si="68"/>
        <v>34998.761007766494</v>
      </c>
      <c r="AX50" s="1946">
        <f t="shared" si="68"/>
        <v>26514.74640974087</v>
      </c>
      <c r="AY50" s="1946">
        <f t="shared" si="68"/>
        <v>29792.488014635619</v>
      </c>
      <c r="AZ50" s="1946">
        <f t="shared" si="68"/>
        <v>38170.13450785842</v>
      </c>
      <c r="BA50" s="1946">
        <f>BA49</f>
        <v>11110.99987584695</v>
      </c>
      <c r="BB50" s="1946">
        <f t="shared" si="68"/>
        <v>11037.65686837982</v>
      </c>
      <c r="BC50" s="1946">
        <f t="shared" si="68"/>
        <v>23347.617970249754</v>
      </c>
      <c r="BD50" s="1946">
        <f t="shared" si="68"/>
        <v>24541.581311427213</v>
      </c>
      <c r="BE50" s="1946">
        <f t="shared" si="68"/>
        <v>29089.765403996902</v>
      </c>
      <c r="BF50" s="1946">
        <f t="shared" si="68"/>
        <v>34285.932923475055</v>
      </c>
      <c r="BG50" s="1946">
        <f t="shared" si="68"/>
        <v>30929.501749738334</v>
      </c>
      <c r="BH50" s="1946">
        <f t="shared" si="68"/>
        <v>34968.496820469794</v>
      </c>
      <c r="BI50" s="1946">
        <f t="shared" si="68"/>
        <v>40460.782598774276</v>
      </c>
      <c r="BJ50" s="1946">
        <f t="shared" si="68"/>
        <v>37418.624866031234</v>
      </c>
      <c r="BK50" s="1946">
        <f t="shared" si="68"/>
        <v>41559.200126522308</v>
      </c>
      <c r="BL50" s="1946">
        <f t="shared" si="68"/>
        <v>47604.309347026676</v>
      </c>
      <c r="BM50" s="176">
        <f>SUM(E50:P50)</f>
        <v>12811.558374999999</v>
      </c>
      <c r="BN50" s="176">
        <v>33544.300000000003</v>
      </c>
      <c r="BO50" s="1595">
        <f t="shared" ref="BO50:BO67" si="69">INDEX(BA50:BL50,1,MATCH($A$2,$AO$3:$AZ$3,0))</f>
        <v>30929.501749738334</v>
      </c>
    </row>
    <row r="51" spans="2:67">
      <c r="B51" s="1219" t="s">
        <v>7</v>
      </c>
      <c r="C51" s="2102">
        <f>SUMIF($BA$3:$BL$3, "=" &amp;$A$2, $BA51:$BL51)</f>
        <v>6918.5275745881127</v>
      </c>
      <c r="D51" s="1219"/>
      <c r="E51" s="1219"/>
      <c r="F51" s="1219"/>
      <c r="G51" s="1219">
        <v>40</v>
      </c>
      <c r="H51" s="1219">
        <v>85</v>
      </c>
      <c r="I51" s="1221">
        <v>140</v>
      </c>
      <c r="J51" s="1221">
        <v>190</v>
      </c>
      <c r="K51" s="1221">
        <v>240</v>
      </c>
      <c r="L51" s="1221">
        <v>300</v>
      </c>
      <c r="M51" s="1221">
        <v>342</v>
      </c>
      <c r="N51" s="1221">
        <v>369</v>
      </c>
      <c r="O51" s="1221">
        <v>412</v>
      </c>
      <c r="P51" s="1221">
        <v>457</v>
      </c>
      <c r="Q51" s="1221">
        <v>357</v>
      </c>
      <c r="R51" s="1221">
        <v>353</v>
      </c>
      <c r="S51" s="1221">
        <v>379</v>
      </c>
      <c r="T51" s="1221">
        <v>450</v>
      </c>
      <c r="U51" s="1221">
        <v>529</v>
      </c>
      <c r="V51" s="1221">
        <v>603</v>
      </c>
      <c r="W51" s="1221">
        <v>666</v>
      </c>
      <c r="X51" s="1221">
        <v>716</v>
      </c>
      <c r="Y51" s="1221">
        <v>751</v>
      </c>
      <c r="Z51" s="1221">
        <v>781</v>
      </c>
      <c r="AA51" s="1221">
        <v>809</v>
      </c>
      <c r="AB51" s="1221">
        <v>834</v>
      </c>
      <c r="AC51" s="1221">
        <v>1024</v>
      </c>
      <c r="AD51" s="1221">
        <v>1092</v>
      </c>
      <c r="AE51" s="1221">
        <v>1244</v>
      </c>
      <c r="AF51" s="1221">
        <v>1437</v>
      </c>
      <c r="AG51" s="1221">
        <v>1653</v>
      </c>
      <c r="AH51" s="1221">
        <v>1824</v>
      </c>
      <c r="AI51" s="1221">
        <v>2074</v>
      </c>
      <c r="AJ51" s="1221">
        <v>2298</v>
      </c>
      <c r="AK51" s="1221">
        <v>2486</v>
      </c>
      <c r="AL51" s="1221">
        <v>2738</v>
      </c>
      <c r="AM51" s="1221">
        <v>2981</v>
      </c>
      <c r="AN51" s="1221">
        <v>3125</v>
      </c>
      <c r="AO51" s="1944">
        <v>2194</v>
      </c>
      <c r="AP51" s="1944">
        <v>2104</v>
      </c>
      <c r="AQ51" s="1944">
        <v>2201</v>
      </c>
      <c r="AR51" s="1944">
        <v>2318</v>
      </c>
      <c r="AS51" s="1944">
        <v>2568</v>
      </c>
      <c r="AT51" s="1944">
        <v>2993</v>
      </c>
      <c r="AU51" s="1894">
        <v>3828.7094000000002</v>
      </c>
      <c r="AV51" s="1894">
        <v>4150.3900730000005</v>
      </c>
      <c r="AW51" s="1894">
        <v>4498.5905095999997</v>
      </c>
      <c r="AX51" s="1894">
        <v>4774.6872193199006</v>
      </c>
      <c r="AY51" s="1894">
        <v>5152.5593859285818</v>
      </c>
      <c r="AZ51" s="1894">
        <v>5489.0328826018176</v>
      </c>
      <c r="BA51" s="1894">
        <v>5882.7561214776642</v>
      </c>
      <c r="BB51" s="1894">
        <v>5617.881177919051</v>
      </c>
      <c r="BC51" s="1894">
        <v>5709.3361326776758</v>
      </c>
      <c r="BD51" s="1894">
        <v>5835.5379900352627</v>
      </c>
      <c r="BE51" s="1894">
        <v>6170.6554652311297</v>
      </c>
      <c r="BF51" s="1894">
        <v>6719.4601148246065</v>
      </c>
      <c r="BG51" s="1894">
        <v>6918.5275745881127</v>
      </c>
      <c r="BH51" s="1944">
        <v>7311.1873216963513</v>
      </c>
      <c r="BI51" s="1944">
        <v>7823.4348316439</v>
      </c>
      <c r="BJ51" s="1944">
        <v>8032.8151261654493</v>
      </c>
      <c r="BK51" s="1944">
        <v>8395.2419564782085</v>
      </c>
      <c r="BL51" s="1944">
        <v>8840.2762428041133</v>
      </c>
      <c r="BM51" s="1221">
        <f>+P51</f>
        <v>457</v>
      </c>
      <c r="BN51" s="1221">
        <v>834</v>
      </c>
      <c r="BO51" s="1595">
        <f t="shared" si="69"/>
        <v>6918.5275745881127</v>
      </c>
    </row>
    <row r="52" spans="2:67">
      <c r="B52" s="1219" t="s">
        <v>96</v>
      </c>
      <c r="C52" s="264">
        <f>SUMIF($BA$3:$BL$3, "&lt;=" &amp;$A$2, $BA$52:$BL$52) /$A$47</f>
        <v>6019.9153186800495</v>
      </c>
      <c r="D52" s="1219"/>
      <c r="E52" s="1219"/>
      <c r="F52" s="1219"/>
      <c r="G52" s="1219">
        <v>20</v>
      </c>
      <c r="H52" s="1219">
        <v>62.5</v>
      </c>
      <c r="I52" s="1221">
        <v>112.5</v>
      </c>
      <c r="J52" s="1221">
        <v>165</v>
      </c>
      <c r="K52" s="1221">
        <v>215</v>
      </c>
      <c r="L52" s="1221">
        <v>270</v>
      </c>
      <c r="M52" s="1221">
        <v>321</v>
      </c>
      <c r="N52" s="1221">
        <v>355.5</v>
      </c>
      <c r="O52" s="1221">
        <v>391</v>
      </c>
      <c r="P52" s="1221">
        <v>435</v>
      </c>
      <c r="Q52" s="176">
        <v>348.45340851380229</v>
      </c>
      <c r="R52" s="176">
        <v>355.02488845092631</v>
      </c>
      <c r="S52" s="176">
        <v>365.88008496964926</v>
      </c>
      <c r="T52" s="176">
        <v>414.53435582760437</v>
      </c>
      <c r="U52" s="176">
        <v>489.63124182413219</v>
      </c>
      <c r="V52" s="176">
        <v>565.724115496536</v>
      </c>
      <c r="W52" s="176">
        <v>634.46214015045553</v>
      </c>
      <c r="X52" s="176">
        <v>691.34690910387599</v>
      </c>
      <c r="Y52" s="176">
        <v>733.4993423358369</v>
      </c>
      <c r="Z52" s="176">
        <v>765.98021344908625</v>
      </c>
      <c r="AA52" s="176">
        <v>795.18105798630813</v>
      </c>
      <c r="AB52" s="176">
        <v>821.40412527796093</v>
      </c>
      <c r="AC52" s="176">
        <v>1002</v>
      </c>
      <c r="AD52" s="176">
        <v>1058</v>
      </c>
      <c r="AE52" s="176">
        <v>1168</v>
      </c>
      <c r="AF52" s="176">
        <v>1341</v>
      </c>
      <c r="AG52" s="176">
        <v>1545</v>
      </c>
      <c r="AH52" s="176">
        <v>1739</v>
      </c>
      <c r="AI52" s="176">
        <v>1949</v>
      </c>
      <c r="AJ52" s="176">
        <v>2186</v>
      </c>
      <c r="AK52" s="176">
        <v>2392</v>
      </c>
      <c r="AL52" s="176">
        <v>2612</v>
      </c>
      <c r="AM52" s="176">
        <v>2860</v>
      </c>
      <c r="AN52" s="176">
        <v>3053</v>
      </c>
      <c r="AO52" s="768">
        <v>2193</v>
      </c>
      <c r="AP52" s="768">
        <v>2149</v>
      </c>
      <c r="AQ52" s="768">
        <v>2153</v>
      </c>
      <c r="AR52" s="768">
        <v>2260</v>
      </c>
      <c r="AS52" s="768">
        <v>2443</v>
      </c>
      <c r="AT52" s="768">
        <v>2781</v>
      </c>
      <c r="AU52" s="1945">
        <f t="shared" ref="AU52:BL52" si="70">AVERAGE(AT51:AU51)</f>
        <v>3410.8546999999999</v>
      </c>
      <c r="AV52" s="1945">
        <f t="shared" si="70"/>
        <v>3989.5497365000001</v>
      </c>
      <c r="AW52" s="1945">
        <f t="shared" si="70"/>
        <v>4324.4902913000005</v>
      </c>
      <c r="AX52" s="1945">
        <f t="shared" si="70"/>
        <v>4636.6388644599501</v>
      </c>
      <c r="AY52" s="1945">
        <f t="shared" si="70"/>
        <v>4963.6233026242408</v>
      </c>
      <c r="AZ52" s="1945">
        <f t="shared" si="70"/>
        <v>5320.7961342651997</v>
      </c>
      <c r="BA52" s="1945">
        <f t="shared" si="70"/>
        <v>5685.8945020397405</v>
      </c>
      <c r="BB52" s="1945">
        <f t="shared" si="70"/>
        <v>5750.3186496983581</v>
      </c>
      <c r="BC52" s="1945">
        <f t="shared" si="70"/>
        <v>5663.6086552983634</v>
      </c>
      <c r="BD52" s="1945">
        <f t="shared" si="70"/>
        <v>5772.4370613564697</v>
      </c>
      <c r="BE52" s="1945">
        <f t="shared" si="70"/>
        <v>6003.0967276331958</v>
      </c>
      <c r="BF52" s="1945">
        <f t="shared" si="70"/>
        <v>6445.0577900278677</v>
      </c>
      <c r="BG52" s="1945">
        <f t="shared" si="70"/>
        <v>6818.9938447063596</v>
      </c>
      <c r="BH52" s="1945">
        <f t="shared" si="70"/>
        <v>7114.857448142232</v>
      </c>
      <c r="BI52" s="1945">
        <f t="shared" si="70"/>
        <v>7567.3110766701257</v>
      </c>
      <c r="BJ52" s="1945">
        <f t="shared" si="70"/>
        <v>7928.1249789046742</v>
      </c>
      <c r="BK52" s="1945">
        <f t="shared" si="70"/>
        <v>8214.0285413218298</v>
      </c>
      <c r="BL52" s="1945">
        <f t="shared" si="70"/>
        <v>8617.75909964116</v>
      </c>
      <c r="BM52" s="176">
        <f>SUM(G52:P52)</f>
        <v>2347.5</v>
      </c>
      <c r="BN52" s="176">
        <f>581.760156948848 * 12</f>
        <v>6981.1218833861767</v>
      </c>
      <c r="BO52" s="1595">
        <f t="shared" si="69"/>
        <v>6818.9938447063596</v>
      </c>
    </row>
    <row r="53" spans="2:67">
      <c r="B53" s="1219" t="s">
        <v>109</v>
      </c>
      <c r="C53" s="264">
        <f>SUMIF($BA$3:$BL$3, "=" &amp;$A$2, $BA$53:$BL$53)</f>
        <v>1214.1164210002776</v>
      </c>
      <c r="D53" s="1219"/>
      <c r="E53" s="1219"/>
      <c r="F53" s="1219"/>
      <c r="G53" s="1219">
        <v>20</v>
      </c>
      <c r="H53" s="1219">
        <v>35</v>
      </c>
      <c r="I53" s="1221">
        <v>50</v>
      </c>
      <c r="J53" s="1221">
        <v>60</v>
      </c>
      <c r="K53" s="1221">
        <v>70</v>
      </c>
      <c r="L53" s="1221">
        <v>75</v>
      </c>
      <c r="M53" s="1221">
        <v>75</v>
      </c>
      <c r="N53" s="1221">
        <v>75</v>
      </c>
      <c r="O53" s="1221">
        <v>78</v>
      </c>
      <c r="P53" s="1221">
        <v>83</v>
      </c>
      <c r="Q53" s="1221">
        <v>77</v>
      </c>
      <c r="R53" s="1221">
        <v>75</v>
      </c>
      <c r="S53" s="1221">
        <v>73</v>
      </c>
      <c r="T53" s="1221">
        <v>85</v>
      </c>
      <c r="U53" s="1221">
        <v>98</v>
      </c>
      <c r="V53" s="1221">
        <v>110</v>
      </c>
      <c r="W53" s="1221">
        <v>127</v>
      </c>
      <c r="X53" s="1221">
        <v>134</v>
      </c>
      <c r="Y53" s="1221">
        <v>130</v>
      </c>
      <c r="Z53" s="1221">
        <v>133</v>
      </c>
      <c r="AA53" s="1221">
        <v>129</v>
      </c>
      <c r="AB53" s="1221">
        <v>126</v>
      </c>
      <c r="AC53" s="1956">
        <v>211.2</v>
      </c>
      <c r="AD53" s="1956">
        <v>215.64</v>
      </c>
      <c r="AE53" s="1956">
        <v>239.85799999999998</v>
      </c>
      <c r="AF53" s="1956">
        <v>253.86509999999996</v>
      </c>
      <c r="AG53" s="1956">
        <v>271.17184499999996</v>
      </c>
      <c r="AH53" s="1956">
        <v>283.61325274999996</v>
      </c>
      <c r="AI53" s="1956">
        <v>302.43259011249995</v>
      </c>
      <c r="AJ53" s="1956">
        <v>306.31096060687491</v>
      </c>
      <c r="AK53" s="1956">
        <v>310.99541257653118</v>
      </c>
      <c r="AL53" s="1956">
        <v>319.44564194770459</v>
      </c>
      <c r="AM53" s="1956">
        <v>318.47335985031935</v>
      </c>
      <c r="AN53" s="1956">
        <v>316.5496918578034</v>
      </c>
      <c r="AO53" s="1944">
        <v>365.5</v>
      </c>
      <c r="AP53" s="1944">
        <v>310.67500000000001</v>
      </c>
      <c r="AQ53" s="1944">
        <v>264.07375000000002</v>
      </c>
      <c r="AR53" s="1944">
        <v>230.46268750000002</v>
      </c>
      <c r="AS53" s="1944">
        <v>217.89328437500001</v>
      </c>
      <c r="AT53" s="1944">
        <v>185.20929171874999</v>
      </c>
      <c r="AU53" s="1894">
        <v>763.8325000000001</v>
      </c>
      <c r="AV53" s="1894">
        <v>825.56667500000015</v>
      </c>
      <c r="AW53" s="1894">
        <v>892.18550825000011</v>
      </c>
      <c r="AX53" s="1894">
        <v>923.97521301375014</v>
      </c>
      <c r="AY53" s="1894">
        <v>994.19462206761261</v>
      </c>
      <c r="AZ53" s="1894">
        <v>1066.5109342107367</v>
      </c>
      <c r="BA53" s="1894">
        <v>1040.9100704706821</v>
      </c>
      <c r="BB53" s="1894">
        <v>1082.8735363370472</v>
      </c>
      <c r="BC53" s="1894">
        <v>1137.2582023539403</v>
      </c>
      <c r="BD53" s="1894">
        <v>1114.6557263597674</v>
      </c>
      <c r="BE53" s="1894">
        <v>1173.0441088747816</v>
      </c>
      <c r="BF53" s="1894">
        <v>1232.2149311378923</v>
      </c>
      <c r="BG53" s="1894">
        <v>1214.1164210002776</v>
      </c>
      <c r="BH53" s="1944">
        <v>1277.6724078023078</v>
      </c>
      <c r="BI53" s="1944">
        <v>1346.0165342725077</v>
      </c>
      <c r="BJ53" s="1944">
        <v>1339.1332252001196</v>
      </c>
      <c r="BK53" s="1944">
        <v>1401.2198631712972</v>
      </c>
      <c r="BL53" s="1944">
        <v>1466.1941337122016</v>
      </c>
      <c r="BM53" s="1221">
        <f>+P53</f>
        <v>83</v>
      </c>
      <c r="BN53" s="1221">
        <v>126</v>
      </c>
      <c r="BO53" s="1595">
        <f t="shared" si="69"/>
        <v>1214.1164210002776</v>
      </c>
    </row>
    <row r="54" spans="2:67">
      <c r="B54" s="1219" t="s">
        <v>21</v>
      </c>
      <c r="C54" s="265">
        <f>AO54</f>
        <v>0.28000000000000003</v>
      </c>
      <c r="D54" s="1219"/>
      <c r="E54" s="171"/>
      <c r="F54" s="171"/>
      <c r="G54" s="167">
        <v>0.85</v>
      </c>
      <c r="H54" s="171">
        <v>0.51200000000000001</v>
      </c>
      <c r="I54" s="167">
        <v>0.37</v>
      </c>
      <c r="J54" s="167">
        <v>0.38787878787878788</v>
      </c>
      <c r="K54" s="167">
        <v>0.34418604651162793</v>
      </c>
      <c r="L54" s="167">
        <v>0.3</v>
      </c>
      <c r="M54" s="167">
        <v>0.3</v>
      </c>
      <c r="N54" s="167">
        <v>0.3</v>
      </c>
      <c r="O54" s="167">
        <v>0.3</v>
      </c>
      <c r="P54" s="167">
        <v>0.3</v>
      </c>
      <c r="Q54" s="167">
        <v>0.2</v>
      </c>
      <c r="R54" s="167">
        <v>0.2</v>
      </c>
      <c r="S54" s="167">
        <v>0.26</v>
      </c>
      <c r="T54" s="167">
        <v>0.26</v>
      </c>
      <c r="U54" s="167">
        <v>0.26</v>
      </c>
      <c r="V54" s="167">
        <v>0.3</v>
      </c>
      <c r="W54" s="167">
        <v>0.26</v>
      </c>
      <c r="X54" s="167">
        <v>0.26</v>
      </c>
      <c r="Y54" s="167">
        <v>0.3</v>
      </c>
      <c r="Z54" s="167">
        <v>0.26</v>
      </c>
      <c r="AA54" s="167">
        <v>0.26</v>
      </c>
      <c r="AB54" s="167">
        <v>0.3</v>
      </c>
      <c r="AC54" s="167">
        <v>0.28000000000000003</v>
      </c>
      <c r="AD54" s="167">
        <v>0.28000000000000003</v>
      </c>
      <c r="AE54" s="167">
        <v>0.28000000000000003</v>
      </c>
      <c r="AF54" s="167">
        <v>0.28000000000000003</v>
      </c>
      <c r="AG54" s="167">
        <v>0.28000000000000003</v>
      </c>
      <c r="AH54" s="167">
        <v>0.28000000000000003</v>
      </c>
      <c r="AI54" s="167">
        <v>0.28000000000000003</v>
      </c>
      <c r="AJ54" s="167">
        <v>0.28000000000000003</v>
      </c>
      <c r="AK54" s="167">
        <v>0.28000000000000003</v>
      </c>
      <c r="AL54" s="167">
        <v>0.28000000000000003</v>
      </c>
      <c r="AM54" s="167">
        <v>0.28000000000000003</v>
      </c>
      <c r="AN54" s="167">
        <v>0.28000000000000003</v>
      </c>
      <c r="AO54" s="766">
        <v>0.28000000000000003</v>
      </c>
      <c r="AP54" s="766">
        <v>0.28000000000000003</v>
      </c>
      <c r="AQ54" s="766">
        <v>0.28000000000000003</v>
      </c>
      <c r="AR54" s="766">
        <v>0.28000000000000003</v>
      </c>
      <c r="AS54" s="766">
        <v>0.28000000000000003</v>
      </c>
      <c r="AT54" s="766">
        <v>0.28000000000000003</v>
      </c>
      <c r="AU54" s="1949">
        <v>0.25149321021856608</v>
      </c>
      <c r="AV54" s="1949">
        <v>0.24653172649153066</v>
      </c>
      <c r="AW54" s="1949">
        <v>0.30208269953177697</v>
      </c>
      <c r="AX54" s="1949">
        <v>0.24310982938993289</v>
      </c>
      <c r="AY54" s="1949">
        <v>0.24967785962577543</v>
      </c>
      <c r="AZ54" s="1949">
        <v>0.26811791398961277</v>
      </c>
      <c r="BA54" s="2090">
        <v>0.1121003002332347</v>
      </c>
      <c r="BB54" s="2090">
        <v>0.10686166697752551</v>
      </c>
      <c r="BC54" s="2090">
        <v>0.22008560249072706</v>
      </c>
      <c r="BD54" s="2090">
        <v>0.21896633577289271</v>
      </c>
      <c r="BE54" s="2090">
        <v>0.22490056026779198</v>
      </c>
      <c r="BF54" s="2090">
        <v>0.23192447089136475</v>
      </c>
      <c r="BG54" s="2090">
        <v>0.22786674205760518</v>
      </c>
      <c r="BH54" s="2091">
        <v>0.23042567143432593</v>
      </c>
      <c r="BI54" s="2091">
        <v>0.2339869604616743</v>
      </c>
      <c r="BJ54" s="2091">
        <v>0.23239280337538534</v>
      </c>
      <c r="BK54" s="2091">
        <v>0.23567786007031133</v>
      </c>
      <c r="BL54" s="2091">
        <v>0.2398763652841939</v>
      </c>
      <c r="BM54" s="167">
        <f>+BM55/BM52</f>
        <v>0.32390841320553782</v>
      </c>
      <c r="BN54" s="167">
        <v>0.26614633450559133</v>
      </c>
      <c r="BO54" s="475">
        <f t="shared" si="69"/>
        <v>0.22786674205760518</v>
      </c>
    </row>
    <row r="55" spans="2:67">
      <c r="B55" s="1219" t="s">
        <v>60</v>
      </c>
      <c r="C55" s="264">
        <f>SUMIF($BA$3:$BL$3, "&lt;=" &amp;$A$2, $BA55:$BL55)</f>
        <v>8161.0155790168192</v>
      </c>
      <c r="D55" s="1219"/>
      <c r="E55" s="1219"/>
      <c r="F55" s="1219"/>
      <c r="G55" s="1219">
        <v>17</v>
      </c>
      <c r="H55" s="1219">
        <v>32</v>
      </c>
      <c r="I55" s="1221">
        <v>41.625</v>
      </c>
      <c r="J55" s="1221">
        <v>64</v>
      </c>
      <c r="K55" s="1221">
        <v>74</v>
      </c>
      <c r="L55" s="1221">
        <v>81</v>
      </c>
      <c r="M55" s="1221">
        <v>96.3</v>
      </c>
      <c r="N55" s="1221">
        <v>106.64999999999999</v>
      </c>
      <c r="O55" s="1221">
        <v>117.3</v>
      </c>
      <c r="P55" s="1221">
        <v>130.5</v>
      </c>
      <c r="Q55" s="1221">
        <v>70</v>
      </c>
      <c r="R55" s="1221">
        <v>71</v>
      </c>
      <c r="S55" s="1221">
        <v>95</v>
      </c>
      <c r="T55" s="1221">
        <v>108</v>
      </c>
      <c r="U55" s="1221">
        <v>127</v>
      </c>
      <c r="V55" s="1221">
        <v>170</v>
      </c>
      <c r="W55" s="1221">
        <v>165</v>
      </c>
      <c r="X55" s="1221">
        <v>180</v>
      </c>
      <c r="Y55" s="1221">
        <v>220</v>
      </c>
      <c r="Z55" s="1221">
        <v>199</v>
      </c>
      <c r="AA55" s="1221">
        <v>207</v>
      </c>
      <c r="AB55" s="1221">
        <v>246</v>
      </c>
      <c r="AC55" s="1016">
        <v>250</v>
      </c>
      <c r="AD55" s="1221">
        <v>153</v>
      </c>
      <c r="AE55" s="1221">
        <v>487</v>
      </c>
      <c r="AF55" s="1221">
        <v>380</v>
      </c>
      <c r="AG55" s="1221">
        <v>436</v>
      </c>
      <c r="AH55" s="1221">
        <v>583</v>
      </c>
      <c r="AI55" s="1221">
        <v>532</v>
      </c>
      <c r="AJ55" s="1221">
        <v>606</v>
      </c>
      <c r="AK55" s="1221">
        <v>781</v>
      </c>
      <c r="AL55" s="1221">
        <v>691</v>
      </c>
      <c r="AM55" s="1221">
        <v>825</v>
      </c>
      <c r="AN55" s="1221">
        <v>997</v>
      </c>
      <c r="AO55" s="1222">
        <v>464</v>
      </c>
      <c r="AP55" s="1222">
        <v>345</v>
      </c>
      <c r="AQ55" s="1222">
        <v>681</v>
      </c>
      <c r="AR55" s="1222">
        <v>730</v>
      </c>
      <c r="AS55" s="1222">
        <v>695</v>
      </c>
      <c r="AT55" s="1222">
        <v>980</v>
      </c>
      <c r="AU55" s="1946">
        <f>AU52*AU54</f>
        <v>857.80679809208414</v>
      </c>
      <c r="AV55" s="1946">
        <f>AV52*AV54</f>
        <v>983.55058446317628</v>
      </c>
      <c r="AW55" s="1946">
        <f>AW52*AW54</f>
        <v>1306.3537012948648</v>
      </c>
      <c r="AX55" s="1946">
        <f>AX52*AX54</f>
        <v>1127.2124832815907</v>
      </c>
      <c r="AY55" s="1946">
        <f>AY52*AY54</f>
        <v>1239.3068421878431</v>
      </c>
      <c r="AZ55" s="1946">
        <f t="shared" ref="AZ55:BL55" si="71">AZ52*AZ54</f>
        <v>1426.600760283181</v>
      </c>
      <c r="BA55" s="1946">
        <f>BA52*BA54</f>
        <v>637.3904807731534</v>
      </c>
      <c r="BB55" s="1946">
        <f t="shared" si="71"/>
        <v>614.48863655872015</v>
      </c>
      <c r="BC55" s="1946">
        <f t="shared" si="71"/>
        <v>1246.4787231730368</v>
      </c>
      <c r="BD55" s="1946">
        <f t="shared" si="71"/>
        <v>1263.9693918048708</v>
      </c>
      <c r="BE55" s="1946">
        <f t="shared" si="71"/>
        <v>1350.0998173864543</v>
      </c>
      <c r="BF55" s="1946">
        <f t="shared" si="71"/>
        <v>1494.7666178164818</v>
      </c>
      <c r="BG55" s="1946">
        <f t="shared" si="71"/>
        <v>1553.8219115041015</v>
      </c>
      <c r="BH55" s="1946">
        <f t="shared" si="71"/>
        <v>1639.4458046476886</v>
      </c>
      <c r="BI55" s="1946">
        <f t="shared" si="71"/>
        <v>1770.6521176980027</v>
      </c>
      <c r="BJ55" s="1946">
        <f t="shared" si="71"/>
        <v>1842.4391893580751</v>
      </c>
      <c r="BK55" s="1946">
        <f t="shared" si="71"/>
        <v>1935.8646691751896</v>
      </c>
      <c r="BL55" s="1946">
        <f t="shared" si="71"/>
        <v>2067.1967297167089</v>
      </c>
      <c r="BM55" s="1221">
        <f>SUM(G55:P55)</f>
        <v>760.375</v>
      </c>
      <c r="BN55" s="1221">
        <v>1858</v>
      </c>
      <c r="BO55" s="1595">
        <f t="shared" si="69"/>
        <v>1553.8219115041015</v>
      </c>
    </row>
    <row r="56" spans="2:67">
      <c r="B56" s="1219" t="s">
        <v>61</v>
      </c>
      <c r="C56" s="272">
        <f>IF(C55&lt;&gt;0,C57/C55,0)</f>
        <v>1.352859822919479</v>
      </c>
      <c r="D56" s="1219"/>
      <c r="E56" s="1219"/>
      <c r="F56" s="1219"/>
      <c r="G56" s="1219">
        <v>1.4</v>
      </c>
      <c r="H56" s="1219">
        <v>1.4</v>
      </c>
      <c r="I56" s="1221">
        <v>1.4</v>
      </c>
      <c r="J56" s="1221">
        <v>1.4</v>
      </c>
      <c r="K56" s="1221">
        <v>1.4</v>
      </c>
      <c r="L56" s="1221">
        <v>1.4</v>
      </c>
      <c r="M56" s="1221">
        <v>1.4</v>
      </c>
      <c r="N56" s="1221">
        <v>1.4</v>
      </c>
      <c r="O56" s="1221">
        <v>1.4</v>
      </c>
      <c r="P56" s="1221">
        <v>1.4</v>
      </c>
      <c r="Q56" s="1221">
        <v>1.4</v>
      </c>
      <c r="R56" s="1221">
        <v>1.4</v>
      </c>
      <c r="S56" s="1221">
        <v>1.4</v>
      </c>
      <c r="T56" s="1221">
        <v>1.4</v>
      </c>
      <c r="U56" s="1221">
        <v>1.4</v>
      </c>
      <c r="V56" s="1221">
        <v>1.4</v>
      </c>
      <c r="W56" s="1221">
        <v>1.4</v>
      </c>
      <c r="X56" s="1221">
        <v>1.4</v>
      </c>
      <c r="Y56" s="1221">
        <v>1.4</v>
      </c>
      <c r="Z56" s="1221">
        <v>1.4</v>
      </c>
      <c r="AA56" s="1221">
        <v>1.4</v>
      </c>
      <c r="AB56" s="1221">
        <v>1.4</v>
      </c>
      <c r="AC56" s="1957">
        <v>1.724</v>
      </c>
      <c r="AD56" s="1957">
        <v>1.6797385620915033</v>
      </c>
      <c r="AE56" s="1957">
        <v>1.7207392197125257</v>
      </c>
      <c r="AF56" s="1957">
        <v>1.6973684210526316</v>
      </c>
      <c r="AG56" s="1957">
        <v>1.6995412844036697</v>
      </c>
      <c r="AH56" s="1957">
        <v>1.6912521440823327</v>
      </c>
      <c r="AI56" s="1957">
        <v>1.7086466165413534</v>
      </c>
      <c r="AJ56" s="1957">
        <v>1.7029702970297029</v>
      </c>
      <c r="AK56" s="1957">
        <v>1.704225352112676</v>
      </c>
      <c r="AL56" s="1957">
        <v>1.7105643994211288</v>
      </c>
      <c r="AM56" s="1957">
        <v>1.7078787878787878</v>
      </c>
      <c r="AN56" s="1957">
        <v>1.7081243731193581</v>
      </c>
      <c r="AO56" s="1895">
        <v>1.0991379310344827</v>
      </c>
      <c r="AP56" s="1895">
        <v>1.1072463768115941</v>
      </c>
      <c r="AQ56" s="1895">
        <v>1.4977973568281939</v>
      </c>
      <c r="AR56" s="1895">
        <v>1.8342465753424657</v>
      </c>
      <c r="AS56" s="1895">
        <v>1.6503597122302158</v>
      </c>
      <c r="AT56" s="1895">
        <v>1.5285714285714285</v>
      </c>
      <c r="AU56" s="1947">
        <v>1.4581053755781559</v>
      </c>
      <c r="AV56" s="1947">
        <v>1.4875927420996735</v>
      </c>
      <c r="AW56" s="1947">
        <v>1.6173319933732988</v>
      </c>
      <c r="AX56" s="1947">
        <v>1.4169498632135551</v>
      </c>
      <c r="AY56" s="1947">
        <v>1.4249919457143057</v>
      </c>
      <c r="AZ56" s="1947">
        <v>1.5973039492720009</v>
      </c>
      <c r="BA56" s="2088">
        <v>1.1659311125009648</v>
      </c>
      <c r="BB56" s="2088">
        <v>1.2338426260965922</v>
      </c>
      <c r="BC56" s="2088">
        <v>1.2728906906457256</v>
      </c>
      <c r="BD56" s="2088">
        <v>1.311766300498338</v>
      </c>
      <c r="BE56" s="2088">
        <v>1.4301024584999926</v>
      </c>
      <c r="BF56" s="2088">
        <v>1.506747798750228</v>
      </c>
      <c r="BG56" s="2088">
        <v>1.3590318266867429</v>
      </c>
      <c r="BH56" s="2089">
        <v>1.4336652432155033</v>
      </c>
      <c r="BI56" s="2089">
        <v>1.5239550167586366</v>
      </c>
      <c r="BJ56" s="2089">
        <v>1.3804730159405074</v>
      </c>
      <c r="BK56" s="2089">
        <v>1.4353838651164661</v>
      </c>
      <c r="BL56" s="2089">
        <v>1.5330023462443001</v>
      </c>
      <c r="BM56" s="1221">
        <v>1.4</v>
      </c>
      <c r="BN56" s="1221">
        <v>1.4</v>
      </c>
      <c r="BO56" s="1951">
        <f t="shared" si="69"/>
        <v>1.3590318266867429</v>
      </c>
    </row>
    <row r="57" spans="2:67">
      <c r="B57" s="1219" t="s">
        <v>3</v>
      </c>
      <c r="C57" s="264">
        <f>SUMIF($BA$3:$BL$3, "&lt;=" &amp;$A$2, $BA57:$BL57)</f>
        <v>11040.710091071804</v>
      </c>
      <c r="D57" s="1219"/>
      <c r="E57" s="172"/>
      <c r="F57" s="172"/>
      <c r="G57" s="172">
        <v>23.799999999999997</v>
      </c>
      <c r="H57" s="172">
        <v>44.8</v>
      </c>
      <c r="I57" s="169">
        <v>68.599999999999994</v>
      </c>
      <c r="J57" s="169">
        <v>89.6</v>
      </c>
      <c r="K57" s="169">
        <v>103.6</v>
      </c>
      <c r="L57" s="169">
        <v>103.6</v>
      </c>
      <c r="M57" s="169">
        <v>124.6</v>
      </c>
      <c r="N57" s="169">
        <v>158.19999999999999</v>
      </c>
      <c r="O57" s="169">
        <v>153</v>
      </c>
      <c r="P57" s="169">
        <v>170</v>
      </c>
      <c r="Q57" s="169">
        <v>98</v>
      </c>
      <c r="R57" s="169">
        <v>99</v>
      </c>
      <c r="S57" s="169">
        <v>133</v>
      </c>
      <c r="T57" s="169">
        <v>151</v>
      </c>
      <c r="U57" s="169">
        <v>178</v>
      </c>
      <c r="V57" s="169">
        <v>238</v>
      </c>
      <c r="W57" s="169">
        <v>231</v>
      </c>
      <c r="X57" s="169">
        <v>252</v>
      </c>
      <c r="Y57" s="169">
        <v>308</v>
      </c>
      <c r="Z57" s="169">
        <v>279</v>
      </c>
      <c r="AA57" s="169">
        <v>289</v>
      </c>
      <c r="AB57" s="169">
        <v>345</v>
      </c>
      <c r="AC57" s="169">
        <v>431</v>
      </c>
      <c r="AD57" s="169">
        <v>257</v>
      </c>
      <c r="AE57" s="169">
        <v>838</v>
      </c>
      <c r="AF57" s="169">
        <v>645</v>
      </c>
      <c r="AG57" s="169">
        <v>741</v>
      </c>
      <c r="AH57" s="169">
        <v>986</v>
      </c>
      <c r="AI57" s="169">
        <v>909</v>
      </c>
      <c r="AJ57" s="169">
        <v>1032</v>
      </c>
      <c r="AK57" s="169">
        <v>1331</v>
      </c>
      <c r="AL57" s="169">
        <v>1182</v>
      </c>
      <c r="AM57" s="169">
        <v>1409</v>
      </c>
      <c r="AN57" s="169">
        <v>1703</v>
      </c>
      <c r="AO57" s="769">
        <v>510</v>
      </c>
      <c r="AP57" s="769">
        <v>382</v>
      </c>
      <c r="AQ57" s="769">
        <v>1020</v>
      </c>
      <c r="AR57" s="769">
        <v>1339</v>
      </c>
      <c r="AS57" s="769">
        <v>1147</v>
      </c>
      <c r="AT57" s="769">
        <v>1498</v>
      </c>
      <c r="AU57" s="1946">
        <f>AU55*AU56</f>
        <v>1250.7727035055536</v>
      </c>
      <c r="AV57" s="1946">
        <f>AV55*AV56</f>
        <v>1463.1227109353129</v>
      </c>
      <c r="AW57" s="1946">
        <f>AW55*AW56</f>
        <v>2112.8076357658106</v>
      </c>
      <c r="AX57" s="1946">
        <f>AX55*AX56</f>
        <v>1597.2035739984617</v>
      </c>
      <c r="AY57" s="1946">
        <f>AY55*AY56</f>
        <v>1766.0022683863065</v>
      </c>
      <c r="AZ57" s="1946">
        <f t="shared" ref="AZ57:BL57" si="72">AZ55*AZ56</f>
        <v>2278.715028434764</v>
      </c>
      <c r="BA57" s="1946">
        <f t="shared" si="72"/>
        <v>743.15339234536759</v>
      </c>
      <c r="BB57" s="1946">
        <f t="shared" si="72"/>
        <v>758.18227303812569</v>
      </c>
      <c r="BC57" s="1946">
        <f t="shared" si="72"/>
        <v>1586.631162814929</v>
      </c>
      <c r="BD57" s="1946">
        <f t="shared" si="72"/>
        <v>1658.0324530310097</v>
      </c>
      <c r="BE57" s="1946">
        <f t="shared" si="72"/>
        <v>1930.7810680647594</v>
      </c>
      <c r="BF57" s="1946">
        <f t="shared" si="72"/>
        <v>2252.2363110403076</v>
      </c>
      <c r="BG57" s="1946">
        <f t="shared" si="72"/>
        <v>2111.6934307373058</v>
      </c>
      <c r="BH57" s="1946">
        <f t="shared" si="72"/>
        <v>2350.4164682588648</v>
      </c>
      <c r="BI57" s="1946">
        <f t="shared" si="72"/>
        <v>2698.3941777001751</v>
      </c>
      <c r="BJ57" s="1946">
        <f t="shared" si="72"/>
        <v>2543.4375844201254</v>
      </c>
      <c r="BK57" s="1946">
        <f t="shared" si="72"/>
        <v>2778.7089111830928</v>
      </c>
      <c r="BL57" s="1946">
        <f t="shared" si="72"/>
        <v>3169.017436804259</v>
      </c>
      <c r="BM57" s="169">
        <f>SUM(G57:P57)</f>
        <v>1039.8</v>
      </c>
      <c r="BN57" s="169">
        <v>2601</v>
      </c>
      <c r="BO57" s="1595">
        <f t="shared" si="69"/>
        <v>2111.6934307373058</v>
      </c>
    </row>
    <row r="58" spans="2:67">
      <c r="B58" s="1219" t="s">
        <v>62</v>
      </c>
      <c r="C58" s="264">
        <f>IF(C57&lt;&gt;0,C49/C57,0)</f>
        <v>14.885188973127001</v>
      </c>
      <c r="D58" s="1219"/>
      <c r="E58" s="1219"/>
      <c r="F58" s="1219"/>
      <c r="G58" s="1219">
        <v>14.5</v>
      </c>
      <c r="H58" s="1219">
        <v>14.5</v>
      </c>
      <c r="I58" s="1221">
        <v>14.5</v>
      </c>
      <c r="J58" s="1221">
        <v>14.5</v>
      </c>
      <c r="K58" s="1221">
        <v>14.5</v>
      </c>
      <c r="L58" s="1221">
        <v>14.5</v>
      </c>
      <c r="M58" s="1221">
        <v>14.5</v>
      </c>
      <c r="N58" s="1221">
        <v>14.5</v>
      </c>
      <c r="O58" s="1221">
        <v>14.5</v>
      </c>
      <c r="P58" s="1221">
        <v>14.5</v>
      </c>
      <c r="Q58" s="1221">
        <v>15</v>
      </c>
      <c r="R58" s="1221">
        <v>15</v>
      </c>
      <c r="S58" s="1221">
        <v>15</v>
      </c>
      <c r="T58" s="1221">
        <v>15</v>
      </c>
      <c r="U58" s="1221">
        <v>15</v>
      </c>
      <c r="V58" s="1221">
        <v>15</v>
      </c>
      <c r="W58" s="1221">
        <v>15</v>
      </c>
      <c r="X58" s="1221">
        <v>15</v>
      </c>
      <c r="Y58" s="1221">
        <v>15</v>
      </c>
      <c r="Z58" s="1221">
        <v>15</v>
      </c>
      <c r="AA58" s="1221">
        <v>15</v>
      </c>
      <c r="AB58" s="1221">
        <v>15</v>
      </c>
      <c r="AC58" s="1221">
        <v>14.12</v>
      </c>
      <c r="AD58" s="1221">
        <v>14.12</v>
      </c>
      <c r="AE58" s="1221">
        <v>14.12</v>
      </c>
      <c r="AF58" s="1221">
        <v>14.12</v>
      </c>
      <c r="AG58" s="1221">
        <v>14.12</v>
      </c>
      <c r="AH58" s="1221">
        <v>14.12</v>
      </c>
      <c r="AI58" s="1221">
        <v>14.12</v>
      </c>
      <c r="AJ58" s="1221">
        <v>14.12</v>
      </c>
      <c r="AK58" s="1221">
        <v>14.12</v>
      </c>
      <c r="AL58" s="1221">
        <v>14.12</v>
      </c>
      <c r="AM58" s="1221">
        <v>14.12</v>
      </c>
      <c r="AN58" s="1221">
        <v>14.12</v>
      </c>
      <c r="AO58" s="1222">
        <v>14.12</v>
      </c>
      <c r="AP58" s="1222">
        <v>14.12</v>
      </c>
      <c r="AQ58" s="1222">
        <v>14.12</v>
      </c>
      <c r="AR58" s="1222">
        <v>14.12</v>
      </c>
      <c r="AS58" s="1222">
        <v>14.12</v>
      </c>
      <c r="AT58" s="1222">
        <v>14.12</v>
      </c>
      <c r="AU58" s="1947">
        <v>14.941709287044104</v>
      </c>
      <c r="AV58" s="1947">
        <v>14.981610740566991</v>
      </c>
      <c r="AW58" s="1947">
        <v>14.650285805801982</v>
      </c>
      <c r="AX58" s="1947">
        <v>14.831342689929613</v>
      </c>
      <c r="AY58" s="1947">
        <v>14.951550986009064</v>
      </c>
      <c r="AZ58" s="1947">
        <v>14.938582219840047</v>
      </c>
      <c r="BA58" s="1894">
        <v>14.450824645800447</v>
      </c>
      <c r="BB58" s="1894">
        <v>14.901247392092406</v>
      </c>
      <c r="BC58" s="1894">
        <v>14.597356775821595</v>
      </c>
      <c r="BD58" s="1894">
        <v>14.641575841606983</v>
      </c>
      <c r="BE58" s="1894">
        <v>14.657207284536181</v>
      </c>
      <c r="BF58" s="1894">
        <v>14.601398390787629</v>
      </c>
      <c r="BG58" s="1894">
        <v>14.436059960558691</v>
      </c>
      <c r="BH58" s="1944">
        <v>14.47806207487228</v>
      </c>
      <c r="BI58" s="1944">
        <v>14.503506222042517</v>
      </c>
      <c r="BJ58" s="1944">
        <v>14.520094887354404</v>
      </c>
      <c r="BK58" s="1944">
        <v>14.633463097086929</v>
      </c>
      <c r="BL58" s="1944">
        <v>14.64367742077944</v>
      </c>
      <c r="BM58" s="1221">
        <v>14.5</v>
      </c>
      <c r="BN58" s="1221">
        <v>15</v>
      </c>
      <c r="BO58" s="1951">
        <f t="shared" si="69"/>
        <v>14.436059960558691</v>
      </c>
    </row>
    <row r="59" spans="2:67">
      <c r="B59" s="1219" t="s">
        <v>112</v>
      </c>
      <c r="C59" s="264">
        <f>SUMIF($BA$3:$BL$3, "&lt;=" &amp;$A$2, $BA59:$BL59)</f>
        <v>4462.9495369738224</v>
      </c>
      <c r="D59" s="1219"/>
      <c r="E59" s="1219"/>
      <c r="F59" s="1219"/>
      <c r="G59" s="1219">
        <v>20</v>
      </c>
      <c r="H59" s="1219">
        <v>30</v>
      </c>
      <c r="I59" s="1221">
        <v>40</v>
      </c>
      <c r="J59" s="1221">
        <v>50</v>
      </c>
      <c r="K59" s="1221">
        <v>40</v>
      </c>
      <c r="L59" s="1221">
        <v>50</v>
      </c>
      <c r="M59" s="1221">
        <v>50</v>
      </c>
      <c r="N59" s="1221">
        <v>40</v>
      </c>
      <c r="O59" s="1221">
        <v>40</v>
      </c>
      <c r="P59" s="1221">
        <v>40</v>
      </c>
      <c r="Q59" s="1221">
        <v>35</v>
      </c>
      <c r="R59" s="1221">
        <v>30</v>
      </c>
      <c r="S59" s="1221">
        <v>60</v>
      </c>
      <c r="T59" s="1221">
        <v>95</v>
      </c>
      <c r="U59" s="1221">
        <v>95</v>
      </c>
      <c r="V59" s="1221">
        <v>95</v>
      </c>
      <c r="W59" s="1221">
        <v>95</v>
      </c>
      <c r="X59" s="1221">
        <v>95</v>
      </c>
      <c r="Y59" s="1221">
        <v>95</v>
      </c>
      <c r="Z59" s="1221">
        <v>95</v>
      </c>
      <c r="AA59" s="1221">
        <v>95</v>
      </c>
      <c r="AB59" s="1221">
        <v>95</v>
      </c>
      <c r="AC59" s="1016">
        <v>99</v>
      </c>
      <c r="AD59" s="1221">
        <v>105</v>
      </c>
      <c r="AE59" s="1221">
        <v>227</v>
      </c>
      <c r="AF59" s="1221">
        <v>265</v>
      </c>
      <c r="AG59" s="1221">
        <v>280</v>
      </c>
      <c r="AH59" s="1221">
        <v>283</v>
      </c>
      <c r="AI59" s="1221">
        <v>311</v>
      </c>
      <c r="AJ59" s="1221">
        <v>315</v>
      </c>
      <c r="AK59" s="1221">
        <v>344</v>
      </c>
      <c r="AL59" s="1221">
        <v>362</v>
      </c>
      <c r="AM59" s="1221">
        <v>367</v>
      </c>
      <c r="AN59" s="1221">
        <v>386</v>
      </c>
      <c r="AO59" s="1222">
        <v>133</v>
      </c>
      <c r="AP59" s="1222">
        <v>122</v>
      </c>
      <c r="AQ59" s="1612">
        <v>247</v>
      </c>
      <c r="AR59" s="1222">
        <v>299</v>
      </c>
      <c r="AS59" s="1222">
        <v>302</v>
      </c>
      <c r="AT59" s="1222">
        <v>810</v>
      </c>
      <c r="AU59" s="1894">
        <v>549.95940000000019</v>
      </c>
      <c r="AV59" s="1894">
        <v>627.43067300000007</v>
      </c>
      <c r="AW59" s="1894">
        <v>713.74840660000018</v>
      </c>
      <c r="AX59" s="1894">
        <v>665.26215336990015</v>
      </c>
      <c r="AY59" s="1894">
        <v>715.8201278886811</v>
      </c>
      <c r="AZ59" s="1894">
        <v>767.88787263173037</v>
      </c>
      <c r="BA59" s="1894">
        <v>234.20476585590345</v>
      </c>
      <c r="BB59" s="1894">
        <v>243.64654567583563</v>
      </c>
      <c r="BC59" s="1894">
        <v>682.35492141236421</v>
      </c>
      <c r="BD59" s="1894">
        <v>668.79343581586045</v>
      </c>
      <c r="BE59" s="1894">
        <v>821.13087621234706</v>
      </c>
      <c r="BF59" s="1894">
        <v>1084.3491394013454</v>
      </c>
      <c r="BG59" s="1894">
        <v>728.46985260016652</v>
      </c>
      <c r="BH59" s="1944">
        <v>894.37068546161538</v>
      </c>
      <c r="BI59" s="1944">
        <v>1036.4327313898309</v>
      </c>
      <c r="BJ59" s="1944">
        <v>803.47993512007167</v>
      </c>
      <c r="BK59" s="1944">
        <v>980.85390421990803</v>
      </c>
      <c r="BL59" s="1944">
        <v>1128.9694829583952</v>
      </c>
      <c r="BM59" s="1221">
        <f>SUM(G59:P59)</f>
        <v>400</v>
      </c>
      <c r="BN59" s="1221">
        <v>980</v>
      </c>
      <c r="BO59" s="1595">
        <f t="shared" si="69"/>
        <v>728.46985260016652</v>
      </c>
    </row>
    <row r="60" spans="2:67">
      <c r="B60" s="1219" t="s">
        <v>111</v>
      </c>
      <c r="C60" s="264">
        <f>SUMIF($BA$3:$BL$3, "&lt;=" &amp;$A$2, $BA60:$BL60)</f>
        <v>160</v>
      </c>
      <c r="D60" s="1219"/>
      <c r="E60" s="1219"/>
      <c r="F60" s="1219"/>
      <c r="G60" s="1219">
        <v>20</v>
      </c>
      <c r="H60" s="1219">
        <v>15</v>
      </c>
      <c r="I60" s="1219">
        <v>15</v>
      </c>
      <c r="J60" s="1219">
        <v>10</v>
      </c>
      <c r="K60" s="1219">
        <v>10</v>
      </c>
      <c r="L60" s="1219">
        <v>5</v>
      </c>
      <c r="M60" s="1219"/>
      <c r="N60" s="1219"/>
      <c r="O60" s="1219">
        <v>3</v>
      </c>
      <c r="P60" s="1219">
        <v>5</v>
      </c>
      <c r="Q60" s="1219">
        <v>8</v>
      </c>
      <c r="R60" s="1219">
        <v>0</v>
      </c>
      <c r="S60" s="1219">
        <v>0</v>
      </c>
      <c r="T60" s="1219">
        <v>10</v>
      </c>
      <c r="U60" s="1219">
        <v>15</v>
      </c>
      <c r="V60" s="1219">
        <v>15</v>
      </c>
      <c r="W60" s="1219">
        <v>15</v>
      </c>
      <c r="X60" s="1219">
        <v>10</v>
      </c>
      <c r="Y60" s="1219">
        <v>0</v>
      </c>
      <c r="Z60" s="1219">
        <v>0</v>
      </c>
      <c r="AA60" s="1219">
        <v>0</v>
      </c>
      <c r="AB60" s="1219">
        <v>0</v>
      </c>
      <c r="AC60" s="1016">
        <v>6</v>
      </c>
      <c r="AD60" s="1219">
        <v>15</v>
      </c>
      <c r="AE60" s="1219">
        <v>35</v>
      </c>
      <c r="AF60" s="1219">
        <v>26</v>
      </c>
      <c r="AG60" s="1219">
        <v>30</v>
      </c>
      <c r="AH60" s="1219">
        <v>26</v>
      </c>
      <c r="AI60" s="1219">
        <v>33</v>
      </c>
      <c r="AJ60" s="1219">
        <v>19</v>
      </c>
      <c r="AK60" s="1219">
        <v>20</v>
      </c>
      <c r="AL60" s="1219">
        <v>24</v>
      </c>
      <c r="AM60" s="1219">
        <v>15</v>
      </c>
      <c r="AN60" s="1219">
        <v>14</v>
      </c>
      <c r="AO60" s="1206">
        <v>0</v>
      </c>
      <c r="AQ60" s="1206">
        <v>0</v>
      </c>
      <c r="AR60" s="1206">
        <v>6</v>
      </c>
      <c r="AS60" s="1206">
        <v>22</v>
      </c>
      <c r="AU60" s="1894">
        <v>50</v>
      </c>
      <c r="AV60" s="1894">
        <v>50</v>
      </c>
      <c r="AW60" s="1894">
        <v>50</v>
      </c>
      <c r="AX60" s="1894">
        <v>50</v>
      </c>
      <c r="AY60" s="1894">
        <v>50</v>
      </c>
      <c r="AZ60" s="1894">
        <v>50</v>
      </c>
      <c r="BA60" s="1894">
        <v>10</v>
      </c>
      <c r="BB60" s="1894">
        <v>10</v>
      </c>
      <c r="BC60" s="1894">
        <v>20</v>
      </c>
      <c r="BD60" s="1894">
        <v>30</v>
      </c>
      <c r="BE60" s="1894">
        <v>30</v>
      </c>
      <c r="BF60" s="1894">
        <v>30</v>
      </c>
      <c r="BG60" s="1894">
        <v>30</v>
      </c>
      <c r="BH60" s="1206">
        <v>30</v>
      </c>
      <c r="BI60" s="1206">
        <v>30</v>
      </c>
      <c r="BJ60" s="1206">
        <v>30</v>
      </c>
      <c r="BK60" s="1206">
        <v>20</v>
      </c>
      <c r="BL60" s="1206">
        <v>20</v>
      </c>
      <c r="BM60" s="1219">
        <f>SUM(G60:P60)</f>
        <v>83</v>
      </c>
      <c r="BN60" s="1219">
        <v>73</v>
      </c>
      <c r="BO60" s="1595">
        <f t="shared" si="69"/>
        <v>30</v>
      </c>
    </row>
    <row r="61" spans="2:67">
      <c r="B61" s="1219"/>
      <c r="C61" s="1219"/>
      <c r="D61" s="1219"/>
      <c r="E61" s="1219"/>
      <c r="F61" s="1219"/>
      <c r="G61" s="1219"/>
      <c r="H61" s="1219"/>
      <c r="I61" s="1219"/>
      <c r="J61" s="1219"/>
      <c r="K61" s="1219"/>
      <c r="L61" s="1219"/>
      <c r="M61" s="1219"/>
      <c r="N61" s="1219"/>
      <c r="O61" s="1219"/>
      <c r="P61" s="1219"/>
      <c r="Q61" s="1219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AJ61" s="1219"/>
      <c r="AK61" s="1219"/>
      <c r="AL61" s="1219"/>
      <c r="AM61" s="1219"/>
      <c r="AN61" s="1219"/>
      <c r="BM61" s="1219"/>
      <c r="BN61" s="1219"/>
      <c r="BO61" s="1951"/>
    </row>
    <row r="62" spans="2:67">
      <c r="B62" s="1224" t="s">
        <v>63</v>
      </c>
      <c r="C62" s="272">
        <f>ROUND(C49/ (C52* $A$2),0)</f>
        <v>4</v>
      </c>
      <c r="D62" s="1219"/>
      <c r="E62" s="1219"/>
      <c r="F62" s="1219"/>
      <c r="G62" s="1219"/>
      <c r="H62" s="1219"/>
      <c r="I62" s="393">
        <f>I49/ (I52)</f>
        <v>7.5109999999999992</v>
      </c>
      <c r="J62" s="393">
        <f t="shared" ref="J62:P62" si="73">J49/ (J52)</f>
        <v>7.8739393939393931</v>
      </c>
      <c r="K62" s="393">
        <f t="shared" si="73"/>
        <v>6.9869767441860455</v>
      </c>
      <c r="L62" s="393">
        <f t="shared" si="73"/>
        <v>6.09</v>
      </c>
      <c r="M62" s="393">
        <f t="shared" si="73"/>
        <v>6.09</v>
      </c>
      <c r="N62" s="393">
        <f>N49/ (N52)</f>
        <v>6.0899999999999981</v>
      </c>
      <c r="O62" s="393">
        <f t="shared" si="73"/>
        <v>6.09</v>
      </c>
      <c r="P62" s="393">
        <f t="shared" si="73"/>
        <v>6.089999999999999</v>
      </c>
      <c r="Q62" s="393">
        <f t="shared" ref="Q62:AB62" si="74">Q49/ (Q52)</f>
        <v>4.1899432300779722</v>
      </c>
      <c r="R62" s="393">
        <f t="shared" si="74"/>
        <v>4.1968888617958306</v>
      </c>
      <c r="S62" s="393">
        <f t="shared" si="74"/>
        <v>5.4662718255515479</v>
      </c>
      <c r="T62" s="393">
        <f t="shared" si="74"/>
        <v>5.4519003509081498</v>
      </c>
      <c r="U62" s="393">
        <f t="shared" si="74"/>
        <v>5.453083406305641</v>
      </c>
      <c r="V62" s="393">
        <f t="shared" si="74"/>
        <v>6.3016581799257398</v>
      </c>
      <c r="W62" s="393">
        <f t="shared" si="74"/>
        <v>5.4534380872269228</v>
      </c>
      <c r="X62" s="393">
        <f t="shared" si="74"/>
        <v>5.4675879073497802</v>
      </c>
      <c r="Y62" s="393">
        <f t="shared" si="74"/>
        <v>6.2985741545282892</v>
      </c>
      <c r="Z62" s="393">
        <f t="shared" si="74"/>
        <v>5.4570600214046383</v>
      </c>
      <c r="AA62" s="393">
        <f t="shared" si="74"/>
        <v>5.4578764878913004</v>
      </c>
      <c r="AB62" s="393">
        <f t="shared" si="74"/>
        <v>6.3062746346046197</v>
      </c>
      <c r="AC62" s="393">
        <v>6</v>
      </c>
      <c r="AD62" s="393">
        <v>3</v>
      </c>
      <c r="AE62" s="393">
        <v>10</v>
      </c>
      <c r="AF62" s="393">
        <v>6</v>
      </c>
      <c r="AG62" s="393">
        <v>6</v>
      </c>
      <c r="AH62" s="393">
        <v>8</v>
      </c>
      <c r="AI62" s="393">
        <v>6</v>
      </c>
      <c r="AJ62" s="393">
        <v>6</v>
      </c>
      <c r="AK62" s="393">
        <v>8</v>
      </c>
      <c r="AL62" s="393">
        <v>6</v>
      </c>
      <c r="AM62" s="393">
        <v>7</v>
      </c>
      <c r="AN62" s="393">
        <v>8</v>
      </c>
      <c r="AO62" s="767">
        <v>3</v>
      </c>
      <c r="AP62" s="767">
        <v>3</v>
      </c>
      <c r="AQ62" s="767">
        <v>7</v>
      </c>
      <c r="AR62" s="767">
        <v>8</v>
      </c>
      <c r="AS62" s="767">
        <v>6</v>
      </c>
      <c r="AT62" s="767">
        <v>7</v>
      </c>
      <c r="AU62" s="767">
        <f t="shared" ref="AU62:AZ62" si="75">AU49/AU51</f>
        <v>5.4791786117274919</v>
      </c>
      <c r="AV62" s="767">
        <f t="shared" si="75"/>
        <v>5.4943380503249868</v>
      </c>
      <c r="AW62" s="767">
        <f t="shared" si="75"/>
        <v>7.1576610494239157</v>
      </c>
      <c r="AX62" s="767">
        <f t="shared" si="75"/>
        <v>5.109018460144978</v>
      </c>
      <c r="AY62" s="767">
        <f t="shared" si="75"/>
        <v>5.3195964615658129</v>
      </c>
      <c r="AZ62" s="767">
        <f t="shared" si="75"/>
        <v>6.3976839083609978</v>
      </c>
      <c r="BA62" s="767">
        <f t="shared" ref="BA62:BL62" si="76">BA49/BA51</f>
        <v>1.888740523388555</v>
      </c>
      <c r="BB62" s="767">
        <f t="shared" si="76"/>
        <v>1.9647366184537809</v>
      </c>
      <c r="BC62" s="767">
        <f t="shared" si="76"/>
        <v>4.0893752667001815</v>
      </c>
      <c r="BD62" s="767">
        <f t="shared" si="76"/>
        <v>4.2055387786583349</v>
      </c>
      <c r="BE62" s="767">
        <f t="shared" si="76"/>
        <v>4.7142099519094298</v>
      </c>
      <c r="BF62" s="767">
        <f t="shared" si="76"/>
        <v>5.1024832854997904</v>
      </c>
      <c r="BG62" s="767">
        <f t="shared" si="76"/>
        <v>4.4705324097200974</v>
      </c>
      <c r="BH62" s="767">
        <f t="shared" si="76"/>
        <v>4.7828752406191057</v>
      </c>
      <c r="BI62" s="767">
        <f t="shared" si="76"/>
        <v>5.1717415009479222</v>
      </c>
      <c r="BJ62" s="767">
        <f t="shared" si="76"/>
        <v>4.658220596182626</v>
      </c>
      <c r="BK62" s="767">
        <f t="shared" si="76"/>
        <v>4.9503278573708114</v>
      </c>
      <c r="BL62" s="767">
        <f t="shared" si="76"/>
        <v>5.3849345924881087</v>
      </c>
      <c r="BM62" s="393">
        <f>BM49/ (BM52)</f>
        <v>6.5753407880724168</v>
      </c>
      <c r="BN62" s="393">
        <f>BN49/ (BN52)</f>
        <v>5.5872108597365893</v>
      </c>
      <c r="BO62" s="1951">
        <f t="shared" si="69"/>
        <v>4.4705324097200974</v>
      </c>
    </row>
    <row r="63" spans="2:67">
      <c r="B63" s="1224" t="s">
        <v>64</v>
      </c>
      <c r="C63" s="272">
        <f>ROUND(C49/C55,0)</f>
        <v>20</v>
      </c>
      <c r="D63" s="1219"/>
      <c r="E63" s="1219"/>
      <c r="F63" s="1219"/>
      <c r="G63" s="1219"/>
      <c r="H63" s="1219"/>
      <c r="I63" s="393">
        <f>I49/I55</f>
        <v>20.299999999999997</v>
      </c>
      <c r="J63" s="393">
        <f t="shared" ref="J63:P63" si="77">J49/J55</f>
        <v>20.299999999999997</v>
      </c>
      <c r="K63" s="393">
        <f t="shared" si="77"/>
        <v>20.299999999999997</v>
      </c>
      <c r="L63" s="393">
        <f t="shared" si="77"/>
        <v>20.3</v>
      </c>
      <c r="M63" s="393">
        <f t="shared" si="77"/>
        <v>20.3</v>
      </c>
      <c r="N63" s="393">
        <f>N49/N55</f>
        <v>20.299999999999997</v>
      </c>
      <c r="O63" s="393">
        <f t="shared" si="77"/>
        <v>20.3</v>
      </c>
      <c r="P63" s="393">
        <f t="shared" si="77"/>
        <v>20.299999999999997</v>
      </c>
      <c r="Q63" s="393">
        <f t="shared" ref="Q63:AB63" si="78">Q49/Q55</f>
        <v>20.857142857142858</v>
      </c>
      <c r="R63" s="393">
        <f t="shared" si="78"/>
        <v>20.985915492957748</v>
      </c>
      <c r="S63" s="393">
        <f t="shared" si="78"/>
        <v>21.05263157894737</v>
      </c>
      <c r="T63" s="393">
        <f t="shared" si="78"/>
        <v>20.925925925925927</v>
      </c>
      <c r="U63" s="393">
        <f t="shared" si="78"/>
        <v>21.023622047244096</v>
      </c>
      <c r="V63" s="393">
        <f t="shared" si="78"/>
        <v>20.970588235294116</v>
      </c>
      <c r="W63" s="393">
        <f t="shared" si="78"/>
        <v>20.969696969696969</v>
      </c>
      <c r="X63" s="393">
        <f t="shared" si="78"/>
        <v>21</v>
      </c>
      <c r="Y63" s="393">
        <f t="shared" si="78"/>
        <v>21</v>
      </c>
      <c r="Z63" s="393">
        <f t="shared" si="78"/>
        <v>21.005025125628141</v>
      </c>
      <c r="AA63" s="393">
        <f t="shared" si="78"/>
        <v>20.966183574879228</v>
      </c>
      <c r="AB63" s="393">
        <f t="shared" si="78"/>
        <v>21.056910569105693</v>
      </c>
      <c r="AC63" s="393">
        <v>24</v>
      </c>
      <c r="AD63" s="393">
        <v>24</v>
      </c>
      <c r="AE63" s="393">
        <v>24</v>
      </c>
      <c r="AF63" s="393">
        <v>24</v>
      </c>
      <c r="AG63" s="393">
        <v>24</v>
      </c>
      <c r="AH63" s="393">
        <v>24</v>
      </c>
      <c r="AI63" s="393">
        <v>24</v>
      </c>
      <c r="AJ63" s="393">
        <v>24</v>
      </c>
      <c r="AK63" s="393">
        <v>24</v>
      </c>
      <c r="AL63" s="393">
        <v>24</v>
      </c>
      <c r="AM63" s="393">
        <v>24</v>
      </c>
      <c r="AN63" s="393">
        <v>24</v>
      </c>
      <c r="AO63" s="767">
        <v>16</v>
      </c>
      <c r="AP63" s="767">
        <v>16</v>
      </c>
      <c r="AQ63" s="767">
        <v>21</v>
      </c>
      <c r="AR63" s="767">
        <v>26</v>
      </c>
      <c r="AS63" s="767">
        <v>23</v>
      </c>
      <c r="AT63" s="767">
        <v>22</v>
      </c>
      <c r="AU63" s="767">
        <f t="shared" ref="AU63:AZ63" si="79">+AU49/AU55</f>
        <v>24.455603175049713</v>
      </c>
      <c r="AV63" s="767">
        <f t="shared" si="79"/>
        <v>23.185026232505646</v>
      </c>
      <c r="AW63" s="767">
        <f t="shared" si="79"/>
        <v>24.648290915359137</v>
      </c>
      <c r="AX63" s="767">
        <f t="shared" si="79"/>
        <v>21.64096433168206</v>
      </c>
      <c r="AY63" s="767">
        <f t="shared" si="79"/>
        <v>22.116828330428039</v>
      </c>
      <c r="AZ63" s="767">
        <f t="shared" si="79"/>
        <v>24.615925017813158</v>
      </c>
      <c r="BA63" s="767">
        <f t="shared" ref="BA63:BL63" si="80">+BA49/BA55</f>
        <v>17.432014143620922</v>
      </c>
      <c r="BB63" s="767">
        <f t="shared" si="80"/>
        <v>17.962344967342727</v>
      </c>
      <c r="BC63" s="767">
        <f t="shared" si="80"/>
        <v>18.730859609714035</v>
      </c>
      <c r="BD63" s="767">
        <f t="shared" si="80"/>
        <v>19.416278171406777</v>
      </c>
      <c r="BE63" s="767">
        <f t="shared" si="80"/>
        <v>21.546381259653344</v>
      </c>
      <c r="BF63" s="767">
        <f t="shared" si="80"/>
        <v>22.937315106460634</v>
      </c>
      <c r="BG63" s="767">
        <f t="shared" si="80"/>
        <v>19.905435443241071</v>
      </c>
      <c r="BH63" s="767">
        <f t="shared" si="80"/>
        <v>21.329461895804727</v>
      </c>
      <c r="BI63" s="767">
        <f t="shared" si="80"/>
        <v>22.850780339266592</v>
      </c>
      <c r="BJ63" s="767">
        <f t="shared" si="80"/>
        <v>20.309286234336057</v>
      </c>
      <c r="BK63" s="767">
        <f t="shared" si="80"/>
        <v>21.468029655311266</v>
      </c>
      <c r="BL63" s="767">
        <f t="shared" si="80"/>
        <v>23.028436850105905</v>
      </c>
      <c r="BM63" s="393">
        <f>BM49/BM55</f>
        <v>20.3</v>
      </c>
      <c r="BN63" s="393">
        <f>BN49/BN55</f>
        <v>20.993003229278795</v>
      </c>
      <c r="BO63" s="1951">
        <f t="shared" si="69"/>
        <v>19.905435443241071</v>
      </c>
    </row>
    <row r="64" spans="2:67">
      <c r="B64" s="1224" t="s">
        <v>65</v>
      </c>
      <c r="C64" s="272">
        <f>ROUND(C50/ (C52 *$A$2),0)</f>
        <v>4</v>
      </c>
      <c r="D64" s="1219"/>
      <c r="E64" s="1219"/>
      <c r="F64" s="1219"/>
      <c r="G64" s="1219"/>
      <c r="H64" s="1219"/>
      <c r="I64" s="393">
        <f>I50/ (I52 )</f>
        <v>6.2341299999999995</v>
      </c>
      <c r="J64" s="393">
        <f t="shared" ref="J64:P64" si="81">J50/ (J52 )</f>
        <v>6.5353696969696955</v>
      </c>
      <c r="K64" s="393">
        <f t="shared" si="81"/>
        <v>5.7991906976744181</v>
      </c>
      <c r="L64" s="393">
        <f t="shared" si="81"/>
        <v>5.0547000000000004</v>
      </c>
      <c r="M64" s="393">
        <f t="shared" si="81"/>
        <v>5.0546999999999995</v>
      </c>
      <c r="N64" s="393">
        <f t="shared" si="81"/>
        <v>5.0546999999999986</v>
      </c>
      <c r="O64" s="393">
        <f t="shared" si="81"/>
        <v>5.0547000000000004</v>
      </c>
      <c r="P64" s="393">
        <f t="shared" si="81"/>
        <v>5.0546999999999995</v>
      </c>
      <c r="Q64" s="393">
        <f t="shared" ref="Q64:AB64" si="82">Q50/ (Q52 )</f>
        <v>3.6033511778670562</v>
      </c>
      <c r="R64" s="393">
        <f t="shared" si="82"/>
        <v>3.6093244211444149</v>
      </c>
      <c r="S64" s="393">
        <f t="shared" si="82"/>
        <v>4.7009937699743309</v>
      </c>
      <c r="T64" s="393">
        <f t="shared" si="82"/>
        <v>4.6886343017810086</v>
      </c>
      <c r="U64" s="393">
        <f t="shared" si="82"/>
        <v>4.6896517294228515</v>
      </c>
      <c r="V64" s="393">
        <f t="shared" si="82"/>
        <v>5.4194260347361363</v>
      </c>
      <c r="W64" s="393">
        <f t="shared" si="82"/>
        <v>4.6899567550151531</v>
      </c>
      <c r="X64" s="393">
        <f t="shared" si="82"/>
        <v>4.7021256003208105</v>
      </c>
      <c r="Y64" s="393">
        <f t="shared" si="82"/>
        <v>5.4167737728943282</v>
      </c>
      <c r="Z64" s="393">
        <f t="shared" si="82"/>
        <v>4.6930716184079886</v>
      </c>
      <c r="AA64" s="393">
        <f t="shared" si="82"/>
        <v>4.6937737795865182</v>
      </c>
      <c r="AB64" s="393">
        <f t="shared" si="82"/>
        <v>5.4233961857599731</v>
      </c>
      <c r="AC64" s="393">
        <v>6</v>
      </c>
      <c r="AD64" s="393">
        <v>3</v>
      </c>
      <c r="AE64" s="393">
        <v>9</v>
      </c>
      <c r="AF64" s="393">
        <v>6</v>
      </c>
      <c r="AG64" s="393">
        <v>6</v>
      </c>
      <c r="AH64" s="393">
        <v>7</v>
      </c>
      <c r="AI64" s="393">
        <v>6</v>
      </c>
      <c r="AJ64" s="393">
        <v>6</v>
      </c>
      <c r="AK64" s="393">
        <v>7</v>
      </c>
      <c r="AL64" s="393">
        <v>6</v>
      </c>
      <c r="AM64" s="393">
        <v>6</v>
      </c>
      <c r="AN64" s="393">
        <v>7</v>
      </c>
      <c r="AO64" s="767">
        <v>3</v>
      </c>
      <c r="AP64" s="767">
        <v>3</v>
      </c>
      <c r="AQ64" s="767">
        <v>7</v>
      </c>
      <c r="AR64" s="767">
        <v>8</v>
      </c>
      <c r="AS64" s="767">
        <v>6</v>
      </c>
      <c r="AT64" s="767">
        <v>7</v>
      </c>
      <c r="AU64" s="767">
        <f t="shared" ref="AU64:AZ64" si="83">AU50/AU51</f>
        <v>5.9555316472960831</v>
      </c>
      <c r="AV64" s="767">
        <f t="shared" si="83"/>
        <v>5.9720090288016578</v>
      </c>
      <c r="AW64" s="767">
        <f t="shared" si="83"/>
        <v>7.7799392794429902</v>
      </c>
      <c r="AX64" s="767">
        <f t="shared" si="83"/>
        <v>5.5531902283470602</v>
      </c>
      <c r="AY64" s="767">
        <f t="shared" si="83"/>
        <v>5.7820756216799021</v>
      </c>
      <c r="AZ64" s="767">
        <f t="shared" si="83"/>
        <v>6.9538906623867165</v>
      </c>
      <c r="BA64" s="767">
        <f t="shared" ref="BA64:BL64" si="84">BA50/BA51</f>
        <v>1.888740523388555</v>
      </c>
      <c r="BB64" s="767">
        <f t="shared" si="84"/>
        <v>1.9647366184537809</v>
      </c>
      <c r="BC64" s="767">
        <f t="shared" si="84"/>
        <v>4.0893752667001815</v>
      </c>
      <c r="BD64" s="767">
        <f t="shared" si="84"/>
        <v>4.2055387786583349</v>
      </c>
      <c r="BE64" s="767">
        <f t="shared" si="84"/>
        <v>4.7142099519094298</v>
      </c>
      <c r="BF64" s="767">
        <f t="shared" si="84"/>
        <v>5.1024832854997904</v>
      </c>
      <c r="BG64" s="767">
        <f t="shared" si="84"/>
        <v>4.4705324097200974</v>
      </c>
      <c r="BH64" s="767">
        <f t="shared" si="84"/>
        <v>4.7828752406191057</v>
      </c>
      <c r="BI64" s="767">
        <f t="shared" si="84"/>
        <v>5.1717415009479222</v>
      </c>
      <c r="BJ64" s="767">
        <f t="shared" si="84"/>
        <v>4.658220596182626</v>
      </c>
      <c r="BK64" s="767">
        <f t="shared" si="84"/>
        <v>4.9503278573708114</v>
      </c>
      <c r="BL64" s="767">
        <f t="shared" si="84"/>
        <v>5.3849345924881087</v>
      </c>
      <c r="BM64" s="393">
        <f>BM50/ (BM52 )</f>
        <v>5.4575328541001058</v>
      </c>
      <c r="BN64" s="393">
        <f>BN50/ (BN52 )</f>
        <v>4.8050013393734679</v>
      </c>
      <c r="BO64" s="1951">
        <f t="shared" si="69"/>
        <v>4.4705324097200974</v>
      </c>
    </row>
    <row r="65" spans="1:67">
      <c r="B65" s="1224" t="s">
        <v>66</v>
      </c>
      <c r="C65" s="272">
        <f>ROUND(C50/C55,0)</f>
        <v>20</v>
      </c>
      <c r="D65" s="1219"/>
      <c r="E65" s="1219"/>
      <c r="F65" s="1219"/>
      <c r="G65" s="1219"/>
      <c r="H65" s="1219"/>
      <c r="I65" s="393">
        <f>I50/I55</f>
        <v>16.849</v>
      </c>
      <c r="J65" s="393">
        <f t="shared" ref="J65:P65" si="85">J50/J55</f>
        <v>16.848999999999997</v>
      </c>
      <c r="K65" s="393">
        <f t="shared" si="85"/>
        <v>16.848999999999997</v>
      </c>
      <c r="L65" s="393">
        <f t="shared" si="85"/>
        <v>16.849</v>
      </c>
      <c r="M65" s="393">
        <f t="shared" si="85"/>
        <v>16.849</v>
      </c>
      <c r="N65" s="393">
        <f t="shared" si="85"/>
        <v>16.848999999999997</v>
      </c>
      <c r="O65" s="393">
        <f t="shared" si="85"/>
        <v>16.849</v>
      </c>
      <c r="P65" s="393">
        <f t="shared" si="85"/>
        <v>16.849</v>
      </c>
      <c r="Q65" s="393">
        <f t="shared" ref="Q65:AB65" si="86">Q50/Q55</f>
        <v>17.937142857142856</v>
      </c>
      <c r="R65" s="393">
        <f t="shared" si="86"/>
        <v>18.047887323943662</v>
      </c>
      <c r="S65" s="393">
        <f t="shared" si="86"/>
        <v>18.105263157894736</v>
      </c>
      <c r="T65" s="393">
        <f t="shared" si="86"/>
        <v>17.996296296296297</v>
      </c>
      <c r="U65" s="393">
        <f t="shared" si="86"/>
        <v>18.08031496062992</v>
      </c>
      <c r="V65" s="393">
        <f t="shared" si="86"/>
        <v>18.034705882352942</v>
      </c>
      <c r="W65" s="393">
        <f t="shared" si="86"/>
        <v>18.033939393939395</v>
      </c>
      <c r="X65" s="393">
        <f t="shared" si="86"/>
        <v>18.059999999999999</v>
      </c>
      <c r="Y65" s="393">
        <f t="shared" si="86"/>
        <v>18.059999999999999</v>
      </c>
      <c r="Z65" s="393">
        <f t="shared" si="86"/>
        <v>18.064321608040199</v>
      </c>
      <c r="AA65" s="393">
        <f t="shared" si="86"/>
        <v>18.030917874396135</v>
      </c>
      <c r="AB65" s="393">
        <f t="shared" si="86"/>
        <v>18.108943089430895</v>
      </c>
      <c r="AC65" s="393">
        <v>23</v>
      </c>
      <c r="AD65" s="393">
        <v>23</v>
      </c>
      <c r="AE65" s="393">
        <v>23</v>
      </c>
      <c r="AF65" s="393">
        <v>23</v>
      </c>
      <c r="AG65" s="393">
        <v>23</v>
      </c>
      <c r="AH65" s="393">
        <v>23</v>
      </c>
      <c r="AI65" s="393">
        <v>23</v>
      </c>
      <c r="AJ65" s="393">
        <v>23</v>
      </c>
      <c r="AK65" s="393">
        <v>23</v>
      </c>
      <c r="AL65" s="393">
        <v>23</v>
      </c>
      <c r="AM65" s="393">
        <v>23</v>
      </c>
      <c r="AN65" s="393">
        <v>23</v>
      </c>
      <c r="AO65" s="767">
        <v>16</v>
      </c>
      <c r="AP65" s="767">
        <v>16</v>
      </c>
      <c r="AQ65" s="767">
        <v>21</v>
      </c>
      <c r="AR65" s="767">
        <v>26</v>
      </c>
      <c r="AS65" s="767">
        <v>23</v>
      </c>
      <c r="AT65" s="767">
        <v>22</v>
      </c>
      <c r="AU65" s="767">
        <f t="shared" ref="AU65:AZ65" si="87">AU50/AU55</f>
        <v>26.58174317423892</v>
      </c>
      <c r="AV65" s="767">
        <f t="shared" si="87"/>
        <v>25.200703838260754</v>
      </c>
      <c r="AW65" s="767">
        <f t="shared" si="87"/>
        <v>26.791182949208576</v>
      </c>
      <c r="AX65" s="767">
        <f t="shared" si="87"/>
        <v>23.522403098792847</v>
      </c>
      <c r="AY65" s="767">
        <f t="shared" si="87"/>
        <v>24.03963812710068</v>
      </c>
      <c r="AZ65" s="767">
        <f t="shared" si="87"/>
        <v>26.756003200420018</v>
      </c>
      <c r="BA65" s="767">
        <f t="shared" ref="BA65:BL65" si="88">BA50/BA55</f>
        <v>17.432014143620922</v>
      </c>
      <c r="BB65" s="767">
        <f t="shared" si="88"/>
        <v>17.962344967342727</v>
      </c>
      <c r="BC65" s="767">
        <f t="shared" si="88"/>
        <v>18.730859609714035</v>
      </c>
      <c r="BD65" s="767">
        <f t="shared" si="88"/>
        <v>19.416278171406777</v>
      </c>
      <c r="BE65" s="767">
        <f t="shared" si="88"/>
        <v>21.546381259653344</v>
      </c>
      <c r="BF65" s="767">
        <f t="shared" si="88"/>
        <v>22.937315106460634</v>
      </c>
      <c r="BG65" s="767">
        <f t="shared" si="88"/>
        <v>19.905435443241071</v>
      </c>
      <c r="BH65" s="767">
        <f t="shared" si="88"/>
        <v>21.329461895804727</v>
      </c>
      <c r="BI65" s="767">
        <f t="shared" si="88"/>
        <v>22.850780339266592</v>
      </c>
      <c r="BJ65" s="767">
        <f t="shared" si="88"/>
        <v>20.309286234336057</v>
      </c>
      <c r="BK65" s="767">
        <f t="shared" si="88"/>
        <v>21.468029655311266</v>
      </c>
      <c r="BL65" s="767">
        <f t="shared" si="88"/>
        <v>23.028436850105905</v>
      </c>
      <c r="BM65" s="393">
        <f>BM50/BM55</f>
        <v>16.848999999999997</v>
      </c>
      <c r="BN65" s="393">
        <f>BN50/BN55</f>
        <v>18.053982777179765</v>
      </c>
      <c r="BO65" s="1951">
        <f t="shared" si="69"/>
        <v>19.905435443241071</v>
      </c>
    </row>
    <row r="66" spans="1:67">
      <c r="B66" s="1224" t="s">
        <v>67</v>
      </c>
      <c r="C66" s="272">
        <f>C57/ ($A$2 * C52)</f>
        <v>0.26200439960181632</v>
      </c>
      <c r="D66" s="1219"/>
      <c r="E66" s="1219"/>
      <c r="F66" s="1219"/>
      <c r="G66" s="1219"/>
      <c r="H66" s="1219"/>
      <c r="I66" s="393">
        <f>I57/ (I52)</f>
        <v>0.60977777777777775</v>
      </c>
      <c r="J66" s="393">
        <f t="shared" ref="J66:P66" si="89">J57/ (J52)</f>
        <v>0.54303030303030297</v>
      </c>
      <c r="K66" s="393">
        <f t="shared" si="89"/>
        <v>0.48186046511627906</v>
      </c>
      <c r="L66" s="393">
        <f t="shared" si="89"/>
        <v>0.38370370370370366</v>
      </c>
      <c r="M66" s="393">
        <f t="shared" si="89"/>
        <v>0.38816199376947041</v>
      </c>
      <c r="N66" s="393">
        <f t="shared" si="89"/>
        <v>0.44500703234880445</v>
      </c>
      <c r="O66" s="393">
        <f t="shared" si="89"/>
        <v>0.39130434782608697</v>
      </c>
      <c r="P66" s="393">
        <f t="shared" si="89"/>
        <v>0.39080459770114945</v>
      </c>
      <c r="Q66" s="393">
        <f t="shared" ref="Q66:AB66" si="90">Q57/ (Q52)</f>
        <v>0.28124276475865845</v>
      </c>
      <c r="R66" s="393">
        <f t="shared" si="90"/>
        <v>0.27885368947502504</v>
      </c>
      <c r="S66" s="393">
        <f t="shared" si="90"/>
        <v>0.3635070763991779</v>
      </c>
      <c r="T66" s="393">
        <f t="shared" si="90"/>
        <v>0.36426413848988076</v>
      </c>
      <c r="U66" s="393">
        <f t="shared" si="90"/>
        <v>0.3635388937537094</v>
      </c>
      <c r="V66" s="393">
        <f t="shared" si="90"/>
        <v>0.42069976067947434</v>
      </c>
      <c r="W66" s="393">
        <f t="shared" si="90"/>
        <v>0.36408791854029454</v>
      </c>
      <c r="X66" s="393">
        <f t="shared" si="90"/>
        <v>0.36450586048998534</v>
      </c>
      <c r="Y66" s="393">
        <f t="shared" si="90"/>
        <v>0.4199049436352193</v>
      </c>
      <c r="Z66" s="393">
        <f t="shared" si="90"/>
        <v>0.36423917367748659</v>
      </c>
      <c r="AA66" s="393">
        <f t="shared" si="90"/>
        <v>0.36343924078354511</v>
      </c>
      <c r="AB66" s="393">
        <f t="shared" si="90"/>
        <v>0.42001249979509531</v>
      </c>
      <c r="AC66" s="393">
        <v>0.4208984375</v>
      </c>
      <c r="AD66" s="393">
        <v>0.23534798534798534</v>
      </c>
      <c r="AE66" s="393">
        <v>0.67363344051446949</v>
      </c>
      <c r="AF66" s="393">
        <v>0.44885177453027142</v>
      </c>
      <c r="AG66" s="393">
        <v>0.44827586206896552</v>
      </c>
      <c r="AH66" s="393">
        <v>0.54057017543859653</v>
      </c>
      <c r="AI66" s="393">
        <v>0.4382835101253616</v>
      </c>
      <c r="AJ66" s="393">
        <v>0.44908616187989558</v>
      </c>
      <c r="AK66" s="393">
        <v>0.53539823008849563</v>
      </c>
      <c r="AL66" s="393">
        <v>0.43170197224251278</v>
      </c>
      <c r="AM66" s="393">
        <v>0.47266018114726605</v>
      </c>
      <c r="AN66" s="393">
        <v>0.54496</v>
      </c>
      <c r="AO66" s="767">
        <v>0.2324521422060164</v>
      </c>
      <c r="AP66" s="767">
        <v>0.18155893536121673</v>
      </c>
      <c r="AQ66" s="767">
        <v>0.46342571558382556</v>
      </c>
      <c r="AR66" s="767">
        <v>0.57765314926660916</v>
      </c>
      <c r="AS66" s="767">
        <v>0.44665109034267914</v>
      </c>
      <c r="AT66" s="767">
        <v>0.50050116939525557</v>
      </c>
      <c r="AU66" s="767">
        <f t="shared" ref="AU66:AZ66" si="91">AU57/AU51</f>
        <v>0.32668259009303596</v>
      </c>
      <c r="AV66" s="767">
        <f t="shared" si="91"/>
        <v>0.35252655417945644</v>
      </c>
      <c r="AW66" s="767">
        <f t="shared" si="91"/>
        <v>0.46965991486824049</v>
      </c>
      <c r="AX66" s="767">
        <f t="shared" si="91"/>
        <v>0.33451480707169023</v>
      </c>
      <c r="AY66" s="767">
        <f t="shared" si="91"/>
        <v>0.34274272960524876</v>
      </c>
      <c r="AZ66" s="767">
        <f t="shared" si="91"/>
        <v>0.41513962061649129</v>
      </c>
      <c r="BA66" s="767">
        <f t="shared" ref="BA66:BL66" si="92">BA57/BA51</f>
        <v>0.12632741813520873</v>
      </c>
      <c r="BB66" s="767">
        <f t="shared" si="92"/>
        <v>0.13495875918809802</v>
      </c>
      <c r="BC66" s="767">
        <f t="shared" si="92"/>
        <v>0.2779011650292868</v>
      </c>
      <c r="BD66" s="767">
        <f t="shared" si="92"/>
        <v>0.28412675161437695</v>
      </c>
      <c r="BE66" s="767">
        <f t="shared" si="92"/>
        <v>0.31289724064871927</v>
      </c>
      <c r="BF66" s="767">
        <f t="shared" si="92"/>
        <v>0.33518114142405264</v>
      </c>
      <c r="BG66" s="767">
        <f t="shared" si="92"/>
        <v>0.30522295502493868</v>
      </c>
      <c r="BH66" s="767">
        <f t="shared" si="92"/>
        <v>0.32148218406111334</v>
      </c>
      <c r="BI66" s="767">
        <f t="shared" si="92"/>
        <v>0.34491169617542206</v>
      </c>
      <c r="BJ66" s="767">
        <f t="shared" si="92"/>
        <v>0.31663091263426879</v>
      </c>
      <c r="BK66" s="767">
        <f t="shared" si="92"/>
        <v>0.33098616163634159</v>
      </c>
      <c r="BL66" s="767">
        <f t="shared" si="92"/>
        <v>0.35847493333523417</v>
      </c>
      <c r="BM66" s="393">
        <f>BM57/ (BM52)</f>
        <v>0.44293929712460062</v>
      </c>
      <c r="BN66" s="393">
        <f>BN57/ (BN52)</f>
        <v>0.37257621961735343</v>
      </c>
      <c r="BO66" s="1951">
        <f t="shared" si="69"/>
        <v>0.30522295502493868</v>
      </c>
    </row>
    <row r="67" spans="1:67">
      <c r="B67" s="1224" t="s">
        <v>68</v>
      </c>
      <c r="C67" s="272">
        <f>C52/(SUMIF($BA$3:$BL$3,"&lt;="&amp;$A$2,$BA$53:$BL$53)/$A$2)</f>
        <v>5.2706719812347487</v>
      </c>
      <c r="D67" s="1219"/>
      <c r="E67" s="1219"/>
      <c r="F67" s="1219"/>
      <c r="G67" s="1219"/>
      <c r="H67" s="1219"/>
      <c r="I67" s="393">
        <f>I52/AVERAGE(H53:I53)</f>
        <v>2.6470588235294117</v>
      </c>
      <c r="J67" s="393">
        <f t="shared" ref="J67:P67" si="93">J52/AVERAGE(I53:J53)</f>
        <v>3</v>
      </c>
      <c r="K67" s="393">
        <f t="shared" si="93"/>
        <v>3.3076923076923075</v>
      </c>
      <c r="L67" s="393">
        <f t="shared" si="93"/>
        <v>3.7241379310344827</v>
      </c>
      <c r="M67" s="393">
        <f t="shared" si="93"/>
        <v>4.28</v>
      </c>
      <c r="N67" s="393">
        <f t="shared" si="93"/>
        <v>4.74</v>
      </c>
      <c r="O67" s="393">
        <f t="shared" si="93"/>
        <v>5.1111111111111107</v>
      </c>
      <c r="P67" s="393">
        <f t="shared" si="93"/>
        <v>5.4037267080745339</v>
      </c>
      <c r="Q67" s="393">
        <f t="shared" ref="Q67:AB67" si="94">Q52/AVERAGE(P53:Q53)</f>
        <v>4.3556676064225286</v>
      </c>
      <c r="R67" s="393">
        <f t="shared" si="94"/>
        <v>4.6713801111963988</v>
      </c>
      <c r="S67" s="393">
        <f t="shared" si="94"/>
        <v>4.9443254725628281</v>
      </c>
      <c r="T67" s="393">
        <f t="shared" si="94"/>
        <v>5.2472703269317007</v>
      </c>
      <c r="U67" s="393">
        <f t="shared" si="94"/>
        <v>5.3511611128320462</v>
      </c>
      <c r="V67" s="393">
        <f t="shared" si="94"/>
        <v>5.4396549566974617</v>
      </c>
      <c r="W67" s="393">
        <f t="shared" si="94"/>
        <v>5.354110887345616</v>
      </c>
      <c r="X67" s="393">
        <f t="shared" si="94"/>
        <v>5.2976774643975171</v>
      </c>
      <c r="Y67" s="393">
        <f t="shared" si="94"/>
        <v>5.5568131995139156</v>
      </c>
      <c r="Z67" s="393">
        <f t="shared" si="94"/>
        <v>5.8249445889664351</v>
      </c>
      <c r="AA67" s="393">
        <f t="shared" si="94"/>
        <v>6.0700844121092228</v>
      </c>
      <c r="AB67" s="393">
        <f t="shared" si="94"/>
        <v>6.4423852962977328</v>
      </c>
      <c r="AC67" s="393">
        <v>4.691011235955056</v>
      </c>
      <c r="AD67" s="393">
        <v>4.9573610720644741</v>
      </c>
      <c r="AE67" s="393">
        <v>5.1284528142823902</v>
      </c>
      <c r="AF67" s="393">
        <v>5.4321946856446468</v>
      </c>
      <c r="AG67" s="393">
        <v>5.8853001287366551</v>
      </c>
      <c r="AH67" s="393">
        <v>6.2690941305119079</v>
      </c>
      <c r="AI67" s="393">
        <v>6.6513567965271987</v>
      </c>
      <c r="AJ67" s="393">
        <v>7.1820062731398879</v>
      </c>
      <c r="AK67" s="393">
        <v>7.7497984920020251</v>
      </c>
      <c r="AL67" s="393">
        <v>8.2862623912433921</v>
      </c>
      <c r="AM67" s="393">
        <v>8.9666556159602369</v>
      </c>
      <c r="AN67" s="393">
        <v>9.6153989742194685</v>
      </c>
      <c r="AO67" s="767">
        <v>5.5135135135135132</v>
      </c>
      <c r="AP67" s="767">
        <v>6.3563426627722119</v>
      </c>
      <c r="AQ67" s="767">
        <v>7.4919693170276584</v>
      </c>
      <c r="AR67" s="767">
        <v>9.1398725296151699</v>
      </c>
      <c r="AS67" s="767">
        <v>10.89759099129876</v>
      </c>
      <c r="AT67" s="767">
        <v>13.797976817460079</v>
      </c>
      <c r="AU67" s="767">
        <f t="shared" ref="AU67:AZ67" si="95">AU51/AU53</f>
        <v>5.0124986826300262</v>
      </c>
      <c r="AV67" s="767">
        <f t="shared" si="95"/>
        <v>5.0273226847486301</v>
      </c>
      <c r="AW67" s="767">
        <f t="shared" si="95"/>
        <v>5.0422142794314988</v>
      </c>
      <c r="AX67" s="767">
        <f t="shared" si="95"/>
        <v>5.1675490338601175</v>
      </c>
      <c r="AY67" s="767">
        <f t="shared" si="95"/>
        <v>5.1826466081790672</v>
      </c>
      <c r="AZ67" s="767">
        <f t="shared" si="95"/>
        <v>5.1467197442883554</v>
      </c>
      <c r="BA67" s="767">
        <f t="shared" ref="BA67:BL67" si="96">BA51/BA53</f>
        <v>5.6515507807678151</v>
      </c>
      <c r="BB67" s="767">
        <f t="shared" si="96"/>
        <v>5.187938378217483</v>
      </c>
      <c r="BC67" s="767">
        <f t="shared" si="96"/>
        <v>5.0202637544053541</v>
      </c>
      <c r="BD67" s="767">
        <f t="shared" si="96"/>
        <v>5.2352828340037423</v>
      </c>
      <c r="BE67" s="767">
        <f t="shared" si="96"/>
        <v>5.2603780356991043</v>
      </c>
      <c r="BF67" s="767">
        <f t="shared" si="96"/>
        <v>5.453155894336958</v>
      </c>
      <c r="BG67" s="767">
        <f t="shared" si="96"/>
        <v>5.6984054040617664</v>
      </c>
      <c r="BH67" s="767">
        <f t="shared" si="96"/>
        <v>5.7222706517331314</v>
      </c>
      <c r="BI67" s="767">
        <f t="shared" si="96"/>
        <v>5.8122873177574261</v>
      </c>
      <c r="BJ67" s="767">
        <f t="shared" si="96"/>
        <v>5.9985182766001701</v>
      </c>
      <c r="BK67" s="767">
        <f t="shared" si="96"/>
        <v>5.9913809225325698</v>
      </c>
      <c r="BL67" s="767">
        <f t="shared" si="96"/>
        <v>6.0294036373080768</v>
      </c>
      <c r="BM67" s="393">
        <f>BM52/AVERAGE(AO53:BM53)</f>
        <v>2.6738864979027746</v>
      </c>
      <c r="BN67" s="393">
        <f>BN52/AVERAGE(BM53:BN53)</f>
        <v>66.804994099389248</v>
      </c>
      <c r="BO67" s="1951">
        <f t="shared" si="69"/>
        <v>5.6984054040617664</v>
      </c>
    </row>
    <row r="69" spans="1:67" hidden="1">
      <c r="A69" s="1207">
        <f>A2</f>
        <v>7</v>
      </c>
      <c r="B69" s="1216" t="s">
        <v>458</v>
      </c>
      <c r="C69" s="1217" t="s">
        <v>163</v>
      </c>
      <c r="D69" s="1216"/>
      <c r="E69" s="1218" t="s">
        <v>98</v>
      </c>
      <c r="F69" s="1218" t="s">
        <v>34</v>
      </c>
      <c r="G69" s="1218" t="s">
        <v>35</v>
      </c>
      <c r="H69" s="1218" t="s">
        <v>36</v>
      </c>
      <c r="I69" s="1218" t="s">
        <v>37</v>
      </c>
      <c r="J69" s="1218" t="s">
        <v>38</v>
      </c>
      <c r="K69" s="1218" t="s">
        <v>39</v>
      </c>
      <c r="L69" s="1218" t="s">
        <v>40</v>
      </c>
      <c r="M69" s="1218" t="s">
        <v>41</v>
      </c>
      <c r="N69" s="1218" t="s">
        <v>42</v>
      </c>
      <c r="O69" s="1218" t="s">
        <v>43</v>
      </c>
      <c r="P69" s="1218" t="s">
        <v>44</v>
      </c>
      <c r="Q69" s="1218" t="s">
        <v>556</v>
      </c>
      <c r="R69" s="1218" t="s">
        <v>34</v>
      </c>
      <c r="S69" s="1218" t="s">
        <v>35</v>
      </c>
      <c r="T69" s="1218" t="s">
        <v>36</v>
      </c>
      <c r="U69" s="1218" t="s">
        <v>37</v>
      </c>
      <c r="V69" s="1218" t="s">
        <v>38</v>
      </c>
      <c r="W69" s="1218" t="s">
        <v>39</v>
      </c>
      <c r="X69" s="1218" t="s">
        <v>40</v>
      </c>
      <c r="Y69" s="1218" t="s">
        <v>41</v>
      </c>
      <c r="Z69" s="1218" t="s">
        <v>42</v>
      </c>
      <c r="AA69" s="1218" t="s">
        <v>43</v>
      </c>
      <c r="AB69" s="1218" t="s">
        <v>44</v>
      </c>
      <c r="AC69" s="1590" t="s">
        <v>1097</v>
      </c>
      <c r="AD69" s="1211" t="s">
        <v>34</v>
      </c>
      <c r="AE69" s="1211" t="s">
        <v>35</v>
      </c>
      <c r="AF69" s="1211" t="s">
        <v>36</v>
      </c>
      <c r="AG69" s="1211" t="s">
        <v>37</v>
      </c>
      <c r="AH69" s="1211" t="s">
        <v>38</v>
      </c>
      <c r="AI69" s="1211" t="s">
        <v>39</v>
      </c>
      <c r="AJ69" s="1211" t="s">
        <v>40</v>
      </c>
      <c r="AK69" s="1211" t="s">
        <v>41</v>
      </c>
      <c r="AL69" s="1211" t="s">
        <v>42</v>
      </c>
      <c r="AM69" s="1211" t="s">
        <v>43</v>
      </c>
      <c r="AN69" s="1211" t="s">
        <v>44</v>
      </c>
    </row>
    <row r="70" spans="1:67" hidden="1">
      <c r="B70" s="1219" t="s">
        <v>1</v>
      </c>
      <c r="C70" s="264">
        <f>SUMIF($AC$3:$AN$3, "&lt;=" &amp;$A$2,$AC$70:$AN$70)</f>
        <v>999</v>
      </c>
      <c r="D70" s="1219"/>
      <c r="E70" s="1219"/>
      <c r="F70" s="1219"/>
      <c r="G70" s="580"/>
      <c r="H70" s="580"/>
      <c r="I70" s="580"/>
      <c r="J70" s="580"/>
      <c r="K70" s="580"/>
      <c r="L70" s="580"/>
      <c r="M70" s="580"/>
      <c r="N70" s="580"/>
      <c r="O70" s="580"/>
      <c r="P70" s="580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016">
        <v>999</v>
      </c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</row>
    <row r="71" spans="1:67" hidden="1">
      <c r="B71" s="1219" t="s">
        <v>2</v>
      </c>
      <c r="C71" s="264">
        <f>SUMIF($AC$3:$AN$3, "&lt;=" &amp;$A$2, $AC$71:$AN$71)</f>
        <v>950</v>
      </c>
      <c r="D71" s="1219"/>
      <c r="E71" s="1219"/>
      <c r="F71" s="1219"/>
      <c r="G71" s="172"/>
      <c r="H71" s="172"/>
      <c r="I71" s="169"/>
      <c r="J71" s="169"/>
      <c r="K71" s="169"/>
      <c r="L71" s="169"/>
      <c r="M71" s="169"/>
      <c r="N71" s="169"/>
      <c r="O71" s="169"/>
      <c r="P71" s="169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016">
        <v>950</v>
      </c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</row>
    <row r="72" spans="1:67" hidden="1">
      <c r="B72" s="1219" t="s">
        <v>7</v>
      </c>
      <c r="C72" s="1220">
        <f>SUMIF($AC$3:$AN$3, "=" &amp;$A$2, $AC$72:$AN$72)</f>
        <v>0</v>
      </c>
      <c r="D72" s="1219"/>
      <c r="E72" s="1219"/>
      <c r="F72" s="1219"/>
      <c r="G72" s="1219"/>
      <c r="H72" s="1219"/>
      <c r="I72" s="1221"/>
      <c r="J72" s="1221"/>
      <c r="K72" s="1221"/>
      <c r="L72" s="1221"/>
      <c r="M72" s="1221"/>
      <c r="N72" s="1221"/>
      <c r="O72" s="1221"/>
      <c r="P72" s="1221"/>
      <c r="Q72" s="1221"/>
      <c r="R72" s="1221"/>
      <c r="S72" s="1221"/>
      <c r="T72" s="1221"/>
      <c r="U72" s="1221"/>
      <c r="V72" s="1221"/>
      <c r="W72" s="1221"/>
      <c r="X72" s="1221"/>
      <c r="Y72" s="1221"/>
      <c r="Z72" s="1221"/>
      <c r="AA72" s="1221"/>
      <c r="AB72" s="1221"/>
      <c r="AC72" s="1221"/>
      <c r="AD72" s="1221"/>
      <c r="AE72" s="1221"/>
      <c r="AF72" s="1221"/>
      <c r="AG72" s="1221"/>
      <c r="AH72" s="1221"/>
      <c r="AI72" s="1221"/>
      <c r="AJ72" s="1221"/>
      <c r="AK72" s="1221"/>
      <c r="AL72" s="1221"/>
      <c r="AM72" s="1221"/>
      <c r="AN72" s="1221"/>
      <c r="AO72" s="1212"/>
      <c r="AP72" s="1212"/>
      <c r="AQ72" s="1212"/>
      <c r="AR72" s="1212"/>
      <c r="AS72" s="1212"/>
      <c r="AT72" s="1212"/>
      <c r="AU72" s="1212"/>
      <c r="AV72" s="1212"/>
      <c r="AW72" s="1212"/>
      <c r="AX72" s="1212"/>
      <c r="AY72" s="1212"/>
      <c r="AZ72" s="1212"/>
      <c r="BA72" s="1212"/>
      <c r="BB72" s="1212"/>
      <c r="BC72" s="1212"/>
      <c r="BD72" s="1212"/>
      <c r="BE72" s="1212"/>
      <c r="BF72" s="1212"/>
      <c r="BG72" s="1212"/>
      <c r="BH72" s="1212"/>
      <c r="BI72" s="1212"/>
      <c r="BJ72" s="1212"/>
      <c r="BK72" s="1212"/>
      <c r="BL72" s="1212"/>
      <c r="BM72" s="1228" t="s">
        <v>108</v>
      </c>
    </row>
    <row r="73" spans="1:67" hidden="1">
      <c r="B73" s="1219" t="s">
        <v>96</v>
      </c>
      <c r="C73" s="264">
        <f>SUMIF($AC$3:$AN$3, "&lt;=" &amp;$A$2, $AC$73:$AN$73) /$A$47</f>
        <v>0</v>
      </c>
      <c r="D73" s="1219"/>
      <c r="E73" s="1219"/>
      <c r="F73" s="1219"/>
      <c r="G73" s="1219"/>
      <c r="H73" s="1219"/>
      <c r="I73" s="1221"/>
      <c r="J73" s="1221"/>
      <c r="K73" s="1221"/>
      <c r="L73" s="1221"/>
      <c r="M73" s="1221"/>
      <c r="N73" s="1221"/>
      <c r="O73" s="1221"/>
      <c r="P73" s="1221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  <c r="AO73" s="765"/>
      <c r="AP73" s="765"/>
      <c r="AQ73" s="765"/>
      <c r="AR73" s="765"/>
      <c r="AS73" s="765"/>
      <c r="AT73" s="765"/>
      <c r="AU73" s="765"/>
      <c r="AV73" s="765"/>
      <c r="AW73" s="765"/>
      <c r="AX73" s="765"/>
      <c r="AY73" s="765"/>
      <c r="AZ73" s="765"/>
      <c r="BA73" s="765"/>
      <c r="BB73" s="765"/>
      <c r="BC73" s="765"/>
      <c r="BD73" s="765"/>
      <c r="BE73" s="765"/>
      <c r="BF73" s="765"/>
      <c r="BG73" s="765"/>
      <c r="BH73" s="765"/>
      <c r="BI73" s="765"/>
      <c r="BJ73" s="765"/>
      <c r="BK73" s="765"/>
      <c r="BL73" s="765"/>
    </row>
    <row r="74" spans="1:67" hidden="1">
      <c r="B74" s="1219" t="s">
        <v>109</v>
      </c>
      <c r="C74" s="1220">
        <f>SUMIF($AC$3:$AN$3, "=" &amp;$A$2, $AC$74:$AN$74)</f>
        <v>0</v>
      </c>
      <c r="D74" s="1219"/>
      <c r="E74" s="1219"/>
      <c r="F74" s="1219"/>
      <c r="G74" s="1219"/>
      <c r="H74" s="1219"/>
      <c r="I74" s="1221"/>
      <c r="J74" s="1221"/>
      <c r="K74" s="1221"/>
      <c r="L74" s="1221"/>
      <c r="M74" s="1221"/>
      <c r="N74" s="1221"/>
      <c r="O74" s="1221"/>
      <c r="P74" s="1221"/>
      <c r="Q74" s="1221"/>
      <c r="R74" s="1221"/>
      <c r="S74" s="1221"/>
      <c r="T74" s="1221"/>
      <c r="U74" s="1221"/>
      <c r="V74" s="1221"/>
      <c r="W74" s="1221"/>
      <c r="X74" s="1221"/>
      <c r="Y74" s="1221"/>
      <c r="Z74" s="1221"/>
      <c r="AA74" s="1221"/>
      <c r="AB74" s="1221"/>
      <c r="AC74" s="1221"/>
      <c r="AD74" s="1221"/>
      <c r="AE74" s="1221"/>
      <c r="AF74" s="1221"/>
      <c r="AG74" s="1221"/>
      <c r="AH74" s="1221"/>
      <c r="AI74" s="1221"/>
      <c r="AJ74" s="1221"/>
      <c r="AK74" s="1221"/>
      <c r="AL74" s="1221"/>
      <c r="AM74" s="1221"/>
      <c r="AN74" s="1221"/>
      <c r="AO74" s="765"/>
      <c r="AP74" s="765"/>
      <c r="AQ74" s="765"/>
      <c r="AR74" s="765"/>
      <c r="AS74" s="765"/>
      <c r="AT74" s="765"/>
      <c r="AU74" s="765"/>
      <c r="AV74" s="765"/>
      <c r="AW74" s="765"/>
      <c r="AX74" s="765"/>
      <c r="AY74" s="765"/>
      <c r="AZ74" s="765"/>
      <c r="BA74" s="765"/>
      <c r="BB74" s="765"/>
      <c r="BC74" s="765"/>
      <c r="BD74" s="765"/>
      <c r="BE74" s="765"/>
      <c r="BF74" s="765"/>
      <c r="BG74" s="765"/>
      <c r="BH74" s="765"/>
      <c r="BI74" s="765"/>
      <c r="BJ74" s="765"/>
      <c r="BK74" s="765"/>
      <c r="BL74" s="765"/>
    </row>
    <row r="75" spans="1:67" hidden="1">
      <c r="B75" s="1219" t="s">
        <v>21</v>
      </c>
      <c r="C75" s="265">
        <f>IF(C73&lt;&gt;0,C76/(C73*A47),0)</f>
        <v>0</v>
      </c>
      <c r="D75" s="1219"/>
      <c r="E75" s="171"/>
      <c r="F75" s="171"/>
      <c r="G75" s="167"/>
      <c r="H75" s="171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765"/>
      <c r="AP75" s="765"/>
      <c r="AQ75" s="765"/>
      <c r="AR75" s="765"/>
      <c r="AS75" s="765"/>
      <c r="AT75" s="765"/>
      <c r="AU75" s="765"/>
      <c r="AV75" s="765"/>
      <c r="AW75" s="765"/>
      <c r="AX75" s="765"/>
      <c r="AY75" s="765"/>
      <c r="AZ75" s="765"/>
      <c r="BA75" s="765"/>
      <c r="BB75" s="765"/>
      <c r="BC75" s="765"/>
      <c r="BD75" s="765"/>
      <c r="BE75" s="765"/>
      <c r="BF75" s="765"/>
      <c r="BG75" s="765"/>
      <c r="BH75" s="765"/>
      <c r="BI75" s="765"/>
      <c r="BJ75" s="765"/>
      <c r="BK75" s="765"/>
      <c r="BL75" s="765"/>
    </row>
    <row r="76" spans="1:67" hidden="1">
      <c r="B76" s="1219" t="s">
        <v>60</v>
      </c>
      <c r="C76" s="264">
        <f>SUMIF($AC$3:$AN$3, "&lt;=" &amp;$A$2, $AC$76:$AN$76)</f>
        <v>31</v>
      </c>
      <c r="D76" s="1219"/>
      <c r="E76" s="1219"/>
      <c r="F76" s="1219"/>
      <c r="G76" s="1219"/>
      <c r="H76" s="1219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016">
        <v>31</v>
      </c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765"/>
      <c r="AP76" s="765"/>
      <c r="AQ76" s="765"/>
      <c r="AR76" s="765"/>
      <c r="AS76" s="765"/>
      <c r="AT76" s="765"/>
      <c r="AU76" s="765"/>
      <c r="AV76" s="765"/>
      <c r="AW76" s="765"/>
      <c r="AX76" s="765"/>
      <c r="AY76" s="765"/>
      <c r="AZ76" s="765"/>
      <c r="BA76" s="765"/>
      <c r="BB76" s="765"/>
      <c r="BC76" s="765"/>
      <c r="BD76" s="765"/>
      <c r="BE76" s="765"/>
      <c r="BF76" s="765"/>
      <c r="BG76" s="765"/>
      <c r="BH76" s="765"/>
      <c r="BI76" s="765"/>
      <c r="BJ76" s="765"/>
      <c r="BK76" s="765"/>
      <c r="BL76" s="765"/>
    </row>
    <row r="77" spans="1:67" hidden="1">
      <c r="B77" s="1219" t="s">
        <v>61</v>
      </c>
      <c r="C77" s="272">
        <f>IF(C76&lt;&gt;0,C78/C76,0)</f>
        <v>0</v>
      </c>
      <c r="D77" s="1219"/>
      <c r="E77" s="1219"/>
      <c r="F77" s="1219"/>
      <c r="G77" s="1219"/>
      <c r="H77" s="1219"/>
      <c r="I77" s="1221"/>
      <c r="J77" s="1221"/>
      <c r="K77" s="1221"/>
      <c r="L77" s="1221"/>
      <c r="M77" s="1221"/>
      <c r="N77" s="1221"/>
      <c r="O77" s="1221"/>
      <c r="P77" s="1221"/>
      <c r="Q77" s="1221"/>
      <c r="R77" s="1221"/>
      <c r="S77" s="1221"/>
      <c r="T77" s="1221"/>
      <c r="U77" s="1221"/>
      <c r="V77" s="1221"/>
      <c r="W77" s="1221"/>
      <c r="X77" s="1221"/>
      <c r="Y77" s="1221"/>
      <c r="Z77" s="1221"/>
      <c r="AA77" s="1221"/>
      <c r="AB77" s="1221"/>
      <c r="AC77" s="1221"/>
      <c r="AD77" s="1221"/>
      <c r="AE77" s="1221"/>
      <c r="AF77" s="1221"/>
      <c r="AG77" s="1221"/>
      <c r="AH77" s="1221"/>
      <c r="AI77" s="1221"/>
      <c r="AJ77" s="1221"/>
      <c r="AK77" s="1221"/>
      <c r="AL77" s="1221"/>
      <c r="AM77" s="1221"/>
      <c r="AN77" s="1221"/>
      <c r="AO77" s="765"/>
      <c r="AP77" s="765"/>
      <c r="AQ77" s="765"/>
      <c r="AR77" s="765"/>
      <c r="AS77" s="765"/>
      <c r="AT77" s="765"/>
      <c r="AU77" s="765"/>
      <c r="AV77" s="765"/>
      <c r="AW77" s="765"/>
      <c r="AX77" s="765"/>
      <c r="AY77" s="765"/>
      <c r="AZ77" s="765"/>
      <c r="BA77" s="765"/>
      <c r="BB77" s="765"/>
      <c r="BC77" s="765"/>
      <c r="BD77" s="765"/>
      <c r="BE77" s="765"/>
      <c r="BF77" s="765"/>
      <c r="BG77" s="765"/>
      <c r="BH77" s="765"/>
      <c r="BI77" s="765"/>
      <c r="BJ77" s="765"/>
      <c r="BK77" s="765"/>
      <c r="BL77" s="765"/>
    </row>
    <row r="78" spans="1:67" hidden="1">
      <c r="B78" s="1219" t="s">
        <v>3</v>
      </c>
      <c r="C78" s="1220">
        <f>SUMIF($AC$3:$AN$3, "&lt;=" &amp;$A$2, $AC$78:$AN$78)</f>
        <v>0</v>
      </c>
      <c r="D78" s="1219"/>
      <c r="E78" s="172"/>
      <c r="F78" s="172"/>
      <c r="G78" s="172"/>
      <c r="H78" s="172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765"/>
      <c r="AP78" s="765"/>
      <c r="AQ78" s="765"/>
      <c r="AR78" s="765"/>
      <c r="AS78" s="765"/>
      <c r="AT78" s="765"/>
      <c r="AU78" s="765"/>
      <c r="AV78" s="765"/>
      <c r="AW78" s="765"/>
      <c r="AX78" s="765"/>
      <c r="AY78" s="765"/>
      <c r="AZ78" s="765"/>
      <c r="BA78" s="765"/>
      <c r="BB78" s="765"/>
      <c r="BC78" s="765"/>
      <c r="BD78" s="765"/>
      <c r="BE78" s="765"/>
      <c r="BF78" s="765"/>
      <c r="BG78" s="765"/>
      <c r="BH78" s="765"/>
      <c r="BI78" s="765"/>
      <c r="BJ78" s="765"/>
      <c r="BK78" s="765"/>
      <c r="BL78" s="765"/>
    </row>
    <row r="79" spans="1:67" hidden="1">
      <c r="B79" s="1219" t="s">
        <v>62</v>
      </c>
      <c r="C79" s="264">
        <f>IF(C78&lt;&gt;0,C70/C78,0)</f>
        <v>0</v>
      </c>
      <c r="D79" s="1219"/>
      <c r="E79" s="1219"/>
      <c r="F79" s="1219"/>
      <c r="G79" s="1219"/>
      <c r="H79" s="1219"/>
      <c r="I79" s="1221"/>
      <c r="J79" s="1221"/>
      <c r="K79" s="1221"/>
      <c r="L79" s="1221"/>
      <c r="M79" s="1221"/>
      <c r="N79" s="1221"/>
      <c r="O79" s="1221"/>
      <c r="P79" s="1221"/>
      <c r="Q79" s="1221"/>
      <c r="R79" s="1221"/>
      <c r="S79" s="1221"/>
      <c r="T79" s="1221"/>
      <c r="U79" s="1221"/>
      <c r="V79" s="1221"/>
      <c r="W79" s="1221"/>
      <c r="X79" s="1221"/>
      <c r="Y79" s="1221"/>
      <c r="Z79" s="1221"/>
      <c r="AA79" s="1221"/>
      <c r="AB79" s="1221"/>
      <c r="AC79" s="1221"/>
      <c r="AD79" s="1221"/>
      <c r="AE79" s="1221"/>
      <c r="AF79" s="1221"/>
      <c r="AG79" s="1221"/>
      <c r="AH79" s="1221"/>
      <c r="AI79" s="1221"/>
      <c r="AJ79" s="1221"/>
      <c r="AK79" s="1221"/>
      <c r="AL79" s="1221"/>
      <c r="AM79" s="1221"/>
      <c r="AN79" s="1221"/>
      <c r="AO79" s="770"/>
      <c r="AP79" s="770"/>
      <c r="AQ79" s="770"/>
      <c r="AR79" s="770"/>
      <c r="AS79" s="770"/>
      <c r="AT79" s="770"/>
      <c r="AU79" s="770"/>
      <c r="AV79" s="770"/>
      <c r="AW79" s="770"/>
      <c r="AX79" s="770"/>
      <c r="AY79" s="770"/>
      <c r="AZ79" s="770"/>
      <c r="BA79" s="770"/>
      <c r="BB79" s="770"/>
      <c r="BC79" s="770"/>
      <c r="BD79" s="770"/>
      <c r="BE79" s="770"/>
      <c r="BF79" s="770"/>
      <c r="BG79" s="770"/>
      <c r="BH79" s="770"/>
      <c r="BI79" s="770"/>
      <c r="BJ79" s="770"/>
      <c r="BK79" s="770"/>
      <c r="BL79" s="770"/>
    </row>
    <row r="80" spans="1:67" hidden="1">
      <c r="B80" s="1219" t="s">
        <v>112</v>
      </c>
      <c r="C80" s="1220">
        <f>SUMIF($AC$3:$AN$3, "&lt;=" &amp;$A$2, $AC$80:$AN$80)</f>
        <v>27</v>
      </c>
      <c r="D80" s="1219"/>
      <c r="E80" s="1219"/>
      <c r="F80" s="1219"/>
      <c r="G80" s="1219"/>
      <c r="H80" s="1219"/>
      <c r="I80" s="1221"/>
      <c r="J80" s="1221"/>
      <c r="K80" s="1221"/>
      <c r="L80" s="1221"/>
      <c r="M80" s="1221"/>
      <c r="N80" s="1221"/>
      <c r="O80" s="1221"/>
      <c r="P80" s="1221"/>
      <c r="Q80" s="1221"/>
      <c r="R80" s="1221"/>
      <c r="S80" s="1221"/>
      <c r="T80" s="1221"/>
      <c r="U80" s="1221"/>
      <c r="V80" s="1221"/>
      <c r="W80" s="1221"/>
      <c r="X80" s="1221"/>
      <c r="Y80" s="1221"/>
      <c r="Z80" s="1221"/>
      <c r="AA80" s="1221"/>
      <c r="AB80" s="1221"/>
      <c r="AC80" s="1016">
        <v>27</v>
      </c>
      <c r="AD80" s="1221"/>
      <c r="AE80" s="1221"/>
      <c r="AF80" s="1221"/>
      <c r="AG80" s="1221"/>
      <c r="AH80" s="1221"/>
      <c r="AI80" s="1221"/>
      <c r="AJ80" s="1221"/>
      <c r="AK80" s="1221"/>
      <c r="AL80" s="1221"/>
      <c r="AM80" s="1221"/>
      <c r="AN80" s="1221"/>
      <c r="AO80" s="765"/>
      <c r="AP80" s="765"/>
      <c r="AQ80" s="765"/>
      <c r="AR80" s="765"/>
      <c r="AS80" s="765"/>
      <c r="AT80" s="765"/>
      <c r="AU80" s="765"/>
      <c r="AV80" s="765"/>
      <c r="AW80" s="765"/>
      <c r="AX80" s="765"/>
      <c r="AY80" s="765"/>
      <c r="AZ80" s="765"/>
      <c r="BA80" s="765"/>
      <c r="BB80" s="765"/>
      <c r="BC80" s="765"/>
      <c r="BD80" s="765"/>
      <c r="BE80" s="765"/>
      <c r="BF80" s="765"/>
      <c r="BG80" s="765"/>
      <c r="BH80" s="765"/>
      <c r="BI80" s="765"/>
      <c r="BJ80" s="765"/>
      <c r="BK80" s="765"/>
      <c r="BL80" s="765"/>
    </row>
    <row r="81" spans="1:65" hidden="1">
      <c r="B81" s="1219" t="s">
        <v>111</v>
      </c>
      <c r="C81" s="1220">
        <f>SUMIF($AC$3:$AN$3, "&lt;=" &amp;$A$2, $AC$81:$AN$81)</f>
        <v>12</v>
      </c>
      <c r="D81" s="1219"/>
      <c r="E81" s="1219"/>
      <c r="F81" s="1219"/>
      <c r="G81" s="1219"/>
      <c r="H81" s="1219"/>
      <c r="I81" s="1219"/>
      <c r="J81" s="1219"/>
      <c r="K81" s="1219"/>
      <c r="L81" s="1219"/>
      <c r="M81" s="1219"/>
      <c r="N81" s="1219"/>
      <c r="O81" s="1219"/>
      <c r="P81" s="1219"/>
      <c r="Q81" s="1219"/>
      <c r="R81" s="1219"/>
      <c r="S81" s="1219"/>
      <c r="T81" s="1219"/>
      <c r="U81" s="1219"/>
      <c r="V81" s="1219"/>
      <c r="W81" s="1219"/>
      <c r="X81" s="1219"/>
      <c r="Y81" s="1219"/>
      <c r="Z81" s="1219"/>
      <c r="AA81" s="1219"/>
      <c r="AB81" s="1219"/>
      <c r="AC81" s="1016">
        <v>12</v>
      </c>
      <c r="AD81" s="1219"/>
      <c r="AE81" s="1219"/>
      <c r="AF81" s="1219"/>
      <c r="AG81" s="1219"/>
      <c r="AH81" s="1219"/>
      <c r="AI81" s="1219"/>
      <c r="AJ81" s="1219"/>
      <c r="AK81" s="1219"/>
      <c r="AL81" s="1219"/>
      <c r="AM81" s="1219"/>
      <c r="AN81" s="1219"/>
      <c r="AO81" s="771"/>
      <c r="AP81" s="771"/>
      <c r="AQ81" s="771"/>
      <c r="AR81" s="771"/>
      <c r="AS81" s="771"/>
      <c r="AT81" s="771"/>
      <c r="AU81" s="771"/>
      <c r="AV81" s="771"/>
      <c r="AW81" s="771"/>
      <c r="AX81" s="771"/>
      <c r="AY81" s="771"/>
      <c r="AZ81" s="771"/>
      <c r="BA81" s="771"/>
      <c r="BB81" s="771"/>
      <c r="BC81" s="771"/>
      <c r="BD81" s="771"/>
      <c r="BE81" s="771"/>
      <c r="BF81" s="771"/>
      <c r="BG81" s="771"/>
      <c r="BH81" s="771"/>
      <c r="BI81" s="771"/>
      <c r="BJ81" s="771"/>
      <c r="BK81" s="771"/>
      <c r="BL81" s="771"/>
      <c r="BM81" s="199"/>
    </row>
    <row r="82" spans="1:65" hidden="1">
      <c r="B82" s="1219"/>
      <c r="C82" s="1219"/>
      <c r="D82" s="1219"/>
      <c r="E82" s="1219"/>
      <c r="F82" s="1219"/>
      <c r="G82" s="1219"/>
      <c r="H82" s="1219"/>
      <c r="I82" s="1219"/>
      <c r="J82" s="1219"/>
      <c r="K82" s="1219"/>
      <c r="L82" s="1219"/>
      <c r="M82" s="1219"/>
      <c r="N82" s="1219"/>
      <c r="O82" s="1219"/>
      <c r="P82" s="1219"/>
      <c r="Q82" s="1219"/>
      <c r="R82" s="1219"/>
      <c r="S82" s="1219"/>
      <c r="T82" s="1219"/>
      <c r="U82" s="1219"/>
      <c r="V82" s="1219"/>
      <c r="W82" s="1219"/>
      <c r="X82" s="1219"/>
      <c r="Y82" s="1219"/>
      <c r="Z82" s="1219"/>
      <c r="AA82" s="1219"/>
      <c r="AB82" s="1219"/>
      <c r="AC82" s="1219"/>
      <c r="AD82" s="1219"/>
      <c r="AE82" s="1219"/>
      <c r="AF82" s="1219"/>
      <c r="AG82" s="1219"/>
      <c r="AH82" s="1219"/>
      <c r="AI82" s="1219"/>
      <c r="AJ82" s="1219"/>
      <c r="AK82" s="1219"/>
      <c r="AL82" s="1219"/>
      <c r="AM82" s="1219"/>
      <c r="AN82" s="1219"/>
      <c r="AO82" s="765"/>
      <c r="AP82" s="765"/>
      <c r="AQ82" s="765"/>
      <c r="AR82" s="765"/>
      <c r="AS82" s="765"/>
      <c r="AT82" s="765"/>
      <c r="AU82" s="765"/>
      <c r="AV82" s="765"/>
      <c r="AW82" s="765"/>
      <c r="AX82" s="765"/>
      <c r="AY82" s="765"/>
      <c r="AZ82" s="765"/>
      <c r="BA82" s="765"/>
      <c r="BB82" s="765"/>
      <c r="BC82" s="765"/>
      <c r="BD82" s="765"/>
      <c r="BE82" s="765"/>
      <c r="BF82" s="765"/>
      <c r="BG82" s="765"/>
      <c r="BH82" s="765"/>
      <c r="BI82" s="765"/>
      <c r="BJ82" s="765"/>
      <c r="BK82" s="765"/>
      <c r="BL82" s="765"/>
    </row>
    <row r="83" spans="1:65" hidden="1">
      <c r="B83" s="1224" t="s">
        <v>63</v>
      </c>
      <c r="C83" s="272" t="e">
        <f>C70/ (C73* $A$2)</f>
        <v>#DIV/0!</v>
      </c>
      <c r="D83" s="1219"/>
      <c r="E83" s="1219"/>
      <c r="F83" s="1219"/>
      <c r="G83" s="1219"/>
      <c r="H83" s="1219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 t="e">
        <f>AC70/ (AC73)</f>
        <v>#DIV/0!</v>
      </c>
      <c r="AD83" s="393"/>
      <c r="AE83" s="393"/>
      <c r="AF83" s="393"/>
      <c r="AG83" s="393"/>
      <c r="AH83" s="393"/>
      <c r="AI83" s="393"/>
      <c r="AJ83" s="393"/>
      <c r="AK83" s="393"/>
      <c r="AL83" s="393"/>
      <c r="AM83" s="393"/>
      <c r="AN83" s="393"/>
      <c r="AO83" s="772"/>
      <c r="AP83" s="772"/>
      <c r="AQ83" s="772"/>
      <c r="AR83" s="772"/>
      <c r="AS83" s="772"/>
      <c r="AT83" s="772"/>
      <c r="AU83" s="772"/>
      <c r="AV83" s="772"/>
      <c r="AW83" s="772"/>
      <c r="AX83" s="772"/>
      <c r="AY83" s="772"/>
      <c r="AZ83" s="772"/>
      <c r="BA83" s="772"/>
      <c r="BB83" s="772"/>
      <c r="BC83" s="772"/>
      <c r="BD83" s="772"/>
      <c r="BE83" s="772"/>
      <c r="BF83" s="772"/>
      <c r="BG83" s="772"/>
      <c r="BH83" s="772"/>
      <c r="BI83" s="772"/>
      <c r="BJ83" s="772"/>
      <c r="BK83" s="772"/>
      <c r="BL83" s="772"/>
      <c r="BM83" s="199"/>
    </row>
    <row r="84" spans="1:65" hidden="1">
      <c r="B84" s="1224" t="s">
        <v>64</v>
      </c>
      <c r="C84" s="272">
        <f>C70/C76</f>
        <v>32.225806451612904</v>
      </c>
      <c r="D84" s="1219"/>
      <c r="E84" s="1219"/>
      <c r="F84" s="1219"/>
      <c r="G84" s="1219"/>
      <c r="H84" s="1219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>
        <f>AC70/AC76</f>
        <v>32.225806451612904</v>
      </c>
      <c r="AD84" s="393"/>
      <c r="AE84" s="393"/>
      <c r="AF84" s="393"/>
      <c r="AG84" s="393"/>
      <c r="AH84" s="393"/>
      <c r="AI84" s="393"/>
      <c r="AJ84" s="393"/>
      <c r="AK84" s="393"/>
      <c r="AL84" s="393"/>
      <c r="AM84" s="393"/>
      <c r="AN84" s="393"/>
      <c r="AO84" s="765"/>
      <c r="AP84" s="765"/>
      <c r="AQ84" s="765"/>
      <c r="AR84" s="765"/>
      <c r="AS84" s="765"/>
      <c r="AT84" s="765"/>
      <c r="AU84" s="765"/>
      <c r="AV84" s="765"/>
      <c r="AW84" s="765"/>
      <c r="AX84" s="765"/>
      <c r="AY84" s="765"/>
      <c r="AZ84" s="765"/>
      <c r="BA84" s="765"/>
      <c r="BB84" s="765"/>
      <c r="BC84" s="765"/>
      <c r="BD84" s="765"/>
      <c r="BE84" s="765"/>
      <c r="BF84" s="765"/>
      <c r="BG84" s="765"/>
      <c r="BH84" s="765"/>
      <c r="BI84" s="765"/>
      <c r="BJ84" s="765"/>
      <c r="BK84" s="765"/>
      <c r="BL84" s="765"/>
    </row>
    <row r="85" spans="1:65" hidden="1">
      <c r="B85" s="1224" t="s">
        <v>65</v>
      </c>
      <c r="C85" s="272" t="e">
        <f>C71/ (C73 *$A$2)</f>
        <v>#DIV/0!</v>
      </c>
      <c r="D85" s="1219"/>
      <c r="E85" s="1219"/>
      <c r="F85" s="1219"/>
      <c r="G85" s="1219"/>
      <c r="H85" s="1219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 t="e">
        <f>AC71/ (AC73 )</f>
        <v>#DIV/0!</v>
      </c>
      <c r="AD85" s="393"/>
      <c r="AE85" s="393"/>
      <c r="AF85" s="393"/>
      <c r="AG85" s="393"/>
      <c r="AH85" s="393"/>
      <c r="AI85" s="393"/>
      <c r="AJ85" s="393"/>
      <c r="AK85" s="393"/>
      <c r="AL85" s="393"/>
      <c r="AM85" s="393"/>
      <c r="AN85" s="393"/>
      <c r="AO85" s="765"/>
      <c r="AP85" s="765"/>
      <c r="AQ85" s="765"/>
      <c r="AR85" s="765"/>
      <c r="AS85" s="765"/>
      <c r="AT85" s="765"/>
      <c r="AU85" s="765"/>
      <c r="AV85" s="765"/>
      <c r="AW85" s="765"/>
      <c r="AX85" s="765"/>
      <c r="AY85" s="765"/>
      <c r="AZ85" s="765"/>
      <c r="BA85" s="765"/>
      <c r="BB85" s="765"/>
      <c r="BC85" s="765"/>
      <c r="BD85" s="765"/>
      <c r="BE85" s="765"/>
      <c r="BF85" s="765"/>
      <c r="BG85" s="765"/>
      <c r="BH85" s="765"/>
      <c r="BI85" s="765"/>
      <c r="BJ85" s="765"/>
      <c r="BK85" s="765"/>
      <c r="BL85" s="765"/>
    </row>
    <row r="86" spans="1:65" hidden="1">
      <c r="B86" s="1224" t="s">
        <v>66</v>
      </c>
      <c r="C86" s="272">
        <f>C71/C76</f>
        <v>30.64516129032258</v>
      </c>
      <c r="D86" s="1219"/>
      <c r="E86" s="1219"/>
      <c r="F86" s="1219"/>
      <c r="G86" s="1219"/>
      <c r="H86" s="1219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>
        <f>AC71/AC76</f>
        <v>30.64516129032258</v>
      </c>
      <c r="AD86" s="393"/>
      <c r="AE86" s="393"/>
      <c r="AF86" s="393"/>
      <c r="AG86" s="393"/>
      <c r="AH86" s="393"/>
      <c r="AI86" s="393"/>
      <c r="AJ86" s="393"/>
      <c r="AK86" s="393"/>
      <c r="AL86" s="393"/>
      <c r="AM86" s="393"/>
      <c r="AN86" s="393"/>
    </row>
    <row r="87" spans="1:65" hidden="1">
      <c r="B87" s="1224" t="s">
        <v>67</v>
      </c>
      <c r="C87" s="272" t="e">
        <f>C78/ ($A$2 * C73)</f>
        <v>#DIV/0!</v>
      </c>
      <c r="D87" s="1219"/>
      <c r="E87" s="1219"/>
      <c r="F87" s="1219"/>
      <c r="G87" s="1219"/>
      <c r="H87" s="1219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 t="e">
        <f>AC78/ ( AC73)</f>
        <v>#DIV/0!</v>
      </c>
      <c r="AD87" s="393"/>
      <c r="AE87" s="393"/>
      <c r="AF87" s="393"/>
      <c r="AG87" s="393"/>
      <c r="AH87" s="393"/>
      <c r="AI87" s="393"/>
      <c r="AJ87" s="393"/>
      <c r="AK87" s="393"/>
      <c r="AL87" s="393"/>
      <c r="AM87" s="393"/>
      <c r="AN87" s="393"/>
    </row>
    <row r="88" spans="1:65" hidden="1">
      <c r="B88" s="1224" t="s">
        <v>68</v>
      </c>
      <c r="C88" s="272" t="e">
        <f>C73/(SUMIF($AC$3:$AN$3,"&lt;="&amp;$A$2,$AC$73:$AN$73)/$A$2)</f>
        <v>#DIV/0!</v>
      </c>
      <c r="D88" s="1219"/>
      <c r="E88" s="1219"/>
      <c r="F88" s="1219"/>
      <c r="G88" s="1219"/>
      <c r="H88" s="1219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 t="e">
        <f>AC73/AVERAGE(AB74:AC74)</f>
        <v>#DIV/0!</v>
      </c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</row>
    <row r="89" spans="1:65">
      <c r="AN89" s="1228"/>
      <c r="AO89" s="1212"/>
      <c r="AP89" s="1212"/>
      <c r="AQ89" s="1212"/>
      <c r="AR89" s="1212"/>
      <c r="AS89" s="1212"/>
      <c r="AT89" s="1212"/>
      <c r="AU89" s="1212"/>
      <c r="AV89" s="1212"/>
      <c r="AW89" s="1212"/>
      <c r="AX89" s="1212"/>
      <c r="AY89" s="1212"/>
      <c r="AZ89" s="1212"/>
      <c r="BA89" s="1212"/>
      <c r="BB89" s="1212"/>
      <c r="BC89" s="1212"/>
      <c r="BD89" s="1212"/>
      <c r="BE89" s="1212"/>
      <c r="BF89" s="1212"/>
      <c r="BG89" s="1212"/>
      <c r="BH89" s="1212"/>
      <c r="BI89" s="1212"/>
      <c r="BJ89" s="1212"/>
      <c r="BK89" s="1212"/>
      <c r="BL89" s="1212"/>
      <c r="BM89" s="1228" t="s">
        <v>108</v>
      </c>
    </row>
    <row r="90" spans="1:65">
      <c r="A90" s="1225" t="s">
        <v>132</v>
      </c>
      <c r="C90" s="1225"/>
      <c r="D90" s="1225"/>
      <c r="AN90" s="275"/>
      <c r="AO90" s="773"/>
      <c r="AP90" s="773"/>
      <c r="AQ90" s="773"/>
      <c r="AR90" s="773"/>
      <c r="AS90" s="773"/>
      <c r="AT90" s="773"/>
      <c r="AU90" s="773"/>
      <c r="AV90" s="773"/>
      <c r="AW90" s="773"/>
      <c r="AX90" s="773"/>
      <c r="AY90" s="773"/>
      <c r="AZ90" s="773"/>
      <c r="BA90" s="773"/>
      <c r="BB90" s="773"/>
      <c r="BC90" s="773"/>
      <c r="BD90" s="773"/>
      <c r="BE90" s="773"/>
      <c r="BF90" s="773"/>
      <c r="BG90" s="773"/>
      <c r="BH90" s="773"/>
      <c r="BI90" s="773"/>
      <c r="BJ90" s="773"/>
      <c r="BK90" s="773"/>
      <c r="BL90" s="773"/>
    </row>
    <row r="91" spans="1:65">
      <c r="B91" s="1225" t="s">
        <v>129</v>
      </c>
      <c r="C91" s="1225"/>
      <c r="D91" s="1225"/>
      <c r="AN91" s="275"/>
      <c r="AO91" s="773"/>
      <c r="AP91" s="773"/>
      <c r="AQ91" s="773"/>
      <c r="AR91" s="773"/>
      <c r="AS91" s="773"/>
      <c r="AT91" s="773"/>
      <c r="AU91" s="773"/>
      <c r="AV91" s="773"/>
      <c r="AW91" s="773"/>
      <c r="AX91" s="773"/>
      <c r="AY91" s="773"/>
      <c r="AZ91" s="773"/>
      <c r="BA91" s="773"/>
      <c r="BB91" s="773"/>
      <c r="BC91" s="773"/>
      <c r="BD91" s="773"/>
      <c r="BE91" s="773"/>
      <c r="BF91" s="773"/>
      <c r="BG91" s="773"/>
      <c r="BH91" s="773"/>
      <c r="BI91" s="773"/>
      <c r="BJ91" s="773"/>
      <c r="BK91" s="773"/>
      <c r="BL91" s="773"/>
    </row>
    <row r="92" spans="1:65">
      <c r="B92" s="1226" t="s">
        <v>128</v>
      </c>
      <c r="C92" s="1226"/>
      <c r="D92" s="1226"/>
      <c r="E92" s="1227" t="s">
        <v>98</v>
      </c>
      <c r="F92" s="1227" t="s">
        <v>34</v>
      </c>
      <c r="G92" s="1227" t="s">
        <v>35</v>
      </c>
      <c r="H92" s="1227" t="s">
        <v>36</v>
      </c>
      <c r="I92" s="1227" t="s">
        <v>37</v>
      </c>
      <c r="J92" s="1227" t="s">
        <v>38</v>
      </c>
      <c r="K92" s="1227" t="s">
        <v>39</v>
      </c>
      <c r="L92" s="1227" t="s">
        <v>40</v>
      </c>
      <c r="M92" s="1227" t="s">
        <v>41</v>
      </c>
      <c r="N92" s="1227" t="s">
        <v>42</v>
      </c>
      <c r="O92" s="1227" t="s">
        <v>43</v>
      </c>
      <c r="P92" s="1227" t="s">
        <v>44</v>
      </c>
      <c r="Q92" s="1227" t="s">
        <v>556</v>
      </c>
      <c r="R92" s="1228"/>
      <c r="S92" s="1228"/>
      <c r="T92" s="1228"/>
      <c r="U92" s="1228"/>
      <c r="V92" s="1228"/>
      <c r="W92" s="1228"/>
      <c r="X92" s="1228"/>
      <c r="Y92" s="1228"/>
      <c r="Z92" s="1228"/>
      <c r="AA92" s="1228"/>
      <c r="AB92" s="1228"/>
      <c r="AC92" s="1228"/>
      <c r="AD92" s="1228"/>
      <c r="AE92" s="1228"/>
      <c r="AF92" s="1228"/>
      <c r="AG92" s="1228"/>
      <c r="AH92" s="1228"/>
      <c r="AI92" s="1228"/>
      <c r="AJ92" s="1228"/>
      <c r="AK92" s="1228"/>
      <c r="AL92" s="1228"/>
      <c r="AM92" s="1228"/>
      <c r="AN92" s="275"/>
      <c r="AO92" s="773"/>
      <c r="AP92" s="773"/>
      <c r="AQ92" s="773"/>
      <c r="AR92" s="773"/>
      <c r="AS92" s="773"/>
      <c r="AT92" s="773"/>
      <c r="AU92" s="773"/>
      <c r="AV92" s="773"/>
      <c r="AW92" s="773"/>
      <c r="AX92" s="773"/>
      <c r="AY92" s="773"/>
      <c r="AZ92" s="773"/>
      <c r="BA92" s="773"/>
      <c r="BB92" s="773"/>
      <c r="BC92" s="773"/>
      <c r="BD92" s="773"/>
      <c r="BE92" s="773"/>
      <c r="BF92" s="773"/>
      <c r="BG92" s="773"/>
      <c r="BH92" s="773"/>
      <c r="BI92" s="773"/>
      <c r="BJ92" s="773"/>
      <c r="BK92" s="773"/>
      <c r="BL92" s="773"/>
    </row>
    <row r="93" spans="1:65">
      <c r="B93" s="1229" t="s">
        <v>1</v>
      </c>
      <c r="C93" s="1229"/>
      <c r="D93" s="1229"/>
      <c r="E93" s="166">
        <f>HCM!S5</f>
        <v>413.94600000000003</v>
      </c>
      <c r="F93" s="166">
        <f>HCM!T5</f>
        <v>167.935</v>
      </c>
      <c r="G93" s="166">
        <f>HCM!U5</f>
        <v>385.803</v>
      </c>
      <c r="H93" s="166">
        <f>HCM!V5</f>
        <v>450.10800000000006</v>
      </c>
      <c r="I93" s="166">
        <f>HCM!W5</f>
        <v>770.74600000000009</v>
      </c>
      <c r="J93" s="166">
        <f>HCM!X5</f>
        <v>331.56200000000001</v>
      </c>
      <c r="K93" s="166">
        <f>HCM!Y5</f>
        <v>451.54100000000005</v>
      </c>
      <c r="L93" s="166">
        <f>HCM!Z5</f>
        <v>607.80600000000004</v>
      </c>
      <c r="M93" s="166">
        <f>HCM!AA5</f>
        <v>939.36300000000006</v>
      </c>
      <c r="N93" s="166">
        <f>HCM!AB5</f>
        <v>1373.5120000000002</v>
      </c>
      <c r="O93" s="166">
        <f>HCM!AC5</f>
        <v>926.57099999999991</v>
      </c>
      <c r="P93" s="166">
        <f>HCM!AD5</f>
        <v>1459.1579999999999</v>
      </c>
      <c r="Q93" s="166">
        <f>HCM!AE5</f>
        <v>827.53499999999997</v>
      </c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275"/>
      <c r="AO93" s="773"/>
      <c r="AP93" s="773"/>
      <c r="AQ93" s="773"/>
      <c r="AR93" s="773"/>
      <c r="AS93" s="773"/>
      <c r="AT93" s="773"/>
      <c r="AU93" s="773"/>
      <c r="AV93" s="773"/>
      <c r="AW93" s="773"/>
      <c r="AX93" s="773"/>
      <c r="AY93" s="773"/>
      <c r="AZ93" s="773"/>
      <c r="BA93" s="773"/>
      <c r="BB93" s="773"/>
      <c r="BC93" s="773"/>
      <c r="BD93" s="773"/>
      <c r="BE93" s="773"/>
      <c r="BF93" s="773"/>
      <c r="BG93" s="773"/>
      <c r="BH93" s="773"/>
      <c r="BI93" s="773"/>
      <c r="BJ93" s="773"/>
      <c r="BK93" s="773"/>
      <c r="BL93" s="773"/>
    </row>
    <row r="94" spans="1:65">
      <c r="B94" s="1229" t="s">
        <v>2</v>
      </c>
      <c r="C94" s="1229"/>
      <c r="D94" s="1229"/>
      <c r="E94" s="166">
        <f>HCM!S6</f>
        <v>417.87900000000002</v>
      </c>
      <c r="F94" s="166">
        <f>HCM!T6</f>
        <v>177.839</v>
      </c>
      <c r="G94" s="166">
        <f>HCM!U6</f>
        <v>354.62</v>
      </c>
      <c r="H94" s="166">
        <f>HCM!V6</f>
        <v>429.84500000000003</v>
      </c>
      <c r="I94" s="166">
        <f>HCM!W6</f>
        <v>523.55200000000002</v>
      </c>
      <c r="J94" s="166">
        <f>HCM!X6</f>
        <v>435.30900000000003</v>
      </c>
      <c r="K94" s="166">
        <f>HCM!Y6</f>
        <v>416.22699999999998</v>
      </c>
      <c r="L94" s="166">
        <f>HCM!Z6</f>
        <v>579.351</v>
      </c>
      <c r="M94" s="166">
        <f>HCM!AA6</f>
        <v>894.90599999999995</v>
      </c>
      <c r="N94" s="166">
        <f>HCM!AB6</f>
        <v>1205.0999999999999</v>
      </c>
      <c r="O94" s="166">
        <f>HCM!AC6</f>
        <v>860.13900000000001</v>
      </c>
      <c r="P94" s="166">
        <f>HCM!AD6</f>
        <v>1308.55</v>
      </c>
      <c r="Q94" s="166">
        <f>HCM!AE6</f>
        <v>744.25</v>
      </c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275"/>
      <c r="AO94" s="773"/>
      <c r="AP94" s="773"/>
      <c r="AQ94" s="773"/>
      <c r="AR94" s="773"/>
      <c r="AS94" s="773"/>
      <c r="AT94" s="773"/>
      <c r="AU94" s="773"/>
      <c r="AV94" s="773"/>
      <c r="AW94" s="773"/>
      <c r="AX94" s="773"/>
      <c r="AY94" s="773"/>
      <c r="AZ94" s="773"/>
      <c r="BA94" s="773"/>
      <c r="BB94" s="773"/>
      <c r="BC94" s="773"/>
      <c r="BD94" s="773"/>
      <c r="BE94" s="773"/>
      <c r="BF94" s="773"/>
      <c r="BG94" s="773"/>
      <c r="BH94" s="773"/>
      <c r="BI94" s="773"/>
      <c r="BJ94" s="773"/>
      <c r="BK94" s="773"/>
      <c r="BL94" s="773"/>
    </row>
    <row r="95" spans="1:65">
      <c r="B95" s="1229" t="s">
        <v>7</v>
      </c>
      <c r="C95" s="1229"/>
      <c r="D95" s="1229"/>
      <c r="E95" s="166">
        <f>HCM!S8</f>
        <v>77</v>
      </c>
      <c r="F95" s="166">
        <f>HCM!T8</f>
        <v>74</v>
      </c>
      <c r="G95" s="166">
        <f>HCM!U8</f>
        <v>92</v>
      </c>
      <c r="H95" s="166">
        <f>HCM!V8</f>
        <v>119</v>
      </c>
      <c r="I95" s="166">
        <f>HCM!W8</f>
        <v>158</v>
      </c>
      <c r="J95" s="166">
        <f>HCM!X8</f>
        <v>174</v>
      </c>
      <c r="K95" s="166">
        <f>HCM!Y8</f>
        <v>174</v>
      </c>
      <c r="L95" s="166">
        <f>HCM!Z8</f>
        <v>193</v>
      </c>
      <c r="M95" s="166">
        <f>HCM!AA8</f>
        <v>213</v>
      </c>
      <c r="N95" s="166">
        <f>HCM!AB8</f>
        <v>228</v>
      </c>
      <c r="O95" s="166">
        <f>HCM!AC8</f>
        <v>251</v>
      </c>
      <c r="P95" s="166">
        <f>HCM!AD8</f>
        <v>299</v>
      </c>
      <c r="Q95" s="166">
        <f>HCM!AE8</f>
        <v>296</v>
      </c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275"/>
      <c r="AO95" s="773"/>
      <c r="AP95" s="773"/>
      <c r="AQ95" s="773"/>
      <c r="AR95" s="773"/>
      <c r="AS95" s="773"/>
      <c r="AT95" s="773"/>
      <c r="AU95" s="773"/>
      <c r="AV95" s="773"/>
      <c r="AW95" s="773"/>
      <c r="AX95" s="773"/>
      <c r="AY95" s="773"/>
      <c r="AZ95" s="773"/>
      <c r="BA95" s="773"/>
      <c r="BB95" s="773"/>
      <c r="BC95" s="773"/>
      <c r="BD95" s="773"/>
      <c r="BE95" s="773"/>
      <c r="BF95" s="773"/>
      <c r="BG95" s="773"/>
      <c r="BH95" s="773"/>
      <c r="BI95" s="773"/>
      <c r="BJ95" s="773"/>
      <c r="BK95" s="773"/>
      <c r="BL95" s="773"/>
    </row>
    <row r="96" spans="1:65">
      <c r="B96" s="1229" t="s">
        <v>165</v>
      </c>
      <c r="C96" s="1229"/>
      <c r="D96" s="1229"/>
      <c r="E96" s="166">
        <f>HCM!S9</f>
        <v>75</v>
      </c>
      <c r="F96" s="166">
        <f>HCM!T9</f>
        <v>75.5</v>
      </c>
      <c r="G96" s="166">
        <f>HCM!U9</f>
        <v>83</v>
      </c>
      <c r="H96" s="166">
        <f>HCM!V9</f>
        <v>105.5</v>
      </c>
      <c r="I96" s="166">
        <f>HCM!W9</f>
        <v>138.5</v>
      </c>
      <c r="J96" s="166">
        <f>HCM!X9</f>
        <v>166</v>
      </c>
      <c r="K96" s="166">
        <f>HCM!Y9</f>
        <v>174</v>
      </c>
      <c r="L96" s="166">
        <f>HCM!Z9</f>
        <v>183.5</v>
      </c>
      <c r="M96" s="166">
        <f>HCM!AA9</f>
        <v>203</v>
      </c>
      <c r="N96" s="166">
        <f>HCM!AB9</f>
        <v>220.5</v>
      </c>
      <c r="O96" s="166">
        <f>HCM!AC9</f>
        <v>239.5</v>
      </c>
      <c r="P96" s="166">
        <f>HCM!AD9</f>
        <v>275</v>
      </c>
      <c r="Q96" s="166">
        <f>HCM!AE9</f>
        <v>297.5</v>
      </c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275"/>
      <c r="AO96" s="773"/>
      <c r="AP96" s="773"/>
      <c r="AQ96" s="773"/>
      <c r="AR96" s="773"/>
      <c r="AS96" s="773"/>
      <c r="AT96" s="773"/>
      <c r="AU96" s="773"/>
      <c r="AV96" s="773"/>
      <c r="AW96" s="773"/>
      <c r="AX96" s="773"/>
      <c r="AY96" s="773"/>
      <c r="AZ96" s="773"/>
      <c r="BA96" s="773"/>
      <c r="BB96" s="773"/>
      <c r="BC96" s="773"/>
      <c r="BD96" s="773"/>
      <c r="BE96" s="773"/>
      <c r="BF96" s="773"/>
      <c r="BG96" s="773"/>
      <c r="BH96" s="773"/>
      <c r="BI96" s="773"/>
      <c r="BJ96" s="773"/>
      <c r="BK96" s="773"/>
      <c r="BL96" s="773"/>
    </row>
    <row r="97" spans="2:68">
      <c r="B97" s="1229"/>
      <c r="C97" s="1229"/>
      <c r="D97" s="1229"/>
      <c r="E97" s="166">
        <f>HCM!S10</f>
        <v>0</v>
      </c>
      <c r="F97" s="166">
        <f>HCM!T10</f>
        <v>0</v>
      </c>
      <c r="G97" s="166">
        <f>HCM!U10</f>
        <v>0</v>
      </c>
      <c r="H97" s="166">
        <f>HCM!V10</f>
        <v>0</v>
      </c>
      <c r="I97" s="166">
        <f>HCM!W10</f>
        <v>0</v>
      </c>
      <c r="J97" s="166">
        <f>HCM!X10</f>
        <v>0</v>
      </c>
      <c r="K97" s="166">
        <f>HCM!Y10</f>
        <v>0</v>
      </c>
      <c r="L97" s="166">
        <f>HCM!Z10</f>
        <v>0</v>
      </c>
      <c r="M97" s="166">
        <f>HCM!AA10</f>
        <v>0</v>
      </c>
      <c r="N97" s="166">
        <f>HCM!AB10</f>
        <v>0</v>
      </c>
      <c r="O97" s="166">
        <f>HCM!AC10</f>
        <v>0</v>
      </c>
      <c r="P97" s="166">
        <f>HCM!AD10</f>
        <v>0</v>
      </c>
      <c r="Q97" s="166">
        <f>HCM!AE10</f>
        <v>0</v>
      </c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275"/>
      <c r="AO97" s="773"/>
      <c r="AP97" s="773"/>
      <c r="AQ97" s="773"/>
      <c r="AR97" s="773"/>
      <c r="AS97" s="773"/>
      <c r="AT97" s="773"/>
      <c r="AU97" s="773"/>
      <c r="AV97" s="773"/>
      <c r="AW97" s="773"/>
      <c r="AX97" s="773"/>
      <c r="AY97" s="773"/>
      <c r="AZ97" s="773"/>
      <c r="BA97" s="773"/>
      <c r="BB97" s="773"/>
      <c r="BC97" s="773"/>
      <c r="BD97" s="773"/>
      <c r="BE97" s="773"/>
      <c r="BF97" s="773"/>
      <c r="BG97" s="773"/>
      <c r="BH97" s="773"/>
      <c r="BI97" s="773"/>
      <c r="BJ97" s="773"/>
      <c r="BK97" s="773"/>
      <c r="BL97" s="773"/>
    </row>
    <row r="98" spans="2:68">
      <c r="B98" s="1229" t="s">
        <v>109</v>
      </c>
      <c r="C98" s="1229"/>
      <c r="D98" s="1229"/>
      <c r="E98" s="166">
        <f>HCM!S11</f>
        <v>18</v>
      </c>
      <c r="F98" s="166">
        <f>HCM!T11</f>
        <v>16</v>
      </c>
      <c r="G98" s="166">
        <f>HCM!U11</f>
        <v>16</v>
      </c>
      <c r="H98" s="166">
        <f>HCM!V11</f>
        <v>31</v>
      </c>
      <c r="I98" s="166">
        <f>HCM!W11</f>
        <v>37</v>
      </c>
      <c r="J98" s="166">
        <f>HCM!X11</f>
        <v>36</v>
      </c>
      <c r="K98" s="166">
        <f>HCM!Y11</f>
        <v>33</v>
      </c>
      <c r="L98" s="166">
        <f>HCM!Z11</f>
        <v>38</v>
      </c>
      <c r="M98" s="166">
        <f>HCM!AA11</f>
        <v>47</v>
      </c>
      <c r="N98" s="166">
        <f>HCM!AB11</f>
        <v>51</v>
      </c>
      <c r="O98" s="166">
        <f>HCM!AC11</f>
        <v>56</v>
      </c>
      <c r="P98" s="166">
        <f>HCM!AD11</f>
        <v>65</v>
      </c>
      <c r="Q98" s="166">
        <f>HCM!AE11</f>
        <v>64</v>
      </c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275"/>
      <c r="AO98" s="773"/>
      <c r="AP98" s="773"/>
      <c r="AQ98" s="773"/>
      <c r="AR98" s="773"/>
      <c r="AS98" s="773"/>
      <c r="AT98" s="773"/>
      <c r="AU98" s="773"/>
      <c r="AV98" s="773"/>
      <c r="AW98" s="773"/>
      <c r="AX98" s="773"/>
      <c r="AY98" s="773"/>
      <c r="AZ98" s="773"/>
      <c r="BA98" s="773"/>
      <c r="BB98" s="773"/>
      <c r="BC98" s="773"/>
      <c r="BD98" s="773"/>
      <c r="BE98" s="773"/>
      <c r="BF98" s="773"/>
      <c r="BG98" s="773"/>
      <c r="BH98" s="773"/>
      <c r="BI98" s="773"/>
      <c r="BJ98" s="773"/>
      <c r="BK98" s="773"/>
      <c r="BL98" s="773"/>
      <c r="BM98" s="199"/>
    </row>
    <row r="99" spans="2:68">
      <c r="B99" s="1229" t="s">
        <v>21</v>
      </c>
      <c r="C99" s="1229"/>
      <c r="D99" s="1229"/>
      <c r="E99" s="197">
        <f>HCM!S12</f>
        <v>0.29333333333333333</v>
      </c>
      <c r="F99" s="197">
        <f>HCM!T12</f>
        <v>0.11920529801324503</v>
      </c>
      <c r="G99" s="197">
        <f>HCM!U12</f>
        <v>0.24096385542168675</v>
      </c>
      <c r="H99" s="197">
        <f>HCM!V12</f>
        <v>0.23696682464454977</v>
      </c>
      <c r="I99" s="197">
        <f>HCM!W12</f>
        <v>0.22382671480144403</v>
      </c>
      <c r="J99" s="197">
        <f>HCM!X12</f>
        <v>0.1746987951807229</v>
      </c>
      <c r="K99" s="197">
        <f>HCM!Y12</f>
        <v>0.13218390804597702</v>
      </c>
      <c r="L99" s="197">
        <f>HCM!Z12</f>
        <v>0.16348773841961853</v>
      </c>
      <c r="M99" s="197">
        <f>HCM!AA12</f>
        <v>0.19704433497536947</v>
      </c>
      <c r="N99" s="197">
        <f>HCM!AB12</f>
        <v>0.23582766439909297</v>
      </c>
      <c r="O99" s="197">
        <f>HCM!AC12</f>
        <v>0.15866388308977036</v>
      </c>
      <c r="P99" s="197">
        <f>HCM!AD12</f>
        <v>0.22545454545454546</v>
      </c>
      <c r="Q99" s="197">
        <f>HCM!AE12</f>
        <v>0.16134453781512606</v>
      </c>
      <c r="R99" s="197"/>
      <c r="S99" s="197"/>
      <c r="T99" s="197"/>
      <c r="U99" s="197"/>
      <c r="V99" s="197"/>
      <c r="W99" s="197"/>
      <c r="X99" s="197"/>
      <c r="Y99" s="197"/>
      <c r="Z99" s="197"/>
      <c r="AA99" s="197"/>
      <c r="AB99" s="197"/>
      <c r="AC99" s="197"/>
      <c r="AD99" s="197"/>
      <c r="AE99" s="197"/>
      <c r="AF99" s="197"/>
      <c r="AG99" s="197"/>
      <c r="AH99" s="197"/>
      <c r="AI99" s="197"/>
      <c r="AJ99" s="197"/>
      <c r="AK99" s="197"/>
      <c r="AL99" s="197"/>
      <c r="AM99" s="197"/>
      <c r="AN99" s="275"/>
      <c r="AO99" s="773"/>
      <c r="AP99" s="773"/>
      <c r="AQ99" s="773"/>
      <c r="AR99" s="773"/>
      <c r="AS99" s="773"/>
      <c r="AT99" s="773"/>
      <c r="AU99" s="773"/>
      <c r="AV99" s="773"/>
      <c r="AW99" s="773"/>
      <c r="AX99" s="773"/>
      <c r="AY99" s="773"/>
      <c r="AZ99" s="773"/>
      <c r="BA99" s="773"/>
      <c r="BB99" s="773"/>
      <c r="BC99" s="773"/>
      <c r="BD99" s="773"/>
      <c r="BE99" s="773"/>
      <c r="BF99" s="773"/>
      <c r="BG99" s="773"/>
      <c r="BH99" s="773"/>
      <c r="BI99" s="773"/>
      <c r="BJ99" s="773"/>
      <c r="BK99" s="773"/>
      <c r="BL99" s="773"/>
    </row>
    <row r="100" spans="2:68">
      <c r="B100" s="1229" t="s">
        <v>60</v>
      </c>
      <c r="C100" s="1229"/>
      <c r="D100" s="1229"/>
      <c r="E100" s="166">
        <f>HCM!S13</f>
        <v>22</v>
      </c>
      <c r="F100" s="166">
        <f>HCM!T13</f>
        <v>9</v>
      </c>
      <c r="G100" s="166">
        <f>HCM!U13</f>
        <v>20</v>
      </c>
      <c r="H100" s="166">
        <f>HCM!V13</f>
        <v>25</v>
      </c>
      <c r="I100" s="166">
        <f>HCM!W13</f>
        <v>31</v>
      </c>
      <c r="J100" s="166">
        <f>HCM!X13</f>
        <v>29</v>
      </c>
      <c r="K100" s="166">
        <f>HCM!Y13</f>
        <v>23</v>
      </c>
      <c r="L100" s="166">
        <f>HCM!Z13</f>
        <v>30</v>
      </c>
      <c r="M100" s="166">
        <f>HCM!AA13</f>
        <v>40</v>
      </c>
      <c r="N100" s="166">
        <f>HCM!AB13</f>
        <v>52</v>
      </c>
      <c r="O100" s="166">
        <f>HCM!AC13</f>
        <v>38</v>
      </c>
      <c r="P100" s="166">
        <f>HCM!AD13</f>
        <v>62</v>
      </c>
      <c r="Q100" s="166">
        <f>HCM!AE13</f>
        <v>48</v>
      </c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275"/>
      <c r="AO100" s="773"/>
      <c r="AP100" s="773"/>
      <c r="AQ100" s="773"/>
      <c r="AR100" s="773"/>
      <c r="AS100" s="773"/>
      <c r="AT100" s="773"/>
      <c r="AU100" s="773"/>
      <c r="AV100" s="773"/>
      <c r="AW100" s="773"/>
      <c r="AX100" s="773"/>
      <c r="AY100" s="773"/>
      <c r="AZ100" s="773"/>
      <c r="BA100" s="773"/>
      <c r="BB100" s="773"/>
      <c r="BC100" s="773"/>
      <c r="BD100" s="773"/>
      <c r="BE100" s="773"/>
      <c r="BF100" s="773"/>
      <c r="BG100" s="773"/>
      <c r="BH100" s="773"/>
      <c r="BI100" s="773"/>
      <c r="BJ100" s="773"/>
      <c r="BK100" s="773"/>
      <c r="BL100" s="773"/>
      <c r="BM100" s="199"/>
    </row>
    <row r="101" spans="2:68">
      <c r="B101" s="1229" t="s">
        <v>61</v>
      </c>
      <c r="C101" s="1229"/>
      <c r="D101" s="1229"/>
      <c r="E101" s="274">
        <f>HCM!S14</f>
        <v>1.4545454545454546</v>
      </c>
      <c r="F101" s="274">
        <f>HCM!T14</f>
        <v>1.2222222222222223</v>
      </c>
      <c r="G101" s="274">
        <f>HCM!U14</f>
        <v>1.45</v>
      </c>
      <c r="H101" s="274">
        <f>HCM!V14</f>
        <v>1.44</v>
      </c>
      <c r="I101" s="274">
        <f>HCM!W14</f>
        <v>1.3225806451612903</v>
      </c>
      <c r="J101" s="274">
        <f>HCM!X14</f>
        <v>1.2413793103448276</v>
      </c>
      <c r="K101" s="274">
        <f>HCM!Y14</f>
        <v>1.3478260869565217</v>
      </c>
      <c r="L101" s="274">
        <f>HCM!Z14</f>
        <v>1.2333333333333334</v>
      </c>
      <c r="M101" s="274">
        <f>HCM!AA14</f>
        <v>1.3</v>
      </c>
      <c r="N101" s="274">
        <f>HCM!AB14</f>
        <v>1.4615384615384615</v>
      </c>
      <c r="O101" s="274">
        <f>HCM!AC14</f>
        <v>1.3947368421052631</v>
      </c>
      <c r="P101" s="274">
        <f>HCM!AD14</f>
        <v>1.6612903225806452</v>
      </c>
      <c r="Q101" s="274">
        <f>HCM!AE14</f>
        <v>1.0208333333333333</v>
      </c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  <c r="AF101" s="274"/>
      <c r="AG101" s="274"/>
      <c r="AH101" s="274"/>
      <c r="AI101" s="274"/>
      <c r="AJ101" s="274"/>
      <c r="AK101" s="274"/>
      <c r="AL101" s="274"/>
      <c r="AM101" s="274"/>
      <c r="AN101" s="275"/>
      <c r="AO101" s="773"/>
      <c r="AP101" s="773"/>
      <c r="AQ101" s="773"/>
      <c r="AR101" s="773"/>
      <c r="AS101" s="773"/>
      <c r="AT101" s="773"/>
      <c r="AU101" s="773"/>
      <c r="AV101" s="773"/>
      <c r="AW101" s="773"/>
      <c r="AX101" s="773"/>
      <c r="AY101" s="773"/>
      <c r="AZ101" s="773"/>
      <c r="BA101" s="773"/>
      <c r="BB101" s="773"/>
      <c r="BC101" s="773"/>
      <c r="BD101" s="773"/>
      <c r="BE101" s="773"/>
      <c r="BF101" s="773"/>
      <c r="BG101" s="773"/>
      <c r="BH101" s="773"/>
      <c r="BI101" s="773"/>
      <c r="BJ101" s="773"/>
      <c r="BK101" s="773"/>
      <c r="BL101" s="773"/>
    </row>
    <row r="102" spans="2:68">
      <c r="B102" s="1229" t="s">
        <v>3</v>
      </c>
      <c r="C102" s="1229"/>
      <c r="D102" s="1229"/>
      <c r="E102" s="166">
        <f>HCM!S15</f>
        <v>32</v>
      </c>
      <c r="F102" s="166">
        <f>HCM!T15</f>
        <v>11</v>
      </c>
      <c r="G102" s="166">
        <f>HCM!U15</f>
        <v>29</v>
      </c>
      <c r="H102" s="166">
        <f>HCM!V15</f>
        <v>36</v>
      </c>
      <c r="I102" s="166">
        <f>HCM!W15</f>
        <v>41</v>
      </c>
      <c r="J102" s="166">
        <f>HCM!X15</f>
        <v>36</v>
      </c>
      <c r="K102" s="166">
        <f>HCM!Y15</f>
        <v>31</v>
      </c>
      <c r="L102" s="166">
        <f>HCM!Z15</f>
        <v>37</v>
      </c>
      <c r="M102" s="166">
        <f>HCM!AA15</f>
        <v>52</v>
      </c>
      <c r="N102" s="166">
        <f>HCM!AB15</f>
        <v>76</v>
      </c>
      <c r="O102" s="166">
        <f>HCM!AC15</f>
        <v>53</v>
      </c>
      <c r="P102" s="166">
        <f>HCM!AD15</f>
        <v>103</v>
      </c>
      <c r="Q102" s="166">
        <f>HCM!AE15</f>
        <v>49</v>
      </c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275"/>
      <c r="AO102" s="773"/>
      <c r="AP102" s="773"/>
      <c r="AQ102" s="773"/>
      <c r="AR102" s="773"/>
      <c r="AS102" s="773"/>
      <c r="AT102" s="773"/>
      <c r="AU102" s="773"/>
      <c r="AV102" s="773"/>
      <c r="AW102" s="773"/>
      <c r="AX102" s="773"/>
      <c r="AY102" s="773"/>
      <c r="AZ102" s="773"/>
      <c r="BA102" s="773"/>
      <c r="BB102" s="773"/>
      <c r="BC102" s="773"/>
      <c r="BD102" s="773"/>
      <c r="BE102" s="773"/>
      <c r="BF102" s="773"/>
      <c r="BG102" s="773"/>
      <c r="BH102" s="773"/>
      <c r="BI102" s="773"/>
      <c r="BJ102" s="773"/>
      <c r="BK102" s="773"/>
      <c r="BL102" s="773"/>
    </row>
    <row r="103" spans="2:68">
      <c r="B103" s="1229" t="s">
        <v>62</v>
      </c>
      <c r="C103" s="1229"/>
      <c r="D103" s="1229"/>
      <c r="E103" s="198">
        <f>HCM!S16</f>
        <v>12.935812500000001</v>
      </c>
      <c r="F103" s="198">
        <f>HCM!T16</f>
        <v>15.266818181818183</v>
      </c>
      <c r="G103" s="198">
        <f>HCM!U16</f>
        <v>13.303551724137931</v>
      </c>
      <c r="H103" s="198">
        <f>HCM!V16</f>
        <v>12.503000000000002</v>
      </c>
      <c r="I103" s="198">
        <f>HCM!W16</f>
        <v>18.798682926829272</v>
      </c>
      <c r="J103" s="198">
        <f>HCM!X16</f>
        <v>9.2100555555555559</v>
      </c>
      <c r="K103" s="198">
        <f>HCM!Y16</f>
        <v>14.56583870967742</v>
      </c>
      <c r="L103" s="198">
        <f>HCM!Z16</f>
        <v>16.427189189189189</v>
      </c>
      <c r="M103" s="198">
        <f>HCM!AA16</f>
        <v>18.064673076923079</v>
      </c>
      <c r="N103" s="198">
        <f>HCM!AB16</f>
        <v>18.072526315789474</v>
      </c>
      <c r="O103" s="198">
        <f>HCM!AC16</f>
        <v>17.482471698113205</v>
      </c>
      <c r="P103" s="198">
        <f>HCM!AD16</f>
        <v>14.166582524271844</v>
      </c>
      <c r="Q103" s="198">
        <f>HCM!AE16</f>
        <v>16.888469387755102</v>
      </c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</row>
    <row r="104" spans="2:68">
      <c r="B104" s="1229" t="s">
        <v>112</v>
      </c>
      <c r="C104" s="1229"/>
      <c r="D104" s="1229"/>
      <c r="E104" s="166">
        <f>HCM!S17</f>
        <v>8</v>
      </c>
      <c r="F104" s="166">
        <f>HCM!T17</f>
        <v>1</v>
      </c>
      <c r="G104" s="166">
        <f>HCM!U17</f>
        <v>19</v>
      </c>
      <c r="H104" s="166">
        <f>HCM!V17</f>
        <v>27</v>
      </c>
      <c r="I104" s="166">
        <f>HCM!W17</f>
        <v>35</v>
      </c>
      <c r="J104" s="166">
        <f>HCM!X17</f>
        <v>24</v>
      </c>
      <c r="K104" s="166">
        <f>HCM!Y17</f>
        <v>17</v>
      </c>
      <c r="L104" s="166">
        <f>HCM!Z17</f>
        <v>23</v>
      </c>
      <c r="M104" s="166">
        <f>HCM!AA17</f>
        <v>38</v>
      </c>
      <c r="N104" s="166">
        <f>HCM!AB17</f>
        <v>29</v>
      </c>
      <c r="O104" s="166">
        <f>HCM!AC17</f>
        <v>26</v>
      </c>
      <c r="P104" s="166">
        <f>HCM!AD17</f>
        <v>38</v>
      </c>
      <c r="Q104" s="166">
        <f>HCM!AE17</f>
        <v>16</v>
      </c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68">
      <c r="B105" s="1229" t="s">
        <v>111</v>
      </c>
      <c r="C105" s="1229"/>
      <c r="D105" s="1229"/>
      <c r="E105" s="166">
        <f>HCM!S18</f>
        <v>3</v>
      </c>
      <c r="F105" s="166">
        <f>HCM!T18</f>
        <v>0</v>
      </c>
      <c r="G105" s="166">
        <f>HCM!U18</f>
        <v>0</v>
      </c>
      <c r="H105" s="166">
        <f>HCM!V18</f>
        <v>15</v>
      </c>
      <c r="I105" s="166">
        <f>HCM!W18</f>
        <v>6</v>
      </c>
      <c r="J105" s="166">
        <f>HCM!X18</f>
        <v>3</v>
      </c>
      <c r="K105" s="166">
        <f>HCM!Y18</f>
        <v>7</v>
      </c>
      <c r="L105" s="166">
        <f>HCM!Z18</f>
        <v>7</v>
      </c>
      <c r="M105" s="166">
        <f>HCM!AA18</f>
        <v>9</v>
      </c>
      <c r="N105" s="166">
        <f>HCM!AB18</f>
        <v>5</v>
      </c>
      <c r="O105" s="166">
        <f>HCM!AC18</f>
        <v>8</v>
      </c>
      <c r="P105" s="166">
        <f>HCM!AD18</f>
        <v>11</v>
      </c>
      <c r="Q105" s="166">
        <f>HCM!AE18</f>
        <v>0</v>
      </c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8" spans="2:68">
      <c r="B108" s="1225" t="s">
        <v>129</v>
      </c>
      <c r="C108" s="1225"/>
      <c r="D108" s="1225"/>
      <c r="F108" s="1016" t="s">
        <v>130</v>
      </c>
      <c r="AN108" s="342"/>
      <c r="AO108" s="774"/>
      <c r="AP108" s="774"/>
      <c r="AQ108" s="774"/>
      <c r="AR108" s="774"/>
      <c r="AS108" s="774"/>
      <c r="AT108" s="774"/>
      <c r="AU108" s="774"/>
      <c r="AV108" s="774"/>
      <c r="AW108" s="774"/>
      <c r="AX108" s="774"/>
      <c r="AY108" s="774"/>
      <c r="AZ108" s="774"/>
      <c r="BA108" s="774"/>
      <c r="BB108" s="774"/>
      <c r="BC108" s="774"/>
      <c r="BD108" s="774"/>
      <c r="BE108" s="774"/>
      <c r="BF108" s="774"/>
      <c r="BG108" s="774"/>
      <c r="BH108" s="774"/>
      <c r="BI108" s="774"/>
      <c r="BJ108" s="774"/>
      <c r="BK108" s="774"/>
      <c r="BL108" s="774"/>
      <c r="BO108" s="342"/>
      <c r="BP108" s="342"/>
    </row>
    <row r="109" spans="2:68">
      <c r="B109" s="1226" t="s">
        <v>151</v>
      </c>
      <c r="C109" s="1226"/>
      <c r="D109" s="1226"/>
      <c r="E109" s="1227" t="s">
        <v>33</v>
      </c>
      <c r="F109" s="1227" t="s">
        <v>34</v>
      </c>
      <c r="G109" s="1227" t="s">
        <v>35</v>
      </c>
      <c r="H109" s="1228" t="s">
        <v>36</v>
      </c>
      <c r="I109" s="1228" t="s">
        <v>37</v>
      </c>
      <c r="J109" s="1228" t="s">
        <v>38</v>
      </c>
      <c r="K109" s="1228" t="s">
        <v>39</v>
      </c>
      <c r="L109" s="1228" t="s">
        <v>40</v>
      </c>
      <c r="M109" s="1228" t="s">
        <v>41</v>
      </c>
      <c r="N109" s="1228" t="s">
        <v>42</v>
      </c>
      <c r="O109" s="1228" t="s">
        <v>43</v>
      </c>
      <c r="P109" s="1228" t="s">
        <v>44</v>
      </c>
      <c r="Q109" s="1228"/>
      <c r="R109" s="1228"/>
      <c r="S109" s="1228"/>
      <c r="T109" s="1228"/>
      <c r="U109" s="1228"/>
      <c r="V109" s="1228"/>
      <c r="W109" s="1228"/>
      <c r="X109" s="1228"/>
      <c r="Y109" s="1228"/>
      <c r="Z109" s="1228"/>
      <c r="AA109" s="1228"/>
      <c r="AB109" s="1228"/>
      <c r="AC109" s="1228"/>
      <c r="AD109" s="1228"/>
      <c r="AE109" s="1228"/>
      <c r="AF109" s="1228"/>
      <c r="AG109" s="1228"/>
      <c r="AH109" s="1228"/>
      <c r="AI109" s="1228"/>
      <c r="AJ109" s="1228"/>
      <c r="AK109" s="1228"/>
      <c r="AL109" s="1228"/>
      <c r="AM109" s="1228"/>
      <c r="AN109" s="147"/>
      <c r="AO109" s="770"/>
      <c r="AP109" s="770"/>
      <c r="AQ109" s="770"/>
      <c r="AR109" s="770"/>
      <c r="AS109" s="770"/>
      <c r="AT109" s="770"/>
      <c r="AU109" s="770"/>
      <c r="AV109" s="770"/>
      <c r="AW109" s="770"/>
      <c r="AX109" s="770"/>
      <c r="AY109" s="770"/>
      <c r="AZ109" s="770"/>
      <c r="BA109" s="770"/>
      <c r="BB109" s="770"/>
      <c r="BC109" s="770"/>
      <c r="BD109" s="770"/>
      <c r="BE109" s="770"/>
      <c r="BF109" s="770"/>
      <c r="BG109" s="770"/>
      <c r="BH109" s="770"/>
      <c r="BI109" s="770"/>
      <c r="BJ109" s="770"/>
      <c r="BK109" s="770"/>
      <c r="BL109" s="770"/>
      <c r="BO109" s="147"/>
      <c r="BP109" s="147"/>
    </row>
    <row r="110" spans="2:68">
      <c r="B110" s="1229" t="s">
        <v>1</v>
      </c>
      <c r="C110" s="1229"/>
      <c r="D110" s="1229"/>
      <c r="E110" s="166"/>
      <c r="F110" s="166"/>
      <c r="G110" s="275">
        <f>HN!U5</f>
        <v>278.91499999999996</v>
      </c>
      <c r="H110" s="275">
        <f>HN!V5</f>
        <v>630.08899999999994</v>
      </c>
      <c r="I110" s="275">
        <f>HN!W5</f>
        <v>852.54500000000007</v>
      </c>
      <c r="J110" s="275">
        <f>HN!X5</f>
        <v>761.88900000000012</v>
      </c>
      <c r="K110" s="275">
        <f>HN!Y5</f>
        <v>624.44699999999989</v>
      </c>
      <c r="L110" s="275">
        <f>HN!Z5</f>
        <v>801.19399999999996</v>
      </c>
      <c r="M110" s="275">
        <f>HN!AA5</f>
        <v>2094.2889999999998</v>
      </c>
      <c r="N110" s="275">
        <f>HN!AB5</f>
        <v>1053.52</v>
      </c>
      <c r="O110" s="275">
        <f>HN!AC5</f>
        <v>1637.6460000000002</v>
      </c>
      <c r="P110" s="275">
        <f>HN!AD5</f>
        <v>2714.2509999999997</v>
      </c>
      <c r="Q110" s="275">
        <f>HN!AE5</f>
        <v>516.98400000000004</v>
      </c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137"/>
      <c r="AO110" s="763"/>
      <c r="AP110" s="763"/>
      <c r="AQ110" s="763"/>
      <c r="AR110" s="763"/>
      <c r="AS110" s="763"/>
      <c r="AT110" s="763"/>
      <c r="AU110" s="763"/>
      <c r="AV110" s="763"/>
      <c r="AW110" s="763"/>
      <c r="AX110" s="763"/>
      <c r="AY110" s="763"/>
      <c r="AZ110" s="763"/>
      <c r="BA110" s="763"/>
      <c r="BB110" s="763"/>
      <c r="BC110" s="763"/>
      <c r="BD110" s="763"/>
      <c r="BE110" s="763"/>
      <c r="BF110" s="763"/>
      <c r="BG110" s="763"/>
      <c r="BH110" s="763"/>
      <c r="BI110" s="763"/>
      <c r="BJ110" s="763"/>
      <c r="BK110" s="763"/>
      <c r="BL110" s="763"/>
      <c r="BO110" s="137"/>
      <c r="BP110" s="137"/>
    </row>
    <row r="111" spans="2:68">
      <c r="B111" s="1229" t="s">
        <v>2</v>
      </c>
      <c r="C111" s="1229"/>
      <c r="D111" s="1229"/>
      <c r="E111" s="166"/>
      <c r="F111" s="166"/>
      <c r="G111" s="275">
        <f>HN!U6</f>
        <v>278.91500000000002</v>
      </c>
      <c r="H111" s="275">
        <f>HN!V6</f>
        <v>585.83900000000006</v>
      </c>
      <c r="I111" s="275">
        <f>HN!W6</f>
        <v>793.54700000000003</v>
      </c>
      <c r="J111" s="275">
        <f>HN!X6</f>
        <v>727.76599999999996</v>
      </c>
      <c r="K111" s="275">
        <f>HN!Y6</f>
        <v>538.14700000000005</v>
      </c>
      <c r="L111" s="275">
        <f>HN!Z6</f>
        <v>739.94</v>
      </c>
      <c r="M111" s="275">
        <f>HN!AA6</f>
        <v>1926.0889999999999</v>
      </c>
      <c r="N111" s="275">
        <f>HN!AB6</f>
        <v>1005.551</v>
      </c>
      <c r="O111" s="275">
        <f>HN!AC6</f>
        <v>1471.925</v>
      </c>
      <c r="P111" s="275">
        <f>HN!AD6</f>
        <v>2625.864</v>
      </c>
      <c r="Q111" s="275">
        <f>HN!AE6</f>
        <v>476.94200000000001</v>
      </c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  <c r="AF111" s="275"/>
      <c r="AG111" s="275"/>
      <c r="AH111" s="275"/>
      <c r="AI111" s="275"/>
      <c r="AJ111" s="275"/>
      <c r="AK111" s="275"/>
      <c r="AL111" s="275"/>
      <c r="AM111" s="275"/>
      <c r="AN111" s="137"/>
      <c r="AO111" s="763"/>
      <c r="AP111" s="763"/>
      <c r="AQ111" s="763"/>
      <c r="AR111" s="763"/>
      <c r="AS111" s="763"/>
      <c r="AT111" s="763"/>
      <c r="AU111" s="763"/>
      <c r="AV111" s="763"/>
      <c r="AW111" s="763"/>
      <c r="AX111" s="763"/>
      <c r="AY111" s="763"/>
      <c r="AZ111" s="763"/>
      <c r="BA111" s="763"/>
      <c r="BB111" s="763"/>
      <c r="BC111" s="763"/>
      <c r="BD111" s="763"/>
      <c r="BE111" s="763"/>
      <c r="BF111" s="763"/>
      <c r="BG111" s="763"/>
      <c r="BH111" s="763"/>
      <c r="BI111" s="763"/>
      <c r="BJ111" s="763"/>
      <c r="BK111" s="763"/>
      <c r="BL111" s="763"/>
      <c r="BO111" s="137"/>
      <c r="BP111" s="137"/>
    </row>
    <row r="112" spans="2:68">
      <c r="B112" s="1229" t="s">
        <v>7</v>
      </c>
      <c r="C112" s="1229"/>
      <c r="D112" s="1229"/>
      <c r="E112" s="166"/>
      <c r="F112" s="166"/>
      <c r="G112" s="275">
        <f>HN!U8</f>
        <v>26</v>
      </c>
      <c r="H112" s="275">
        <f>HN!V8</f>
        <v>93</v>
      </c>
      <c r="I112" s="275">
        <f>HN!W8</f>
        <v>150</v>
      </c>
      <c r="J112" s="275">
        <f>HN!X8</f>
        <v>202</v>
      </c>
      <c r="K112" s="275">
        <f>HN!Y8</f>
        <v>231</v>
      </c>
      <c r="L112" s="275">
        <f>HN!Z8</f>
        <v>259</v>
      </c>
      <c r="M112" s="275">
        <f>HN!AA8</f>
        <v>305</v>
      </c>
      <c r="N112" s="275">
        <f>HN!AB8</f>
        <v>343</v>
      </c>
      <c r="O112" s="275">
        <f>HN!AC8</f>
        <v>382</v>
      </c>
      <c r="P112" s="275">
        <f>HN!AD8</f>
        <v>484</v>
      </c>
      <c r="Q112" s="275">
        <f>HN!AE8</f>
        <v>471</v>
      </c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  <c r="AI112" s="275"/>
      <c r="AJ112" s="275"/>
      <c r="AK112" s="275"/>
      <c r="AL112" s="275"/>
      <c r="AM112" s="275"/>
    </row>
    <row r="113" spans="1:51">
      <c r="B113" s="1229" t="s">
        <v>165</v>
      </c>
      <c r="C113" s="1229"/>
      <c r="D113" s="1229"/>
      <c r="E113" s="166"/>
      <c r="F113" s="166"/>
      <c r="G113" s="275">
        <f>HN!U9</f>
        <v>13</v>
      </c>
      <c r="H113" s="275">
        <f>HN!V9</f>
        <v>59.5</v>
      </c>
      <c r="I113" s="275">
        <f>HN!W9</f>
        <v>121.5</v>
      </c>
      <c r="J113" s="275">
        <f>HN!X9</f>
        <v>176</v>
      </c>
      <c r="K113" s="275">
        <f>HN!Y9</f>
        <v>216.5</v>
      </c>
      <c r="L113" s="275">
        <f>HN!Z9</f>
        <v>245</v>
      </c>
      <c r="M113" s="275">
        <f>HN!AA9</f>
        <v>282</v>
      </c>
      <c r="N113" s="275">
        <f>HN!AB9</f>
        <v>324</v>
      </c>
      <c r="O113" s="275">
        <f>HN!AC9</f>
        <v>362.5</v>
      </c>
      <c r="P113" s="275">
        <f>HN!AD9</f>
        <v>433</v>
      </c>
      <c r="Q113" s="275">
        <f>HN!AE9</f>
        <v>477.5</v>
      </c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</row>
    <row r="114" spans="1:51">
      <c r="B114" s="1229"/>
      <c r="C114" s="1229"/>
      <c r="D114" s="1229"/>
      <c r="E114" s="166"/>
      <c r="F114" s="166"/>
      <c r="G114" s="275">
        <f>HN!U10</f>
        <v>0</v>
      </c>
      <c r="H114" s="275">
        <f>HN!V10</f>
        <v>0</v>
      </c>
      <c r="I114" s="275">
        <f>HN!W10</f>
        <v>0</v>
      </c>
      <c r="J114" s="275">
        <f>HN!X10</f>
        <v>0</v>
      </c>
      <c r="K114" s="275">
        <f>HN!Y10</f>
        <v>0</v>
      </c>
      <c r="L114" s="275">
        <f>HN!Z10</f>
        <v>0</v>
      </c>
      <c r="M114" s="275">
        <f>HN!AA10</f>
        <v>0</v>
      </c>
      <c r="N114" s="275">
        <f>HN!AB10</f>
        <v>0</v>
      </c>
      <c r="O114" s="275">
        <f>HN!AC10</f>
        <v>0</v>
      </c>
      <c r="P114" s="275">
        <f>HN!AD10</f>
        <v>0</v>
      </c>
      <c r="Q114" s="275">
        <f>HN!AE10</f>
        <v>0</v>
      </c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</row>
    <row r="115" spans="1:51">
      <c r="B115" s="1229" t="s">
        <v>109</v>
      </c>
      <c r="C115" s="1229"/>
      <c r="D115" s="1229"/>
      <c r="E115" s="166"/>
      <c r="F115" s="166"/>
      <c r="G115" s="275">
        <f>HN!U11</f>
        <v>11</v>
      </c>
      <c r="H115" s="275">
        <f>HN!V11</f>
        <v>39</v>
      </c>
      <c r="I115" s="275">
        <f>HN!W11</f>
        <v>54</v>
      </c>
      <c r="J115" s="275">
        <f>HN!X11</f>
        <v>64</v>
      </c>
      <c r="K115" s="275">
        <f>HN!Y11</f>
        <v>63</v>
      </c>
      <c r="L115" s="275">
        <f>HN!Z11</f>
        <v>66</v>
      </c>
      <c r="M115" s="275">
        <f>HN!AA11</f>
        <v>72</v>
      </c>
      <c r="N115" s="275">
        <f>HN!AB11</f>
        <v>61</v>
      </c>
      <c r="O115" s="275">
        <f>HN!AC11</f>
        <v>64</v>
      </c>
      <c r="P115" s="275">
        <f>HN!AD11</f>
        <v>61</v>
      </c>
      <c r="Q115" s="275">
        <f>HN!AE11</f>
        <v>61</v>
      </c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</row>
    <row r="116" spans="1:51">
      <c r="B116" s="1229" t="s">
        <v>21</v>
      </c>
      <c r="C116" s="1229"/>
      <c r="D116" s="1229"/>
      <c r="E116" s="197"/>
      <c r="F116" s="197"/>
      <c r="G116" s="275">
        <f>HN!U12</f>
        <v>1.2307692307692308</v>
      </c>
      <c r="H116" s="275">
        <f>HN!V12</f>
        <v>0.53781512605042014</v>
      </c>
      <c r="I116" s="275">
        <f>HN!W12</f>
        <v>0.41152263374485598</v>
      </c>
      <c r="J116" s="275">
        <f>HN!X12</f>
        <v>0.30113636363636365</v>
      </c>
      <c r="K116" s="275">
        <f>HN!Y12</f>
        <v>0.14780600461893764</v>
      </c>
      <c r="L116" s="275">
        <f>HN!Z12</f>
        <v>0.18775510204081633</v>
      </c>
      <c r="M116" s="275">
        <f>HN!AA12</f>
        <v>0.27304964539007093</v>
      </c>
      <c r="N116" s="275">
        <f>HN!AB12</f>
        <v>0.20370370370370369</v>
      </c>
      <c r="O116" s="275">
        <f>HN!AC12</f>
        <v>0.18206896551724139</v>
      </c>
      <c r="P116" s="275">
        <f>HN!AD12</f>
        <v>0.24711316397228639</v>
      </c>
      <c r="Q116" s="275">
        <f>HN!AE12</f>
        <v>6.2827225130890049E-2</v>
      </c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</row>
    <row r="117" spans="1:51">
      <c r="B117" s="1229" t="s">
        <v>60</v>
      </c>
      <c r="C117" s="1229"/>
      <c r="D117" s="1229"/>
      <c r="E117" s="166"/>
      <c r="F117" s="166"/>
      <c r="G117" s="275">
        <f>HN!U13</f>
        <v>16</v>
      </c>
      <c r="H117" s="275">
        <f>HN!V13</f>
        <v>32</v>
      </c>
      <c r="I117" s="275">
        <f>HN!W13</f>
        <v>50</v>
      </c>
      <c r="J117" s="275">
        <f>HN!X13</f>
        <v>53</v>
      </c>
      <c r="K117" s="275">
        <f>HN!Y13</f>
        <v>32</v>
      </c>
      <c r="L117" s="275">
        <f>HN!Z13</f>
        <v>46</v>
      </c>
      <c r="M117" s="275">
        <f>HN!AA13</f>
        <v>77</v>
      </c>
      <c r="N117" s="275">
        <f>HN!AB13</f>
        <v>66</v>
      </c>
      <c r="O117" s="275">
        <f>HN!AC13</f>
        <v>66</v>
      </c>
      <c r="P117" s="275">
        <f>HN!AD13</f>
        <v>107</v>
      </c>
      <c r="Q117" s="275">
        <f>HN!AE13</f>
        <v>30</v>
      </c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</row>
    <row r="118" spans="1:51">
      <c r="B118" s="1229" t="s">
        <v>61</v>
      </c>
      <c r="C118" s="1229"/>
      <c r="D118" s="1229"/>
      <c r="E118" s="198"/>
      <c r="F118" s="198"/>
      <c r="G118" s="275">
        <f>HN!U14</f>
        <v>1.1875</v>
      </c>
      <c r="H118" s="275">
        <f>HN!V14</f>
        <v>1.40625</v>
      </c>
      <c r="I118" s="275">
        <f>HN!W14</f>
        <v>1.3</v>
      </c>
      <c r="J118" s="275">
        <f>HN!X14</f>
        <v>1.3773584905660377</v>
      </c>
      <c r="K118" s="275">
        <f>HN!Y14</f>
        <v>1.28125</v>
      </c>
      <c r="L118" s="275">
        <f>HN!Z14</f>
        <v>1.3043478260869565</v>
      </c>
      <c r="M118" s="275">
        <f>HN!AA14</f>
        <v>1.4415584415584415</v>
      </c>
      <c r="N118" s="275">
        <f>HN!AB14</f>
        <v>1.1212121212121211</v>
      </c>
      <c r="O118" s="275">
        <f>HN!AC14</f>
        <v>1.4545454545454546</v>
      </c>
      <c r="P118" s="275">
        <f>HN!AD14</f>
        <v>1.6635514018691588</v>
      </c>
      <c r="Q118" s="275">
        <f>HN!AE14</f>
        <v>1.2</v>
      </c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</row>
    <row r="119" spans="1:51">
      <c r="B119" s="1229" t="s">
        <v>3</v>
      </c>
      <c r="C119" s="1229"/>
      <c r="D119" s="1229"/>
      <c r="E119" s="166"/>
      <c r="F119" s="166"/>
      <c r="G119" s="275">
        <f>HN!U15</f>
        <v>19</v>
      </c>
      <c r="H119" s="275">
        <f>HN!V15</f>
        <v>45</v>
      </c>
      <c r="I119" s="275">
        <f>HN!W15</f>
        <v>65</v>
      </c>
      <c r="J119" s="275">
        <f>HN!X15</f>
        <v>73</v>
      </c>
      <c r="K119" s="275">
        <f>HN!Y15</f>
        <v>41</v>
      </c>
      <c r="L119" s="275">
        <f>HN!Z15</f>
        <v>60</v>
      </c>
      <c r="M119" s="275">
        <f>HN!AA15</f>
        <v>111</v>
      </c>
      <c r="N119" s="275">
        <f>HN!AB15</f>
        <v>74</v>
      </c>
      <c r="O119" s="275">
        <f>HN!AC15</f>
        <v>96</v>
      </c>
      <c r="P119" s="275">
        <f>HN!AD15</f>
        <v>178</v>
      </c>
      <c r="Q119" s="275">
        <f>HN!AE15</f>
        <v>36</v>
      </c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</row>
    <row r="120" spans="1:51">
      <c r="B120" s="1229" t="s">
        <v>62</v>
      </c>
      <c r="C120" s="1229"/>
      <c r="D120" s="1229"/>
      <c r="E120" s="198"/>
      <c r="F120" s="198"/>
      <c r="G120" s="275">
        <f>HN!U16</f>
        <v>14.679736842105262</v>
      </c>
      <c r="H120" s="275">
        <f>HN!V16</f>
        <v>14.001977777777777</v>
      </c>
      <c r="I120" s="275">
        <f>HN!W16</f>
        <v>13.116076923076925</v>
      </c>
      <c r="J120" s="275">
        <f>HN!X16</f>
        <v>10.436835616438358</v>
      </c>
      <c r="K120" s="275">
        <f>HN!Y16</f>
        <v>15.230414634146339</v>
      </c>
      <c r="L120" s="275">
        <f>HN!Z16</f>
        <v>13.353233333333332</v>
      </c>
      <c r="M120" s="275">
        <f>HN!AA16</f>
        <v>18.867468468468466</v>
      </c>
      <c r="N120" s="275">
        <f>HN!AB16</f>
        <v>14.236756756756757</v>
      </c>
      <c r="O120" s="275">
        <f>HN!AC16</f>
        <v>17.058812500000002</v>
      </c>
      <c r="P120" s="275">
        <f>HN!AD16</f>
        <v>15.248601123595504</v>
      </c>
      <c r="Q120" s="275">
        <f>HN!AE16</f>
        <v>14.360666666666667</v>
      </c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  <c r="AI120" s="275"/>
      <c r="AJ120" s="275"/>
      <c r="AK120" s="275"/>
      <c r="AL120" s="275"/>
      <c r="AM120" s="275"/>
    </row>
    <row r="121" spans="1:51">
      <c r="B121" s="1229" t="s">
        <v>112</v>
      </c>
      <c r="C121" s="1229"/>
      <c r="D121" s="1229"/>
      <c r="E121" s="166"/>
      <c r="F121" s="166"/>
      <c r="G121" s="275">
        <f>HN!U17</f>
        <v>15</v>
      </c>
      <c r="H121" s="275">
        <f>HN!V17</f>
        <v>39</v>
      </c>
      <c r="I121" s="275">
        <f>HN!W17</f>
        <v>42</v>
      </c>
      <c r="J121" s="275">
        <f>HN!X17</f>
        <v>43</v>
      </c>
      <c r="K121" s="275">
        <f>HN!Y17</f>
        <v>35</v>
      </c>
      <c r="L121" s="275">
        <f>HN!Z17</f>
        <v>45</v>
      </c>
      <c r="M121" s="275">
        <f>HN!AA17</f>
        <v>58</v>
      </c>
      <c r="N121" s="275">
        <f>HN!AB17</f>
        <v>61</v>
      </c>
      <c r="O121" s="275">
        <f>HN!AC17</f>
        <v>57</v>
      </c>
      <c r="P121" s="275">
        <f>HN!AD17</f>
        <v>104</v>
      </c>
      <c r="Q121" s="275">
        <f>HN!AE17</f>
        <v>31</v>
      </c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</row>
    <row r="122" spans="1:51">
      <c r="B122" s="1229" t="s">
        <v>111</v>
      </c>
      <c r="C122" s="1229"/>
      <c r="D122" s="1229"/>
      <c r="E122" s="166"/>
      <c r="F122" s="166"/>
      <c r="G122" s="275">
        <f>HN!U18</f>
        <v>11</v>
      </c>
      <c r="H122" s="275">
        <f>HN!V18</f>
        <v>28</v>
      </c>
      <c r="I122" s="275">
        <f>HN!W18</f>
        <v>15</v>
      </c>
      <c r="J122" s="275">
        <f>HN!X18</f>
        <v>10</v>
      </c>
      <c r="K122" s="275">
        <f>HN!Y18</f>
        <v>1</v>
      </c>
      <c r="L122" s="275">
        <f>HN!Z18</f>
        <v>4</v>
      </c>
      <c r="M122" s="275">
        <f>HN!AA18</f>
        <v>8</v>
      </c>
      <c r="N122" s="275">
        <f>HN!AB18</f>
        <v>3</v>
      </c>
      <c r="O122" s="275">
        <f>HN!AC18</f>
        <v>7</v>
      </c>
      <c r="P122" s="275">
        <f>HN!AD18</f>
        <v>2</v>
      </c>
      <c r="Q122" s="275">
        <f>HN!AE18</f>
        <v>4</v>
      </c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  <c r="AF122" s="275"/>
      <c r="AG122" s="275"/>
      <c r="AH122" s="275"/>
      <c r="AI122" s="275"/>
      <c r="AJ122" s="275"/>
      <c r="AK122" s="275"/>
      <c r="AL122" s="275"/>
      <c r="AM122" s="275"/>
    </row>
    <row r="127" spans="1:51">
      <c r="A127" s="1208" t="s">
        <v>224</v>
      </c>
      <c r="O127" s="1016">
        <v>201501</v>
      </c>
      <c r="P127" s="1016">
        <v>201502</v>
      </c>
      <c r="Q127" s="1016">
        <v>201503</v>
      </c>
      <c r="R127" s="1016">
        <v>201504</v>
      </c>
      <c r="S127" s="1016">
        <v>201505</v>
      </c>
      <c r="T127" s="1016">
        <v>201506</v>
      </c>
      <c r="U127" s="1016">
        <v>201507</v>
      </c>
      <c r="V127" s="1016">
        <v>201508</v>
      </c>
      <c r="W127" s="1016">
        <v>201509</v>
      </c>
      <c r="X127" s="1016">
        <v>201510</v>
      </c>
      <c r="Y127" s="1016">
        <v>201511</v>
      </c>
      <c r="Z127" s="1016">
        <v>201512</v>
      </c>
      <c r="AA127" s="1016">
        <v>2015</v>
      </c>
      <c r="AB127" s="1016">
        <v>201601</v>
      </c>
      <c r="AC127" s="1016">
        <v>201602</v>
      </c>
      <c r="AD127" s="1016">
        <v>201603</v>
      </c>
      <c r="AE127" s="1016">
        <v>201604</v>
      </c>
      <c r="AF127" s="1016">
        <v>201605</v>
      </c>
      <c r="AG127" s="1016">
        <v>201606</v>
      </c>
      <c r="AH127" s="1016">
        <v>201607</v>
      </c>
      <c r="AI127" s="1016">
        <v>201608</v>
      </c>
      <c r="AJ127" s="1016">
        <v>201609</v>
      </c>
      <c r="AK127" s="1016">
        <v>201610</v>
      </c>
      <c r="AL127" s="1016">
        <v>201611</v>
      </c>
      <c r="AM127" s="1016">
        <v>201612</v>
      </c>
      <c r="AN127" s="1016">
        <v>201701</v>
      </c>
      <c r="AO127" s="1016">
        <v>201702</v>
      </c>
      <c r="AP127" s="1016">
        <v>201703</v>
      </c>
      <c r="AQ127" s="1016">
        <v>201704</v>
      </c>
      <c r="AR127" s="1016">
        <v>201705</v>
      </c>
      <c r="AS127" s="1016">
        <v>201706</v>
      </c>
      <c r="AT127" s="1016">
        <v>201707</v>
      </c>
      <c r="AU127" s="1016">
        <v>201708</v>
      </c>
      <c r="AV127" s="1016">
        <v>201709</v>
      </c>
      <c r="AW127" s="1016">
        <v>201710</v>
      </c>
      <c r="AX127" s="1016">
        <v>201711</v>
      </c>
      <c r="AY127" s="1016">
        <v>201712</v>
      </c>
    </row>
    <row r="128" spans="1:51">
      <c r="B128" s="1230" t="s">
        <v>1275</v>
      </c>
      <c r="C128" s="789" t="s">
        <v>263</v>
      </c>
      <c r="D128" s="789" t="s">
        <v>264</v>
      </c>
      <c r="E128" s="789" t="s">
        <v>265</v>
      </c>
      <c r="F128" s="789" t="s">
        <v>479</v>
      </c>
      <c r="G128" s="789" t="s">
        <v>480</v>
      </c>
      <c r="H128" s="789" t="s">
        <v>481</v>
      </c>
      <c r="I128" s="789" t="s">
        <v>528</v>
      </c>
      <c r="J128" s="789" t="s">
        <v>529</v>
      </c>
      <c r="K128" s="789" t="s">
        <v>530</v>
      </c>
      <c r="L128" s="789" t="s">
        <v>531</v>
      </c>
      <c r="M128" s="789" t="s">
        <v>532</v>
      </c>
      <c r="N128" s="789" t="s">
        <v>533</v>
      </c>
      <c r="O128" s="789" t="s">
        <v>566</v>
      </c>
      <c r="P128" s="789" t="s">
        <v>567</v>
      </c>
      <c r="Q128" s="789" t="s">
        <v>692</v>
      </c>
      <c r="R128" s="789" t="s">
        <v>1276</v>
      </c>
      <c r="S128" s="789" t="s">
        <v>1277</v>
      </c>
      <c r="T128" s="789" t="s">
        <v>1278</v>
      </c>
      <c r="U128" s="789" t="s">
        <v>1279</v>
      </c>
      <c r="V128" s="789" t="s">
        <v>1280</v>
      </c>
      <c r="W128" s="789" t="s">
        <v>1281</v>
      </c>
      <c r="X128" s="789" t="s">
        <v>1282</v>
      </c>
      <c r="Y128" s="789" t="s">
        <v>1283</v>
      </c>
      <c r="Z128" s="789" t="s">
        <v>1284</v>
      </c>
      <c r="AA128" s="342"/>
      <c r="AB128" s="789" t="s">
        <v>2553</v>
      </c>
      <c r="AC128" s="789" t="s">
        <v>2554</v>
      </c>
      <c r="AD128" s="789" t="s">
        <v>2555</v>
      </c>
      <c r="AE128" s="789" t="s">
        <v>2556</v>
      </c>
      <c r="AF128" s="789" t="s">
        <v>2557</v>
      </c>
      <c r="AG128" s="789" t="s">
        <v>2558</v>
      </c>
      <c r="AH128" s="789" t="s">
        <v>2559</v>
      </c>
      <c r="AI128" s="789" t="s">
        <v>2560</v>
      </c>
      <c r="AJ128" s="789" t="s">
        <v>2561</v>
      </c>
      <c r="AK128" s="789" t="s">
        <v>2562</v>
      </c>
      <c r="AL128" s="789" t="s">
        <v>2563</v>
      </c>
      <c r="AM128" s="789" t="s">
        <v>2564</v>
      </c>
      <c r="AN128" s="789" t="s">
        <v>4142</v>
      </c>
    </row>
    <row r="129" spans="2:51">
      <c r="B129" s="1016" t="s">
        <v>55</v>
      </c>
      <c r="C129" s="147">
        <v>0.27834059854420518</v>
      </c>
      <c r="D129" s="147">
        <v>0.27834059854420518</v>
      </c>
      <c r="E129" s="147">
        <v>0.27834059854420501</v>
      </c>
      <c r="F129" s="147">
        <v>0.27834059854420501</v>
      </c>
      <c r="G129" s="147">
        <v>0.27834059854420501</v>
      </c>
      <c r="H129" s="147">
        <v>0.27834059854420501</v>
      </c>
      <c r="I129" s="147">
        <v>0.27834059854420501</v>
      </c>
      <c r="J129" s="147">
        <v>0.27834059854420501</v>
      </c>
      <c r="K129" s="147">
        <v>0.27834059854420501</v>
      </c>
      <c r="L129" s="147">
        <v>0.27834059854420501</v>
      </c>
      <c r="M129" s="147">
        <v>0.27834059854420501</v>
      </c>
      <c r="N129" s="147">
        <v>0.27834059854420501</v>
      </c>
      <c r="O129" s="1617">
        <v>0.27834059854420501</v>
      </c>
      <c r="P129" s="147">
        <v>0.27834059854420501</v>
      </c>
      <c r="Q129" s="147">
        <v>0.27834059854420501</v>
      </c>
      <c r="R129" s="147">
        <v>0.27834059854420501</v>
      </c>
      <c r="S129" s="147">
        <v>0.27834059854420501</v>
      </c>
      <c r="T129" s="147">
        <v>0.27834059854420501</v>
      </c>
      <c r="U129" s="147">
        <v>0.27834059854420501</v>
      </c>
      <c r="V129" s="147">
        <v>0.27834059854420501</v>
      </c>
      <c r="W129" s="147">
        <v>0.27834059854420501</v>
      </c>
      <c r="X129" s="147">
        <v>0.27834059854420501</v>
      </c>
      <c r="Y129" s="147">
        <v>0.27834059854420501</v>
      </c>
      <c r="Z129" s="147">
        <v>0.27834059854420501</v>
      </c>
      <c r="AA129" s="147">
        <v>0.27834059854420501</v>
      </c>
      <c r="AB129" s="1752">
        <f>AA129</f>
        <v>0.27834059854420501</v>
      </c>
      <c r="AC129" s="1752">
        <f t="shared" ref="AC129:AL129" si="97">AB129</f>
        <v>0.27834059854420501</v>
      </c>
      <c r="AD129" s="1752">
        <f t="shared" si="97"/>
        <v>0.27834059854420501</v>
      </c>
      <c r="AE129" s="1752">
        <f t="shared" si="97"/>
        <v>0.27834059854420501</v>
      </c>
      <c r="AF129" s="1752">
        <f t="shared" si="97"/>
        <v>0.27834059854420501</v>
      </c>
      <c r="AG129" s="1752">
        <f t="shared" si="97"/>
        <v>0.27834059854420501</v>
      </c>
      <c r="AH129" s="1752">
        <f t="shared" si="97"/>
        <v>0.27834059854420501</v>
      </c>
      <c r="AI129" s="1752">
        <f t="shared" si="97"/>
        <v>0.27834059854420501</v>
      </c>
      <c r="AJ129" s="1752">
        <f t="shared" si="97"/>
        <v>0.27834059854420501</v>
      </c>
      <c r="AK129" s="1752">
        <f t="shared" si="97"/>
        <v>0.27834059854420501</v>
      </c>
      <c r="AL129" s="1752">
        <f t="shared" si="97"/>
        <v>0.27834059854420501</v>
      </c>
      <c r="AM129" s="1752">
        <f>AL129</f>
        <v>0.27834059854420501</v>
      </c>
      <c r="AN129" s="1752">
        <f>BA10</f>
        <v>0.11533907202711635</v>
      </c>
      <c r="AO129" s="2094">
        <f>AN129</f>
        <v>0.11533907202711635</v>
      </c>
      <c r="AP129" s="2094">
        <f t="shared" ref="AP129:AY129" si="98">AO129</f>
        <v>0.11533907202711635</v>
      </c>
      <c r="AQ129" s="2094">
        <f t="shared" si="98"/>
        <v>0.11533907202711635</v>
      </c>
      <c r="AR129" s="2094">
        <f t="shared" si="98"/>
        <v>0.11533907202711635</v>
      </c>
      <c r="AS129" s="2094">
        <f t="shared" si="98"/>
        <v>0.11533907202711635</v>
      </c>
      <c r="AT129" s="2094">
        <f t="shared" si="98"/>
        <v>0.11533907202711635</v>
      </c>
      <c r="AU129" s="2094">
        <f t="shared" si="98"/>
        <v>0.11533907202711635</v>
      </c>
      <c r="AV129" s="2094">
        <f t="shared" si="98"/>
        <v>0.11533907202711635</v>
      </c>
      <c r="AW129" s="2094">
        <f t="shared" si="98"/>
        <v>0.11533907202711635</v>
      </c>
      <c r="AX129" s="2094">
        <f t="shared" si="98"/>
        <v>0.11533907202711635</v>
      </c>
      <c r="AY129" s="2094">
        <f t="shared" si="98"/>
        <v>0.11533907202711635</v>
      </c>
    </row>
    <row r="130" spans="2:51">
      <c r="B130" s="1016" t="s">
        <v>225</v>
      </c>
      <c r="C130" s="137">
        <v>14.12</v>
      </c>
      <c r="D130" s="137">
        <v>14.12</v>
      </c>
      <c r="E130" s="137">
        <v>14.12</v>
      </c>
      <c r="F130" s="137">
        <v>14.12</v>
      </c>
      <c r="G130" s="137">
        <v>14.12</v>
      </c>
      <c r="H130" s="137">
        <v>14.12</v>
      </c>
      <c r="I130" s="137">
        <v>14.12</v>
      </c>
      <c r="J130" s="137">
        <v>14.12</v>
      </c>
      <c r="K130" s="137">
        <v>14.12</v>
      </c>
      <c r="L130" s="137">
        <v>14.12</v>
      </c>
      <c r="M130" s="137">
        <v>14.12</v>
      </c>
      <c r="N130" s="137">
        <v>14.12</v>
      </c>
      <c r="O130" s="1618">
        <v>14.12</v>
      </c>
      <c r="P130" s="137">
        <v>14.12</v>
      </c>
      <c r="Q130" s="137">
        <v>14.12</v>
      </c>
      <c r="R130" s="137">
        <v>14.12</v>
      </c>
      <c r="S130" s="137">
        <v>14.12</v>
      </c>
      <c r="T130" s="137">
        <v>14.12</v>
      </c>
      <c r="U130" s="137">
        <v>14.12</v>
      </c>
      <c r="V130" s="137">
        <v>14.12</v>
      </c>
      <c r="W130" s="137">
        <v>14.12</v>
      </c>
      <c r="X130" s="137">
        <v>14.12</v>
      </c>
      <c r="Y130" s="137">
        <v>14.12</v>
      </c>
      <c r="Z130" s="137">
        <v>14.12</v>
      </c>
      <c r="AA130" s="137">
        <v>14.12</v>
      </c>
      <c r="AB130" s="1753">
        <f>AA130</f>
        <v>14.12</v>
      </c>
      <c r="AC130" s="1618">
        <v>14.12</v>
      </c>
      <c r="AD130" s="1753">
        <f>AC130</f>
        <v>14.12</v>
      </c>
      <c r="AE130" s="1618">
        <v>14.12</v>
      </c>
      <c r="AF130" s="1753">
        <f>AE130</f>
        <v>14.12</v>
      </c>
      <c r="AG130" s="1618">
        <v>14.12</v>
      </c>
      <c r="AH130" s="1753">
        <f>AG130</f>
        <v>14.12</v>
      </c>
      <c r="AI130" s="1618">
        <v>14.12</v>
      </c>
      <c r="AJ130" s="1753">
        <f>AI130</f>
        <v>14.12</v>
      </c>
      <c r="AK130" s="1618">
        <v>14.12</v>
      </c>
      <c r="AL130" s="1753">
        <f>AK130</f>
        <v>14.12</v>
      </c>
      <c r="AM130" s="1618">
        <v>14.12</v>
      </c>
      <c r="AN130" s="199">
        <f>C14</f>
        <v>16.352405685494023</v>
      </c>
      <c r="AO130" s="2095">
        <f>AN130</f>
        <v>16.352405685494023</v>
      </c>
      <c r="AP130" s="2095">
        <f t="shared" ref="AP130:AY130" si="99">AO130</f>
        <v>16.352405685494023</v>
      </c>
      <c r="AQ130" s="2095">
        <f t="shared" si="99"/>
        <v>16.352405685494023</v>
      </c>
      <c r="AR130" s="2095">
        <f t="shared" si="99"/>
        <v>16.352405685494023</v>
      </c>
      <c r="AS130" s="2095">
        <f t="shared" si="99"/>
        <v>16.352405685494023</v>
      </c>
      <c r="AT130" s="2095">
        <f t="shared" si="99"/>
        <v>16.352405685494023</v>
      </c>
      <c r="AU130" s="2095">
        <f t="shared" si="99"/>
        <v>16.352405685494023</v>
      </c>
      <c r="AV130" s="2095">
        <f t="shared" si="99"/>
        <v>16.352405685494023</v>
      </c>
      <c r="AW130" s="2095">
        <f t="shared" si="99"/>
        <v>16.352405685494023</v>
      </c>
      <c r="AX130" s="2095">
        <f t="shared" si="99"/>
        <v>16.352405685494023</v>
      </c>
      <c r="AY130" s="2095">
        <f t="shared" si="99"/>
        <v>16.352405685494023</v>
      </c>
    </row>
    <row r="131" spans="2:51">
      <c r="B131" s="1016" t="s">
        <v>95</v>
      </c>
      <c r="C131" s="137">
        <v>5.5503703577841188</v>
      </c>
      <c r="D131" s="137">
        <v>5.5503703577841188</v>
      </c>
      <c r="E131" s="137">
        <v>5.5503703577841197</v>
      </c>
      <c r="F131" s="137">
        <v>5.5503703577841197</v>
      </c>
      <c r="G131" s="137">
        <v>5.5503703577841197</v>
      </c>
      <c r="H131" s="137">
        <v>5.5503703577841197</v>
      </c>
      <c r="I131" s="137">
        <v>5.5503703577841197</v>
      </c>
      <c r="J131" s="137">
        <v>5.5503703577841197</v>
      </c>
      <c r="K131" s="137">
        <v>5.5503703577841197</v>
      </c>
      <c r="L131" s="137">
        <v>5.5503703577841197</v>
      </c>
      <c r="M131" s="137">
        <v>5.5503703577841197</v>
      </c>
      <c r="N131" s="137">
        <v>5.5503703577841197</v>
      </c>
      <c r="O131" s="1618">
        <v>7</v>
      </c>
      <c r="P131" s="1618">
        <v>7</v>
      </c>
      <c r="Q131" s="1618">
        <v>7</v>
      </c>
      <c r="R131" s="1618">
        <v>7</v>
      </c>
      <c r="S131" s="1618">
        <v>7</v>
      </c>
      <c r="T131" s="1618">
        <v>7</v>
      </c>
      <c r="U131" s="1618">
        <v>7</v>
      </c>
      <c r="V131" s="1618">
        <v>7</v>
      </c>
      <c r="W131" s="1618">
        <v>7</v>
      </c>
      <c r="X131" s="1618">
        <v>7</v>
      </c>
      <c r="Y131" s="1618">
        <v>7</v>
      </c>
      <c r="Z131" s="1618">
        <v>7</v>
      </c>
      <c r="AA131" s="1618">
        <v>7</v>
      </c>
      <c r="AB131" s="1753">
        <f>AA131</f>
        <v>7</v>
      </c>
      <c r="AC131" s="1618">
        <v>7</v>
      </c>
      <c r="AD131" s="1618">
        <v>7</v>
      </c>
      <c r="AE131" s="1618">
        <v>7</v>
      </c>
      <c r="AF131" s="1618">
        <v>7</v>
      </c>
      <c r="AG131" s="1618">
        <v>7</v>
      </c>
      <c r="AH131" s="1618">
        <v>7</v>
      </c>
      <c r="AI131" s="1618">
        <v>7</v>
      </c>
      <c r="AJ131" s="1618">
        <v>7</v>
      </c>
      <c r="AK131" s="1618">
        <v>7</v>
      </c>
      <c r="AL131" s="1618">
        <v>7</v>
      </c>
      <c r="AM131" s="1618">
        <v>7</v>
      </c>
      <c r="AN131" s="137">
        <f>C18</f>
        <v>4</v>
      </c>
      <c r="AO131" s="763">
        <f>AN131</f>
        <v>4</v>
      </c>
      <c r="AP131" s="763">
        <f t="shared" ref="AP131:AY131" si="100">AO131</f>
        <v>4</v>
      </c>
      <c r="AQ131" s="763">
        <f t="shared" si="100"/>
        <v>4</v>
      </c>
      <c r="AR131" s="763">
        <f t="shared" si="100"/>
        <v>4</v>
      </c>
      <c r="AS131" s="763">
        <f t="shared" si="100"/>
        <v>4</v>
      </c>
      <c r="AT131" s="763">
        <f t="shared" si="100"/>
        <v>4</v>
      </c>
      <c r="AU131" s="763">
        <f t="shared" si="100"/>
        <v>4</v>
      </c>
      <c r="AV131" s="763">
        <f t="shared" si="100"/>
        <v>4</v>
      </c>
      <c r="AW131" s="763">
        <f t="shared" si="100"/>
        <v>4</v>
      </c>
      <c r="AX131" s="763">
        <f t="shared" si="100"/>
        <v>4</v>
      </c>
      <c r="AY131" s="763">
        <f t="shared" si="100"/>
        <v>4</v>
      </c>
    </row>
    <row r="132" spans="2:51">
      <c r="B132" s="1016" t="s">
        <v>77</v>
      </c>
      <c r="C132" s="137">
        <v>1.4239631336405529</v>
      </c>
      <c r="D132" s="137">
        <v>1.4239631336405529</v>
      </c>
      <c r="E132" s="137">
        <v>1.42396313364055</v>
      </c>
      <c r="F132" s="137">
        <v>1.42396313364055</v>
      </c>
      <c r="G132" s="137">
        <v>1.42396313364055</v>
      </c>
      <c r="H132" s="137">
        <v>1.42396313364055</v>
      </c>
      <c r="I132" s="137">
        <v>1.42396313364055</v>
      </c>
      <c r="J132" s="137">
        <v>1.42396313364055</v>
      </c>
      <c r="K132" s="137">
        <v>1.42396313364055</v>
      </c>
      <c r="L132" s="137">
        <v>1.42396313364055</v>
      </c>
      <c r="M132" s="137">
        <v>1.42396313364055</v>
      </c>
      <c r="N132" s="137">
        <v>1.42396313364055</v>
      </c>
      <c r="O132" s="137">
        <v>1.9</v>
      </c>
      <c r="P132" s="137">
        <v>1.9</v>
      </c>
      <c r="Q132" s="137">
        <v>1.9</v>
      </c>
      <c r="R132" s="137">
        <v>1.9</v>
      </c>
      <c r="S132" s="137">
        <v>1.9</v>
      </c>
      <c r="T132" s="137">
        <v>1.9</v>
      </c>
      <c r="U132" s="137">
        <v>1.9</v>
      </c>
      <c r="V132" s="137">
        <v>1.9</v>
      </c>
      <c r="W132" s="137">
        <v>1.9</v>
      </c>
      <c r="X132" s="137">
        <v>1.9</v>
      </c>
      <c r="Y132" s="137">
        <v>1.9</v>
      </c>
      <c r="Z132" s="137">
        <v>1.9</v>
      </c>
      <c r="AA132" s="137">
        <v>1.9</v>
      </c>
      <c r="AB132" s="1753">
        <f>AA132</f>
        <v>1.9</v>
      </c>
      <c r="AC132" s="1207">
        <v>1.9</v>
      </c>
      <c r="AD132" s="1207">
        <v>1.9</v>
      </c>
      <c r="AE132" s="1207">
        <v>1.9</v>
      </c>
      <c r="AF132" s="1207">
        <v>1.9</v>
      </c>
      <c r="AG132" s="1207">
        <v>1.9</v>
      </c>
      <c r="AH132" s="1207">
        <v>1.9</v>
      </c>
      <c r="AI132" s="1207">
        <v>1.9</v>
      </c>
      <c r="AJ132" s="1207">
        <v>1.9</v>
      </c>
      <c r="AK132" s="1207">
        <v>1.9</v>
      </c>
      <c r="AL132" s="1207">
        <v>1.9</v>
      </c>
      <c r="AM132" s="1207">
        <v>1.9</v>
      </c>
      <c r="AN132" s="137">
        <f>C12</f>
        <v>1.4605826509768711</v>
      </c>
      <c r="AO132" s="763">
        <f>AN132</f>
        <v>1.4605826509768711</v>
      </c>
      <c r="AP132" s="763">
        <f t="shared" ref="AP132:AY132" si="101">AO132</f>
        <v>1.4605826509768711</v>
      </c>
      <c r="AQ132" s="763">
        <f t="shared" si="101"/>
        <v>1.4605826509768711</v>
      </c>
      <c r="AR132" s="763">
        <f t="shared" si="101"/>
        <v>1.4605826509768711</v>
      </c>
      <c r="AS132" s="763">
        <f t="shared" si="101"/>
        <v>1.4605826509768711</v>
      </c>
      <c r="AT132" s="763">
        <f t="shared" si="101"/>
        <v>1.4605826509768711</v>
      </c>
      <c r="AU132" s="763">
        <f t="shared" si="101"/>
        <v>1.4605826509768711</v>
      </c>
      <c r="AV132" s="763">
        <f t="shared" si="101"/>
        <v>1.4605826509768711</v>
      </c>
      <c r="AW132" s="763">
        <f t="shared" si="101"/>
        <v>1.4605826509768711</v>
      </c>
      <c r="AX132" s="763">
        <f t="shared" si="101"/>
        <v>1.4605826509768711</v>
      </c>
      <c r="AY132" s="763">
        <f t="shared" si="101"/>
        <v>1.4605826509768711</v>
      </c>
    </row>
    <row r="136" spans="2:51">
      <c r="AC136" s="1751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CC58"/>
  <sheetViews>
    <sheetView showGridLines="0" zoomScaleNormal="100" workbookViewId="0">
      <selection activeCell="BS5" sqref="BS5"/>
    </sheetView>
  </sheetViews>
  <sheetFormatPr defaultRowHeight="12.75" outlineLevelCol="1"/>
  <cols>
    <col min="1" max="1" width="2" customWidth="1"/>
    <col min="2" max="2" width="10.140625" bestFit="1" customWidth="1"/>
    <col min="3" max="3" width="9.42578125" customWidth="1"/>
    <col min="4" max="4" width="13.42578125" customWidth="1"/>
    <col min="5" max="5" width="10.42578125" bestFit="1" customWidth="1"/>
    <col min="6" max="6" width="12.5703125" style="74" customWidth="1"/>
    <col min="7" max="7" width="2.28515625" customWidth="1"/>
    <col min="8" max="19" width="7.7109375" style="2" hidden="1" customWidth="1"/>
    <col min="20" max="21" width="7.7109375" style="120" hidden="1" customWidth="1"/>
    <col min="22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39" width="7.7109375" style="120" hidden="1" customWidth="1"/>
    <col min="40" max="41" width="8.85546875" style="120" hidden="1" customWidth="1"/>
    <col min="42" max="42" width="7.85546875" style="120" hidden="1" customWidth="1"/>
    <col min="43" max="43" width="16.140625" style="2" hidden="1" customWidth="1"/>
    <col min="44" max="45" width="8.85546875" style="2" hidden="1" customWidth="1"/>
    <col min="46" max="46" width="9.85546875" hidden="1" customWidth="1"/>
    <col min="47" max="47" width="8.28515625" hidden="1" customWidth="1"/>
    <col min="48" max="49" width="9.140625" hidden="1" customWidth="1"/>
    <col min="50" max="50" width="8.85546875" hidden="1" customWidth="1"/>
    <col min="51" max="51" width="9" hidden="1" customWidth="1"/>
    <col min="52" max="52" width="9.140625" hidden="1" customWidth="1"/>
    <col min="53" max="53" width="8.85546875" hidden="1" customWidth="1" outlineLevel="1"/>
    <col min="54" max="54" width="9.5703125" hidden="1" customWidth="1" outlineLevel="1"/>
    <col min="55" max="56" width="9.28515625" hidden="1" customWidth="1" outlineLevel="1"/>
    <col min="57" max="57" width="9.5703125" hidden="1" customWidth="1" outlineLevel="1"/>
    <col min="58" max="58" width="8.7109375" hidden="1" customWidth="1" outlineLevel="1"/>
    <col min="59" max="59" width="8.28515625" bestFit="1" customWidth="1" collapsed="1"/>
    <col min="60" max="61" width="9.140625" bestFit="1" customWidth="1"/>
    <col min="62" max="62" width="8.85546875" bestFit="1" customWidth="1"/>
    <col min="63" max="63" width="9" bestFit="1" customWidth="1"/>
    <col min="64" max="64" width="9.140625" bestFit="1" customWidth="1"/>
    <col min="65" max="71" width="9.140625" customWidth="1"/>
    <col min="72" max="75" width="9.140625" hidden="1" customWidth="1" outlineLevel="1"/>
    <col min="76" max="76" width="9.5703125" hidden="1" customWidth="1" outlineLevel="1"/>
    <col min="77" max="77" width="9.42578125" customWidth="1" collapsed="1"/>
    <col min="78" max="78" width="2.5703125" customWidth="1"/>
    <col min="81" max="81" width="9.5703125" customWidth="1"/>
  </cols>
  <sheetData>
    <row r="1" spans="1:81">
      <c r="A1" s="1" t="s">
        <v>280</v>
      </c>
      <c r="F1" s="3" t="s">
        <v>0</v>
      </c>
      <c r="O1" s="3" t="s">
        <v>0</v>
      </c>
    </row>
    <row r="2" spans="1:81">
      <c r="B2" s="1622">
        <f>+Cover!$G$5</f>
        <v>42947</v>
      </c>
      <c r="C2" s="5"/>
      <c r="F2" s="183"/>
      <c r="G2" s="184"/>
      <c r="H2" s="185"/>
      <c r="I2" s="185"/>
      <c r="J2" s="185"/>
      <c r="K2" s="185"/>
      <c r="L2" s="185"/>
      <c r="M2" s="185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</row>
    <row r="3" spans="1:81" ht="6" customHeight="1"/>
    <row r="4" spans="1:81" ht="24" customHeight="1">
      <c r="A4" s="6"/>
      <c r="B4" s="8"/>
      <c r="C4" s="8"/>
      <c r="D4" s="8"/>
      <c r="E4" s="1"/>
      <c r="F4" s="1727" t="s">
        <v>163</v>
      </c>
      <c r="G4" s="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V4" s="9"/>
      <c r="Y4" s="9"/>
      <c r="AA4" s="9"/>
      <c r="AQ4" s="9"/>
      <c r="AR4" s="9"/>
      <c r="AS4" s="9"/>
      <c r="BY4" s="1728">
        <f>B2</f>
        <v>42947</v>
      </c>
    </row>
    <row r="5" spans="1:81" ht="12.75" customHeight="1">
      <c r="E5" s="101" t="s">
        <v>4136</v>
      </c>
      <c r="F5" s="1727" t="s">
        <v>52</v>
      </c>
      <c r="G5" s="10"/>
      <c r="H5" s="100" t="s">
        <v>33</v>
      </c>
      <c r="I5" s="100" t="s">
        <v>34</v>
      </c>
      <c r="J5" s="100" t="s">
        <v>35</v>
      </c>
      <c r="K5" s="100" t="s">
        <v>36</v>
      </c>
      <c r="L5" s="100" t="s">
        <v>37</v>
      </c>
      <c r="M5" s="100" t="s">
        <v>38</v>
      </c>
      <c r="N5" s="100" t="s">
        <v>39</v>
      </c>
      <c r="O5" s="100" t="s">
        <v>40</v>
      </c>
      <c r="P5" s="126" t="s">
        <v>41</v>
      </c>
      <c r="Q5" s="126" t="s">
        <v>42</v>
      </c>
      <c r="R5" s="126" t="s">
        <v>43</v>
      </c>
      <c r="S5" s="126" t="s">
        <v>44</v>
      </c>
      <c r="T5" s="126" t="s">
        <v>98</v>
      </c>
      <c r="U5" s="126" t="s">
        <v>34</v>
      </c>
      <c r="V5" s="126" t="s">
        <v>35</v>
      </c>
      <c r="W5" s="126" t="s">
        <v>101</v>
      </c>
      <c r="X5" s="126" t="s">
        <v>37</v>
      </c>
      <c r="Y5" s="126" t="s">
        <v>266</v>
      </c>
      <c r="Z5" s="126" t="s">
        <v>291</v>
      </c>
      <c r="AA5" s="126" t="s">
        <v>40</v>
      </c>
      <c r="AB5" s="126" t="s">
        <v>102</v>
      </c>
      <c r="AC5" s="126" t="s">
        <v>103</v>
      </c>
      <c r="AD5" s="126" t="s">
        <v>104</v>
      </c>
      <c r="AE5" s="126" t="s">
        <v>105</v>
      </c>
      <c r="AF5" s="126" t="s">
        <v>552</v>
      </c>
      <c r="AG5" s="126" t="s">
        <v>588</v>
      </c>
      <c r="AH5" s="126" t="s">
        <v>632</v>
      </c>
      <c r="AI5" s="126" t="s">
        <v>665</v>
      </c>
      <c r="AJ5" s="126" t="s">
        <v>695</v>
      </c>
      <c r="AK5" s="126" t="s">
        <v>757</v>
      </c>
      <c r="AL5" s="126" t="s">
        <v>795</v>
      </c>
      <c r="AM5" s="126" t="s">
        <v>823</v>
      </c>
      <c r="AN5" s="126" t="s">
        <v>860</v>
      </c>
      <c r="AO5" s="126" t="s">
        <v>899</v>
      </c>
      <c r="AP5" s="126" t="s">
        <v>948</v>
      </c>
      <c r="AQ5" s="126" t="s">
        <v>1013</v>
      </c>
      <c r="AR5" s="1764" t="s">
        <v>2648</v>
      </c>
      <c r="AS5" s="1796">
        <v>42155</v>
      </c>
      <c r="AT5" s="1796">
        <v>42185</v>
      </c>
      <c r="AU5" s="1796">
        <v>42216</v>
      </c>
      <c r="AV5" s="1796">
        <v>42247</v>
      </c>
      <c r="AW5" s="1796">
        <v>42277</v>
      </c>
      <c r="AX5" s="1796">
        <v>42308</v>
      </c>
      <c r="AY5" s="1796">
        <v>42338</v>
      </c>
      <c r="AZ5" s="1796">
        <v>42369</v>
      </c>
      <c r="BA5" s="1796">
        <v>42400</v>
      </c>
      <c r="BB5" s="1796">
        <v>42429</v>
      </c>
      <c r="BC5" s="1796">
        <v>42460</v>
      </c>
      <c r="BD5" s="1796">
        <v>42490</v>
      </c>
      <c r="BE5" s="1796">
        <v>42521</v>
      </c>
      <c r="BF5" s="1796">
        <v>42551</v>
      </c>
      <c r="BG5" s="1796">
        <v>42582</v>
      </c>
      <c r="BH5" s="1796">
        <v>42613</v>
      </c>
      <c r="BI5" s="1796">
        <v>42643</v>
      </c>
      <c r="BJ5" s="2006">
        <v>42674</v>
      </c>
      <c r="BK5" s="1796">
        <v>42704</v>
      </c>
      <c r="BL5" s="1796">
        <v>42735</v>
      </c>
      <c r="BM5" s="1796">
        <v>42766</v>
      </c>
      <c r="BN5" s="1796">
        <v>42794</v>
      </c>
      <c r="BO5" s="1796">
        <v>42825</v>
      </c>
      <c r="BP5" s="1796">
        <v>42855</v>
      </c>
      <c r="BQ5" s="1796">
        <v>42886</v>
      </c>
      <c r="BR5" s="1796">
        <v>42916</v>
      </c>
      <c r="BS5" s="1796">
        <v>42947</v>
      </c>
      <c r="BT5" s="1796">
        <v>42978</v>
      </c>
      <c r="BU5" s="1796">
        <v>43008</v>
      </c>
      <c r="BV5" s="1796">
        <v>43039</v>
      </c>
      <c r="BW5" s="1796">
        <v>43069</v>
      </c>
      <c r="BX5" s="1796">
        <v>43100</v>
      </c>
      <c r="BY5" s="409" t="s">
        <v>2437</v>
      </c>
    </row>
    <row r="6" spans="1:81" ht="18.75" customHeight="1">
      <c r="B6" s="66"/>
      <c r="C6" s="67"/>
      <c r="D6" s="67"/>
      <c r="E6" s="18"/>
      <c r="F6" s="97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18"/>
      <c r="S6" s="18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410"/>
      <c r="BZ6" s="25"/>
      <c r="CA6" s="146"/>
    </row>
    <row r="7" spans="1:81">
      <c r="B7" s="102" t="s">
        <v>277</v>
      </c>
      <c r="C7" s="27"/>
      <c r="D7" s="27"/>
      <c r="E7" s="2106">
        <f>Country!B4</f>
        <v>338123.87260000012</v>
      </c>
      <c r="F7" s="2107">
        <f>Plan!C5</f>
        <v>323609.43409365858</v>
      </c>
      <c r="G7" s="111"/>
      <c r="H7" s="110"/>
      <c r="I7" s="110"/>
      <c r="J7" s="110"/>
      <c r="K7" s="110">
        <f>Country!M4</f>
        <v>292.24</v>
      </c>
      <c r="L7" s="110">
        <f>Country!N4</f>
        <v>343.76400000000001</v>
      </c>
      <c r="M7" s="110">
        <f>Country!O4</f>
        <v>816.25900000000001</v>
      </c>
      <c r="N7" s="110">
        <f>Country!P4</f>
        <v>234.95</v>
      </c>
      <c r="O7" s="110">
        <f>Country!Q4</f>
        <v>324.42099999999999</v>
      </c>
      <c r="P7" s="110">
        <f>Country!R4</f>
        <v>535.95699999999999</v>
      </c>
      <c r="Q7" s="110">
        <f>Country!S4</f>
        <v>211.88800000000001</v>
      </c>
      <c r="R7" s="110">
        <f>Country!T4</f>
        <v>180.74700000000001</v>
      </c>
      <c r="S7" s="110">
        <f>Country!U4</f>
        <v>1188.4769999999999</v>
      </c>
      <c r="T7" s="110">
        <f>Country!V4</f>
        <v>413.94600000000003</v>
      </c>
      <c r="U7" s="110">
        <f>Country!W4</f>
        <v>167.935</v>
      </c>
      <c r="V7" s="124">
        <f>Country!X4</f>
        <v>664.71800000000007</v>
      </c>
      <c r="W7" s="124">
        <f>Country!Y4</f>
        <v>1080.1970000000001</v>
      </c>
      <c r="X7" s="124">
        <f>Country!Z4</f>
        <v>1623.2910000000002</v>
      </c>
      <c r="Y7" s="124">
        <f>Country!AA4</f>
        <v>1093.451</v>
      </c>
      <c r="Z7" s="124">
        <f>Country!AB4</f>
        <v>1075.9879999999998</v>
      </c>
      <c r="AA7" s="124">
        <f>Country!AC4</f>
        <v>1409</v>
      </c>
      <c r="AB7" s="124">
        <f>Country!AD4</f>
        <v>3033.652</v>
      </c>
      <c r="AC7" s="124">
        <f>Country!AE4</f>
        <v>2427.0319999999997</v>
      </c>
      <c r="AD7" s="124">
        <f>Country!AF4</f>
        <v>2564.2170000000001</v>
      </c>
      <c r="AE7" s="124">
        <f>Country!AG4</f>
        <v>4173.4090000000006</v>
      </c>
      <c r="AF7" s="124">
        <f>Country!AH4</f>
        <v>1344.5190000000002</v>
      </c>
      <c r="AG7" s="124">
        <f>Country!AI4</f>
        <v>1874.9910000000002</v>
      </c>
      <c r="AH7" s="124">
        <f>Country!AJ4</f>
        <v>1826.171</v>
      </c>
      <c r="AI7" s="124">
        <f>Country!AK4</f>
        <v>3145.8280000000004</v>
      </c>
      <c r="AJ7" s="124">
        <f>Country!AL4</f>
        <v>4031.8249999999998</v>
      </c>
      <c r="AK7" s="124">
        <f>Country!AM4</f>
        <v>8600.1650000000009</v>
      </c>
      <c r="AL7" s="124">
        <f>Country!AN4</f>
        <v>8420.0640000000003</v>
      </c>
      <c r="AM7" s="124">
        <f>Country!AO4</f>
        <v>9230.009</v>
      </c>
      <c r="AN7" s="124">
        <f>Country!AP4</f>
        <v>13787.019</v>
      </c>
      <c r="AO7" s="124">
        <f>Country!AQ4</f>
        <v>15218.944</v>
      </c>
      <c r="AP7" s="124">
        <f>Country!AR4</f>
        <v>15883.455</v>
      </c>
      <c r="AQ7" s="124">
        <f>Country!AS4</f>
        <v>38464.165000000001</v>
      </c>
      <c r="AR7" s="124">
        <v>23838.466</v>
      </c>
      <c r="AS7" s="124">
        <v>18586.255000000001</v>
      </c>
      <c r="AT7" s="124">
        <v>27305.807000000001</v>
      </c>
      <c r="AU7" s="124">
        <f>Country!AZ4</f>
        <v>29199.374</v>
      </c>
      <c r="AV7" s="124">
        <f>Country!BA4</f>
        <v>16805.392</v>
      </c>
      <c r="AW7" s="124">
        <f>Country!BB4</f>
        <v>38876.936999999998</v>
      </c>
      <c r="AX7" s="124">
        <f>Country!BC4</f>
        <v>25749.088</v>
      </c>
      <c r="AY7" s="124">
        <f>Country!BD4</f>
        <v>42738.082999999999</v>
      </c>
      <c r="AZ7" s="124">
        <f>Country!BE4</f>
        <v>58359.968999999997</v>
      </c>
      <c r="BA7" s="124">
        <f>Country!BF4</f>
        <v>13422.264399999998</v>
      </c>
      <c r="BB7" s="124">
        <f>Country!BG4</f>
        <v>13983.777799999969</v>
      </c>
      <c r="BC7" s="124">
        <f>Country!BH4</f>
        <v>34363.530299999991</v>
      </c>
      <c r="BD7" s="124">
        <f>Country!BI4</f>
        <v>31029.739200000011</v>
      </c>
      <c r="BE7" s="124">
        <f>Country!BJ4</f>
        <v>29098.451900000004</v>
      </c>
      <c r="BF7" s="124">
        <f>Country!BK4</f>
        <v>42616.913540000067</v>
      </c>
      <c r="BG7" s="124">
        <f>Country!BL4</f>
        <v>30649.18507000001</v>
      </c>
      <c r="BH7" s="124">
        <f>Country!BM4</f>
        <v>32361.144800000031</v>
      </c>
      <c r="BI7" s="124">
        <f>Country!BN4</f>
        <v>49563.993800000069</v>
      </c>
      <c r="BJ7" s="124">
        <f>Country!BO4</f>
        <v>40919.720650000017</v>
      </c>
      <c r="BK7" s="124">
        <f>Country!BP4</f>
        <v>52866.932160000091</v>
      </c>
      <c r="BL7" s="124">
        <f>Country!BQ4</f>
        <v>97022.200140000321</v>
      </c>
      <c r="BM7" s="124">
        <f>Country!BR4</f>
        <v>26687.802739999999</v>
      </c>
      <c r="BN7" s="124">
        <f>Country!BS4</f>
        <v>41713.0193</v>
      </c>
      <c r="BO7" s="124">
        <f>Country!BT4</f>
        <v>58504.867000000006</v>
      </c>
      <c r="BP7" s="124">
        <f>Country!BU4</f>
        <v>51457.592300000004</v>
      </c>
      <c r="BQ7" s="124">
        <f>Country!BV4</f>
        <v>54412.828000000001</v>
      </c>
      <c r="BR7" s="124">
        <f>Country!BW4</f>
        <v>59446.573999999993</v>
      </c>
      <c r="BS7" s="124">
        <f>Country!BX4</f>
        <v>45901.189260000101</v>
      </c>
      <c r="BT7" s="124">
        <f>Country!BY4</f>
        <v>0</v>
      </c>
      <c r="BU7" s="124">
        <f>Country!BZ4</f>
        <v>0</v>
      </c>
      <c r="BV7" s="124">
        <f>Country!CA4</f>
        <v>0</v>
      </c>
      <c r="BW7" s="124">
        <f>Country!CB4</f>
        <v>0</v>
      </c>
      <c r="BX7" s="124">
        <f>Country!CC4</f>
        <v>0</v>
      </c>
      <c r="BY7" s="1626">
        <f>Plan!$BO$5</f>
        <v>59891.902241751806</v>
      </c>
      <c r="BZ7" s="26"/>
      <c r="CA7" s="146"/>
    </row>
    <row r="8" spans="1:81">
      <c r="B8" s="151" t="s">
        <v>228</v>
      </c>
      <c r="C8" s="27"/>
      <c r="D8" s="27"/>
      <c r="E8" s="2108">
        <f>+E7-F7</f>
        <v>14514.438506341539</v>
      </c>
      <c r="F8" s="2109">
        <f>+E7/F7</f>
        <v>1.0448517162269775</v>
      </c>
      <c r="G8" s="112"/>
      <c r="H8" s="113"/>
      <c r="I8" s="113"/>
      <c r="J8" s="113"/>
      <c r="K8" s="114"/>
      <c r="L8" s="114"/>
      <c r="M8" s="114"/>
      <c r="N8" s="114"/>
      <c r="O8" s="114"/>
      <c r="P8" s="114"/>
      <c r="Q8" s="132"/>
      <c r="R8" s="114"/>
      <c r="S8" s="114"/>
      <c r="T8" s="132">
        <f>T7/Plan!E5</f>
        <v>0.68991000000000002</v>
      </c>
      <c r="U8" s="132">
        <f>U7/Plan!F5</f>
        <v>0.30533636363636363</v>
      </c>
      <c r="V8" s="132">
        <f>V7/Plan!G5</f>
        <v>0.78202117647058833</v>
      </c>
      <c r="W8" s="132">
        <f>W7/Plan!H5</f>
        <v>0.98199727272727289</v>
      </c>
      <c r="X8" s="132">
        <f>X7/Plan!I5</f>
        <v>0.87745459459459474</v>
      </c>
      <c r="Y8" s="132">
        <f>Y7/Plan!J5</f>
        <v>0.41262301886792452</v>
      </c>
      <c r="Z8" s="132">
        <f>Z7/Plan!K5</f>
        <v>0.39851407407407402</v>
      </c>
      <c r="AA8" s="132">
        <f>AA7/Plan!L5</f>
        <v>0.42696969696969694</v>
      </c>
      <c r="AB8" s="132">
        <f>AB7/Plan!M5</f>
        <v>0.758413</v>
      </c>
      <c r="AC8" s="132">
        <f>AC7/Plan!N5</f>
        <v>0.75844749999999994</v>
      </c>
      <c r="AD8" s="132">
        <f>AD7/Plan!O5</f>
        <v>0.64105425000000005</v>
      </c>
      <c r="AE8" s="132">
        <f>AE7/Plan!P5</f>
        <v>0.85171612244897965</v>
      </c>
      <c r="AF8" s="132">
        <f>AF7/Plan!Q5</f>
        <v>0.46045171232876719</v>
      </c>
      <c r="AG8" s="132">
        <f>AG7/Plan!R5</f>
        <v>0.62919161073825514</v>
      </c>
      <c r="AH8" s="132">
        <f>AH7/Plan!S5</f>
        <v>0.45654275</v>
      </c>
      <c r="AI8" s="132">
        <f>AI7/Plan!T5</f>
        <v>0.66648898305084758</v>
      </c>
      <c r="AJ8" s="132">
        <f>AJ7/Plan!U5</f>
        <v>0.6719708333333333</v>
      </c>
      <c r="AK8" s="132">
        <f>AK7/Plan!V5</f>
        <v>1.0082256740914421</v>
      </c>
      <c r="AL8" s="132">
        <f>AL7/Plan!W5</f>
        <v>0.96339405034324943</v>
      </c>
      <c r="AM8" s="132">
        <f>AM7/Plan!X5</f>
        <v>0.90136806640625</v>
      </c>
      <c r="AN8" s="132">
        <f>AN7/Plan!Y5</f>
        <v>1.0212606666666666</v>
      </c>
      <c r="AO8" s="132">
        <f>AO7/Plan!Z5</f>
        <v>1.2059385103011093</v>
      </c>
      <c r="AP8" s="132">
        <f>AP7/Plan!AA5</f>
        <v>1.1765522222222222</v>
      </c>
      <c r="AQ8" s="132">
        <f>AQ7/Plan!AB5</f>
        <v>2.2759860946745563</v>
      </c>
      <c r="AR8" s="132">
        <v>1.0426657044132441</v>
      </c>
      <c r="AS8" s="132">
        <v>0.71029369052623537</v>
      </c>
      <c r="AT8" s="132">
        <v>0.86386177987282109</v>
      </c>
      <c r="AU8" s="132">
        <v>1.18576138071066</v>
      </c>
      <c r="AV8" s="132">
        <v>0.59341073446327686</v>
      </c>
      <c r="AW8" s="132">
        <v>1.0116825491828874</v>
      </c>
      <c r="AX8" s="132">
        <v>0.79487213681545965</v>
      </c>
      <c r="AY8" s="132">
        <v>1.0298581411600278</v>
      </c>
      <c r="AZ8" s="132">
        <v>0.92176913114210346</v>
      </c>
      <c r="BA8" s="132">
        <v>0.78752821739663847</v>
      </c>
      <c r="BB8" s="132">
        <v>1.1477760833333333</v>
      </c>
      <c r="BC8" s="132">
        <f>BC7/Plan!AQ5</f>
        <v>1.0738603218749998</v>
      </c>
      <c r="BD8" s="132">
        <f>BD7/Plan!AR5</f>
        <v>0.73880331428571455</v>
      </c>
      <c r="BE8" s="132">
        <f>BE7/Plan!AS5</f>
        <v>0.80829033055555566</v>
      </c>
      <c r="BF8" s="132">
        <f>BF7/Plan!AT5</f>
        <v>0.90674284127659721</v>
      </c>
      <c r="BG8" s="132">
        <f>BG7/Plan!AU5</f>
        <v>0.80028424543264931</v>
      </c>
      <c r="BH8" s="132">
        <f>BH7/Plan!AV5</f>
        <v>0.74212461774049376</v>
      </c>
      <c r="BI8" s="132">
        <f>BI7/Plan!AW5</f>
        <v>0.86778631987568855</v>
      </c>
      <c r="BJ8" s="132">
        <f>BJ7/Plan!AX5</f>
        <v>0.85908842597584156</v>
      </c>
      <c r="BK8" s="132">
        <f>BK7/Plan!AY5</f>
        <v>0.98006041205778238</v>
      </c>
      <c r="BL8" s="132">
        <f>BL7/Plan!AZ5</f>
        <v>1.378625344636377</v>
      </c>
      <c r="BM8" s="132">
        <f>BM7/Plan!BA5</f>
        <v>1.2612701514344955</v>
      </c>
      <c r="BN8" s="132">
        <f>BN7/Plan!BB5</f>
        <v>1.9989330002929089</v>
      </c>
      <c r="BO8" s="132">
        <f>BO7/Plan!BC5</f>
        <v>1.1776685521881014</v>
      </c>
      <c r="BP8" s="132">
        <f>BP7/Plan!BD5</f>
        <v>1.0436299708175416</v>
      </c>
      <c r="BQ8" s="132">
        <f>BQ7/Plan!BE5</f>
        <v>0.94271678820156002</v>
      </c>
      <c r="BR8" s="132">
        <f>BR7/Plan!BF5</f>
        <v>0.91475480388376251</v>
      </c>
      <c r="BS8" s="132">
        <f>BS7/Plan!BG5</f>
        <v>0.76640059076302791</v>
      </c>
      <c r="BT8" s="132">
        <f>BT7/Plan!BH5</f>
        <v>0</v>
      </c>
      <c r="BU8" s="132">
        <f>BU7/Plan!BI5</f>
        <v>0</v>
      </c>
      <c r="BV8" s="132">
        <f>BV7/Plan!BJ5</f>
        <v>0</v>
      </c>
      <c r="BW8" s="132">
        <f>BW7/Plan!BK5</f>
        <v>0</v>
      </c>
      <c r="BX8" s="132">
        <f>BX7/Plan!BL5</f>
        <v>0</v>
      </c>
      <c r="BY8" s="1627"/>
      <c r="BZ8" s="26"/>
      <c r="CA8" s="146"/>
    </row>
    <row r="9" spans="1:81" ht="13.5" customHeight="1">
      <c r="B9" s="68"/>
      <c r="C9" s="27"/>
      <c r="D9" s="27"/>
      <c r="E9" s="2110"/>
      <c r="F9" s="2111"/>
      <c r="G9" s="112"/>
      <c r="H9" s="112"/>
      <c r="I9" s="112"/>
      <c r="J9" s="112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1794"/>
      <c r="BY9" s="1627"/>
      <c r="BZ9" s="26"/>
      <c r="CA9" s="146"/>
    </row>
    <row r="10" spans="1:81">
      <c r="B10" s="102" t="s">
        <v>278</v>
      </c>
      <c r="C10" s="27"/>
      <c r="D10" s="27"/>
      <c r="E10" s="2106">
        <f>Country!B5</f>
        <v>332031.74230000016</v>
      </c>
      <c r="F10" s="2107">
        <f>Plan!C6</f>
        <v>323609.43409365858</v>
      </c>
      <c r="G10" s="112"/>
      <c r="H10" s="113"/>
      <c r="I10" s="113"/>
      <c r="J10" s="113"/>
      <c r="K10" s="122">
        <f>Country!M5</f>
        <v>220</v>
      </c>
      <c r="L10" s="122">
        <f>Country!N5</f>
        <v>214.602</v>
      </c>
      <c r="M10" s="122">
        <f>Country!O5</f>
        <v>713.33</v>
      </c>
      <c r="N10" s="122">
        <f>Country!P5</f>
        <v>174.649</v>
      </c>
      <c r="O10" s="122">
        <f>Country!Q5</f>
        <v>286.2</v>
      </c>
      <c r="P10" s="122">
        <f>Country!R5</f>
        <v>341.46699999999998</v>
      </c>
      <c r="Q10" s="122">
        <f>Country!S5</f>
        <v>164.99600000000001</v>
      </c>
      <c r="R10" s="122">
        <f>Country!T5</f>
        <v>157.32299999999998</v>
      </c>
      <c r="S10" s="122">
        <f>Country!U5</f>
        <v>1140.7040000000002</v>
      </c>
      <c r="T10" s="122">
        <f>Country!V5</f>
        <v>417.87900000000002</v>
      </c>
      <c r="U10" s="122">
        <f>Country!W5</f>
        <v>177.839</v>
      </c>
      <c r="V10" s="289">
        <f>Country!X5</f>
        <v>633.53500000000008</v>
      </c>
      <c r="W10" s="289">
        <f>Country!Y5</f>
        <v>1015.6840000000001</v>
      </c>
      <c r="X10" s="289">
        <f>Country!Z5</f>
        <v>1317.0990000000002</v>
      </c>
      <c r="Y10" s="289">
        <f>Country!AA5</f>
        <v>1163.075</v>
      </c>
      <c r="Z10" s="289">
        <f>Country!AB5</f>
        <v>954.37400000000002</v>
      </c>
      <c r="AA10" s="289">
        <f>Country!AC5</f>
        <v>1319.2910000000002</v>
      </c>
      <c r="AB10" s="289">
        <f>Country!AD5</f>
        <v>2820.9949999999999</v>
      </c>
      <c r="AC10" s="289">
        <f>Country!AE5</f>
        <v>2210.6509999999998</v>
      </c>
      <c r="AD10" s="289">
        <f>Country!AF5</f>
        <v>2332.0639999999999</v>
      </c>
      <c r="AE10" s="289">
        <f>Country!AG5</f>
        <v>3934.4139999999998</v>
      </c>
      <c r="AF10" s="289">
        <f>Country!AH5</f>
        <v>1221.192</v>
      </c>
      <c r="AG10" s="289">
        <f>Country!AI5</f>
        <v>1756.2840000000001</v>
      </c>
      <c r="AH10" s="289">
        <f>Country!AJ5</f>
        <v>1752.6619999999998</v>
      </c>
      <c r="AI10" s="289">
        <f>Country!AK5</f>
        <v>2983.4009999999998</v>
      </c>
      <c r="AJ10" s="289">
        <f>Country!AL5</f>
        <v>3717.7340000000004</v>
      </c>
      <c r="AK10" s="289">
        <f>Country!AM5</f>
        <v>8275.8889999999992</v>
      </c>
      <c r="AL10" s="289">
        <f>Country!AN5</f>
        <v>7606.134</v>
      </c>
      <c r="AM10" s="289">
        <f>Country!AO5</f>
        <v>8644.5550000000003</v>
      </c>
      <c r="AN10" s="289">
        <f>Country!AP5</f>
        <v>13309.986000000001</v>
      </c>
      <c r="AO10" s="289">
        <f>Country!AQ5</f>
        <v>14702.573</v>
      </c>
      <c r="AP10" s="289">
        <f>Country!AR5</f>
        <v>15023.790999999999</v>
      </c>
      <c r="AQ10" s="289">
        <f>Country!AS5</f>
        <v>37652.177000000003</v>
      </c>
      <c r="AR10" s="289">
        <v>22629.834999999999</v>
      </c>
      <c r="AS10" s="289">
        <v>18306.072</v>
      </c>
      <c r="AT10" s="289">
        <v>26230.601999999999</v>
      </c>
      <c r="AU10" s="289">
        <v>28538.013999999999</v>
      </c>
      <c r="AV10" s="289">
        <v>16287.662</v>
      </c>
      <c r="AW10" s="289">
        <v>37854.292000000001</v>
      </c>
      <c r="AX10" s="289">
        <v>25289.309000000001</v>
      </c>
      <c r="AY10" s="289">
        <v>41639.970999999998</v>
      </c>
      <c r="AZ10" s="289">
        <v>57736.464500000002</v>
      </c>
      <c r="BA10" s="289">
        <v>13641.9247</v>
      </c>
      <c r="BB10" s="289">
        <v>13892.638999999999</v>
      </c>
      <c r="BC10" s="289">
        <f>Country!BH5</f>
        <v>33141.966699999997</v>
      </c>
      <c r="BD10" s="289">
        <f>Country!BI5</f>
        <v>30639.373500000002</v>
      </c>
      <c r="BE10" s="289">
        <f>Country!BJ5</f>
        <v>27458.014999999999</v>
      </c>
      <c r="BF10" s="289">
        <f>Country!BK5</f>
        <v>41468.133600000001</v>
      </c>
      <c r="BG10" s="289">
        <f>Country!BL5</f>
        <v>29747.921000000013</v>
      </c>
      <c r="BH10" s="289">
        <f>Country!BM5</f>
        <v>31024.38900000001</v>
      </c>
      <c r="BI10" s="289">
        <f>Country!BN5</f>
        <v>48843.573000000084</v>
      </c>
      <c r="BJ10" s="289">
        <f>Country!BO5</f>
        <v>39101.215000000018</v>
      </c>
      <c r="BK10" s="289">
        <f>Country!BP5</f>
        <v>50426.896000000066</v>
      </c>
      <c r="BL10" s="289">
        <f>Country!BQ5</f>
        <v>94434.854000000225</v>
      </c>
      <c r="BM10" s="289">
        <f>Country!BR5</f>
        <v>27131.550000000003</v>
      </c>
      <c r="BN10" s="289">
        <f>Country!BS5</f>
        <v>40723.482300000003</v>
      </c>
      <c r="BO10" s="289">
        <f>Country!BT5</f>
        <v>56762.080000000002</v>
      </c>
      <c r="BP10" s="289">
        <f>Country!BU5</f>
        <v>49965.191000000006</v>
      </c>
      <c r="BQ10" s="289">
        <f>Country!BV5</f>
        <v>53646.55</v>
      </c>
      <c r="BR10" s="289">
        <f>Country!BW5</f>
        <v>58133.58</v>
      </c>
      <c r="BS10" s="289">
        <f>Country!BX5</f>
        <v>45669.309000000096</v>
      </c>
      <c r="BT10" s="289">
        <f>Country!BY5</f>
        <v>0</v>
      </c>
      <c r="BU10" s="289">
        <f>Country!BZ5</f>
        <v>0</v>
      </c>
      <c r="BV10" s="289">
        <f>Country!CA5</f>
        <v>0</v>
      </c>
      <c r="BW10" s="289">
        <f>Country!CB5</f>
        <v>0</v>
      </c>
      <c r="BX10" s="289">
        <f>Country!CC5</f>
        <v>0</v>
      </c>
      <c r="BY10" s="1626">
        <f>Plan!$BO$6</f>
        <v>59891.902241751806</v>
      </c>
      <c r="BZ10" s="26"/>
      <c r="CA10" s="146"/>
      <c r="CC10" s="521"/>
    </row>
    <row r="11" spans="1:81">
      <c r="B11" s="151" t="s">
        <v>228</v>
      </c>
      <c r="C11" s="27"/>
      <c r="D11" s="28"/>
      <c r="E11" s="2108">
        <f>+E10-F10</f>
        <v>8422.3082063415786</v>
      </c>
      <c r="F11" s="2109">
        <f>+E10/F10</f>
        <v>1.0260261516476803</v>
      </c>
      <c r="G11" s="115"/>
      <c r="H11" s="113"/>
      <c r="I11" s="113"/>
      <c r="J11" s="113"/>
      <c r="K11" s="123"/>
      <c r="L11" s="123"/>
      <c r="M11" s="123"/>
      <c r="N11" s="123"/>
      <c r="O11" s="123"/>
      <c r="P11" s="123"/>
      <c r="Q11" s="143"/>
      <c r="R11" s="123"/>
      <c r="S11" s="123"/>
      <c r="T11" s="143">
        <f>T10/Plan!E6</f>
        <v>0.83911445783132532</v>
      </c>
      <c r="U11" s="143">
        <f>U10/Plan!F6</f>
        <v>0.38957064622124865</v>
      </c>
      <c r="V11" s="143">
        <f>V10/Plan!G6</f>
        <v>0.89799433026222553</v>
      </c>
      <c r="W11" s="143">
        <f>W10/Plan!H6</f>
        <v>1.1124687842278205</v>
      </c>
      <c r="X11" s="143">
        <f>X10/Plan!I6</f>
        <v>0.85776554868121146</v>
      </c>
      <c r="Y11" s="143">
        <f>Y10/Plan!J6</f>
        <v>0.52879063423505346</v>
      </c>
      <c r="Z11" s="143">
        <f>Z10/Plan!K6</f>
        <v>0.42586970102632754</v>
      </c>
      <c r="AA11" s="143">
        <f>AA10/Plan!L6</f>
        <v>0.48166885724717057</v>
      </c>
      <c r="AB11" s="143">
        <f>AB10/Plan!M6</f>
        <v>0.84969728915662646</v>
      </c>
      <c r="AC11" s="143">
        <f>AC10/Plan!N6</f>
        <v>0.83232341867469872</v>
      </c>
      <c r="AD11" s="143">
        <f>AD10/Plan!O6</f>
        <v>0.70242891566265053</v>
      </c>
      <c r="AE11" s="143">
        <f>AE10/Plan!P6</f>
        <v>0.96739955741332673</v>
      </c>
      <c r="AF11" s="143">
        <f>AF10/Plan!Q6</f>
        <v>0.48629818413507492</v>
      </c>
      <c r="AG11" s="143">
        <f>AG10/Plan!R6</f>
        <v>0.68529889183705317</v>
      </c>
      <c r="AH11" s="143">
        <f>AH10/Plan!S6</f>
        <v>0.5094947674418604</v>
      </c>
      <c r="AI11" s="143">
        <f>AI10/Plan!T6</f>
        <v>0.73497265471028772</v>
      </c>
      <c r="AJ11" s="143">
        <f>AJ10/Plan!U6</f>
        <v>0.72049108527131789</v>
      </c>
      <c r="AK11" s="143">
        <f>AK10/Plan!V6</f>
        <v>1.1281508492597943</v>
      </c>
      <c r="AL11" s="143">
        <f>AL10/Plan!W6</f>
        <v>1.011938427970837</v>
      </c>
      <c r="AM11" s="143">
        <f>AM10/Plan!X6</f>
        <v>0.98162188862645372</v>
      </c>
      <c r="AN11" s="143">
        <f>AN10/Plan!Y6</f>
        <v>1.1464242894056851</v>
      </c>
      <c r="AO11" s="143">
        <f>AO10/Plan!Z6</f>
        <v>1.3546763166623668</v>
      </c>
      <c r="AP11" s="143">
        <f>AP10/Plan!AA6</f>
        <v>1.2940388458225667</v>
      </c>
      <c r="AQ11" s="143">
        <f>AQ10/Plan!AB6</f>
        <v>2.5904490540075682</v>
      </c>
      <c r="AR11" s="143">
        <v>1.0406435666329439</v>
      </c>
      <c r="AS11" s="143">
        <v>0.73521314109000357</v>
      </c>
      <c r="AT11" s="143">
        <v>0.87252110567807606</v>
      </c>
      <c r="AU11" s="143">
        <v>1.2186878763291626</v>
      </c>
      <c r="AV11" s="143">
        <v>0.60483723866463668</v>
      </c>
      <c r="AW11" s="143">
        <v>1.0355151548309443</v>
      </c>
      <c r="AX11" s="143">
        <v>0.82076168375957426</v>
      </c>
      <c r="AY11" s="143">
        <v>1.0548975502242037</v>
      </c>
      <c r="AZ11" s="143">
        <v>0.95832928610553225</v>
      </c>
      <c r="BA11" s="143">
        <v>0.88091984372982046</v>
      </c>
      <c r="BB11" s="143">
        <v>1.1577199166666665</v>
      </c>
      <c r="BC11" s="143">
        <f>BC10/Plan!AQ6</f>
        <v>1.0356864593749999</v>
      </c>
      <c r="BD11" s="143">
        <f>BD10/Plan!AR6</f>
        <v>0.72950889285714293</v>
      </c>
      <c r="BE11" s="143">
        <f>BE10/Plan!AS6</f>
        <v>0.76272263888888892</v>
      </c>
      <c r="BF11" s="143">
        <f>BF10/Plan!AT6</f>
        <v>0.88230071489361706</v>
      </c>
      <c r="BG11" s="143">
        <f>BG10/Plan!AU6</f>
        <v>0.65232377255882312</v>
      </c>
      <c r="BH11" s="143">
        <f>BH10/Plan!AV6</f>
        <v>0.5946545415057819</v>
      </c>
      <c r="BI11" s="143">
        <f>BI10/Plan!AW6</f>
        <v>0.7204045225851412</v>
      </c>
      <c r="BJ11" s="143">
        <f>BJ10/Plan!AX6</f>
        <v>0.68470646293575144</v>
      </c>
      <c r="BK11" s="143">
        <f>BK10/Plan!AY6</f>
        <v>0.77912353706015258</v>
      </c>
      <c r="BL11" s="143">
        <f>BL10/Plan!AZ6</f>
        <v>1.1164124935444808</v>
      </c>
      <c r="BM11" s="143">
        <f>BM10/Plan!BA6</f>
        <v>1.2822417233271484</v>
      </c>
      <c r="BN11" s="143">
        <f>BN10/Plan!BB6</f>
        <v>1.9515133170020655</v>
      </c>
      <c r="BO11" s="143">
        <f>BO10/Plan!BC6</f>
        <v>1.1425872752225072</v>
      </c>
      <c r="BP11" s="143">
        <f>BP10/Plan!BD6</f>
        <v>1.013362042304939</v>
      </c>
      <c r="BQ11" s="143">
        <f>BQ10/Plan!BE6</f>
        <v>0.92944081704583337</v>
      </c>
      <c r="BR11" s="143">
        <f>BR10/Plan!BF6</f>
        <v>0.89455065269128919</v>
      </c>
      <c r="BS11" s="143">
        <f>BS10/Plan!BG6</f>
        <v>0.7625289444916501</v>
      </c>
      <c r="BT11" s="143">
        <f>BT10/Plan!BH6</f>
        <v>0</v>
      </c>
      <c r="BU11" s="143">
        <f>BU10/Plan!BI6</f>
        <v>0</v>
      </c>
      <c r="BV11" s="143">
        <f>BV10/Plan!BJ6</f>
        <v>0</v>
      </c>
      <c r="BW11" s="143">
        <f>BW10/Plan!BK6</f>
        <v>0</v>
      </c>
      <c r="BX11" s="143">
        <f>BX10/Plan!BL6</f>
        <v>0</v>
      </c>
      <c r="BY11" s="1627"/>
      <c r="BZ11" s="26"/>
      <c r="CA11" s="146"/>
    </row>
    <row r="12" spans="1:81" ht="12" customHeight="1">
      <c r="B12" s="102"/>
      <c r="C12" s="27"/>
      <c r="D12" s="27"/>
      <c r="E12" s="2110"/>
      <c r="F12" s="2111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21"/>
      <c r="R12" s="112"/>
      <c r="S12" s="11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1794"/>
      <c r="BY12" s="1627"/>
      <c r="BZ12" s="26"/>
      <c r="CA12" s="146"/>
    </row>
    <row r="13" spans="1:81" hidden="1">
      <c r="B13" s="102" t="s">
        <v>89</v>
      </c>
      <c r="C13" s="27"/>
      <c r="D13" s="27"/>
      <c r="E13" s="2106">
        <f>Country!B14</f>
        <v>20183</v>
      </c>
      <c r="F13" s="2112">
        <f>Plan!C13</f>
        <v>19789.714144673388</v>
      </c>
      <c r="G13" s="112"/>
      <c r="H13" s="113"/>
      <c r="I13" s="113"/>
      <c r="J13" s="113"/>
      <c r="K13" s="113">
        <f>Country!M14</f>
        <v>23</v>
      </c>
      <c r="L13" s="113">
        <f>Country!N14</f>
        <v>27</v>
      </c>
      <c r="M13" s="113">
        <f>Country!O14</f>
        <v>29</v>
      </c>
      <c r="N13" s="113">
        <f>Country!P14</f>
        <v>17</v>
      </c>
      <c r="O13" s="113">
        <f>Country!Q14</f>
        <v>24</v>
      </c>
      <c r="P13" s="113">
        <f>Country!R14</f>
        <v>29</v>
      </c>
      <c r="Q13" s="113">
        <f>Country!S14</f>
        <v>15</v>
      </c>
      <c r="R13" s="113">
        <f>Country!T14</f>
        <v>14</v>
      </c>
      <c r="S13" s="113">
        <f>Country!U14</f>
        <v>73</v>
      </c>
      <c r="T13" s="113">
        <f>Country!V14</f>
        <v>32</v>
      </c>
      <c r="U13" s="113">
        <f>Country!W14</f>
        <v>11</v>
      </c>
      <c r="V13" s="128">
        <f>Country!X14</f>
        <v>48</v>
      </c>
      <c r="W13" s="128">
        <f>Country!Y14</f>
        <v>81</v>
      </c>
      <c r="X13" s="128">
        <f>Country!Z14</f>
        <v>106</v>
      </c>
      <c r="Y13" s="128">
        <f>Country!AA14</f>
        <v>109</v>
      </c>
      <c r="Z13" s="128">
        <f>Country!AB14</f>
        <v>72</v>
      </c>
      <c r="AA13" s="128">
        <f>Country!AC14</f>
        <v>97</v>
      </c>
      <c r="AB13" s="128">
        <f>Country!AD14</f>
        <v>163</v>
      </c>
      <c r="AC13" s="128">
        <f>Country!AE14</f>
        <v>150</v>
      </c>
      <c r="AD13" s="128">
        <f>Country!AF14</f>
        <v>149</v>
      </c>
      <c r="AE13" s="128">
        <f>Country!AG14</f>
        <v>281</v>
      </c>
      <c r="AF13" s="128">
        <f>Country!AH14</f>
        <v>85</v>
      </c>
      <c r="AG13" s="128">
        <f>Country!AI14</f>
        <v>137</v>
      </c>
      <c r="AH13" s="128">
        <f>Country!AJ14</f>
        <v>124</v>
      </c>
      <c r="AI13" s="128">
        <f>Country!AK14</f>
        <v>199</v>
      </c>
      <c r="AJ13" s="128">
        <f>Country!AL14</f>
        <v>244</v>
      </c>
      <c r="AK13" s="128"/>
      <c r="AL13" s="128"/>
      <c r="AM13" s="128"/>
      <c r="AN13" s="128"/>
      <c r="AO13" s="128"/>
      <c r="AP13" s="128"/>
      <c r="AQ13" s="87"/>
      <c r="AR13" s="87"/>
      <c r="AS13" s="1636"/>
      <c r="AT13" s="1636"/>
      <c r="AU13" s="1636"/>
      <c r="AV13" s="1636"/>
      <c r="AW13" s="1636"/>
      <c r="AX13" s="1636"/>
      <c r="AY13" s="1636"/>
      <c r="AZ13" s="1636"/>
      <c r="BA13" s="1636"/>
      <c r="BB13" s="1636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1794"/>
      <c r="BY13" s="1628"/>
      <c r="BZ13" s="26"/>
      <c r="CA13" s="146"/>
    </row>
    <row r="14" spans="1:81" ht="15.75" hidden="1" customHeight="1">
      <c r="B14" s="68"/>
      <c r="C14" s="27"/>
      <c r="D14" s="27"/>
      <c r="E14" s="2110"/>
      <c r="F14" s="2111"/>
      <c r="G14" s="112"/>
      <c r="H14" s="112"/>
      <c r="I14" s="112"/>
      <c r="J14" s="112"/>
      <c r="K14" s="125"/>
      <c r="L14" s="125"/>
      <c r="M14" s="125"/>
      <c r="N14" s="125"/>
      <c r="O14" s="125"/>
      <c r="P14" s="125"/>
      <c r="Q14" s="144"/>
      <c r="R14" s="125"/>
      <c r="S14" s="125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  <c r="BA14" s="267"/>
      <c r="BB14" s="26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1794"/>
      <c r="BY14" s="1627"/>
      <c r="BZ14" s="26"/>
      <c r="CA14" s="146"/>
    </row>
    <row r="15" spans="1:81">
      <c r="B15" s="371" t="s">
        <v>88</v>
      </c>
      <c r="C15" s="27"/>
      <c r="D15" s="27"/>
      <c r="E15" s="2113">
        <f>INDEX(AS$15:BX$15,1,MATCH(B2,AS5:BX5,0))</f>
        <v>7863</v>
      </c>
      <c r="F15" s="2114">
        <f>Plan!C7</f>
        <v>11603.932911977012</v>
      </c>
      <c r="G15" s="112"/>
      <c r="H15" s="112"/>
      <c r="I15" s="112"/>
      <c r="J15" s="112"/>
      <c r="K15" s="113">
        <f>Country!M7</f>
        <v>32</v>
      </c>
      <c r="L15" s="113">
        <f>Country!N7</f>
        <v>40</v>
      </c>
      <c r="M15" s="113">
        <f>Country!O7</f>
        <v>58</v>
      </c>
      <c r="N15" s="113">
        <f>Country!P7</f>
        <v>67</v>
      </c>
      <c r="O15" s="113">
        <f>Country!Q7</f>
        <v>68</v>
      </c>
      <c r="P15" s="113">
        <f>Country!R7</f>
        <v>63</v>
      </c>
      <c r="Q15" s="113">
        <f>Country!S7</f>
        <v>62</v>
      </c>
      <c r="R15" s="113">
        <f>Country!T7</f>
        <v>60</v>
      </c>
      <c r="S15" s="113">
        <f>Country!U7</f>
        <v>73</v>
      </c>
      <c r="T15" s="113">
        <f>Country!V7</f>
        <v>77</v>
      </c>
      <c r="U15" s="113">
        <f>Country!W7</f>
        <v>74</v>
      </c>
      <c r="V15" s="128">
        <f>Country!X7</f>
        <v>118</v>
      </c>
      <c r="W15" s="128">
        <f>Country!Y7</f>
        <v>212</v>
      </c>
      <c r="X15" s="128">
        <f>Country!Z7</f>
        <v>308</v>
      </c>
      <c r="Y15" s="128">
        <f>Country!AA7</f>
        <v>376</v>
      </c>
      <c r="Z15" s="128">
        <f>Country!AB7</f>
        <v>405</v>
      </c>
      <c r="AA15" s="128">
        <f>Country!AC7</f>
        <v>452</v>
      </c>
      <c r="AB15" s="128">
        <f>Country!AD7</f>
        <v>518</v>
      </c>
      <c r="AC15" s="128">
        <f>Country!AE7</f>
        <v>571</v>
      </c>
      <c r="AD15" s="128">
        <f>Country!AF7</f>
        <v>633</v>
      </c>
      <c r="AE15" s="289">
        <f>Country!AG7</f>
        <v>783</v>
      </c>
      <c r="AF15" s="289">
        <f>Country!AH7</f>
        <v>767</v>
      </c>
      <c r="AG15" s="289">
        <f>Country!AI7</f>
        <v>708</v>
      </c>
      <c r="AH15" s="289">
        <f>Country!AJ7</f>
        <v>711</v>
      </c>
      <c r="AI15" s="289">
        <f>Country!AK7</f>
        <v>874</v>
      </c>
      <c r="AJ15" s="289">
        <f>Country!AL7</f>
        <v>995</v>
      </c>
      <c r="AK15" s="289">
        <f>Country!AM7</f>
        <v>1089</v>
      </c>
      <c r="AL15" s="289">
        <f>Country!AN7</f>
        <v>1143</v>
      </c>
      <c r="AM15" s="289">
        <f>Country!AO7</f>
        <v>1339</v>
      </c>
      <c r="AN15" s="289">
        <f>Country!AP7</f>
        <v>1493</v>
      </c>
      <c r="AO15" s="289">
        <f>Country!AQ7</f>
        <v>1633</v>
      </c>
      <c r="AP15" s="289">
        <f>Country!AR7</f>
        <v>1894</v>
      </c>
      <c r="AQ15" s="289">
        <f>Country!AS7</f>
        <v>2176</v>
      </c>
      <c r="AR15" s="289">
        <v>3135</v>
      </c>
      <c r="AS15" s="289">
        <v>3049</v>
      </c>
      <c r="AT15" s="289">
        <v>3106</v>
      </c>
      <c r="AU15" s="289">
        <v>3127</v>
      </c>
      <c r="AV15" s="289">
        <v>3315</v>
      </c>
      <c r="AW15" s="289">
        <v>3461</v>
      </c>
      <c r="AX15" s="289">
        <v>3650</v>
      </c>
      <c r="AY15" s="289">
        <v>4000</v>
      </c>
      <c r="AZ15" s="289">
        <v>4117</v>
      </c>
      <c r="BA15" s="289">
        <v>4158</v>
      </c>
      <c r="BB15" s="289">
        <v>4068</v>
      </c>
      <c r="BC15" s="289">
        <f>Country!BH45</f>
        <v>4327</v>
      </c>
      <c r="BD15" s="289">
        <f>Country!BI45</f>
        <v>4506</v>
      </c>
      <c r="BE15" s="289">
        <f>Country!BJ45</f>
        <v>4930</v>
      </c>
      <c r="BF15" s="289">
        <f>Country!BK45</f>
        <v>5821</v>
      </c>
      <c r="BG15" s="289">
        <f>Country!BL45</f>
        <v>6335</v>
      </c>
      <c r="BH15" s="289">
        <f>Country!BM45</f>
        <v>6970</v>
      </c>
      <c r="BI15" s="289">
        <f>Country!BN45</f>
        <v>7706</v>
      </c>
      <c r="BJ15" s="289">
        <f>Country!BO45</f>
        <v>8408</v>
      </c>
      <c r="BK15" s="289">
        <f>Country!BP45</f>
        <v>8627</v>
      </c>
      <c r="BL15" s="289">
        <f>Country!BQ45</f>
        <v>9845</v>
      </c>
      <c r="BM15" s="289">
        <f>Country!BR45</f>
        <v>10030</v>
      </c>
      <c r="BN15" s="289">
        <f>Country!BS45</f>
        <v>7676</v>
      </c>
      <c r="BO15" s="289">
        <f>Country!BT45</f>
        <v>7777</v>
      </c>
      <c r="BP15" s="289">
        <f>Country!BU45</f>
        <v>7057</v>
      </c>
      <c r="BQ15" s="289">
        <f>Country!BV45</f>
        <v>7380</v>
      </c>
      <c r="BR15" s="289">
        <f>Country!BW45</f>
        <v>8015</v>
      </c>
      <c r="BS15" s="289">
        <f>Country!BX45</f>
        <v>7863</v>
      </c>
      <c r="BT15" s="289">
        <f>Country!BY45</f>
        <v>0</v>
      </c>
      <c r="BU15" s="289">
        <f>Country!BZ45</f>
        <v>0</v>
      </c>
      <c r="BV15" s="289">
        <f>Country!CA45</f>
        <v>0</v>
      </c>
      <c r="BW15" s="289">
        <f>Country!CB45</f>
        <v>0</v>
      </c>
      <c r="BX15" s="289">
        <f>Country!CC45</f>
        <v>0</v>
      </c>
      <c r="BY15" s="1626">
        <f>Plan!$BO$7</f>
        <v>11603.932911977012</v>
      </c>
      <c r="BZ15" s="26"/>
    </row>
    <row r="16" spans="1:81">
      <c r="B16" s="371"/>
      <c r="C16" s="27" t="s">
        <v>4197</v>
      </c>
      <c r="D16" s="27"/>
      <c r="E16" s="2208"/>
      <c r="F16" s="2209"/>
      <c r="G16" s="112"/>
      <c r="H16" s="112"/>
      <c r="I16" s="112"/>
      <c r="J16" s="112"/>
      <c r="K16" s="2210"/>
      <c r="L16" s="2210"/>
      <c r="M16" s="2210"/>
      <c r="N16" s="2210"/>
      <c r="O16" s="2210"/>
      <c r="P16" s="2210"/>
      <c r="Q16" s="2210"/>
      <c r="R16" s="2210"/>
      <c r="S16" s="2210"/>
      <c r="T16" s="2210"/>
      <c r="U16" s="2210"/>
      <c r="V16" s="2211"/>
      <c r="W16" s="2211"/>
      <c r="X16" s="2211"/>
      <c r="Y16" s="2211"/>
      <c r="Z16" s="2211"/>
      <c r="AA16" s="2211"/>
      <c r="AB16" s="2211"/>
      <c r="AC16" s="2211"/>
      <c r="AD16" s="2211"/>
      <c r="AE16" s="2212"/>
      <c r="AF16" s="2212"/>
      <c r="AG16" s="2212"/>
      <c r="AH16" s="2212"/>
      <c r="AI16" s="2212"/>
      <c r="AJ16" s="2212"/>
      <c r="AK16" s="2212"/>
      <c r="AL16" s="2212"/>
      <c r="AM16" s="2212"/>
      <c r="AN16" s="2212"/>
      <c r="AO16" s="2212"/>
      <c r="AP16" s="2212"/>
      <c r="AQ16" s="2212"/>
      <c r="AR16" s="2212"/>
      <c r="AS16" s="2212"/>
      <c r="AT16" s="2212"/>
      <c r="AU16" s="2212"/>
      <c r="AV16" s="2212"/>
      <c r="AW16" s="2212"/>
      <c r="AX16" s="2212"/>
      <c r="AY16" s="2212"/>
      <c r="AZ16" s="2212"/>
      <c r="BA16" s="2212"/>
      <c r="BB16" s="2212"/>
      <c r="BC16" s="2212"/>
      <c r="BD16" s="2212"/>
      <c r="BE16" s="2212"/>
      <c r="BF16" s="2212"/>
      <c r="BG16" s="2212"/>
      <c r="BH16" s="2212"/>
      <c r="BI16" s="2212"/>
      <c r="BJ16" s="2212"/>
      <c r="BK16" s="2212"/>
      <c r="BL16" s="2212"/>
      <c r="BM16" s="2212"/>
      <c r="BN16" s="2212">
        <f>Country!BS44</f>
        <v>2354</v>
      </c>
      <c r="BO16" s="2212">
        <f>Country!BT44</f>
        <v>2611</v>
      </c>
      <c r="BP16" s="2212">
        <f>Country!BU44</f>
        <v>3496</v>
      </c>
      <c r="BQ16" s="2212">
        <f>Country!BV44</f>
        <v>4041</v>
      </c>
      <c r="BR16" s="2212">
        <f>Country!BW44</f>
        <v>4849</v>
      </c>
      <c r="BS16" s="2212">
        <f>Country!BX44</f>
        <v>5854</v>
      </c>
      <c r="BT16" s="2212">
        <f>Country!BY44</f>
        <v>0</v>
      </c>
      <c r="BU16" s="2212">
        <f>Country!BZ44</f>
        <v>0</v>
      </c>
      <c r="BV16" s="2212">
        <f>Country!CA44</f>
        <v>0</v>
      </c>
      <c r="BW16" s="2212">
        <f>Country!CB44</f>
        <v>0</v>
      </c>
      <c r="BX16" s="2212">
        <f>Country!CC44</f>
        <v>0</v>
      </c>
      <c r="BY16" s="2213"/>
      <c r="BZ16" s="26"/>
    </row>
    <row r="17" spans="1:78" s="121" customFormat="1" ht="9.6" customHeight="1">
      <c r="B17" s="372"/>
      <c r="C17" s="27"/>
      <c r="D17" s="27"/>
      <c r="E17" s="2115"/>
      <c r="F17" s="2116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21"/>
      <c r="R17" s="112"/>
      <c r="S17" s="11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1794"/>
      <c r="BY17" s="1627"/>
      <c r="BZ17" s="26"/>
    </row>
    <row r="18" spans="1:78">
      <c r="B18" s="373" t="s">
        <v>45</v>
      </c>
      <c r="C18" s="27"/>
      <c r="D18" s="28"/>
      <c r="E18" s="2117">
        <f>Country!B19</f>
        <v>5.9540381517547436</v>
      </c>
      <c r="F18" s="2274">
        <f>Plan!C18</f>
        <v>4</v>
      </c>
      <c r="G18" s="116"/>
      <c r="H18" s="139"/>
      <c r="I18" s="139"/>
      <c r="J18" s="139"/>
      <c r="K18" s="140">
        <f>Country!M19</f>
        <v>18.265000000000001</v>
      </c>
      <c r="L18" s="140">
        <f>Country!N19</f>
        <v>9.5489999999999995</v>
      </c>
      <c r="M18" s="140">
        <f>Country!O19</f>
        <v>16.658346938775509</v>
      </c>
      <c r="N18" s="140">
        <f>Country!P19</f>
        <v>3.7591999999999999</v>
      </c>
      <c r="O18" s="140">
        <f>Country!Q19</f>
        <v>4.8062370370370369</v>
      </c>
      <c r="P18" s="140">
        <f>Country!R19</f>
        <v>8.1825496183206106</v>
      </c>
      <c r="Q18" s="140">
        <f>Country!S19</f>
        <v>3.3902079999999999</v>
      </c>
      <c r="R18" s="140">
        <f>Country!T19</f>
        <v>2.9630655737704918</v>
      </c>
      <c r="S18" s="140">
        <f>Country!U19</f>
        <v>17.871834586466164</v>
      </c>
      <c r="T18" s="140">
        <f>Country!V19</f>
        <v>5.5192800000000002</v>
      </c>
      <c r="U18" s="140">
        <f>Country!W19</f>
        <v>2.2243046357615897</v>
      </c>
      <c r="V18" s="131">
        <f>Country!X19</f>
        <v>6.9241458333333341</v>
      </c>
      <c r="W18" s="131">
        <f>Country!Y19</f>
        <v>6.5466484848484852</v>
      </c>
      <c r="X18" s="131">
        <f>Country!Z19</f>
        <v>6.2434269230769237</v>
      </c>
      <c r="Y18" s="131">
        <f>Country!AA19</f>
        <v>3.1972251461988304</v>
      </c>
      <c r="Z18" s="131">
        <f>Country!AB19</f>
        <v>2.7554110115236869</v>
      </c>
      <c r="AA18" s="131">
        <f>Country!AC19</f>
        <v>3.2882147024504085</v>
      </c>
      <c r="AB18" s="131">
        <f>Country!AD19</f>
        <v>6.254952577319588</v>
      </c>
      <c r="AC18" s="131">
        <f>Country!AE19</f>
        <v>4.4573590449954077</v>
      </c>
      <c r="AD18" s="131">
        <f>Country!AF19</f>
        <v>4.2594966777408638</v>
      </c>
      <c r="AE18" s="131">
        <f>Country!AG19</f>
        <v>5.8946454802259893</v>
      </c>
      <c r="AF18" s="131">
        <f>Country!AH19</f>
        <v>1.7348632258064518</v>
      </c>
      <c r="AG18" s="131">
        <f>Country!AI19</f>
        <v>2.5423606779661019</v>
      </c>
      <c r="AH18" s="131">
        <f>Country!AJ19</f>
        <v>2.5738844256518676</v>
      </c>
      <c r="AI18" s="131">
        <f>Country!AK19</f>
        <v>3.9694990536277608</v>
      </c>
      <c r="AJ18" s="131">
        <f>Country!AL19</f>
        <v>4.3144194756554306</v>
      </c>
      <c r="AK18" s="131">
        <f>Country!AM19</f>
        <v>8.2535172744721699</v>
      </c>
      <c r="AL18" s="131">
        <f>Country!AN19</f>
        <v>7.544860215053764</v>
      </c>
      <c r="AM18" s="131">
        <f>Country!AO19</f>
        <v>7.437557614826753</v>
      </c>
      <c r="AN18" s="131">
        <f>Country!AP19</f>
        <v>9.7365953389830509</v>
      </c>
      <c r="AO18" s="131">
        <f>Country!AQ19</f>
        <v>9.7370083173384518</v>
      </c>
      <c r="AP18" s="131">
        <f>Country!AR19</f>
        <v>9.0067791324071447</v>
      </c>
      <c r="AQ18" s="131">
        <f>Country!AS19</f>
        <v>18.901309582309583</v>
      </c>
      <c r="AR18" s="131">
        <v>8.0237179400875132</v>
      </c>
      <c r="AS18" s="131">
        <v>6.0110785899094443</v>
      </c>
      <c r="AT18" s="131">
        <v>8.8727236393176288</v>
      </c>
      <c r="AU18" s="131">
        <v>9.3768060372511233</v>
      </c>
      <c r="AV18" s="131">
        <v>5.2174455138155853</v>
      </c>
      <c r="AW18" s="131">
        <v>11.469814721935387</v>
      </c>
      <c r="AX18" s="131">
        <v>7.2420441569399525</v>
      </c>
      <c r="AY18" s="131">
        <v>11.171894654293556</v>
      </c>
      <c r="AZ18" s="131">
        <v>14.360228592519684</v>
      </c>
      <c r="BA18" s="131">
        <v>3.103283780517283</v>
      </c>
      <c r="BB18" s="131">
        <v>3.3414150897622514</v>
      </c>
      <c r="BC18" s="131">
        <f>Country!BH19</f>
        <v>8.1886167758846629</v>
      </c>
      <c r="BD18" s="131">
        <f>Country!BI19</f>
        <v>7.0274576378666085</v>
      </c>
      <c r="BE18" s="131">
        <f>Country!BJ19</f>
        <v>6.1681933015368315</v>
      </c>
      <c r="BF18" s="131">
        <f>Country!BK19</f>
        <v>7.9294657251837508</v>
      </c>
      <c r="BG18" s="131">
        <f>Country!BL19</f>
        <v>5.0434729422412392</v>
      </c>
      <c r="BH18" s="131">
        <f>Country!BM19</f>
        <v>4.8645088012025601</v>
      </c>
      <c r="BI18" s="131">
        <f>Country!BN19</f>
        <v>6.7544281548105847</v>
      </c>
      <c r="BJ18" s="131">
        <f>Country!BO19</f>
        <v>5.0787787824252222</v>
      </c>
      <c r="BK18" s="131">
        <f>Country!BP19</f>
        <v>6.0561237367546932</v>
      </c>
      <c r="BL18" s="131">
        <f>Country!BQ19</f>
        <v>10.269072834462355</v>
      </c>
      <c r="BM18" s="131">
        <f>Country!BR19</f>
        <v>2.6855650555974844</v>
      </c>
      <c r="BN18" s="131">
        <f>Country!BS19</f>
        <v>4.7117383146955838</v>
      </c>
      <c r="BO18" s="131">
        <f>Country!BT19</f>
        <v>7.5719752798809301</v>
      </c>
      <c r="BP18" s="131">
        <f>Country!BU19</f>
        <v>6.9377905217743026</v>
      </c>
      <c r="BQ18" s="131">
        <f>Country!BV19</f>
        <v>7.5379688300893539</v>
      </c>
      <c r="BR18" s="131">
        <f>Country!BW19</f>
        <v>7.7228417018512499</v>
      </c>
      <c r="BS18" s="131">
        <f>Country!BX19</f>
        <v>5.7817343821640135</v>
      </c>
      <c r="BT18" s="131">
        <f>Country!BY19</f>
        <v>0</v>
      </c>
      <c r="BU18" s="131">
        <f>Country!BZ19</f>
        <v>0</v>
      </c>
      <c r="BV18" s="131">
        <f>Country!CA19</f>
        <v>0</v>
      </c>
      <c r="BW18" s="131">
        <f>Country!CB19</f>
        <v>0</v>
      </c>
      <c r="BX18" s="131">
        <f>Country!CC19</f>
        <v>0</v>
      </c>
      <c r="BY18" s="1629">
        <f>Plan!$BO$18</f>
        <v>5.1613450970519068</v>
      </c>
      <c r="BZ18" s="26"/>
    </row>
    <row r="19" spans="1:78" hidden="1">
      <c r="B19" s="374" t="s">
        <v>54</v>
      </c>
      <c r="C19" s="70"/>
      <c r="D19" s="71"/>
      <c r="E19" s="2118">
        <v>6.893642857142857</v>
      </c>
      <c r="F19" s="2119">
        <f>+F21*0.4</f>
        <v>7.0400000000000009</v>
      </c>
      <c r="G19" s="116"/>
      <c r="H19" s="113"/>
      <c r="I19" s="113"/>
      <c r="J19" s="113"/>
      <c r="K19" s="133" t="e">
        <f>#REF!/#REF!</f>
        <v>#REF!</v>
      </c>
      <c r="L19" s="133" t="e">
        <f>#REF!/#REF!</f>
        <v>#REF!</v>
      </c>
      <c r="M19" s="133" t="e">
        <f>#REF!/#REF!</f>
        <v>#REF!</v>
      </c>
      <c r="N19" s="133" t="e">
        <f>#REF!/#REF!</f>
        <v>#REF!</v>
      </c>
      <c r="O19" s="133" t="e">
        <f>#REF!/#REF!</f>
        <v>#REF!</v>
      </c>
      <c r="P19" s="133" t="e">
        <f>#REF!/#REF!</f>
        <v>#REF!</v>
      </c>
      <c r="Q19" s="145" t="e">
        <f>#REF!/#REF!</f>
        <v>#REF!</v>
      </c>
      <c r="R19" s="133" t="e">
        <f>#REF!/#REF!</f>
        <v>#REF!</v>
      </c>
      <c r="S19" s="133" t="e">
        <f>#REF!/#REF!</f>
        <v>#REF!</v>
      </c>
      <c r="T19" s="145" t="e">
        <f>#REF!/#REF!</f>
        <v>#REF!</v>
      </c>
      <c r="U19" s="145" t="e">
        <f>#REF!/#REF!</f>
        <v>#REF!</v>
      </c>
      <c r="V19" s="145" t="e">
        <f>#REF!/#REF!</f>
        <v>#REF!</v>
      </c>
      <c r="W19" s="145" t="e">
        <f>#REF!/#REF!</f>
        <v>#REF!</v>
      </c>
      <c r="X19" s="145" t="e">
        <f>#REF!/#REF!</f>
        <v>#REF!</v>
      </c>
      <c r="Y19" s="145" t="e">
        <f>#REF!/#REF!</f>
        <v>#REF!</v>
      </c>
      <c r="Z19" s="145" t="e">
        <f>#REF!/#REF!</f>
        <v>#REF!</v>
      </c>
      <c r="AA19" s="145" t="e">
        <f>#REF!/#REF!</f>
        <v>#REF!</v>
      </c>
      <c r="AB19" s="145" t="e">
        <f>#REF!/#REF!</f>
        <v>#REF!</v>
      </c>
      <c r="AC19" s="145" t="e">
        <f>#REF!/#REF!</f>
        <v>#REF!</v>
      </c>
      <c r="AD19" s="145" t="e">
        <f>#REF!/#REF!</f>
        <v>#REF!</v>
      </c>
      <c r="AE19" s="145" t="e">
        <f>#REF!/#REF!</f>
        <v>#REF!</v>
      </c>
      <c r="AF19" s="145" t="e">
        <f>#REF!/#REF!</f>
        <v>#REF!</v>
      </c>
      <c r="AG19" s="145" t="e">
        <f>#REF!/#REF!</f>
        <v>#REF!</v>
      </c>
      <c r="AH19" s="145" t="e">
        <f>#REF!/#REF!</f>
        <v>#REF!</v>
      </c>
      <c r="AI19" s="145" t="e">
        <f>#REF!/#REF!</f>
        <v>#REF!</v>
      </c>
      <c r="AJ19" s="145" t="e">
        <f>#REF!/#REF!</f>
        <v>#REF!</v>
      </c>
      <c r="AK19" s="145"/>
      <c r="AL19" s="145"/>
      <c r="AM19" s="145"/>
      <c r="AN19" s="145"/>
      <c r="AO19" s="145"/>
      <c r="AP19" s="145"/>
      <c r="AQ19" s="268"/>
      <c r="AR19" s="268"/>
      <c r="AS19" s="1637"/>
      <c r="AT19" s="1637"/>
      <c r="AU19" s="1637"/>
      <c r="AV19" s="1637"/>
      <c r="AW19" s="1637"/>
      <c r="AX19" s="1637"/>
      <c r="AY19" s="1637"/>
      <c r="AZ19" s="1637"/>
      <c r="BA19" s="1637"/>
      <c r="BB19" s="1637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1630"/>
      <c r="BZ19" s="26"/>
    </row>
    <row r="20" spans="1:78">
      <c r="B20" s="373" t="s">
        <v>90</v>
      </c>
      <c r="C20" s="70"/>
      <c r="D20" s="71"/>
      <c r="E20" s="2120">
        <f>Country!B20</f>
        <v>29.798525830616033</v>
      </c>
      <c r="F20" s="2121">
        <f>Plan!C19</f>
        <v>24</v>
      </c>
      <c r="G20" s="116"/>
      <c r="H20" s="113"/>
      <c r="I20" s="113"/>
      <c r="J20" s="113"/>
      <c r="K20" s="133">
        <f>Country!M20</f>
        <v>20.874285714285715</v>
      </c>
      <c r="L20" s="133">
        <f>Country!N20</f>
        <v>13.75056</v>
      </c>
      <c r="M20" s="133">
        <f>Country!O20</f>
        <v>35.489521739130439</v>
      </c>
      <c r="N20" s="133">
        <f>Country!P20</f>
        <v>18.073076923076922</v>
      </c>
      <c r="O20" s="133">
        <f>Country!Q20</f>
        <v>17.074789473684209</v>
      </c>
      <c r="P20" s="133">
        <f>Country!R20</f>
        <v>26.79785</v>
      </c>
      <c r="Q20" s="133">
        <f>Country!S20</f>
        <v>21.188800000000001</v>
      </c>
      <c r="R20" s="133">
        <f>Country!T20</f>
        <v>25.821000000000002</v>
      </c>
      <c r="S20" s="133">
        <f>Country!U20</f>
        <v>37.139906249999996</v>
      </c>
      <c r="T20" s="133">
        <f>Country!V20</f>
        <v>18.815727272727273</v>
      </c>
      <c r="U20" s="133">
        <f>Country!W20</f>
        <v>18.659444444444446</v>
      </c>
      <c r="V20" s="145">
        <f>Country!X20</f>
        <v>18.464388888888891</v>
      </c>
      <c r="W20" s="145">
        <f>Country!Y20</f>
        <v>18.950824561403511</v>
      </c>
      <c r="X20" s="145">
        <f>Country!Z20</f>
        <v>20.040629629629631</v>
      </c>
      <c r="Y20" s="145">
        <f>Country!AA20</f>
        <v>13.334768292682927</v>
      </c>
      <c r="Z20" s="145">
        <f>Country!AB20</f>
        <v>19.563418181818179</v>
      </c>
      <c r="AA20" s="145">
        <f>Country!AC20</f>
        <v>18.539473684210527</v>
      </c>
      <c r="AB20" s="145">
        <f>Country!AD20</f>
        <v>25.928649572649572</v>
      </c>
      <c r="AC20" s="145">
        <f>Country!AE20</f>
        <v>20.568067796610165</v>
      </c>
      <c r="AD20" s="145">
        <f>Country!AF20</f>
        <v>24.655932692307694</v>
      </c>
      <c r="AE20" s="145">
        <f>Country!AG20</f>
        <v>24.694727810650893</v>
      </c>
      <c r="AF20" s="145">
        <f>Country!AH20</f>
        <v>17.237423076923079</v>
      </c>
      <c r="AG20" s="145">
        <f>Country!AI20</f>
        <v>16.740991071428574</v>
      </c>
      <c r="AH20" s="145">
        <f>Country!AJ20</f>
        <v>17.392104761904761</v>
      </c>
      <c r="AI20" s="145">
        <f>Country!AK20</f>
        <v>21.112939597315439</v>
      </c>
      <c r="AJ20" s="145">
        <f>Country!AL20</f>
        <v>20.362752525252525</v>
      </c>
      <c r="AK20" s="145">
        <f>Country!AM20</f>
        <v>24.928014492753626</v>
      </c>
      <c r="AL20" s="145">
        <f>Country!AN20</f>
        <v>25.134519402985074</v>
      </c>
      <c r="AM20" s="145">
        <f>Country!AO20</f>
        <v>25.567891966759003</v>
      </c>
      <c r="AN20" s="145">
        <f>Country!AP20</f>
        <v>29.90676572668113</v>
      </c>
      <c r="AO20" s="145">
        <f>Country!AQ20</f>
        <v>29.380200772200773</v>
      </c>
      <c r="AP20" s="145">
        <f>Country!AR20</f>
        <v>28.262375444839858</v>
      </c>
      <c r="AQ20" s="145">
        <f>Country!AS20</f>
        <v>47.900579078455792</v>
      </c>
      <c r="AR20" s="145">
        <v>31.997940939597317</v>
      </c>
      <c r="AS20" s="145">
        <v>21.048986409966027</v>
      </c>
      <c r="AT20" s="145">
        <v>27.360528056112226</v>
      </c>
      <c r="AU20" s="145">
        <v>28.654930323846909</v>
      </c>
      <c r="AV20" s="145">
        <v>20.126217964071856</v>
      </c>
      <c r="AW20" s="145">
        <v>28.502153225806449</v>
      </c>
      <c r="AX20" s="145">
        <v>22.766656056587092</v>
      </c>
      <c r="AY20" s="145">
        <v>31.287030014641289</v>
      </c>
      <c r="AZ20" s="145">
        <v>37.219367984693875</v>
      </c>
      <c r="BA20" s="145">
        <v>20.217771653543306</v>
      </c>
      <c r="BB20" s="145">
        <v>22.215020967741935</v>
      </c>
      <c r="BC20" s="145">
        <f>Country!BH20</f>
        <v>30.791693817204294</v>
      </c>
      <c r="BD20" s="145">
        <f>Country!BI20</f>
        <v>31.695341368743627</v>
      </c>
      <c r="BE20" s="145">
        <f>Country!BJ20</f>
        <v>26.695827431192665</v>
      </c>
      <c r="BF20" s="145">
        <f>Country!BK20</f>
        <v>25.875478773527668</v>
      </c>
      <c r="BG20" s="145">
        <f>Country!BL20</f>
        <v>23.396324480916039</v>
      </c>
      <c r="BH20" s="145">
        <f>Country!BM20</f>
        <v>22.789538591549316</v>
      </c>
      <c r="BI20" s="145">
        <f>Country!BN20</f>
        <v>28.583618108419877</v>
      </c>
      <c r="BJ20" s="145">
        <f>Country!BO20</f>
        <v>27.912497032742166</v>
      </c>
      <c r="BK20" s="145">
        <f>Country!BP20</f>
        <v>34.351482884990311</v>
      </c>
      <c r="BL20" s="145">
        <f>Country!BQ20</f>
        <v>38.5008730714287</v>
      </c>
      <c r="BM20" s="145">
        <f>Country!BR20</f>
        <v>26.138886131243879</v>
      </c>
      <c r="BN20" s="145">
        <f>Country!BS20</f>
        <v>27.086376168831169</v>
      </c>
      <c r="BO20" s="145">
        <f>Country!BT20</f>
        <v>29.384664490205928</v>
      </c>
      <c r="BP20" s="145">
        <f>Country!BU20</f>
        <v>28.072881778505185</v>
      </c>
      <c r="BQ20" s="145">
        <f>Country!BV20</f>
        <v>35.471204693611476</v>
      </c>
      <c r="BR20" s="145">
        <f>Country!BW20</f>
        <v>30.563791259640098</v>
      </c>
      <c r="BS20" s="145">
        <f>Country!BX20</f>
        <v>30.951577383681794</v>
      </c>
      <c r="BT20" s="145">
        <f>Country!BY20</f>
        <v>0</v>
      </c>
      <c r="BU20" s="145">
        <f>Country!BZ20</f>
        <v>0</v>
      </c>
      <c r="BV20" s="145">
        <f>Country!CA20</f>
        <v>0</v>
      </c>
      <c r="BW20" s="145">
        <f>Country!CB20</f>
        <v>0</v>
      </c>
      <c r="BX20" s="145">
        <f>Country!CC20</f>
        <v>0</v>
      </c>
      <c r="BY20" s="1630">
        <f>Plan!$BO$19</f>
        <v>23.732619579480257</v>
      </c>
      <c r="BZ20" s="26"/>
    </row>
    <row r="21" spans="1:78" hidden="1">
      <c r="B21" s="374" t="s">
        <v>53</v>
      </c>
      <c r="C21" s="70"/>
      <c r="D21" s="71"/>
      <c r="E21" s="2118">
        <f>11*1.6</f>
        <v>17.600000000000001</v>
      </c>
      <c r="F21" s="2119">
        <f>11*1.6</f>
        <v>17.600000000000001</v>
      </c>
      <c r="G21" s="116"/>
      <c r="H21" s="113"/>
      <c r="I21" s="113"/>
      <c r="J21" s="113"/>
      <c r="K21" s="117" t="e">
        <f>#REF!</f>
        <v>#REF!</v>
      </c>
      <c r="L21" s="117" t="e">
        <f>#REF!</f>
        <v>#REF!</v>
      </c>
      <c r="M21" s="117" t="e">
        <f>#REF!</f>
        <v>#REF!</v>
      </c>
      <c r="N21" s="117" t="e">
        <f>#REF!</f>
        <v>#REF!</v>
      </c>
      <c r="O21" s="117" t="e">
        <f>#REF!</f>
        <v>#REF!</v>
      </c>
      <c r="P21" s="117" t="e">
        <f>#REF!</f>
        <v>#REF!</v>
      </c>
      <c r="Q21" s="129" t="e">
        <f>#REF!</f>
        <v>#REF!</v>
      </c>
      <c r="R21" s="117" t="e">
        <f>#REF!</f>
        <v>#REF!</v>
      </c>
      <c r="S21" s="117" t="e">
        <f>#REF!</f>
        <v>#REF!</v>
      </c>
      <c r="T21" s="129" t="e">
        <f>#REF!</f>
        <v>#REF!</v>
      </c>
      <c r="U21" s="129" t="e">
        <f>#REF!</f>
        <v>#REF!</v>
      </c>
      <c r="V21" s="129" t="e">
        <f>#REF!</f>
        <v>#REF!</v>
      </c>
      <c r="W21" s="129" t="e">
        <f>#REF!</f>
        <v>#REF!</v>
      </c>
      <c r="X21" s="129" t="e">
        <f>#REF!</f>
        <v>#REF!</v>
      </c>
      <c r="Y21" s="129" t="e">
        <f>#REF!</f>
        <v>#REF!</v>
      </c>
      <c r="Z21" s="129" t="e">
        <f>#REF!</f>
        <v>#REF!</v>
      </c>
      <c r="AA21" s="129" t="e">
        <f>#REF!</f>
        <v>#REF!</v>
      </c>
      <c r="AB21" s="129" t="e">
        <f>#REF!</f>
        <v>#REF!</v>
      </c>
      <c r="AC21" s="129" t="e">
        <f>#REF!</f>
        <v>#REF!</v>
      </c>
      <c r="AD21" s="129" t="e">
        <f>#REF!</f>
        <v>#REF!</v>
      </c>
      <c r="AE21" s="129" t="e">
        <f>#REF!</f>
        <v>#REF!</v>
      </c>
      <c r="AF21" s="129" t="e">
        <f>#REF!</f>
        <v>#REF!</v>
      </c>
      <c r="AG21" s="129" t="e">
        <f>#REF!</f>
        <v>#REF!</v>
      </c>
      <c r="AH21" s="129" t="e">
        <f>#REF!</f>
        <v>#REF!</v>
      </c>
      <c r="AI21" s="129" t="e">
        <f>#REF!</f>
        <v>#REF!</v>
      </c>
      <c r="AJ21" s="129" t="e">
        <f>#REF!</f>
        <v>#REF!</v>
      </c>
      <c r="AK21" s="129"/>
      <c r="AL21" s="129"/>
      <c r="AM21" s="129"/>
      <c r="AN21" s="129"/>
      <c r="AO21" s="129"/>
      <c r="AP21" s="129"/>
      <c r="AQ21" s="88"/>
      <c r="AR21" s="88"/>
      <c r="AS21" s="1638"/>
      <c r="AT21" s="1638"/>
      <c r="AU21" s="1638"/>
      <c r="AV21" s="1638"/>
      <c r="AW21" s="1638"/>
      <c r="AX21" s="1638"/>
      <c r="AY21" s="1638"/>
      <c r="AZ21" s="1638"/>
      <c r="BA21" s="1638"/>
      <c r="BB21" s="1638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1794"/>
      <c r="BY21" s="1628"/>
      <c r="BZ21" s="26"/>
    </row>
    <row r="22" spans="1:78" ht="9.6" customHeight="1">
      <c r="B22" s="24"/>
      <c r="C22" s="21"/>
      <c r="D22" s="21"/>
      <c r="E22" s="2110"/>
      <c r="F22" s="2111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21"/>
      <c r="R22" s="112"/>
      <c r="S22" s="11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794"/>
      <c r="BY22" s="1627"/>
      <c r="BZ22" s="13"/>
    </row>
    <row r="23" spans="1:78">
      <c r="B23" s="373" t="s">
        <v>5</v>
      </c>
      <c r="C23" s="21"/>
      <c r="D23" s="21"/>
      <c r="E23" s="2122">
        <f>Country!B11</f>
        <v>0.19980982232474598</v>
      </c>
      <c r="F23" s="2123">
        <f>Plan!C10</f>
        <v>0.18309861352108003</v>
      </c>
      <c r="G23" s="112"/>
      <c r="H23" s="180"/>
      <c r="I23" s="141"/>
      <c r="J23" s="141"/>
      <c r="K23" s="142">
        <f>Country!M11</f>
        <v>0.875</v>
      </c>
      <c r="L23" s="142">
        <f>Country!N11</f>
        <v>0.69444444444444442</v>
      </c>
      <c r="M23" s="142">
        <f>Country!O11</f>
        <v>0.46938775510204084</v>
      </c>
      <c r="N23" s="142">
        <f>Country!P11</f>
        <v>0.20799999999999999</v>
      </c>
      <c r="O23" s="142">
        <f>Country!Q11</f>
        <v>0.2814814814814815</v>
      </c>
      <c r="P23" s="142">
        <f>Country!R11</f>
        <v>0.30534351145038169</v>
      </c>
      <c r="Q23" s="142">
        <f>Country!S11</f>
        <v>0.16</v>
      </c>
      <c r="R23" s="142">
        <f>Country!T11</f>
        <v>0.11475409836065574</v>
      </c>
      <c r="S23" s="142">
        <f>Country!U11</f>
        <v>0.48120300751879697</v>
      </c>
      <c r="T23" s="142">
        <f>Country!V11</f>
        <v>0.29333333333333333</v>
      </c>
      <c r="U23" s="142">
        <f>Country!W11</f>
        <v>0.11920529801324503</v>
      </c>
      <c r="V23" s="290">
        <f>Country!X11</f>
        <v>0.375</v>
      </c>
      <c r="W23" s="290">
        <f>Country!Y11</f>
        <v>0.34545454545454546</v>
      </c>
      <c r="X23" s="290">
        <f>Country!Z11</f>
        <v>0.31153846153846154</v>
      </c>
      <c r="Y23" s="290">
        <f>Country!AA11</f>
        <v>0.23976608187134502</v>
      </c>
      <c r="Z23" s="290">
        <f>Country!AB11</f>
        <v>0.14084507042253522</v>
      </c>
      <c r="AA23" s="575">
        <f>Country!AC11</f>
        <v>0.17736289381563594</v>
      </c>
      <c r="AB23" s="575">
        <f>Country!AD11</f>
        <v>0.24123711340206186</v>
      </c>
      <c r="AC23" s="575">
        <f>Country!AE11</f>
        <v>0.21671258034894397</v>
      </c>
      <c r="AD23" s="575">
        <f>Country!AF11</f>
        <v>0.17275747508305647</v>
      </c>
      <c r="AE23" s="575">
        <f>Country!AG11</f>
        <v>0.23870056497175141</v>
      </c>
      <c r="AF23" s="575">
        <f>Country!AH11</f>
        <v>0.10064516129032258</v>
      </c>
      <c r="AG23" s="575">
        <f>Country!AI11</f>
        <v>0.15186440677966101</v>
      </c>
      <c r="AH23" s="575">
        <f>Country!AJ11</f>
        <v>0.14799154334038056</v>
      </c>
      <c r="AI23" s="575">
        <f>Country!AK11</f>
        <v>0.18801261829652996</v>
      </c>
      <c r="AJ23" s="575">
        <f>Country!AL11</f>
        <v>0.21187800963081863</v>
      </c>
      <c r="AK23" s="575">
        <f>Country!AM11</f>
        <v>0.33109404990403069</v>
      </c>
      <c r="AL23" s="575">
        <f>Country!AN11</f>
        <v>0.30017921146953402</v>
      </c>
      <c r="AM23" s="575">
        <f>Country!AO11</f>
        <v>0.29089443996776793</v>
      </c>
      <c r="AN23" s="575">
        <f>Country!AP11</f>
        <v>0.32556497175141241</v>
      </c>
      <c r="AO23" s="575">
        <f>Country!AQ11</f>
        <v>0.33141394753678821</v>
      </c>
      <c r="AP23" s="575">
        <f>Country!AR11</f>
        <v>0.31868443436348171</v>
      </c>
      <c r="AQ23" s="575">
        <f>Country!AS11</f>
        <v>0.39459459459459462</v>
      </c>
      <c r="AR23" s="575">
        <v>0.25075732076741836</v>
      </c>
      <c r="AS23" s="575">
        <v>0.2855756791720569</v>
      </c>
      <c r="AT23" s="575">
        <v>0.32428919577579202</v>
      </c>
      <c r="AU23" s="575">
        <v>0.32723185613359024</v>
      </c>
      <c r="AV23" s="575">
        <v>0.25923626203042532</v>
      </c>
      <c r="AW23" s="575">
        <v>0.40241923587549788</v>
      </c>
      <c r="AX23" s="575">
        <v>0.31809872029250458</v>
      </c>
      <c r="AY23" s="575">
        <v>0.35707750620833878</v>
      </c>
      <c r="AZ23" s="575">
        <v>0.38582677165354329</v>
      </c>
      <c r="BA23" s="575">
        <v>0.15349286922890984</v>
      </c>
      <c r="BB23" s="575">
        <v>0.15041242115477924</v>
      </c>
      <c r="BC23" s="575">
        <f>Country!BH11</f>
        <v>0.2659358989634219</v>
      </c>
      <c r="BD23" s="575">
        <f>Country!BI11</f>
        <v>0.22171894462688257</v>
      </c>
      <c r="BE23" s="575">
        <f>Country!BJ11</f>
        <v>0.23105458399576045</v>
      </c>
      <c r="BF23" s="575">
        <f>Country!BK11</f>
        <v>0.30644711135919622</v>
      </c>
      <c r="BG23" s="575">
        <f>Country!BL11</f>
        <v>0.21556689155833469</v>
      </c>
      <c r="BH23" s="575">
        <f>Country!BM11</f>
        <v>0.21345358887636226</v>
      </c>
      <c r="BI23" s="575">
        <f>Country!BN11</f>
        <v>0.23630417007358953</v>
      </c>
      <c r="BJ23" s="575">
        <f>Country!BO11</f>
        <v>0.18195358073724713</v>
      </c>
      <c r="BK23" s="575">
        <f>Country!BP11</f>
        <v>0.17629875708803483</v>
      </c>
      <c r="BL23" s="575">
        <f>Country!BQ11</f>
        <v>0.26672311600338694</v>
      </c>
      <c r="BM23" s="575">
        <f>Country!BR11</f>
        <v>0.10274213836477987</v>
      </c>
      <c r="BN23" s="575">
        <f>Country!BS11</f>
        <v>0.17395233254264092</v>
      </c>
      <c r="BO23" s="575">
        <f>Country!BT11</f>
        <v>0.2576845919886106</v>
      </c>
      <c r="BP23" s="575">
        <f>Country!BU11</f>
        <v>0.24713496022650666</v>
      </c>
      <c r="BQ23" s="575">
        <f>Country!BV11</f>
        <v>0.21250952413936414</v>
      </c>
      <c r="BR23" s="575">
        <f>Country!BW11</f>
        <v>0.25267944137707049</v>
      </c>
      <c r="BS23" s="575">
        <f>Country!BX11</f>
        <v>0.18679934500566822</v>
      </c>
      <c r="BT23" s="575">
        <f>Country!BY11</f>
        <v>0</v>
      </c>
      <c r="BU23" s="575">
        <f>Country!BZ11</f>
        <v>0</v>
      </c>
      <c r="BV23" s="575">
        <f>Country!CA11</f>
        <v>0</v>
      </c>
      <c r="BW23" s="575">
        <f>Country!CB11</f>
        <v>0</v>
      </c>
      <c r="BX23" s="575">
        <f>Country!CC11</f>
        <v>0</v>
      </c>
      <c r="BY23" s="1631">
        <f>Plan!$BO$10</f>
        <v>0.22256217480996743</v>
      </c>
      <c r="BZ23" s="13"/>
    </row>
    <row r="24" spans="1:78">
      <c r="B24" s="373" t="s">
        <v>6</v>
      </c>
      <c r="C24" s="21"/>
      <c r="D24" s="22"/>
      <c r="E24" s="2120">
        <f>Country!B13</f>
        <v>1.7787080285538028</v>
      </c>
      <c r="F24" s="2124">
        <f>Plan!C12</f>
        <v>1.4605826509768711</v>
      </c>
      <c r="G24" s="118"/>
      <c r="H24" s="113"/>
      <c r="I24" s="113"/>
      <c r="J24" s="113"/>
      <c r="K24" s="117">
        <f>Country!M13</f>
        <v>1.6428571428571428</v>
      </c>
      <c r="L24" s="117">
        <f>Country!N13</f>
        <v>1.08</v>
      </c>
      <c r="M24" s="117">
        <f>Country!O13</f>
        <v>1.2608695652173914</v>
      </c>
      <c r="N24" s="117">
        <f>Country!P13</f>
        <v>1.3076923076923077</v>
      </c>
      <c r="O24" s="117">
        <f>Country!Q13</f>
        <v>1.263157894736842</v>
      </c>
      <c r="P24" s="117">
        <f>Country!R13</f>
        <v>1.45</v>
      </c>
      <c r="Q24" s="117">
        <f>Country!S13</f>
        <v>1.5</v>
      </c>
      <c r="R24" s="117">
        <f>Country!T13</f>
        <v>2</v>
      </c>
      <c r="S24" s="117">
        <f>Country!U13</f>
        <v>2.28125</v>
      </c>
      <c r="T24" s="117">
        <f>Country!V13</f>
        <v>1.4545454545454546</v>
      </c>
      <c r="U24" s="117">
        <f>Country!W13</f>
        <v>1.2222222222222223</v>
      </c>
      <c r="V24" s="129">
        <f>Country!X13</f>
        <v>1.3333333333333333</v>
      </c>
      <c r="W24" s="129">
        <f>Country!Y13</f>
        <v>1.4210526315789473</v>
      </c>
      <c r="X24" s="129">
        <f>Country!Z13</f>
        <v>1.308641975308642</v>
      </c>
      <c r="Y24" s="129">
        <f>Country!AA13</f>
        <v>1.3292682926829269</v>
      </c>
      <c r="Z24" s="129">
        <f>Country!AB13</f>
        <v>1.3090909090909091</v>
      </c>
      <c r="AA24" s="129">
        <f>Country!AC13</f>
        <v>1.2763157894736843</v>
      </c>
      <c r="AB24" s="129">
        <f>Country!AD13</f>
        <v>1.3931623931623931</v>
      </c>
      <c r="AC24" s="129">
        <f>Country!AE13</f>
        <v>1.271186440677966</v>
      </c>
      <c r="AD24" s="129">
        <f>Country!AF13</f>
        <v>1.4326923076923077</v>
      </c>
      <c r="AE24" s="129">
        <f>Country!AG13</f>
        <v>1.6627218934911243</v>
      </c>
      <c r="AF24" s="129">
        <f>Country!AH13</f>
        <v>1.0897435897435896</v>
      </c>
      <c r="AG24" s="129">
        <f>Country!AI13</f>
        <v>1.2232142857142858</v>
      </c>
      <c r="AH24" s="129">
        <f>Country!AJ13</f>
        <v>1.180952380952381</v>
      </c>
      <c r="AI24" s="129">
        <f>Country!AK13</f>
        <v>1.3355704697986577</v>
      </c>
      <c r="AJ24" s="129">
        <f>Country!AL13</f>
        <v>1.2323232323232323</v>
      </c>
      <c r="AK24" s="129">
        <f>Country!AM13</f>
        <v>1.5333333333333334</v>
      </c>
      <c r="AL24" s="129">
        <f>Country!AN13</f>
        <v>1.4597014925373135</v>
      </c>
      <c r="AM24" s="129">
        <f>Country!AO13</f>
        <v>1.5401662049861495</v>
      </c>
      <c r="AN24" s="129">
        <f>Country!AP13</f>
        <v>1.7440347071583515</v>
      </c>
      <c r="AO24" s="129">
        <f>Country!AQ13</f>
        <v>1.6447876447876448</v>
      </c>
      <c r="AP24" s="129">
        <f>Country!AR13</f>
        <v>1.6654804270462633</v>
      </c>
      <c r="AQ24" s="129">
        <f>Country!AS13</f>
        <v>2.2814445828144456</v>
      </c>
      <c r="AR24" s="129">
        <v>1.5436241610738255</v>
      </c>
      <c r="AS24" s="129">
        <v>1.3171007927519818</v>
      </c>
      <c r="AT24" s="129">
        <v>1.3867735470941884</v>
      </c>
      <c r="AU24" s="129">
        <v>1.4828263002944062</v>
      </c>
      <c r="AV24" s="129">
        <v>1.288622754491018</v>
      </c>
      <c r="AW24" s="129">
        <v>1.5065982404692082</v>
      </c>
      <c r="AX24" s="129">
        <v>1.3925729442970822</v>
      </c>
      <c r="AY24" s="129">
        <v>1.9341142020497804</v>
      </c>
      <c r="AZ24" s="129">
        <v>1.9368622448979591</v>
      </c>
      <c r="BA24" s="129">
        <v>1.2866141732283465</v>
      </c>
      <c r="BB24" s="129">
        <v>1.3177419354838709</v>
      </c>
      <c r="BC24" s="129">
        <f>Country!BH13</f>
        <v>1.7508960573476702</v>
      </c>
      <c r="BD24" s="129">
        <f>Country!BI13</f>
        <v>1.5372829417773237</v>
      </c>
      <c r="BE24" s="129">
        <f>Country!BJ13</f>
        <v>1.4944954128440366</v>
      </c>
      <c r="BF24" s="129">
        <f>Country!BK13</f>
        <v>1.6927747419550698</v>
      </c>
      <c r="BG24" s="129">
        <f>Country!BL13</f>
        <v>1.4343511450381679</v>
      </c>
      <c r="BH24" s="129">
        <f>Country!BM13</f>
        <v>1.4732394366197183</v>
      </c>
      <c r="BI24" s="129">
        <f>Country!BN13</f>
        <v>1.814878892733564</v>
      </c>
      <c r="BJ24" s="129">
        <f>Country!BO13</f>
        <v>1.5675306957708048</v>
      </c>
      <c r="BK24" s="129">
        <f>Country!BP13</f>
        <v>1.8960363872644574</v>
      </c>
      <c r="BL24" s="129">
        <f>Country!BQ13</f>
        <v>2.0249999999999999</v>
      </c>
      <c r="BM24" s="129">
        <f>Country!BR13</f>
        <v>1.5690499510284035</v>
      </c>
      <c r="BN24" s="129">
        <f>Country!BS13</f>
        <v>1.5084415584415585</v>
      </c>
      <c r="BO24" s="129">
        <f>Country!BT13</f>
        <v>1.7694625816172778</v>
      </c>
      <c r="BP24" s="129">
        <f>Country!BU13</f>
        <v>1.7097654118930714</v>
      </c>
      <c r="BQ24" s="129">
        <f>Country!BV13</f>
        <v>2.2216427640156455</v>
      </c>
      <c r="BR24" s="129">
        <f>Country!BW13</f>
        <v>1.8123393316195373</v>
      </c>
      <c r="BS24" s="129">
        <f>Country!BX13</f>
        <v>1.7990559676331761</v>
      </c>
      <c r="BT24" s="129">
        <f>Country!BY13</f>
        <v>0</v>
      </c>
      <c r="BU24" s="129">
        <f>Country!BZ13</f>
        <v>0</v>
      </c>
      <c r="BV24" s="129">
        <f>Country!CA13</f>
        <v>0</v>
      </c>
      <c r="BW24" s="129">
        <f>Country!CB13</f>
        <v>0</v>
      </c>
      <c r="BX24" s="129">
        <f>Country!CC13</f>
        <v>0</v>
      </c>
      <c r="BY24" s="1632">
        <f>Plan!$BO$12</f>
        <v>1.4711017626799168</v>
      </c>
      <c r="BZ24" s="13"/>
    </row>
    <row r="25" spans="1:78">
      <c r="B25" s="373" t="s">
        <v>279</v>
      </c>
      <c r="C25" s="23"/>
      <c r="D25" s="22"/>
      <c r="E25" s="2125">
        <f>Country!B15</f>
        <v>16.752904553336972</v>
      </c>
      <c r="F25" s="2124">
        <f>Plan!C14</f>
        <v>16.352405685494023</v>
      </c>
      <c r="G25" s="118"/>
      <c r="H25" s="113"/>
      <c r="I25" s="113"/>
      <c r="J25" s="113"/>
      <c r="K25" s="117">
        <f>Country!M15</f>
        <v>12.706086956521739</v>
      </c>
      <c r="L25" s="117">
        <f>Country!N15</f>
        <v>12.732000000000001</v>
      </c>
      <c r="M25" s="117">
        <f>Country!O15</f>
        <v>28.146862068965518</v>
      </c>
      <c r="N25" s="117">
        <f>Country!P15</f>
        <v>13.820588235294117</v>
      </c>
      <c r="O25" s="117">
        <f>Country!Q15</f>
        <v>13.517541666666666</v>
      </c>
      <c r="P25" s="117">
        <f>Country!R15</f>
        <v>18.481275862068966</v>
      </c>
      <c r="Q25" s="117">
        <f>Country!S15</f>
        <v>14.125866666666667</v>
      </c>
      <c r="R25" s="117">
        <f>Country!T15</f>
        <v>12.910500000000001</v>
      </c>
      <c r="S25" s="117">
        <f>Country!U15</f>
        <v>16.280506849315067</v>
      </c>
      <c r="T25" s="117">
        <f>Country!V15</f>
        <v>12.935812500000001</v>
      </c>
      <c r="U25" s="117">
        <f>Country!W15</f>
        <v>15.266818181818183</v>
      </c>
      <c r="V25" s="129">
        <f>Country!X15</f>
        <v>13.848291666666668</v>
      </c>
      <c r="W25" s="129">
        <f>Country!Y15</f>
        <v>13.335765432098768</v>
      </c>
      <c r="X25" s="129">
        <f>Country!Z15</f>
        <v>15.31406603773585</v>
      </c>
      <c r="Y25" s="129">
        <f>Country!AA15</f>
        <v>10.031660550458716</v>
      </c>
      <c r="Z25" s="129">
        <f>Country!AB15</f>
        <v>14.944277777777776</v>
      </c>
      <c r="AA25" s="129">
        <f>Country!AC15</f>
        <v>14.525773195876289</v>
      </c>
      <c r="AB25" s="129">
        <f>Country!AD15</f>
        <v>18.611361963190184</v>
      </c>
      <c r="AC25" s="129">
        <f>Country!AE15</f>
        <v>16.180213333333331</v>
      </c>
      <c r="AD25" s="129">
        <f>Country!AF15</f>
        <v>17.209510067114095</v>
      </c>
      <c r="AE25" s="129">
        <f>Country!AG15</f>
        <v>14.851989323843418</v>
      </c>
      <c r="AF25" s="129">
        <f>Country!AH15</f>
        <v>15.817870588235296</v>
      </c>
      <c r="AG25" s="129">
        <f>Country!AI15</f>
        <v>13.686065693430658</v>
      </c>
      <c r="AH25" s="129">
        <f>Country!AJ15</f>
        <v>14.727185483870969</v>
      </c>
      <c r="AI25" s="129">
        <f>Country!AK15</f>
        <v>15.808180904522615</v>
      </c>
      <c r="AJ25" s="129">
        <f>Country!AL15</f>
        <v>16.523872950819673</v>
      </c>
      <c r="AK25" s="129">
        <f>Country!AM15</f>
        <v>16.257400756143667</v>
      </c>
      <c r="AL25" s="129">
        <f>Country!AN15</f>
        <v>17.218944785276076</v>
      </c>
      <c r="AM25" s="129">
        <f>Country!AO15</f>
        <v>16.600735611510792</v>
      </c>
      <c r="AN25" s="129">
        <f>Country!AP15</f>
        <v>17.148033582089553</v>
      </c>
      <c r="AO25" s="129">
        <f>Country!AQ15</f>
        <v>17.862610328638496</v>
      </c>
      <c r="AP25" s="129">
        <f>Country!AR15</f>
        <v>16.969503205128206</v>
      </c>
      <c r="AQ25" s="129">
        <f>Country!AS15</f>
        <v>20.995723253275109</v>
      </c>
      <c r="AR25" s="129">
        <v>20.729100869565219</v>
      </c>
      <c r="AS25" s="129">
        <v>15.981302665520207</v>
      </c>
      <c r="AT25" s="129">
        <v>19.729629335260118</v>
      </c>
      <c r="AU25" s="129">
        <v>19.324536068828589</v>
      </c>
      <c r="AV25" s="129">
        <v>15.618394052044609</v>
      </c>
      <c r="AW25" s="129">
        <v>18.918217518248174</v>
      </c>
      <c r="AX25" s="129">
        <v>16.348627301587303</v>
      </c>
      <c r="AY25" s="129">
        <v>16.176412944738832</v>
      </c>
      <c r="AZ25" s="129">
        <v>19.21632169904511</v>
      </c>
      <c r="BA25" s="129">
        <v>15.713935128518971</v>
      </c>
      <c r="BB25" s="129">
        <v>16.858400244798041</v>
      </c>
      <c r="BC25" s="129">
        <f>Country!BH15</f>
        <v>17.586248874104395</v>
      </c>
      <c r="BD25" s="129">
        <f>Country!BI15</f>
        <v>20.617766910299011</v>
      </c>
      <c r="BE25" s="129">
        <f>Country!BJ15</f>
        <v>17.86276973603438</v>
      </c>
      <c r="BF25" s="129">
        <f>Country!BK15</f>
        <v>15.285836994261143</v>
      </c>
      <c r="BG25" s="129">
        <f>Country!BL15</f>
        <v>16.311434310803623</v>
      </c>
      <c r="BH25" s="129">
        <f>Country!BM15</f>
        <v>15.468998470363303</v>
      </c>
      <c r="BI25" s="129">
        <f>Country!BN15</f>
        <v>15.74960082618369</v>
      </c>
      <c r="BJ25" s="129">
        <f>Country!BO15</f>
        <v>17.806666949521329</v>
      </c>
      <c r="BK25" s="129">
        <f>Country!BP15</f>
        <v>18.117523015764252</v>
      </c>
      <c r="BL25" s="129">
        <f>Country!BQ15</f>
        <v>19.012776825396887</v>
      </c>
      <c r="BM25" s="129">
        <f>Country!BR15</f>
        <v>16.659052896379524</v>
      </c>
      <c r="BN25" s="129">
        <f>Country!BS15</f>
        <v>17.956530047352562</v>
      </c>
      <c r="BO25" s="129">
        <f>Country!BT15</f>
        <v>16.606547544706217</v>
      </c>
      <c r="BP25" s="129">
        <f>Country!BU15</f>
        <v>16.419142405871092</v>
      </c>
      <c r="BQ25" s="129">
        <f>Country!BV15</f>
        <v>15.966205399061034</v>
      </c>
      <c r="BR25" s="129">
        <f>Country!BW15</f>
        <v>16.864276312056734</v>
      </c>
      <c r="BS25" s="129">
        <f>Country!BX15</f>
        <v>17.204343800599737</v>
      </c>
      <c r="BT25" s="129">
        <f>Country!BY15</f>
        <v>0</v>
      </c>
      <c r="BU25" s="129">
        <f>Country!BZ15</f>
        <v>0</v>
      </c>
      <c r="BV25" s="129">
        <f>Country!CA15</f>
        <v>0</v>
      </c>
      <c r="BW25" s="129">
        <f>Country!CB15</f>
        <v>0</v>
      </c>
      <c r="BX25" s="129">
        <f>Country!CC15</f>
        <v>0</v>
      </c>
      <c r="BY25" s="1632">
        <f>Plan!$BO$14</f>
        <v>16.132547850562268</v>
      </c>
      <c r="BZ25" s="13"/>
    </row>
    <row r="26" spans="1:78" ht="13.5" customHeight="1">
      <c r="B26" s="14"/>
      <c r="C26" s="15"/>
      <c r="D26" s="15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30"/>
      <c r="U26" s="130"/>
      <c r="V26" s="16"/>
      <c r="W26" s="130"/>
      <c r="X26" s="130"/>
      <c r="Y26" s="16"/>
      <c r="Z26" s="130"/>
      <c r="AA26" s="16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795"/>
      <c r="BY26" s="16"/>
      <c r="BZ26" s="17"/>
    </row>
    <row r="27" spans="1:78" s="106" customFormat="1" ht="11.25">
      <c r="A27" s="104"/>
      <c r="B27" s="105" t="s">
        <v>472</v>
      </c>
      <c r="F27" s="109"/>
      <c r="M27" s="105"/>
      <c r="T27" s="178"/>
      <c r="U27" s="178"/>
      <c r="W27" s="178"/>
      <c r="X27" s="178"/>
      <c r="Z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</row>
    <row r="28" spans="1:78" s="106" customFormat="1" ht="11.25">
      <c r="A28" s="104"/>
      <c r="B28" s="105" t="s">
        <v>4143</v>
      </c>
      <c r="F28" s="109"/>
      <c r="M28" s="105"/>
      <c r="T28" s="178"/>
      <c r="U28" s="178"/>
      <c r="W28" s="178"/>
      <c r="X28" s="178"/>
      <c r="Z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</row>
    <row r="29" spans="1:78" s="106" customFormat="1" ht="11.25">
      <c r="A29" s="104"/>
      <c r="F29" s="107"/>
      <c r="T29" s="178"/>
      <c r="U29" s="178"/>
      <c r="W29" s="178"/>
      <c r="X29" s="178"/>
      <c r="Z29" s="178"/>
      <c r="AB29" s="178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</row>
    <row r="30" spans="1:78" s="106" customFormat="1" ht="11.25">
      <c r="A30" s="104"/>
      <c r="F30" s="107"/>
      <c r="T30" s="178"/>
      <c r="U30" s="178"/>
      <c r="W30" s="178"/>
      <c r="X30" s="178"/>
      <c r="Z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</row>
    <row r="31" spans="1:78" s="106" customFormat="1" ht="11.25">
      <c r="A31" s="104"/>
      <c r="F31" s="107"/>
      <c r="T31" s="178"/>
      <c r="U31" s="178"/>
      <c r="W31" s="178"/>
      <c r="X31" s="178"/>
      <c r="Z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</row>
    <row r="32" spans="1:78" s="106" customFormat="1" ht="11.25">
      <c r="A32" s="104"/>
      <c r="F32" s="107"/>
      <c r="T32" s="178"/>
      <c r="U32" s="178"/>
      <c r="W32" s="178"/>
      <c r="X32" s="178"/>
      <c r="Z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</row>
    <row r="33" spans="1:46" s="106" customFormat="1" ht="11.25">
      <c r="A33" s="104"/>
      <c r="F33" s="107"/>
      <c r="T33" s="178"/>
      <c r="U33" s="178"/>
      <c r="W33" s="178"/>
      <c r="X33" s="178"/>
      <c r="Z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</row>
    <row r="34" spans="1:46" s="106" customFormat="1" ht="11.25">
      <c r="A34" s="104"/>
      <c r="F34" s="107"/>
      <c r="T34" s="178"/>
      <c r="U34" s="178"/>
      <c r="W34" s="178"/>
      <c r="X34" s="178"/>
      <c r="Z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78"/>
      <c r="AL34" s="178"/>
      <c r="AM34" s="178"/>
      <c r="AN34" s="178"/>
      <c r="AO34" s="178"/>
      <c r="AP34" s="178"/>
    </row>
    <row r="35" spans="1:46" s="106" customFormat="1" ht="11.25">
      <c r="A35" s="104"/>
      <c r="F35" s="107"/>
      <c r="T35" s="178"/>
      <c r="U35" s="178"/>
      <c r="W35" s="178"/>
      <c r="X35" s="178"/>
      <c r="Z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</row>
    <row r="36" spans="1:46" s="106" customFormat="1" ht="11.25">
      <c r="A36" s="104"/>
      <c r="F36" s="107"/>
      <c r="T36" s="178"/>
      <c r="U36" s="178"/>
      <c r="W36" s="178"/>
      <c r="X36" s="178"/>
      <c r="Z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T36" s="106" t="s">
        <v>1417</v>
      </c>
    </row>
    <row r="37" spans="1:46" s="106" customFormat="1" ht="11.25">
      <c r="A37" s="104"/>
      <c r="F37" s="107"/>
      <c r="T37" s="178"/>
      <c r="U37" s="178"/>
      <c r="W37" s="178"/>
      <c r="X37" s="178"/>
      <c r="Z37" s="178"/>
      <c r="AB37" s="178"/>
      <c r="AC37" s="178"/>
      <c r="AD37" s="178"/>
      <c r="AE37" s="178"/>
      <c r="AF37" s="178"/>
      <c r="AG37" s="178"/>
      <c r="AH37" s="178"/>
      <c r="AI37" s="178"/>
      <c r="AJ37" s="178"/>
      <c r="AK37" s="178"/>
      <c r="AL37" s="178"/>
      <c r="AM37" s="178"/>
      <c r="AN37" s="178"/>
      <c r="AO37" s="178"/>
      <c r="AP37" s="178"/>
    </row>
    <row r="38" spans="1:46" s="106" customFormat="1" ht="11.25">
      <c r="A38" s="104"/>
      <c r="F38" s="107"/>
      <c r="T38" s="178"/>
      <c r="U38" s="178"/>
      <c r="W38" s="178"/>
      <c r="X38" s="178"/>
      <c r="Z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</row>
    <row r="39" spans="1:46" s="106" customFormat="1" ht="11.25">
      <c r="A39" s="104"/>
      <c r="F39" s="107"/>
      <c r="T39" s="178"/>
      <c r="U39" s="178"/>
      <c r="W39" s="178"/>
      <c r="X39" s="178"/>
      <c r="Z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</row>
    <row r="40" spans="1:46" s="106" customFormat="1" ht="11.25">
      <c r="A40" s="104"/>
      <c r="F40" s="107"/>
      <c r="T40" s="178"/>
      <c r="U40" s="178"/>
      <c r="W40" s="178"/>
      <c r="X40" s="178"/>
      <c r="Z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8"/>
    </row>
    <row r="41" spans="1:46" s="106" customFormat="1" ht="11.25">
      <c r="A41" s="104"/>
      <c r="F41" s="107"/>
      <c r="T41" s="178"/>
      <c r="U41" s="178"/>
      <c r="W41" s="178"/>
      <c r="X41" s="178"/>
      <c r="Z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8"/>
    </row>
    <row r="42" spans="1:46" s="106" customFormat="1" ht="11.25">
      <c r="A42" s="104"/>
      <c r="F42" s="107"/>
      <c r="T42" s="178"/>
      <c r="U42" s="178"/>
      <c r="W42" s="178"/>
      <c r="X42" s="178"/>
      <c r="Z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8"/>
    </row>
    <row r="43" spans="1:46" s="106" customFormat="1" ht="11.25">
      <c r="A43" s="104"/>
      <c r="F43" s="107"/>
      <c r="T43" s="178"/>
      <c r="U43" s="178"/>
      <c r="W43" s="178"/>
      <c r="X43" s="178"/>
      <c r="Z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</row>
    <row r="44" spans="1:46">
      <c r="B44" s="376"/>
      <c r="H44"/>
      <c r="I44"/>
      <c r="J44"/>
      <c r="K44"/>
      <c r="L44" s="108"/>
      <c r="N44"/>
      <c r="O44"/>
      <c r="P44"/>
      <c r="Q44"/>
      <c r="R44"/>
      <c r="S44"/>
      <c r="V44"/>
      <c r="Y44"/>
      <c r="AA44" s="4"/>
      <c r="AQ44"/>
      <c r="AR44"/>
      <c r="AS44"/>
    </row>
    <row r="45" spans="1:46">
      <c r="A45" s="377" t="s">
        <v>4023</v>
      </c>
      <c r="B45" s="1"/>
      <c r="H45"/>
      <c r="I45"/>
      <c r="J45"/>
      <c r="K45"/>
      <c r="L45"/>
      <c r="M45"/>
      <c r="N45"/>
      <c r="O45"/>
      <c r="P45"/>
      <c r="Q45"/>
      <c r="R45"/>
      <c r="S45"/>
      <c r="V45"/>
      <c r="Y45"/>
      <c r="AA45"/>
      <c r="AQ45"/>
      <c r="AR45"/>
      <c r="AS45"/>
    </row>
    <row r="46" spans="1:46">
      <c r="A46" s="1"/>
      <c r="B46" s="1"/>
      <c r="H46"/>
      <c r="I46"/>
      <c r="J46"/>
      <c r="K46"/>
      <c r="L46"/>
      <c r="M46"/>
      <c r="N46"/>
      <c r="O46"/>
      <c r="P46"/>
      <c r="Q46"/>
      <c r="R46"/>
      <c r="S46"/>
      <c r="V46"/>
      <c r="Y46"/>
      <c r="AA46"/>
      <c r="AQ46"/>
      <c r="AR46"/>
      <c r="AS46"/>
    </row>
    <row r="47" spans="1:46">
      <c r="A47" s="1"/>
      <c r="B47" s="1"/>
      <c r="H47"/>
      <c r="I47"/>
      <c r="J47"/>
      <c r="K47"/>
      <c r="L47"/>
      <c r="M47"/>
      <c r="N47"/>
      <c r="O47"/>
      <c r="P47"/>
      <c r="Q47"/>
      <c r="R47"/>
      <c r="S47"/>
      <c r="V47"/>
      <c r="Y47"/>
      <c r="AA47"/>
      <c r="AQ47"/>
      <c r="AR47"/>
      <c r="AS47"/>
    </row>
    <row r="48" spans="1:46">
      <c r="A48" s="1"/>
      <c r="B48" s="1"/>
      <c r="H48"/>
      <c r="I48"/>
      <c r="J48"/>
      <c r="K48"/>
      <c r="L48"/>
      <c r="M48"/>
      <c r="N48"/>
      <c r="O48"/>
      <c r="P48"/>
      <c r="Q48"/>
      <c r="R48"/>
      <c r="S48"/>
      <c r="V48"/>
      <c r="Y48"/>
      <c r="AA48"/>
      <c r="AQ48"/>
      <c r="AR48"/>
      <c r="AS48"/>
    </row>
    <row r="49" spans="1:54">
      <c r="A49" s="1"/>
      <c r="B49" s="1"/>
      <c r="H49"/>
      <c r="I49"/>
      <c r="J49"/>
      <c r="K49"/>
      <c r="L49"/>
      <c r="M49"/>
      <c r="N49"/>
      <c r="O49"/>
      <c r="P49"/>
      <c r="Q49"/>
      <c r="R49"/>
      <c r="S49"/>
      <c r="V49"/>
      <c r="Y49"/>
      <c r="AA49"/>
      <c r="AQ49"/>
      <c r="AR49"/>
      <c r="AS49"/>
    </row>
    <row r="50" spans="1:54">
      <c r="A50" s="1"/>
      <c r="B50" s="1"/>
      <c r="H50"/>
      <c r="I50"/>
      <c r="J50"/>
      <c r="K50"/>
      <c r="L50"/>
      <c r="M50"/>
      <c r="N50"/>
      <c r="O50"/>
      <c r="P50"/>
      <c r="Q50"/>
      <c r="R50"/>
      <c r="S50"/>
      <c r="V50"/>
      <c r="Y50"/>
      <c r="AA50"/>
      <c r="AQ50"/>
      <c r="AR50"/>
      <c r="AS50"/>
    </row>
    <row r="51" spans="1:54">
      <c r="A51" s="1"/>
      <c r="B51" s="1"/>
      <c r="H51"/>
      <c r="I51"/>
      <c r="J51"/>
      <c r="K51"/>
      <c r="L51"/>
      <c r="M51"/>
      <c r="N51"/>
      <c r="O51"/>
      <c r="P51"/>
      <c r="Q51"/>
      <c r="R51"/>
      <c r="S51"/>
      <c r="V51"/>
      <c r="Y51"/>
      <c r="AA51"/>
      <c r="AQ51"/>
      <c r="AR51"/>
      <c r="AS51"/>
    </row>
    <row r="52" spans="1:54">
      <c r="A52" s="1"/>
      <c r="B52" s="1"/>
      <c r="H52"/>
      <c r="I52"/>
      <c r="J52"/>
      <c r="K52"/>
      <c r="L52"/>
      <c r="M52"/>
      <c r="N52"/>
      <c r="O52"/>
      <c r="P52"/>
      <c r="Q52"/>
      <c r="R52"/>
      <c r="S52"/>
      <c r="V52"/>
      <c r="Y52"/>
      <c r="AA52"/>
      <c r="AQ52"/>
      <c r="AR52"/>
      <c r="AS52"/>
    </row>
    <row r="53" spans="1:54">
      <c r="A53" s="1"/>
      <c r="B53" s="1"/>
      <c r="H53"/>
      <c r="I53"/>
      <c r="J53"/>
      <c r="K53"/>
      <c r="L53"/>
      <c r="M53"/>
      <c r="N53"/>
      <c r="O53"/>
      <c r="P53"/>
      <c r="Q53"/>
      <c r="R53"/>
      <c r="S53"/>
      <c r="V53"/>
      <c r="Y53"/>
      <c r="AA53"/>
      <c r="AQ53"/>
      <c r="AR53"/>
      <c r="AS53"/>
    </row>
    <row r="54" spans="1:54">
      <c r="A54" s="1"/>
      <c r="B54" s="1"/>
      <c r="E54" s="11"/>
      <c r="F54" s="76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/>
      <c r="S54"/>
      <c r="T54" s="179"/>
      <c r="U54" s="179"/>
      <c r="V54" s="11"/>
      <c r="W54" s="179"/>
      <c r="X54" s="179"/>
      <c r="Y54" s="11"/>
      <c r="Z54" s="179"/>
      <c r="AA54" s="11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</row>
    <row r="55" spans="1:54">
      <c r="A55" s="1"/>
      <c r="B55" s="1"/>
      <c r="H55"/>
      <c r="I55"/>
      <c r="J55"/>
      <c r="K55"/>
      <c r="L55"/>
      <c r="M55"/>
      <c r="N55"/>
      <c r="O55"/>
      <c r="P55"/>
      <c r="Q55"/>
      <c r="R55"/>
      <c r="S55"/>
      <c r="V55"/>
      <c r="Y55"/>
      <c r="AA55"/>
      <c r="AQ55"/>
      <c r="AR55"/>
      <c r="AS55"/>
    </row>
    <row r="56" spans="1:54">
      <c r="A56" s="1"/>
      <c r="B56" s="1"/>
      <c r="H56"/>
      <c r="I56"/>
      <c r="J56"/>
      <c r="K56"/>
      <c r="L56"/>
      <c r="M56"/>
      <c r="N56"/>
      <c r="O56"/>
      <c r="P56"/>
      <c r="Q56"/>
      <c r="R56"/>
      <c r="S56"/>
      <c r="V56"/>
      <c r="Y56"/>
      <c r="AA56"/>
      <c r="AQ56"/>
      <c r="AR56"/>
      <c r="AS56"/>
    </row>
    <row r="57" spans="1:54">
      <c r="A57" s="1"/>
      <c r="B57" s="1"/>
      <c r="H57"/>
      <c r="I57"/>
      <c r="J57"/>
      <c r="K57"/>
      <c r="L57"/>
      <c r="M57"/>
      <c r="N57"/>
      <c r="O57"/>
      <c r="P57"/>
      <c r="Q57"/>
      <c r="R57"/>
      <c r="S57"/>
      <c r="V57"/>
      <c r="Y57"/>
      <c r="AA57"/>
      <c r="AQ57"/>
      <c r="AR57"/>
      <c r="AS57"/>
    </row>
    <row r="58" spans="1:54">
      <c r="A58" s="1"/>
      <c r="B58" s="1"/>
      <c r="H58"/>
      <c r="I58"/>
      <c r="J58"/>
      <c r="K58"/>
      <c r="L58"/>
      <c r="M58"/>
      <c r="N58"/>
      <c r="O58"/>
      <c r="P58"/>
      <c r="Q58"/>
      <c r="R58"/>
      <c r="S58"/>
      <c r="V58"/>
      <c r="Y58"/>
      <c r="AA58"/>
      <c r="AQ58"/>
      <c r="AR58"/>
      <c r="AS58"/>
    </row>
  </sheetData>
  <conditionalFormatting sqref="AT5:BX5">
    <cfRule type="expression" dxfId="146" priority="1">
      <formula>AT$5=$B$2</formula>
    </cfRule>
  </conditionalFormatting>
  <hyperlinks>
    <hyperlink ref="O1" location="Cover!A1" display="Back to cover page"/>
    <hyperlink ref="F1" location="Cover!A1" display="Back to cover page"/>
  </hyperlinks>
  <pageMargins left="0.17" right="0.17" top="0.24" bottom="0.17" header="0.17" footer="0.22"/>
  <pageSetup paperSize="9" scale="58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Y100"/>
  <sheetViews>
    <sheetView showGridLines="0" topLeftCell="A4" zoomScale="85" zoomScaleNormal="85" workbookViewId="0">
      <selection activeCell="BP5" sqref="BP5"/>
    </sheetView>
  </sheetViews>
  <sheetFormatPr defaultRowHeight="12.75" outlineLevelCol="1"/>
  <cols>
    <col min="1" max="1" width="1.7109375" customWidth="1"/>
    <col min="2" max="2" width="3.28515625" customWidth="1"/>
    <col min="3" max="3" width="22.42578125" customWidth="1"/>
    <col min="4" max="4" width="13.42578125" style="148" customWidth="1"/>
    <col min="5" max="5" width="3.7109375" style="148" customWidth="1"/>
    <col min="6" max="6" width="12.42578125" customWidth="1"/>
    <col min="7" max="7" width="1.140625" customWidth="1"/>
    <col min="8" max="16" width="8" hidden="1" customWidth="1"/>
    <col min="17" max="17" width="8.5703125" hidden="1" customWidth="1"/>
    <col min="18" max="18" width="8.42578125" hidden="1" customWidth="1"/>
    <col min="19" max="19" width="8.140625" hidden="1" customWidth="1"/>
    <col min="20" max="20" width="8.7109375" hidden="1" customWidth="1"/>
    <col min="21" max="21" width="8.7109375" style="136" hidden="1" customWidth="1"/>
    <col min="22" max="22" width="8.7109375" hidden="1" customWidth="1"/>
    <col min="23" max="23" width="8.7109375" style="136" hidden="1" customWidth="1"/>
    <col min="24" max="42" width="8.7109375" hidden="1" customWidth="1"/>
    <col min="43" max="43" width="8.140625" hidden="1" customWidth="1"/>
    <col min="44" max="44" width="10.140625" hidden="1" customWidth="1" outlineLevel="1"/>
    <col min="45" max="45" width="10.42578125" hidden="1" customWidth="1" outlineLevel="1"/>
    <col min="46" max="46" width="10" hidden="1" customWidth="1" outlineLevel="1"/>
    <col min="47" max="47" width="9.28515625" hidden="1" customWidth="1" outlineLevel="1"/>
    <col min="48" max="48" width="9.42578125" hidden="1" customWidth="1" outlineLevel="1"/>
    <col min="49" max="49" width="10.140625" hidden="1" customWidth="1" outlineLevel="1"/>
    <col min="50" max="50" width="8.42578125" hidden="1" customWidth="1" outlineLevel="1"/>
    <col min="51" max="51" width="8.140625" hidden="1" customWidth="1" outlineLevel="1"/>
    <col min="52" max="52" width="10.140625" hidden="1" customWidth="1" outlineLevel="1"/>
    <col min="53" max="53" width="9.42578125" style="1806" hidden="1" customWidth="1" outlineLevel="1"/>
    <col min="54" max="54" width="9.42578125" style="1806" bestFit="1" customWidth="1" collapsed="1"/>
    <col min="55" max="56" width="9.42578125" style="1806" bestFit="1" customWidth="1"/>
    <col min="57" max="58" width="9.42578125" style="1806" customWidth="1"/>
    <col min="59" max="64" width="9.42578125" style="1806" bestFit="1" customWidth="1"/>
    <col min="65" max="65" width="8.42578125" style="1806" bestFit="1" customWidth="1"/>
    <col min="66" max="66" width="10.28515625" style="1806" customWidth="1"/>
    <col min="67" max="67" width="8.5703125" style="1806" customWidth="1"/>
    <col min="68" max="68" width="8" style="1806" bestFit="1" customWidth="1"/>
    <col min="69" max="70" width="7.28515625" style="1806" hidden="1" customWidth="1" outlineLevel="1"/>
    <col min="71" max="71" width="6.7109375" style="1806" hidden="1" customWidth="1" outlineLevel="1"/>
    <col min="72" max="73" width="7.28515625" hidden="1" customWidth="1" outlineLevel="1"/>
    <col min="74" max="74" width="9.7109375" bestFit="1" customWidth="1" collapsed="1"/>
    <col min="75" max="75" width="0.140625" customWidth="1"/>
    <col min="76" max="76" width="0.7109375" customWidth="1"/>
    <col min="77" max="77" width="9.140625" customWidth="1"/>
  </cols>
  <sheetData>
    <row r="1" spans="2:76">
      <c r="B1" s="1" t="s">
        <v>281</v>
      </c>
      <c r="F1" s="3" t="s">
        <v>0</v>
      </c>
      <c r="Q1" s="3" t="s">
        <v>0</v>
      </c>
    </row>
    <row r="2" spans="2:76">
      <c r="B2" s="263"/>
      <c r="C2" s="1623">
        <f>+Cover!$G$5</f>
        <v>42947</v>
      </c>
    </row>
    <row r="4" spans="2:76" s="1016" customFormat="1" ht="15" customHeight="1">
      <c r="B4" s="1029" t="s">
        <v>458</v>
      </c>
      <c r="C4" s="1030"/>
      <c r="D4" s="1056" t="s">
        <v>249</v>
      </c>
      <c r="E4" s="1057"/>
      <c r="F4" s="1058" t="s">
        <v>58</v>
      </c>
      <c r="G4" s="1059"/>
      <c r="H4" s="1059"/>
      <c r="I4" s="1059"/>
      <c r="J4" s="1059"/>
      <c r="K4" s="1059"/>
      <c r="L4" s="1059"/>
      <c r="M4" s="1059"/>
      <c r="N4" s="1059"/>
      <c r="O4" s="1059"/>
      <c r="P4" s="1059"/>
      <c r="Q4" s="1059"/>
      <c r="R4" s="1059"/>
      <c r="S4" s="1059"/>
      <c r="T4" s="1059"/>
      <c r="U4" s="1060"/>
      <c r="V4" s="1059"/>
      <c r="W4" s="1061"/>
      <c r="X4" s="1059"/>
      <c r="Y4" s="1059"/>
      <c r="Z4" s="1059"/>
      <c r="AA4" s="1059"/>
      <c r="AB4" s="1059"/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/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939">
        <f>C2</f>
        <v>42947</v>
      </c>
      <c r="BW4" s="2387"/>
    </row>
    <row r="5" spans="2:76" s="1062" customFormat="1">
      <c r="B5" s="1063"/>
      <c r="C5" s="1064" t="s">
        <v>136</v>
      </c>
      <c r="D5" s="1065" t="s">
        <v>4136</v>
      </c>
      <c r="E5" s="1066"/>
      <c r="F5" s="1067" t="s">
        <v>163</v>
      </c>
      <c r="G5" s="1068"/>
      <c r="H5" s="1069" t="s">
        <v>56</v>
      </c>
      <c r="I5" s="1070" t="s">
        <v>79</v>
      </c>
      <c r="J5" s="1070" t="s">
        <v>80</v>
      </c>
      <c r="K5" s="1070" t="s">
        <v>81</v>
      </c>
      <c r="L5" s="1070" t="s">
        <v>82</v>
      </c>
      <c r="M5" s="1070" t="s">
        <v>83</v>
      </c>
      <c r="N5" s="1070" t="s">
        <v>84</v>
      </c>
      <c r="O5" s="1070" t="s">
        <v>85</v>
      </c>
      <c r="P5" s="1070" t="s">
        <v>86</v>
      </c>
      <c r="Q5" s="1071" t="s">
        <v>98</v>
      </c>
      <c r="R5" s="1071" t="s">
        <v>34</v>
      </c>
      <c r="S5" s="1071" t="s">
        <v>35</v>
      </c>
      <c r="T5" s="1071" t="s">
        <v>36</v>
      </c>
      <c r="U5" s="1072" t="s">
        <v>37</v>
      </c>
      <c r="V5" s="1072" t="s">
        <v>266</v>
      </c>
      <c r="W5" s="1073" t="s">
        <v>291</v>
      </c>
      <c r="X5" s="1072" t="s">
        <v>40</v>
      </c>
      <c r="Y5" s="1072" t="s">
        <v>41</v>
      </c>
      <c r="Z5" s="1072" t="s">
        <v>42</v>
      </c>
      <c r="AA5" s="1072" t="s">
        <v>43</v>
      </c>
      <c r="AB5" s="1072" t="s">
        <v>44</v>
      </c>
      <c r="AC5" s="1072" t="s">
        <v>552</v>
      </c>
      <c r="AD5" s="1072" t="s">
        <v>588</v>
      </c>
      <c r="AE5" s="1072" t="s">
        <v>632</v>
      </c>
      <c r="AF5" s="1072" t="s">
        <v>665</v>
      </c>
      <c r="AG5" s="1072" t="s">
        <v>695</v>
      </c>
      <c r="AH5" s="1072" t="s">
        <v>757</v>
      </c>
      <c r="AI5" s="1072" t="s">
        <v>795</v>
      </c>
      <c r="AJ5" s="1072" t="s">
        <v>823</v>
      </c>
      <c r="AK5" s="1072" t="s">
        <v>860</v>
      </c>
      <c r="AL5" s="1649" t="s">
        <v>899</v>
      </c>
      <c r="AM5" s="1649" t="s">
        <v>948</v>
      </c>
      <c r="AN5" s="1649" t="s">
        <v>1013</v>
      </c>
      <c r="AO5" s="1771">
        <v>42095</v>
      </c>
      <c r="AP5" s="1649" t="s">
        <v>2649</v>
      </c>
      <c r="AQ5" s="1771">
        <v>42185</v>
      </c>
      <c r="AR5" s="1771">
        <v>42216</v>
      </c>
      <c r="AS5" s="1771">
        <v>42247</v>
      </c>
      <c r="AT5" s="1771">
        <v>42277</v>
      </c>
      <c r="AU5" s="1771">
        <v>42308</v>
      </c>
      <c r="AV5" s="1771">
        <v>42338</v>
      </c>
      <c r="AW5" s="1771">
        <v>42369</v>
      </c>
      <c r="AX5" s="1771">
        <v>42400</v>
      </c>
      <c r="AY5" s="1771">
        <v>42401</v>
      </c>
      <c r="AZ5" s="1771">
        <v>42460</v>
      </c>
      <c r="BA5" s="1771">
        <v>42490</v>
      </c>
      <c r="BB5" s="1771">
        <v>42521</v>
      </c>
      <c r="BC5" s="1771">
        <v>42551</v>
      </c>
      <c r="BD5" s="1771">
        <v>42582</v>
      </c>
      <c r="BE5" s="1771">
        <v>42613</v>
      </c>
      <c r="BF5" s="1771">
        <v>42643</v>
      </c>
      <c r="BG5" s="1771">
        <v>42674</v>
      </c>
      <c r="BH5" s="1771">
        <v>42704</v>
      </c>
      <c r="BI5" s="1771">
        <v>42735</v>
      </c>
      <c r="BJ5" s="2079">
        <v>42766</v>
      </c>
      <c r="BK5" s="1771">
        <v>42794</v>
      </c>
      <c r="BL5" s="1771">
        <v>42825</v>
      </c>
      <c r="BM5" s="1771">
        <v>42855</v>
      </c>
      <c r="BN5" s="1771">
        <v>42886</v>
      </c>
      <c r="BO5" s="1771">
        <v>42916</v>
      </c>
      <c r="BP5" s="1771">
        <v>42947</v>
      </c>
      <c r="BQ5" s="1771">
        <v>42978</v>
      </c>
      <c r="BR5" s="1771">
        <v>43008</v>
      </c>
      <c r="BS5" s="1771">
        <v>43039</v>
      </c>
      <c r="BT5" s="1771">
        <v>43069</v>
      </c>
      <c r="BU5" s="1771">
        <v>43100</v>
      </c>
      <c r="BV5" s="1941" t="s">
        <v>2436</v>
      </c>
      <c r="BW5" s="2388"/>
    </row>
    <row r="6" spans="2:76" s="1016" customFormat="1" ht="15" customHeight="1">
      <c r="B6" s="1036"/>
      <c r="C6" s="1075" t="s">
        <v>170</v>
      </c>
      <c r="D6" s="1911">
        <f>Plan!C26</f>
        <v>159266.37799054454</v>
      </c>
      <c r="E6" s="1912"/>
      <c r="F6" s="1913">
        <f>HCM!C5</f>
        <v>173278.55815999999</v>
      </c>
      <c r="G6" s="1076"/>
      <c r="H6" s="260">
        <f>HCM!J5</f>
        <v>292.24</v>
      </c>
      <c r="I6" s="257">
        <f>HCM!K5</f>
        <v>343.76400000000001</v>
      </c>
      <c r="J6" s="257">
        <f>HCM!L5</f>
        <v>816.25900000000001</v>
      </c>
      <c r="K6" s="257">
        <f>HCM!M5</f>
        <v>234.95</v>
      </c>
      <c r="L6" s="257">
        <f>HCM!N5</f>
        <v>324.42099999999999</v>
      </c>
      <c r="M6" s="257">
        <f>HCM!O5</f>
        <v>535.95699999999999</v>
      </c>
      <c r="N6" s="257">
        <f>HCM!P5</f>
        <v>211.88800000000001</v>
      </c>
      <c r="O6" s="257">
        <f>HCM!Q5</f>
        <v>180.74700000000001</v>
      </c>
      <c r="P6" s="257">
        <f>HCM!R5</f>
        <v>1188.4769999999999</v>
      </c>
      <c r="Q6" s="255">
        <f>HCM!S5</f>
        <v>413.94600000000003</v>
      </c>
      <c r="R6" s="255">
        <f>HCM!T5</f>
        <v>167.935</v>
      </c>
      <c r="S6" s="255">
        <f>HCM!U5</f>
        <v>385.803</v>
      </c>
      <c r="T6" s="255">
        <f>HCM!V5</f>
        <v>450.10800000000006</v>
      </c>
      <c r="U6" s="359">
        <f>HCM!W5</f>
        <v>770.74600000000009</v>
      </c>
      <c r="V6" s="386">
        <f>HCM!X5</f>
        <v>331.56200000000001</v>
      </c>
      <c r="W6" s="359">
        <f>HCM!Y5</f>
        <v>451.54100000000005</v>
      </c>
      <c r="X6" s="386">
        <f>HCM!Z5</f>
        <v>607.80600000000004</v>
      </c>
      <c r="Y6" s="386">
        <f>HCM!AA5</f>
        <v>939.36300000000006</v>
      </c>
      <c r="Z6" s="386">
        <f>HCM!AB5</f>
        <v>1373.5120000000002</v>
      </c>
      <c r="AA6" s="386">
        <f>HCM!AC5</f>
        <v>926.57099999999991</v>
      </c>
      <c r="AB6" s="386">
        <f>HCM!AD5</f>
        <v>1459.1579999999999</v>
      </c>
      <c r="AC6" s="1566">
        <f>HCM!AE5</f>
        <v>827.53499999999997</v>
      </c>
      <c r="AD6" s="1566">
        <f>HCM!AF5</f>
        <v>929.18900000000008</v>
      </c>
      <c r="AE6" s="1566">
        <f>HCM!AG5</f>
        <v>1257.2389999999998</v>
      </c>
      <c r="AF6" s="1566">
        <f>HCM!AH5</f>
        <v>1806.2820000000002</v>
      </c>
      <c r="AG6" s="1566">
        <f>HCM!AI5</f>
        <v>2421.1240000000003</v>
      </c>
      <c r="AH6" s="1566">
        <f>HCM!AJ5</f>
        <v>4469.2719999999999</v>
      </c>
      <c r="AI6" s="1566">
        <f>HCM!AK5</f>
        <v>5091.6689999999999</v>
      </c>
      <c r="AJ6" s="1566">
        <f>HCM!AL5</f>
        <v>5263.5330000000004</v>
      </c>
      <c r="AK6" s="1566">
        <f>HCM!AM5</f>
        <v>7663.94</v>
      </c>
      <c r="AL6" s="1566">
        <f>HCM!AN5</f>
        <v>8912.9089999999997</v>
      </c>
      <c r="AM6" s="1566">
        <f>HCM!AO5</f>
        <v>8341.8340000000007</v>
      </c>
      <c r="AN6" s="1566">
        <f>HCM!AP5</f>
        <v>23133.16</v>
      </c>
      <c r="AO6" s="1566">
        <v>14017.172</v>
      </c>
      <c r="AP6" s="1566">
        <v>11357.576000000001</v>
      </c>
      <c r="AQ6" s="1566">
        <v>18852.466</v>
      </c>
      <c r="AR6" s="1566">
        <v>16582.023000000001</v>
      </c>
      <c r="AS6" s="1566">
        <v>10057.415000000001</v>
      </c>
      <c r="AT6" s="1566">
        <v>21958.39</v>
      </c>
      <c r="AU6" s="1566">
        <v>13825.281999999999</v>
      </c>
      <c r="AV6" s="1566">
        <v>21610.269</v>
      </c>
      <c r="AW6" s="1566">
        <v>34303.053999999996</v>
      </c>
      <c r="AX6" s="1566">
        <v>6062.5230000000001</v>
      </c>
      <c r="AY6" s="1566">
        <v>6799.4350000000004</v>
      </c>
      <c r="AZ6" s="1566">
        <f>HCM!BE5</f>
        <v>17947.367299999991</v>
      </c>
      <c r="BA6" s="2279">
        <f>HCM!BF5</f>
        <v>18456.183199999999</v>
      </c>
      <c r="BB6" s="2279">
        <f>HCM!BG5</f>
        <v>13855.127900000003</v>
      </c>
      <c r="BC6" s="2279">
        <f>HCM!BH5</f>
        <v>17580.338640000002</v>
      </c>
      <c r="BD6" s="2279">
        <f>HCM!BI5</f>
        <v>14366.86017</v>
      </c>
      <c r="BE6" s="2279">
        <f>HCM!BJ5</f>
        <v>14149.385</v>
      </c>
      <c r="BF6" s="2279">
        <f>HCM!BK5</f>
        <v>20517.665099999998</v>
      </c>
      <c r="BG6" s="2279">
        <f>HCM!BL5</f>
        <v>18767.984049999999</v>
      </c>
      <c r="BH6" s="2279">
        <f>HCM!BM5</f>
        <v>28166.729560000036</v>
      </c>
      <c r="BI6" s="2279">
        <f>HCM!BN5</f>
        <v>45261.850670000116</v>
      </c>
      <c r="BJ6" s="2279">
        <f>HCM!BO5</f>
        <v>13255.832900000001</v>
      </c>
      <c r="BK6" s="2279">
        <f>HCM!BP5</f>
        <v>21455.887900000002</v>
      </c>
      <c r="BL6" s="2279">
        <f>HCM!BQ5</f>
        <v>27891.59</v>
      </c>
      <c r="BM6" s="2279">
        <f>HCM!BR5</f>
        <v>24537.054</v>
      </c>
      <c r="BN6" s="2279">
        <f>HCM!BS5</f>
        <v>31455.851000000002</v>
      </c>
      <c r="BO6" s="2279">
        <f>HCM!BT5</f>
        <v>31246.204999999998</v>
      </c>
      <c r="BP6" s="2279">
        <f>HCM!BU5</f>
        <v>23436.137359999997</v>
      </c>
      <c r="BQ6" s="2279">
        <f>HCM!BV5</f>
        <v>0</v>
      </c>
      <c r="BR6" s="2279">
        <f>HCM!BW5</f>
        <v>0</v>
      </c>
      <c r="BS6" s="2279">
        <f>HCM!BX5</f>
        <v>0</v>
      </c>
      <c r="BT6" s="2279">
        <f>HCM!BY5</f>
        <v>0</v>
      </c>
      <c r="BU6" s="2279">
        <f>HCM!BZ5</f>
        <v>0</v>
      </c>
      <c r="BV6" s="1952">
        <f>Plan!$BO$26</f>
        <v>28962.400492013472</v>
      </c>
      <c r="BW6" s="405"/>
    </row>
    <row r="7" spans="2:76" s="1016" customFormat="1" ht="15" customHeight="1">
      <c r="B7" s="1036"/>
      <c r="C7" s="1075" t="s">
        <v>181</v>
      </c>
      <c r="D7" s="1911">
        <f>Plan!C28</f>
        <v>4685.4053373888992</v>
      </c>
      <c r="E7" s="1912"/>
      <c r="F7" s="1913">
        <f>INDEX($AO$7:$BT$7,1,MATCH($C$2,$AO$5:$BT$5,0))</f>
        <v>2410</v>
      </c>
      <c r="G7" s="1076"/>
      <c r="H7" s="1077">
        <f>HCM!J8</f>
        <v>32</v>
      </c>
      <c r="I7" s="986">
        <f>HCM!K8</f>
        <v>40</v>
      </c>
      <c r="J7" s="986">
        <f>HCM!L8</f>
        <v>58</v>
      </c>
      <c r="K7" s="986">
        <f>HCM!M8</f>
        <v>67</v>
      </c>
      <c r="L7" s="986">
        <f>HCM!N8</f>
        <v>68</v>
      </c>
      <c r="M7" s="986">
        <f>HCM!O8</f>
        <v>63</v>
      </c>
      <c r="N7" s="986">
        <f>HCM!P8</f>
        <v>62</v>
      </c>
      <c r="O7" s="986">
        <f>HCM!Q8</f>
        <v>60</v>
      </c>
      <c r="P7" s="986">
        <f>HCM!R8</f>
        <v>73</v>
      </c>
      <c r="Q7" s="986">
        <f>HCM!S8</f>
        <v>77</v>
      </c>
      <c r="R7" s="986">
        <f>HCM!T8</f>
        <v>74</v>
      </c>
      <c r="S7" s="986">
        <f>HCM!U8</f>
        <v>92</v>
      </c>
      <c r="T7" s="986">
        <f>HCM!V8</f>
        <v>119</v>
      </c>
      <c r="U7" s="982">
        <f>HCM!W8</f>
        <v>158</v>
      </c>
      <c r="V7" s="982">
        <f>HCM!X8</f>
        <v>174</v>
      </c>
      <c r="W7" s="982">
        <f>HCM!Y8</f>
        <v>174</v>
      </c>
      <c r="X7" s="1078">
        <f>HCM!Z8</f>
        <v>193</v>
      </c>
      <c r="Y7" s="1078">
        <f>HCM!AA8</f>
        <v>213</v>
      </c>
      <c r="Z7" s="1078">
        <f>HCM!AB8</f>
        <v>228</v>
      </c>
      <c r="AA7" s="1078">
        <f>HCM!AC8</f>
        <v>251</v>
      </c>
      <c r="AB7" s="1078">
        <f>HCM!AD8</f>
        <v>299</v>
      </c>
      <c r="AC7" s="1566">
        <f>HCM!AE8</f>
        <v>296</v>
      </c>
      <c r="AD7" s="1566">
        <f>HCM!AF8</f>
        <v>277</v>
      </c>
      <c r="AE7" s="1566">
        <f>HCM!AG8</f>
        <v>323</v>
      </c>
      <c r="AF7" s="1566">
        <f>HCM!AH8</f>
        <v>427</v>
      </c>
      <c r="AG7" s="1566">
        <f>HCM!AI8</f>
        <v>506</v>
      </c>
      <c r="AH7" s="1566">
        <f>HCM!AJ8</f>
        <v>565</v>
      </c>
      <c r="AI7" s="1566">
        <f>HCM!AK8</f>
        <v>616</v>
      </c>
      <c r="AJ7" s="1566">
        <f>HCM!AL8</f>
        <v>722</v>
      </c>
      <c r="AK7" s="1566">
        <f>HCM!AM8</f>
        <v>797</v>
      </c>
      <c r="AL7" s="1566">
        <f>HCM!AN8</f>
        <v>834</v>
      </c>
      <c r="AM7" s="1566">
        <f>HCM!AO8</f>
        <v>959</v>
      </c>
      <c r="AN7" s="1566">
        <f>HCM!AP8</f>
        <v>1099</v>
      </c>
      <c r="AO7" s="1566">
        <v>1632</v>
      </c>
      <c r="AP7" s="1566">
        <v>1590</v>
      </c>
      <c r="AQ7" s="1566">
        <v>1621</v>
      </c>
      <c r="AR7" s="1566">
        <v>1642</v>
      </c>
      <c r="AS7" s="1566">
        <v>1743</v>
      </c>
      <c r="AT7" s="1566">
        <v>1729</v>
      </c>
      <c r="AU7" s="1566">
        <v>1798</v>
      </c>
      <c r="AV7" s="1566">
        <v>1892</v>
      </c>
      <c r="AW7" s="1566">
        <v>1925</v>
      </c>
      <c r="AX7" s="1566">
        <v>1939</v>
      </c>
      <c r="AY7" s="1566">
        <v>1938</v>
      </c>
      <c r="AZ7" s="1566">
        <f>HCM!BE46</f>
        <v>2068</v>
      </c>
      <c r="BA7" s="2279">
        <f>HCM!BF46</f>
        <v>2121</v>
      </c>
      <c r="BB7" s="2279">
        <f>HCM!BG46</f>
        <v>2197</v>
      </c>
      <c r="BC7" s="2279">
        <f>HCM!BH46</f>
        <v>2295</v>
      </c>
      <c r="BD7" s="2279">
        <f>HCM!BI46</f>
        <v>2378</v>
      </c>
      <c r="BE7" s="2279">
        <f>HCM!BJ46</f>
        <v>2500</v>
      </c>
      <c r="BF7" s="2279">
        <f>HCM!BK46</f>
        <v>2624</v>
      </c>
      <c r="BG7" s="2279">
        <f>HCM!BL46</f>
        <v>2812</v>
      </c>
      <c r="BH7" s="2279">
        <f>HCM!BM46</f>
        <v>3031</v>
      </c>
      <c r="BI7" s="2279">
        <f>HCM!BN46</f>
        <v>3144</v>
      </c>
      <c r="BJ7" s="2279">
        <f>HCM!BO46</f>
        <v>3220</v>
      </c>
      <c r="BK7" s="2279">
        <f>HCM!BP46</f>
        <v>2564</v>
      </c>
      <c r="BL7" s="2279">
        <f>HCM!BQ46</f>
        <v>2534</v>
      </c>
      <c r="BM7" s="2279">
        <f>HCM!BR46</f>
        <v>2327</v>
      </c>
      <c r="BN7" s="2279">
        <f>HCM!BS46</f>
        <v>2436</v>
      </c>
      <c r="BO7" s="2279">
        <f>HCM!BT46</f>
        <v>2491</v>
      </c>
      <c r="BP7" s="2279">
        <f>HCM!BU46</f>
        <v>2410</v>
      </c>
      <c r="BQ7" s="2279">
        <f>HCM!BV46</f>
        <v>0</v>
      </c>
      <c r="BR7" s="2279">
        <f>HCM!BW46</f>
        <v>0</v>
      </c>
      <c r="BS7" s="2279">
        <f>HCM!BX46</f>
        <v>0</v>
      </c>
      <c r="BT7" s="2279">
        <f>HCM!BY46</f>
        <v>0</v>
      </c>
      <c r="BU7" s="2279">
        <f>HCM!BZ46</f>
        <v>0</v>
      </c>
      <c r="BV7" s="1933">
        <f>Plan!$BO$28</f>
        <v>4685.4053373888992</v>
      </c>
      <c r="BW7" s="406"/>
    </row>
    <row r="8" spans="2:76" s="1016" customFormat="1" ht="15" customHeight="1">
      <c r="B8" s="1036"/>
      <c r="C8" s="1075" t="s">
        <v>180</v>
      </c>
      <c r="D8" s="1914">
        <f>Plan!C31</f>
        <v>0.17525428529463785</v>
      </c>
      <c r="E8" s="1915"/>
      <c r="F8" s="1916">
        <f>HCM!C12</f>
        <v>0.22778333889445002</v>
      </c>
      <c r="G8" s="1076"/>
      <c r="H8" s="261">
        <f>HCM!J12</f>
        <v>0.875</v>
      </c>
      <c r="I8" s="256">
        <f>HCM!K12</f>
        <v>0.69444444444444442</v>
      </c>
      <c r="J8" s="256">
        <f>HCM!L12</f>
        <v>0.46938775510204084</v>
      </c>
      <c r="K8" s="256">
        <f>HCM!M12</f>
        <v>0.20799999999999999</v>
      </c>
      <c r="L8" s="256">
        <f>HCM!N12</f>
        <v>0.2814814814814815</v>
      </c>
      <c r="M8" s="256">
        <f>HCM!O12</f>
        <v>0.30534351145038169</v>
      </c>
      <c r="N8" s="256">
        <f>HCM!P12</f>
        <v>0.16</v>
      </c>
      <c r="O8" s="256">
        <f>HCM!Q12</f>
        <v>0.11475409836065574</v>
      </c>
      <c r="P8" s="256">
        <f>HCM!R12</f>
        <v>0.48120300751879697</v>
      </c>
      <c r="Q8" s="256">
        <f>HCM!S12</f>
        <v>0.29333333333333333</v>
      </c>
      <c r="R8" s="256">
        <f>HCM!T12</f>
        <v>0.11920529801324503</v>
      </c>
      <c r="S8" s="256">
        <f>HCM!U12</f>
        <v>0.24096385542168675</v>
      </c>
      <c r="T8" s="256">
        <f>HCM!V12</f>
        <v>0.23696682464454977</v>
      </c>
      <c r="U8" s="360">
        <f>HCM!W12</f>
        <v>0.22382671480144403</v>
      </c>
      <c r="V8" s="360">
        <f>HCM!X12</f>
        <v>0.1746987951807229</v>
      </c>
      <c r="W8" s="360">
        <f>HCM!Y12</f>
        <v>0.13218390804597702</v>
      </c>
      <c r="X8" s="523">
        <f>HCM!Z12</f>
        <v>0.16348773841961853</v>
      </c>
      <c r="Y8" s="523">
        <f>HCM!AA12</f>
        <v>0.19704433497536947</v>
      </c>
      <c r="Z8" s="523">
        <f>HCM!AB12</f>
        <v>0.23582766439909297</v>
      </c>
      <c r="AA8" s="523">
        <f>HCM!AC12</f>
        <v>0.15866388308977036</v>
      </c>
      <c r="AB8" s="523">
        <f>HCM!AD12</f>
        <v>0.22545454545454546</v>
      </c>
      <c r="AC8" s="523">
        <f>HCM!AE12</f>
        <v>0.16134453781512606</v>
      </c>
      <c r="AD8" s="523">
        <f>HCM!AF12</f>
        <v>0.16404886561954624</v>
      </c>
      <c r="AE8" s="523">
        <f>HCM!AG12</f>
        <v>0.21666666666666667</v>
      </c>
      <c r="AF8" s="523">
        <f>HCM!AH12</f>
        <v>0.24266666666666667</v>
      </c>
      <c r="AG8" s="523">
        <f>HCM!AI12</f>
        <v>0.23365487674169347</v>
      </c>
      <c r="AH8" s="523">
        <f>HCM!AJ12</f>
        <v>0.34920634920634919</v>
      </c>
      <c r="AI8" s="523">
        <f>HCM!AK12</f>
        <v>0.32176121930567314</v>
      </c>
      <c r="AJ8" s="523">
        <f>HCM!AL12</f>
        <v>0.27503736920777277</v>
      </c>
      <c r="AK8" s="523">
        <f>HCM!AM12</f>
        <v>0.28703094140882157</v>
      </c>
      <c r="AL8" s="523">
        <f>HCM!AN12</f>
        <v>0.32250153280196198</v>
      </c>
      <c r="AM8" s="523">
        <f>HCM!AO12</f>
        <v>0.28890128276631344</v>
      </c>
      <c r="AN8" s="523">
        <f>HCM!AP12</f>
        <v>0.39844509232264336</v>
      </c>
      <c r="AO8" s="523">
        <v>0.25804375804375806</v>
      </c>
      <c r="AP8" s="523">
        <v>0.29050279329608941</v>
      </c>
      <c r="AQ8" s="523">
        <v>0.33945811273746496</v>
      </c>
      <c r="AR8" s="523">
        <v>0.31737262124002458</v>
      </c>
      <c r="AS8" s="523">
        <v>0.25051698670605616</v>
      </c>
      <c r="AT8" s="523">
        <v>0.34484743811168683</v>
      </c>
      <c r="AU8" s="523">
        <v>0.28069180606747945</v>
      </c>
      <c r="AV8" s="523">
        <v>0.33107558927120023</v>
      </c>
      <c r="AW8" s="523">
        <v>0.39707419017763845</v>
      </c>
      <c r="AX8" s="523">
        <v>0.12477349210458193</v>
      </c>
      <c r="AY8" s="523">
        <v>0.11982514785291849</v>
      </c>
      <c r="AZ8" s="523">
        <f>HCM!BE12</f>
        <v>0.23026973026973027</v>
      </c>
      <c r="BA8" s="2280">
        <f>HCM!BF12</f>
        <v>0.20348698352042036</v>
      </c>
      <c r="BB8" s="2280">
        <f>HCM!BG12</f>
        <v>0.19689599258744497</v>
      </c>
      <c r="BC8" s="2280">
        <f>HCM!BH12</f>
        <v>0.25924276169265031</v>
      </c>
      <c r="BD8" s="2280">
        <f>HCM!BI12</f>
        <v>0.2050952686790837</v>
      </c>
      <c r="BE8" s="2280">
        <f>HCM!BJ12</f>
        <v>0.19024190241902419</v>
      </c>
      <c r="BF8" s="2280">
        <f>HCM!BK12</f>
        <v>0.20725995316159251</v>
      </c>
      <c r="BG8" s="2280">
        <f>HCM!BL12</f>
        <v>0.17512877115526121</v>
      </c>
      <c r="BH8" s="2280">
        <f>HCM!BM12</f>
        <v>0.19647441382851275</v>
      </c>
      <c r="BI8" s="2280">
        <f>HCM!BN12</f>
        <v>0.26623481781376518</v>
      </c>
      <c r="BJ8" s="2280">
        <f>HCM!BO12</f>
        <v>0.11313639220615965</v>
      </c>
      <c r="BK8" s="2280">
        <f>HCM!BP12</f>
        <v>0.18049792531120332</v>
      </c>
      <c r="BL8" s="2280">
        <f>HCM!BQ12</f>
        <v>0.26245586504511575</v>
      </c>
      <c r="BM8" s="2280">
        <f>HCM!BR12</f>
        <v>0.24069121579921826</v>
      </c>
      <c r="BN8" s="2280">
        <f>HCM!BS12</f>
        <v>0.2532017635943733</v>
      </c>
      <c r="BO8" s="2280">
        <f>HCM!BT12</f>
        <v>0.26872336107164602</v>
      </c>
      <c r="BP8" s="2280">
        <f>HCM!BU12</f>
        <v>0.22036319118547235</v>
      </c>
      <c r="BQ8" s="2280">
        <f>HCM!BV12</f>
        <v>0</v>
      </c>
      <c r="BR8" s="2280" t="str">
        <f>HCM!BW12</f>
        <v>-</v>
      </c>
      <c r="BS8" s="2280" t="str">
        <f>HCM!BX12</f>
        <v>-</v>
      </c>
      <c r="BT8" s="2280" t="str">
        <f>HCM!BY12</f>
        <v>-</v>
      </c>
      <c r="BU8" s="2280" t="str">
        <f>HCM!BZ12</f>
        <v>-</v>
      </c>
      <c r="BV8" s="1953">
        <f>Plan!$BO$31</f>
        <v>0.20411281539932316</v>
      </c>
      <c r="BW8" s="407"/>
    </row>
    <row r="9" spans="2:76" s="1016" customFormat="1" ht="15" customHeight="1">
      <c r="B9" s="1036"/>
      <c r="C9" s="1075" t="s">
        <v>125</v>
      </c>
      <c r="D9" s="1911">
        <f>Plan!C32</f>
        <v>5388.1759928792144</v>
      </c>
      <c r="E9" s="1912"/>
      <c r="F9" s="1913">
        <f>HCM!C13</f>
        <v>4096</v>
      </c>
      <c r="G9" s="1076"/>
      <c r="H9" s="1077">
        <f>HCM!J13</f>
        <v>14</v>
      </c>
      <c r="I9" s="986">
        <f>HCM!K13</f>
        <v>25</v>
      </c>
      <c r="J9" s="986">
        <f>HCM!L13</f>
        <v>23</v>
      </c>
      <c r="K9" s="986">
        <f>HCM!M13</f>
        <v>13</v>
      </c>
      <c r="L9" s="986">
        <f>HCM!N13</f>
        <v>19</v>
      </c>
      <c r="M9" s="986">
        <f>HCM!O13</f>
        <v>20</v>
      </c>
      <c r="N9" s="986">
        <f>HCM!P13</f>
        <v>10</v>
      </c>
      <c r="O9" s="986">
        <f>HCM!Q13</f>
        <v>7</v>
      </c>
      <c r="P9" s="986">
        <f>HCM!R13</f>
        <v>32</v>
      </c>
      <c r="Q9" s="986">
        <f>HCM!S13</f>
        <v>22</v>
      </c>
      <c r="R9" s="986">
        <f>HCM!T13</f>
        <v>9</v>
      </c>
      <c r="S9" s="986">
        <f>HCM!U13</f>
        <v>20</v>
      </c>
      <c r="T9" s="986">
        <f>HCM!V13</f>
        <v>25</v>
      </c>
      <c r="U9" s="982">
        <f>HCM!W13</f>
        <v>31</v>
      </c>
      <c r="V9" s="982">
        <f>HCM!X13</f>
        <v>29</v>
      </c>
      <c r="W9" s="982">
        <f>HCM!Y13</f>
        <v>23</v>
      </c>
      <c r="X9" s="1078">
        <f>HCM!Z13</f>
        <v>30</v>
      </c>
      <c r="Y9" s="1078">
        <f>HCM!AA13</f>
        <v>40</v>
      </c>
      <c r="Z9" s="1078">
        <f>HCM!AB13</f>
        <v>52</v>
      </c>
      <c r="AA9" s="1078">
        <f>HCM!AC13</f>
        <v>38</v>
      </c>
      <c r="AB9" s="1078">
        <f>HCM!AD13</f>
        <v>62</v>
      </c>
      <c r="AC9" s="1078">
        <f>HCM!AE13</f>
        <v>48</v>
      </c>
      <c r="AD9" s="1078">
        <f>HCM!AF13</f>
        <v>47</v>
      </c>
      <c r="AE9" s="1078">
        <f>HCM!AG13</f>
        <v>65</v>
      </c>
      <c r="AF9" s="1078">
        <f>HCM!AH13</f>
        <v>91</v>
      </c>
      <c r="AG9" s="1078">
        <f>HCM!AI13</f>
        <v>109</v>
      </c>
      <c r="AH9" s="1078">
        <f>HCM!AJ13</f>
        <v>187</v>
      </c>
      <c r="AI9" s="1078">
        <f>HCM!AK13</f>
        <v>190</v>
      </c>
      <c r="AJ9" s="1078">
        <f>HCM!AL13</f>
        <v>184</v>
      </c>
      <c r="AK9" s="1078">
        <f>HCM!AM13</f>
        <v>218</v>
      </c>
      <c r="AL9" s="1078">
        <f>HCM!AN13</f>
        <v>263</v>
      </c>
      <c r="AM9" s="1078">
        <f>HCM!AO13</f>
        <v>259</v>
      </c>
      <c r="AN9" s="1078">
        <f>HCM!AP13</f>
        <v>410</v>
      </c>
      <c r="AO9" s="1078">
        <v>401</v>
      </c>
      <c r="AP9" s="1078">
        <v>468</v>
      </c>
      <c r="AQ9" s="1078">
        <v>545</v>
      </c>
      <c r="AR9" s="1078">
        <v>517</v>
      </c>
      <c r="AS9" s="1078">
        <v>424</v>
      </c>
      <c r="AT9" s="1078">
        <v>599</v>
      </c>
      <c r="AU9" s="1078">
        <v>495</v>
      </c>
      <c r="AV9" s="1078">
        <v>611</v>
      </c>
      <c r="AW9" s="1078">
        <v>760</v>
      </c>
      <c r="AX9" s="1078">
        <v>241</v>
      </c>
      <c r="AY9" s="1078">
        <v>233</v>
      </c>
      <c r="AZ9" s="1078">
        <f>HCM!BE13</f>
        <v>461</v>
      </c>
      <c r="BA9" s="2281">
        <f>HCM!BF13</f>
        <v>426</v>
      </c>
      <c r="BB9" s="2281">
        <f>HCM!BG13</f>
        <v>425</v>
      </c>
      <c r="BC9" s="2281">
        <f>HCM!BH13</f>
        <v>582</v>
      </c>
      <c r="BD9" s="2281">
        <f>HCM!BI13</f>
        <v>479</v>
      </c>
      <c r="BE9" s="2281">
        <f>HCM!BJ13</f>
        <v>464</v>
      </c>
      <c r="BF9" s="2281">
        <f>HCM!BK13</f>
        <v>531</v>
      </c>
      <c r="BG9" s="2281">
        <f>HCM!BL13</f>
        <v>476</v>
      </c>
      <c r="BH9" s="2281">
        <f>HCM!BM13</f>
        <v>574</v>
      </c>
      <c r="BI9" s="2281">
        <f>HCM!BN13</f>
        <v>822</v>
      </c>
      <c r="BJ9" s="2281">
        <f>HCM!BO13</f>
        <v>360</v>
      </c>
      <c r="BK9" s="2281">
        <f>HCM!BP13</f>
        <v>553</v>
      </c>
      <c r="BL9" s="2281">
        <f>HCM!BQ13</f>
        <v>700</v>
      </c>
      <c r="BM9" s="2281">
        <f>HCM!BR13</f>
        <v>620</v>
      </c>
      <c r="BN9" s="2281">
        <f>HCM!BS13</f>
        <v>626</v>
      </c>
      <c r="BO9" s="2281">
        <f>HCM!BT13</f>
        <v>677</v>
      </c>
      <c r="BP9" s="2281">
        <f>HCM!BU13</f>
        <v>560</v>
      </c>
      <c r="BQ9" s="2281">
        <f>HCM!BV13</f>
        <v>0</v>
      </c>
      <c r="BR9" s="2281">
        <f>HCM!BW13</f>
        <v>0</v>
      </c>
      <c r="BS9" s="2281">
        <f>HCM!BX13</f>
        <v>0</v>
      </c>
      <c r="BT9" s="2281">
        <f>HCM!BY13</f>
        <v>0</v>
      </c>
      <c r="BU9" s="2281">
        <f>HCM!BZ13</f>
        <v>0</v>
      </c>
      <c r="BV9" s="1954">
        <f>Plan!$BO$32</f>
        <v>969.78919013491236</v>
      </c>
      <c r="BW9" s="1079"/>
    </row>
    <row r="10" spans="2:76" s="1016" customFormat="1" ht="15" customHeight="1">
      <c r="B10" s="1036"/>
      <c r="C10" s="1075" t="s">
        <v>149</v>
      </c>
      <c r="D10" s="1919">
        <f>Plan!C33</f>
        <v>1.6237413301206007</v>
      </c>
      <c r="E10" s="1918"/>
      <c r="F10" s="1920">
        <f>HCM!C14</f>
        <v>2.1497802734375</v>
      </c>
      <c r="G10" s="1076"/>
      <c r="H10" s="260">
        <f>HCM!J14</f>
        <v>1.6428571428571428</v>
      </c>
      <c r="I10" s="257">
        <f>HCM!K14</f>
        <v>1.08</v>
      </c>
      <c r="J10" s="257">
        <f>HCM!L14</f>
        <v>1.2608695652173914</v>
      </c>
      <c r="K10" s="257">
        <f>HCM!M14</f>
        <v>1.3076923076923077</v>
      </c>
      <c r="L10" s="257">
        <f>HCM!N14</f>
        <v>1.263157894736842</v>
      </c>
      <c r="M10" s="257">
        <f>HCM!O14</f>
        <v>1.45</v>
      </c>
      <c r="N10" s="257">
        <f>HCM!P14</f>
        <v>1.5</v>
      </c>
      <c r="O10" s="257">
        <f>HCM!Q14</f>
        <v>2</v>
      </c>
      <c r="P10" s="257">
        <f>HCM!R14</f>
        <v>2.28125</v>
      </c>
      <c r="Q10" s="257">
        <f>HCM!S14</f>
        <v>1.4545454545454546</v>
      </c>
      <c r="R10" s="257">
        <f>HCM!T14</f>
        <v>1.2222222222222223</v>
      </c>
      <c r="S10" s="257">
        <f>HCM!U14</f>
        <v>1.45</v>
      </c>
      <c r="T10" s="257">
        <f>HCM!V14</f>
        <v>1.44</v>
      </c>
      <c r="U10" s="358">
        <f>HCM!W14</f>
        <v>1.3225806451612903</v>
      </c>
      <c r="V10" s="358">
        <f>HCM!X14</f>
        <v>1.2413793103448276</v>
      </c>
      <c r="W10" s="358">
        <f>HCM!Y14</f>
        <v>1.3478260869565217</v>
      </c>
      <c r="X10" s="524">
        <f>HCM!Z14</f>
        <v>1.2333333333333334</v>
      </c>
      <c r="Y10" s="524">
        <f>HCM!AA14</f>
        <v>1.3</v>
      </c>
      <c r="Z10" s="524">
        <f>HCM!AB14</f>
        <v>1.4615384615384615</v>
      </c>
      <c r="AA10" s="524">
        <f>HCM!AC14</f>
        <v>1.3947368421052631</v>
      </c>
      <c r="AB10" s="524">
        <f>HCM!AD14</f>
        <v>1.6612903225806452</v>
      </c>
      <c r="AC10" s="524">
        <f>HCM!AE14</f>
        <v>1.0208333333333333</v>
      </c>
      <c r="AD10" s="524">
        <f>HCM!AF14</f>
        <v>1.2340425531914894</v>
      </c>
      <c r="AE10" s="524">
        <f>HCM!AG14</f>
        <v>1.2307692307692308</v>
      </c>
      <c r="AF10" s="524">
        <f>HCM!AH14</f>
        <v>1.2417582417582418</v>
      </c>
      <c r="AG10" s="524">
        <f>HCM!AI14</f>
        <v>1.2201834862385321</v>
      </c>
      <c r="AH10" s="524">
        <f>HCM!AJ14</f>
        <v>1.4224598930481283</v>
      </c>
      <c r="AI10" s="524">
        <f>HCM!AK14</f>
        <v>1.5315789473684212</v>
      </c>
      <c r="AJ10" s="524">
        <f>HCM!AL14</f>
        <v>1.5706521739130435</v>
      </c>
      <c r="AK10" s="524">
        <f>HCM!AM14</f>
        <v>1.9862385321100917</v>
      </c>
      <c r="AL10" s="524">
        <f>HCM!AN14</f>
        <v>1.7604562737642586</v>
      </c>
      <c r="AM10" s="524">
        <f>HCM!AO14</f>
        <v>1.803088803088803</v>
      </c>
      <c r="AN10" s="524">
        <f>HCM!AP14</f>
        <v>2.4073170731707316</v>
      </c>
      <c r="AO10" s="524">
        <v>1.6408977556109725</v>
      </c>
      <c r="AP10" s="524">
        <v>1.3760683760683761</v>
      </c>
      <c r="AQ10" s="524">
        <v>1.4788990825688073</v>
      </c>
      <c r="AR10" s="524">
        <v>1.5106382978723405</v>
      </c>
      <c r="AS10" s="524">
        <v>1.3985849056603774</v>
      </c>
      <c r="AT10" s="524">
        <v>1.5843071786310519</v>
      </c>
      <c r="AU10" s="524">
        <v>1.5313131313131314</v>
      </c>
      <c r="AV10" s="524">
        <v>1.9754500818330605</v>
      </c>
      <c r="AW10" s="524">
        <v>2.1157894736842104</v>
      </c>
      <c r="AX10" s="524">
        <v>1.4481327800829875</v>
      </c>
      <c r="AY10" s="524">
        <v>1.4334763948497855</v>
      </c>
      <c r="AZ10" s="524">
        <f>HCM!BE14</f>
        <v>1.8980477223427332</v>
      </c>
      <c r="BA10" s="2282">
        <f>HCM!BF14</f>
        <v>1.8990610328638498</v>
      </c>
      <c r="BB10" s="2282">
        <f>HCM!BG14</f>
        <v>1.5811764705882352</v>
      </c>
      <c r="BC10" s="2282">
        <f>HCM!BH14</f>
        <v>1.7663230240549828</v>
      </c>
      <c r="BD10" s="2282">
        <f>HCM!BI14</f>
        <v>1.6555323590814197</v>
      </c>
      <c r="BE10" s="2282">
        <f>HCM!BJ14</f>
        <v>1.6616379310344827</v>
      </c>
      <c r="BF10" s="2282">
        <f>HCM!BK14</f>
        <v>2.0998116760828625</v>
      </c>
      <c r="BG10" s="2282">
        <f>HCM!BL14</f>
        <v>1.7731092436974789</v>
      </c>
      <c r="BH10" s="2282">
        <f>HCM!BM14</f>
        <v>2.2334494773519165</v>
      </c>
      <c r="BI10" s="2282">
        <f>HCM!BN14</f>
        <v>2.3041362530413627</v>
      </c>
      <c r="BJ10" s="2282">
        <f>HCM!BO14</f>
        <v>1.9166666666666667</v>
      </c>
      <c r="BK10" s="2282">
        <f>HCM!BP14</f>
        <v>1.5940325497287522</v>
      </c>
      <c r="BL10" s="2282">
        <f>HCM!BQ14</f>
        <v>1.9835714285714285</v>
      </c>
      <c r="BM10" s="2282">
        <f>HCM!BR14</f>
        <v>1.939516129032258</v>
      </c>
      <c r="BN10" s="2282">
        <f>HCM!BS14</f>
        <v>3.0127795527156551</v>
      </c>
      <c r="BO10" s="2282">
        <f>HCM!BT14</f>
        <v>2.3796159527326441</v>
      </c>
      <c r="BP10" s="2282">
        <f>HCM!BU14</f>
        <v>2.0464285714285713</v>
      </c>
      <c r="BQ10" s="2282" t="str">
        <f>HCM!BV14</f>
        <v>-</v>
      </c>
      <c r="BR10" s="2282" t="str">
        <f>HCM!BW14</f>
        <v>-</v>
      </c>
      <c r="BS10" s="2282" t="str">
        <f>HCM!BX14</f>
        <v>-</v>
      </c>
      <c r="BT10" s="2282" t="str">
        <f>HCM!BY14</f>
        <v>-</v>
      </c>
      <c r="BU10" s="2282" t="str">
        <f>HCM!BZ14</f>
        <v>-</v>
      </c>
      <c r="BV10" s="1955">
        <f>Plan!$BO$33</f>
        <v>1.6506631807060661</v>
      </c>
      <c r="BW10" s="1079"/>
    </row>
    <row r="11" spans="2:76" s="1016" customFormat="1" ht="15" customHeight="1">
      <c r="B11" s="1036"/>
      <c r="C11" s="1075" t="s">
        <v>137</v>
      </c>
      <c r="D11" s="1919">
        <f>Plan!C35</f>
        <v>18.203943787748219</v>
      </c>
      <c r="E11" s="1921"/>
      <c r="F11" s="1920">
        <f>HCM!C16</f>
        <v>19.678446216569188</v>
      </c>
      <c r="G11" s="1076"/>
      <c r="H11" s="260">
        <f>HCM!J16</f>
        <v>12.706086956521739</v>
      </c>
      <c r="I11" s="257">
        <f>HCM!K16</f>
        <v>12.732000000000001</v>
      </c>
      <c r="J11" s="257">
        <f>HCM!L16</f>
        <v>28.146862068965518</v>
      </c>
      <c r="K11" s="257">
        <f>HCM!M16</f>
        <v>13.820588235294117</v>
      </c>
      <c r="L11" s="257">
        <f>HCM!N16</f>
        <v>13.517541666666666</v>
      </c>
      <c r="M11" s="257">
        <f>HCM!O16</f>
        <v>18.481275862068966</v>
      </c>
      <c r="N11" s="257">
        <f>HCM!P16</f>
        <v>14.125866666666667</v>
      </c>
      <c r="O11" s="257">
        <f>HCM!Q16</f>
        <v>12.910500000000001</v>
      </c>
      <c r="P11" s="257">
        <f>HCM!R16</f>
        <v>16.280506849315067</v>
      </c>
      <c r="Q11" s="257">
        <f>HCM!S16</f>
        <v>12.935812500000001</v>
      </c>
      <c r="R11" s="257">
        <f>HCM!T16</f>
        <v>15.266818181818183</v>
      </c>
      <c r="S11" s="257">
        <f>HCM!U16</f>
        <v>13.303551724137931</v>
      </c>
      <c r="T11" s="257">
        <f>HCM!V16</f>
        <v>12.503000000000002</v>
      </c>
      <c r="U11" s="358">
        <f>HCM!W16</f>
        <v>18.798682926829272</v>
      </c>
      <c r="V11" s="358">
        <f>HCM!X16</f>
        <v>9.2100555555555559</v>
      </c>
      <c r="W11" s="358">
        <f>HCM!Y16</f>
        <v>14.56583870967742</v>
      </c>
      <c r="X11" s="524">
        <f>HCM!Z16</f>
        <v>16.427189189189189</v>
      </c>
      <c r="Y11" s="524">
        <f>HCM!AA16</f>
        <v>18.064673076923079</v>
      </c>
      <c r="Z11" s="524">
        <f>HCM!AB16</f>
        <v>18.072526315789474</v>
      </c>
      <c r="AA11" s="524">
        <f>HCM!AC16</f>
        <v>17.482471698113205</v>
      </c>
      <c r="AB11" s="524">
        <f>HCM!AD16</f>
        <v>14.166582524271844</v>
      </c>
      <c r="AC11" s="524">
        <f>HCM!AE16</f>
        <v>16.888469387755102</v>
      </c>
      <c r="AD11" s="524">
        <f>HCM!AF16</f>
        <v>16.020500000000002</v>
      </c>
      <c r="AE11" s="524">
        <f>HCM!AG16</f>
        <v>15.715487499999998</v>
      </c>
      <c r="AF11" s="524">
        <f>HCM!AH16</f>
        <v>15.984796460176993</v>
      </c>
      <c r="AG11" s="524">
        <f>HCM!AI16</f>
        <v>18.203939849624064</v>
      </c>
      <c r="AH11" s="524">
        <f>HCM!AJ16</f>
        <v>16.801774436090227</v>
      </c>
      <c r="AI11" s="524">
        <f>HCM!AK16</f>
        <v>17.497144329896908</v>
      </c>
      <c r="AJ11" s="524">
        <f>HCM!AL16</f>
        <v>18.212916955017302</v>
      </c>
      <c r="AK11" s="524">
        <f>HCM!AM16</f>
        <v>17.69963048498845</v>
      </c>
      <c r="AL11" s="524">
        <f>HCM!AN16</f>
        <v>19.250343412526998</v>
      </c>
      <c r="AM11" s="524">
        <f>HCM!AO16</f>
        <v>17.862599571734478</v>
      </c>
      <c r="AN11" s="524">
        <f>HCM!AP16</f>
        <v>23.437852077001011</v>
      </c>
      <c r="AO11" s="524">
        <v>21.302693009118542</v>
      </c>
      <c r="AP11" s="524">
        <v>17.635987577639753</v>
      </c>
      <c r="AQ11" s="524">
        <v>23.390156327543426</v>
      </c>
      <c r="AR11" s="524">
        <v>21.231783610755443</v>
      </c>
      <c r="AS11" s="524">
        <v>16.960227655986511</v>
      </c>
      <c r="AT11" s="524">
        <v>23.138451001053742</v>
      </c>
      <c r="AU11" s="524">
        <v>18.239158311345644</v>
      </c>
      <c r="AV11" s="524">
        <v>17.904116818558411</v>
      </c>
      <c r="AW11" s="524">
        <v>21.332745024875621</v>
      </c>
      <c r="AX11" s="524">
        <v>17.371126074498569</v>
      </c>
      <c r="AY11" s="524">
        <v>20.357589820359284</v>
      </c>
      <c r="AZ11" s="524">
        <f>HCM!BE16</f>
        <v>20.511276914285705</v>
      </c>
      <c r="BA11" s="2282">
        <f>HCM!BF16</f>
        <v>22.813576266996289</v>
      </c>
      <c r="BB11" s="2282">
        <f>HCM!BG16</f>
        <v>20.617749851190482</v>
      </c>
      <c r="BC11" s="2282">
        <f>HCM!BH16</f>
        <v>17.101496731517511</v>
      </c>
      <c r="BD11" s="2282">
        <f>HCM!BI16</f>
        <v>18.117099836065574</v>
      </c>
      <c r="BE11" s="2282">
        <f>HCM!BJ16</f>
        <v>18.35199092088197</v>
      </c>
      <c r="BF11" s="2282">
        <f>HCM!BK16</f>
        <v>18.401493363228699</v>
      </c>
      <c r="BG11" s="2282">
        <f>HCM!BL16</f>
        <v>22.236947926540282</v>
      </c>
      <c r="BH11" s="2282">
        <f>HCM!BM16</f>
        <v>21.970927893915785</v>
      </c>
      <c r="BI11" s="2282">
        <f>HCM!BN16</f>
        <v>23.897492434002174</v>
      </c>
      <c r="BJ11" s="2282">
        <f>HCM!BO16</f>
        <v>19.211352028985509</v>
      </c>
      <c r="BK11" s="2282">
        <f>HCM!BP16</f>
        <v>24.340201815087919</v>
      </c>
      <c r="BL11" s="2282">
        <f>HCM!BQ16</f>
        <v>20.087569319409436</v>
      </c>
      <c r="BM11" s="2282">
        <f>HCM!BR16</f>
        <v>20.405034511434511</v>
      </c>
      <c r="BN11" s="2282">
        <f>HCM!BS16</f>
        <v>16.678606044538707</v>
      </c>
      <c r="BO11" s="2282">
        <f>HCM!BT16</f>
        <v>19.395533829919305</v>
      </c>
      <c r="BP11" s="2282">
        <f>HCM!BU16</f>
        <v>20.450381640488654</v>
      </c>
      <c r="BQ11" s="2282" t="str">
        <f>HCM!BV16</f>
        <v>-</v>
      </c>
      <c r="BR11" s="2282" t="str">
        <f>HCM!BW16</f>
        <v>-</v>
      </c>
      <c r="BS11" s="2282" t="str">
        <f>HCM!BX16</f>
        <v>-</v>
      </c>
      <c r="BT11" s="2282" t="str">
        <f>HCM!BY16</f>
        <v>-</v>
      </c>
      <c r="BU11" s="2282" t="str">
        <f>HCM!BZ16</f>
        <v>-</v>
      </c>
      <c r="BV11" s="1955">
        <f>Plan!$BO$35</f>
        <v>18.346729145352839</v>
      </c>
      <c r="BW11" s="1079"/>
    </row>
    <row r="12" spans="2:76" s="1016" customFormat="1" ht="15" customHeight="1">
      <c r="B12" s="1036"/>
      <c r="C12" s="1075"/>
      <c r="D12" s="1917"/>
      <c r="E12" s="1918"/>
      <c r="F12" s="1922"/>
      <c r="G12" s="1076"/>
      <c r="H12" s="1077"/>
      <c r="I12" s="986"/>
      <c r="J12" s="986"/>
      <c r="K12" s="986"/>
      <c r="L12" s="986"/>
      <c r="M12" s="986"/>
      <c r="N12" s="986"/>
      <c r="O12" s="986"/>
      <c r="P12" s="986"/>
      <c r="Q12" s="986"/>
      <c r="R12" s="986"/>
      <c r="S12" s="986"/>
      <c r="T12" s="986"/>
      <c r="U12" s="982"/>
      <c r="V12" s="982"/>
      <c r="W12" s="982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/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2281"/>
      <c r="BB12" s="2281"/>
      <c r="BC12" s="2281"/>
      <c r="BD12" s="2281"/>
      <c r="BE12" s="2281"/>
      <c r="BF12" s="2281"/>
      <c r="BG12" s="2281"/>
      <c r="BH12" s="2281"/>
      <c r="BI12" s="2281"/>
      <c r="BJ12" s="2281"/>
      <c r="BK12" s="2281"/>
      <c r="BL12" s="2281"/>
      <c r="BM12" s="2281"/>
      <c r="BN12" s="1078"/>
      <c r="BO12" s="1078"/>
      <c r="BP12" s="1078"/>
      <c r="BQ12" s="1078"/>
      <c r="BR12" s="1078"/>
      <c r="BS12" s="1078"/>
      <c r="BT12" s="1078"/>
      <c r="BU12" s="1078"/>
      <c r="BV12" s="1936"/>
      <c r="BW12" s="1082"/>
    </row>
    <row r="13" spans="2:76" s="1016" customFormat="1" ht="15" customHeight="1">
      <c r="B13" s="1036"/>
      <c r="C13" s="1075" t="s">
        <v>171</v>
      </c>
      <c r="D13" s="1911">
        <f>Plan!C27</f>
        <v>159266.37799054454</v>
      </c>
      <c r="E13" s="1912"/>
      <c r="F13" s="1913">
        <f>HCM!C6</f>
        <v>171100.46429999999</v>
      </c>
      <c r="G13" s="1076"/>
      <c r="H13" s="262">
        <f>HCM!J6</f>
        <v>220</v>
      </c>
      <c r="I13" s="255">
        <f>HCM!K6</f>
        <v>214.602</v>
      </c>
      <c r="J13" s="255">
        <f>HCM!L6</f>
        <v>713.33</v>
      </c>
      <c r="K13" s="255">
        <f>HCM!M6</f>
        <v>174.649</v>
      </c>
      <c r="L13" s="255">
        <f>HCM!N6</f>
        <v>286.2</v>
      </c>
      <c r="M13" s="255">
        <f>HCM!O6</f>
        <v>341.46699999999998</v>
      </c>
      <c r="N13" s="255">
        <f>HCM!P6</f>
        <v>164.99600000000001</v>
      </c>
      <c r="O13" s="255">
        <f>HCM!Q6</f>
        <v>157.32299999999998</v>
      </c>
      <c r="P13" s="255">
        <f>HCM!R6</f>
        <v>1140.7040000000002</v>
      </c>
      <c r="Q13" s="255">
        <f>HCM!S6</f>
        <v>417.87900000000002</v>
      </c>
      <c r="R13" s="255">
        <f>HCM!T6</f>
        <v>177.839</v>
      </c>
      <c r="S13" s="255">
        <f>HCM!U6</f>
        <v>354.62</v>
      </c>
      <c r="T13" s="255">
        <f>HCM!V6</f>
        <v>429.84500000000003</v>
      </c>
      <c r="U13" s="359">
        <f>HCM!W6</f>
        <v>523.55200000000002</v>
      </c>
      <c r="V13" s="359">
        <f>HCM!X6</f>
        <v>435.30900000000003</v>
      </c>
      <c r="W13" s="359">
        <f>HCM!Y6</f>
        <v>416.22699999999998</v>
      </c>
      <c r="X13" s="386">
        <f>HCM!Z6</f>
        <v>579.351</v>
      </c>
      <c r="Y13" s="386">
        <f>HCM!AA6</f>
        <v>894.90599999999995</v>
      </c>
      <c r="Z13" s="386">
        <f>HCM!AB6</f>
        <v>1205.0999999999999</v>
      </c>
      <c r="AA13" s="386">
        <f>HCM!AC6</f>
        <v>860.13900000000001</v>
      </c>
      <c r="AB13" s="386">
        <f>HCM!AD6</f>
        <v>1308.55</v>
      </c>
      <c r="AC13" s="1566">
        <f>HCM!AE6</f>
        <v>744.25</v>
      </c>
      <c r="AD13" s="1566">
        <f>HCM!AF6</f>
        <v>845.495</v>
      </c>
      <c r="AE13" s="1566">
        <f>HCM!AG6</f>
        <v>1080.5719999999999</v>
      </c>
      <c r="AF13" s="1566">
        <f>HCM!AH6</f>
        <v>1566.634</v>
      </c>
      <c r="AG13" s="1566">
        <f>HCM!AI6</f>
        <v>2117.3290000000002</v>
      </c>
      <c r="AH13" s="1566">
        <f>HCM!AJ6</f>
        <v>4260.3119999999999</v>
      </c>
      <c r="AI13" s="1566">
        <f>HCM!AK6</f>
        <v>4591.607</v>
      </c>
      <c r="AJ13" s="1566">
        <f>HCM!AL6</f>
        <v>4816.8010000000004</v>
      </c>
      <c r="AK13" s="1566">
        <f>HCM!AM6</f>
        <v>7182.7569999999996</v>
      </c>
      <c r="AL13" s="1566">
        <f>HCM!AN6</f>
        <v>8562.7430000000004</v>
      </c>
      <c r="AM13" s="1566">
        <f>HCM!AO6</f>
        <v>8041.4279999999999</v>
      </c>
      <c r="AN13" s="1566">
        <f>HCM!AP6</f>
        <v>22373.381000000001</v>
      </c>
      <c r="AO13" s="1566">
        <v>13010.606</v>
      </c>
      <c r="AP13" s="1566">
        <v>11100.294</v>
      </c>
      <c r="AQ13" s="1566">
        <v>18006.321</v>
      </c>
      <c r="AR13" s="1566">
        <v>16242.715</v>
      </c>
      <c r="AS13" s="1566">
        <v>9732.9220000000005</v>
      </c>
      <c r="AT13" s="1566">
        <v>21096.642</v>
      </c>
      <c r="AU13" s="1566">
        <v>13604.614</v>
      </c>
      <c r="AV13" s="1566">
        <v>20745.174999999999</v>
      </c>
      <c r="AW13" s="1566">
        <v>33941.0605</v>
      </c>
      <c r="AX13" s="1566">
        <v>6758.9367000000002</v>
      </c>
      <c r="AY13" s="1566">
        <v>7089.9009999999998</v>
      </c>
      <c r="AZ13" s="1566">
        <f>HCM!BE6</f>
        <v>17117.7147</v>
      </c>
      <c r="BA13" s="2279">
        <f>HCM!BF6</f>
        <v>17851.648499999999</v>
      </c>
      <c r="BB13" s="2279">
        <f>HCM!BG6</f>
        <v>13239.942999999999</v>
      </c>
      <c r="BC13" s="2279">
        <f>HCM!BH6</f>
        <v>17139.053599999999</v>
      </c>
      <c r="BD13" s="2279">
        <f>HCM!BI6</f>
        <v>14083.947000000002</v>
      </c>
      <c r="BE13" s="2279">
        <f>HCM!BJ6</f>
        <v>13458.544</v>
      </c>
      <c r="BF13" s="2279">
        <f>HCM!BK6</f>
        <v>19973.662000000011</v>
      </c>
      <c r="BG13" s="2279">
        <f>HCM!BL6</f>
        <v>17507.513999999999</v>
      </c>
      <c r="BH13" s="2279">
        <f>HCM!BM6</f>
        <v>27275.495000000021</v>
      </c>
      <c r="BI13" s="2279">
        <f>HCM!BN6</f>
        <v>44739.436000000016</v>
      </c>
      <c r="BJ13" s="2279">
        <f>HCM!BO6</f>
        <v>13201.143</v>
      </c>
      <c r="BK13" s="2279">
        <f>HCM!BP6</f>
        <v>21017.186300000001</v>
      </c>
      <c r="BL13" s="2279">
        <f>HCM!BQ6</f>
        <v>27126.85</v>
      </c>
      <c r="BM13" s="2279">
        <f>HCM!BR6</f>
        <v>24493.397000000001</v>
      </c>
      <c r="BN13" s="2279">
        <f>HCM!BS6</f>
        <v>31213.65</v>
      </c>
      <c r="BO13" s="2279">
        <f>HCM!BT6</f>
        <v>30759.43</v>
      </c>
      <c r="BP13" s="2279">
        <f>HCM!BU6</f>
        <v>23288.808000000001</v>
      </c>
      <c r="BQ13" s="2279">
        <f>HCM!BV6</f>
        <v>0</v>
      </c>
      <c r="BR13" s="2279">
        <f>HCM!BW6</f>
        <v>0</v>
      </c>
      <c r="BS13" s="2279">
        <f>HCM!BX6</f>
        <v>0</v>
      </c>
      <c r="BT13" s="2279">
        <f>HCM!BY6</f>
        <v>0</v>
      </c>
      <c r="BU13" s="2279">
        <f>HCM!BZ6</f>
        <v>0</v>
      </c>
      <c r="BV13" s="1952">
        <f>Plan!$BO$27</f>
        <v>28962.400492013472</v>
      </c>
      <c r="BW13" s="405"/>
      <c r="BX13" s="138"/>
    </row>
    <row r="14" spans="2:76" s="1083" customFormat="1" ht="15" customHeight="1">
      <c r="B14" s="1084"/>
      <c r="C14" s="1085" t="s">
        <v>276</v>
      </c>
      <c r="D14" s="1917"/>
      <c r="E14" s="1918"/>
      <c r="F14" s="1923">
        <f>F13/Plan!C27</f>
        <v>1.0743037322676983</v>
      </c>
      <c r="G14" s="1086"/>
      <c r="H14" s="1080"/>
      <c r="I14" s="987"/>
      <c r="J14" s="987"/>
      <c r="K14" s="987"/>
      <c r="L14" s="987"/>
      <c r="M14" s="987"/>
      <c r="N14" s="987"/>
      <c r="O14" s="987"/>
      <c r="P14" s="987"/>
      <c r="Q14" s="375">
        <f>Q13/Plan!E27</f>
        <v>0.83911445783132532</v>
      </c>
      <c r="R14" s="375">
        <f>R13/Plan!F27</f>
        <v>0.38957064622124865</v>
      </c>
      <c r="S14" s="375">
        <f>S13/Plan!G27</f>
        <v>0.50265060240963855</v>
      </c>
      <c r="T14" s="375">
        <f>T13/Plan!H27</f>
        <v>0.47080503833515885</v>
      </c>
      <c r="U14" s="375">
        <f>U13/Plan!I27</f>
        <v>0.4205236947791165</v>
      </c>
      <c r="V14" s="375">
        <f>V13/Plan!J27</f>
        <v>0.26223433734939761</v>
      </c>
      <c r="W14" s="375">
        <f>W13/Plan!K27</f>
        <v>0.29498724309000707</v>
      </c>
      <c r="X14" s="525">
        <f>X13/Plan!L27</f>
        <v>0.3490066265060241</v>
      </c>
      <c r="Y14" s="525">
        <f>Y13/Plan!M27</f>
        <v>0.43128</v>
      </c>
      <c r="Z14" s="525">
        <f>Z13/Plan!N27</f>
        <v>0.85407512402551378</v>
      </c>
      <c r="AA14" s="525">
        <f>AA13/Plan!O27</f>
        <v>0.47105093099671413</v>
      </c>
      <c r="AB14" s="525">
        <f>AB13/Plan!P27</f>
        <v>0.60637164040778502</v>
      </c>
      <c r="AC14" s="525">
        <f>AC13/Plan!Q27</f>
        <v>0.5927445046193055</v>
      </c>
      <c r="AD14" s="525">
        <f>AD13/Plan!R27</f>
        <v>0.65982128921492111</v>
      </c>
      <c r="AE14" s="525">
        <f>AE13/Plan!S27</f>
        <v>0.62823953488372086</v>
      </c>
      <c r="AF14" s="525">
        <f>AF13/Plan!T27</f>
        <v>0.80604754064622353</v>
      </c>
      <c r="AG14" s="525">
        <f>AG13/Plan!U27</f>
        <v>0.9221012977963593</v>
      </c>
      <c r="AH14" s="525">
        <f>AH13/Plan!V27</f>
        <v>1.3895795688052448</v>
      </c>
      <c r="AI14" s="525">
        <f>AI13/Plan!W27</f>
        <v>1.543086100282296</v>
      </c>
      <c r="AJ14" s="525">
        <f>AJ13/Plan!X27</f>
        <v>1.4817278823674176</v>
      </c>
      <c r="AK14" s="525">
        <f>AK13/Plan!Y27</f>
        <v>1.8078015201852411</v>
      </c>
      <c r="AL14" s="525">
        <f>AL13/Plan!Z27</f>
        <v>2.3819803605207523</v>
      </c>
      <c r="AM14" s="525">
        <f>AM13/Plan!AA27</f>
        <v>2.1544925517093558</v>
      </c>
      <c r="AN14" s="525">
        <f>AN13/Plan!AB27</f>
        <v>5.0223087456226994</v>
      </c>
      <c r="AO14" s="525">
        <v>0.99393475935828857</v>
      </c>
      <c r="AP14" s="525">
        <v>0.74199826203208552</v>
      </c>
      <c r="AQ14" s="525">
        <v>1.0698942959001783</v>
      </c>
      <c r="AR14" s="525">
        <v>1.4476573083778965</v>
      </c>
      <c r="AS14" s="525">
        <v>0.74353873185637887</v>
      </c>
      <c r="AT14" s="525">
        <v>1.1281626737967914</v>
      </c>
      <c r="AU14" s="525">
        <v>0.9093993315508021</v>
      </c>
      <c r="AV14" s="525">
        <v>1.0085160427807487</v>
      </c>
      <c r="AW14" s="525">
        <v>0.90751498663101604</v>
      </c>
      <c r="AX14" s="525">
        <v>0.80196211438063603</v>
      </c>
      <c r="AY14" s="525">
        <v>1.0742274242424241</v>
      </c>
      <c r="AZ14" s="525">
        <f>AZ13/Plan!AQ27</f>
        <v>0.97259742613636369</v>
      </c>
      <c r="BA14" s="2283">
        <f>BA13/Plan!AR27</f>
        <v>0.77279863636363622</v>
      </c>
      <c r="BB14" s="2283">
        <f>BB13/Plan!AS27</f>
        <v>0.66868398989898992</v>
      </c>
      <c r="BC14" s="2283">
        <f>BC13/Plan!AT27</f>
        <v>0.6630194816247581</v>
      </c>
      <c r="BD14" s="2283">
        <f>BD13/Plan!AU27</f>
        <v>0.61768988202271835</v>
      </c>
      <c r="BE14" s="2283">
        <f>BE13/Plan!AV27</f>
        <v>0.49143965335604745</v>
      </c>
      <c r="BF14" s="2283">
        <f>BF13/Plan!AW27</f>
        <v>0.608926336156558</v>
      </c>
      <c r="BG14" s="2283">
        <f>BG13/Plan!AX27</f>
        <v>0.57229451524676189</v>
      </c>
      <c r="BH14" s="2283">
        <f>BH13/Plan!AY27</f>
        <v>0.78085922147587017</v>
      </c>
      <c r="BI14" s="2283">
        <f>BI13/Plan!AZ27</f>
        <v>0.96384544853816745</v>
      </c>
      <c r="BJ14" s="2283">
        <f>BJ13/Plan!BA27</f>
        <v>1.3137470922492807</v>
      </c>
      <c r="BK14" s="2283">
        <f>BK13/Plan!BB27</f>
        <v>2.1380688654513649</v>
      </c>
      <c r="BL14" s="2283">
        <f>BL13/Plan!BC27</f>
        <v>1.0302274580018123</v>
      </c>
      <c r="BM14" s="2283">
        <f>BM13/Plan!BD27</f>
        <v>0.98904173189676792</v>
      </c>
      <c r="BN14" s="2283">
        <f>BN13/Plan!BE27</f>
        <v>1.0902655294865518</v>
      </c>
      <c r="BO14" s="2283">
        <f>BO13/Plan!BF27</f>
        <v>1.0019222849294562</v>
      </c>
      <c r="BP14" s="2283">
        <f>BP13/Plan!BG27</f>
        <v>0.80410489477286273</v>
      </c>
      <c r="BQ14" s="2283">
        <f>BQ13/Plan!BH27</f>
        <v>0</v>
      </c>
      <c r="BR14" s="2283">
        <f>BR13/Plan!BI27</f>
        <v>0</v>
      </c>
      <c r="BS14" s="2283">
        <f>BS13/Plan!BJ27</f>
        <v>0</v>
      </c>
      <c r="BT14" s="2283">
        <f>BT13/Plan!BK27</f>
        <v>0</v>
      </c>
      <c r="BU14" s="2283">
        <f>BU13/Plan!BL27</f>
        <v>0</v>
      </c>
      <c r="BV14" s="1936"/>
      <c r="BW14" s="1082"/>
    </row>
    <row r="15" spans="2:76" s="1016" customFormat="1" ht="15" customHeight="1">
      <c r="B15" s="1036"/>
      <c r="C15" s="1075"/>
      <c r="D15" s="1917"/>
      <c r="E15" s="1918"/>
      <c r="F15" s="1922"/>
      <c r="G15" s="1076"/>
      <c r="H15" s="1077"/>
      <c r="I15" s="986"/>
      <c r="J15" s="986"/>
      <c r="K15" s="986"/>
      <c r="L15" s="986"/>
      <c r="M15" s="986"/>
      <c r="N15" s="986"/>
      <c r="O15" s="986"/>
      <c r="P15" s="986"/>
      <c r="Q15" s="986"/>
      <c r="R15" s="986"/>
      <c r="S15" s="986"/>
      <c r="T15" s="986"/>
      <c r="U15" s="982"/>
      <c r="V15" s="982"/>
      <c r="W15" s="982"/>
      <c r="X15" s="1078"/>
      <c r="Y15" s="1078"/>
      <c r="Z15" s="1078"/>
      <c r="AA15" s="1078"/>
      <c r="AB15" s="1078"/>
      <c r="AC15" s="1078"/>
      <c r="AD15" s="1078"/>
      <c r="AE15" s="1078"/>
      <c r="AF15" s="1078"/>
      <c r="AG15" s="1078"/>
      <c r="AH15" s="1078"/>
      <c r="AI15" s="1078"/>
      <c r="AJ15" s="1078"/>
      <c r="AK15" s="1078"/>
      <c r="AL15" s="1078"/>
      <c r="AM15" s="1078"/>
      <c r="AN15" s="1078"/>
      <c r="AO15" s="1078"/>
      <c r="AP15" s="1078"/>
      <c r="AQ15" s="1078"/>
      <c r="AR15" s="1078"/>
      <c r="AS15" s="1078"/>
      <c r="AT15" s="1078"/>
      <c r="AU15" s="1078"/>
      <c r="AV15" s="1078"/>
      <c r="AW15" s="1078"/>
      <c r="AX15" s="1078"/>
      <c r="AY15" s="1078"/>
      <c r="AZ15" s="1078"/>
      <c r="BA15" s="2281"/>
      <c r="BB15" s="2281"/>
      <c r="BC15" s="2281"/>
      <c r="BD15" s="2281"/>
      <c r="BE15" s="2281"/>
      <c r="BF15" s="2281"/>
      <c r="BG15" s="2281"/>
      <c r="BH15" s="2281"/>
      <c r="BI15" s="2281"/>
      <c r="BJ15" s="2281"/>
      <c r="BK15" s="2281"/>
      <c r="BL15" s="2281"/>
      <c r="BM15" s="2281"/>
      <c r="BN15" s="2281"/>
      <c r="BO15" s="2281"/>
      <c r="BP15" s="2281"/>
      <c r="BQ15" s="2281"/>
      <c r="BR15" s="2281"/>
      <c r="BS15" s="2281"/>
      <c r="BT15" s="2281"/>
      <c r="BU15" s="2281"/>
      <c r="BV15" s="1936"/>
      <c r="BW15" s="1082"/>
    </row>
    <row r="16" spans="2:76" s="1016" customFormat="1" ht="15" customHeight="1">
      <c r="B16" s="1036"/>
      <c r="C16" s="1088" t="s">
        <v>95</v>
      </c>
      <c r="D16" s="1924">
        <f>Plan!C39</f>
        <v>5</v>
      </c>
      <c r="E16" s="1925"/>
      <c r="F16" s="1920">
        <f>HCM!C20</f>
        <v>9.6362227872316755</v>
      </c>
      <c r="G16" s="1076"/>
      <c r="H16" s="260">
        <f>HCM!J20</f>
        <v>18.265000000000001</v>
      </c>
      <c r="I16" s="257">
        <f>HCM!K20</f>
        <v>9.5489999999999995</v>
      </c>
      <c r="J16" s="257">
        <f>HCM!L20</f>
        <v>16.658346938775509</v>
      </c>
      <c r="K16" s="257">
        <f>HCM!M20</f>
        <v>3.7591999999999999</v>
      </c>
      <c r="L16" s="257">
        <f>HCM!N20</f>
        <v>4.8062370370370369</v>
      </c>
      <c r="M16" s="257">
        <f>HCM!O20</f>
        <v>8.1825496183206106</v>
      </c>
      <c r="N16" s="257">
        <f>HCM!P20</f>
        <v>3.3902079999999999</v>
      </c>
      <c r="O16" s="257">
        <f>HCM!Q20</f>
        <v>2.9630655737704918</v>
      </c>
      <c r="P16" s="257">
        <f>HCM!R20</f>
        <v>17.871834586466164</v>
      </c>
      <c r="Q16" s="257">
        <f>HCM!S20</f>
        <v>5.5192800000000002</v>
      </c>
      <c r="R16" s="257">
        <f>HCM!T20</f>
        <v>2.2243046357615897</v>
      </c>
      <c r="S16" s="257">
        <f>HCM!U20</f>
        <v>4.6482289156626502</v>
      </c>
      <c r="T16" s="257">
        <f>HCM!V20</f>
        <v>4.2664265402843604</v>
      </c>
      <c r="U16" s="358">
        <f>HCM!W20</f>
        <v>5.5649530685920583</v>
      </c>
      <c r="V16" s="358">
        <f>HCM!X20</f>
        <v>1.9973614457831326</v>
      </c>
      <c r="W16" s="358">
        <f>HCM!Y20</f>
        <v>2.5950632183908051</v>
      </c>
      <c r="X16" s="524">
        <f>HCM!Z20</f>
        <v>3.3122942779291553</v>
      </c>
      <c r="Y16" s="524">
        <f>HCM!AA20</f>
        <v>4.6274039408866994</v>
      </c>
      <c r="Z16" s="524">
        <f>HCM!AB20</f>
        <v>6.2290793650793654</v>
      </c>
      <c r="AA16" s="524">
        <f>HCM!AC20</f>
        <v>3.868772442588726</v>
      </c>
      <c r="AB16" s="524">
        <f>HCM!AD20</f>
        <v>5.3060290909090906</v>
      </c>
      <c r="AC16" s="524">
        <f>HCM!AE20</f>
        <v>2.78163025210084</v>
      </c>
      <c r="AD16" s="524">
        <f>HCM!AF20</f>
        <v>3.2432425828970333</v>
      </c>
      <c r="AE16" s="524">
        <f>HCM!AG20</f>
        <v>4.1907966666666656</v>
      </c>
      <c r="AF16" s="524">
        <f>HCM!AH20</f>
        <v>4.8167520000000001</v>
      </c>
      <c r="AG16" s="524">
        <f>HCM!AI20</f>
        <v>5.189976420150054</v>
      </c>
      <c r="AH16" s="524">
        <f>HCM!AJ20</f>
        <v>8.3459794584500457</v>
      </c>
      <c r="AI16" s="524">
        <f>HCM!AK20</f>
        <v>8.6226401354784077</v>
      </c>
      <c r="AJ16" s="524">
        <f>HCM!AL20</f>
        <v>7.8677623318385654</v>
      </c>
      <c r="AK16" s="524">
        <f>HCM!AM20</f>
        <v>10.090770243581304</v>
      </c>
      <c r="AL16" s="524">
        <f>HCM!AN20</f>
        <v>10.929379521765787</v>
      </c>
      <c r="AM16" s="524">
        <f>HCM!AO20</f>
        <v>9.3048901282766323</v>
      </c>
      <c r="AN16" s="524">
        <f>HCM!AP20</f>
        <v>22.481205053449951</v>
      </c>
      <c r="AO16" s="524">
        <v>9.020059202059203</v>
      </c>
      <c r="AP16" s="524">
        <v>7.0500161390440725</v>
      </c>
      <c r="AQ16" s="524">
        <v>11.742426658361881</v>
      </c>
      <c r="AR16" s="524">
        <v>10.179265193370167</v>
      </c>
      <c r="AS16" s="524">
        <v>5.9423426883308723</v>
      </c>
      <c r="AT16" s="524">
        <v>12.641560161197466</v>
      </c>
      <c r="AU16" s="524">
        <v>7.8396835837822509</v>
      </c>
      <c r="AV16" s="524">
        <v>11.709709563803848</v>
      </c>
      <c r="AW16" s="524">
        <v>17.922180773249735</v>
      </c>
      <c r="AX16" s="524">
        <v>3.138764172922599</v>
      </c>
      <c r="AY16" s="524">
        <v>3.4967523785034715</v>
      </c>
      <c r="AZ16" s="524">
        <f>HCM!BE20</f>
        <v>8.9647189310689264</v>
      </c>
      <c r="BA16" s="2282">
        <f>HCM!BF20</f>
        <v>8.8159461189395749</v>
      </c>
      <c r="BB16" s="2282">
        <f>HCM!BG20</f>
        <v>6.4188686124623597</v>
      </c>
      <c r="BC16" s="2282">
        <f>HCM!BH20</f>
        <v>7.8308858084632522</v>
      </c>
      <c r="BD16" s="2282">
        <f>HCM!BI20</f>
        <v>6.1515136673089277</v>
      </c>
      <c r="BE16" s="2282">
        <f>HCM!BJ20</f>
        <v>5.8013058630586309</v>
      </c>
      <c r="BF16" s="2282">
        <f>HCM!BK20</f>
        <v>8.0084563231850119</v>
      </c>
      <c r="BG16" s="2282">
        <f>HCM!BL20</f>
        <v>6.9050713944076527</v>
      </c>
      <c r="BH16" s="2282">
        <f>HCM!BM20</f>
        <v>9.6411875954133279</v>
      </c>
      <c r="BI16" s="2282">
        <f>HCM!BN20</f>
        <v>14.659708719028378</v>
      </c>
      <c r="BJ16" s="2282">
        <f>HCM!BO20</f>
        <v>4.165880861093652</v>
      </c>
      <c r="BK16" s="2282">
        <f>HCM!BP20</f>
        <v>7.4190483748271099</v>
      </c>
      <c r="BL16" s="2282">
        <f>HCM!BQ20</f>
        <v>10.942169478226756</v>
      </c>
      <c r="BM16" s="2282">
        <f>HCM!BR20</f>
        <v>10.095475828018927</v>
      </c>
      <c r="BN16" s="2282">
        <f>HCM!BS20</f>
        <v>13.208419483518792</v>
      </c>
      <c r="BO16" s="2282">
        <f>HCM!BT20</f>
        <v>12.683663486908868</v>
      </c>
      <c r="BP16" s="2282">
        <f>HCM!BU20</f>
        <v>9.5638185513160572</v>
      </c>
      <c r="BQ16" s="2282">
        <f>HCM!BV20</f>
        <v>0</v>
      </c>
      <c r="BR16" s="2282" t="str">
        <f>HCM!BW20</f>
        <v>-</v>
      </c>
      <c r="BS16" s="2282" t="str">
        <f>HCM!BX20</f>
        <v>-</v>
      </c>
      <c r="BT16" s="2282" t="str">
        <f>HCM!BY20</f>
        <v>-</v>
      </c>
      <c r="BU16" s="2282" t="str">
        <f>HCM!BZ20</f>
        <v>-</v>
      </c>
      <c r="BV16" s="1938">
        <f>Plan!$BO$39</f>
        <v>6.18140767051624</v>
      </c>
      <c r="BW16" s="408"/>
    </row>
    <row r="17" spans="2:75" s="1090" customFormat="1" ht="15" customHeight="1">
      <c r="B17" s="1036"/>
      <c r="C17" s="1088" t="s">
        <v>139</v>
      </c>
      <c r="D17" s="1924">
        <f>Plan!C40</f>
        <v>30</v>
      </c>
      <c r="E17" s="1925"/>
      <c r="F17" s="1920">
        <f>HCM!C21</f>
        <v>42.304335488281247</v>
      </c>
      <c r="G17" s="1076"/>
      <c r="H17" s="260">
        <f>HCM!J21</f>
        <v>20.874285714285715</v>
      </c>
      <c r="I17" s="257">
        <f>HCM!K21</f>
        <v>13.75056</v>
      </c>
      <c r="J17" s="257">
        <f>HCM!L21</f>
        <v>35.489521739130439</v>
      </c>
      <c r="K17" s="257">
        <f>HCM!M21</f>
        <v>18.073076923076922</v>
      </c>
      <c r="L17" s="257">
        <f>HCM!N21</f>
        <v>17.074789473684209</v>
      </c>
      <c r="M17" s="257">
        <f>HCM!O21</f>
        <v>26.79785</v>
      </c>
      <c r="N17" s="257">
        <f>HCM!P21</f>
        <v>21.188800000000001</v>
      </c>
      <c r="O17" s="257">
        <f>HCM!Q21</f>
        <v>25.821000000000002</v>
      </c>
      <c r="P17" s="257">
        <f>HCM!R21</f>
        <v>37.139906249999996</v>
      </c>
      <c r="Q17" s="257">
        <f>HCM!S21</f>
        <v>18.815727272727273</v>
      </c>
      <c r="R17" s="257">
        <f>HCM!T21</f>
        <v>18.659444444444446</v>
      </c>
      <c r="S17" s="257">
        <f>HCM!U21</f>
        <v>19.290150000000001</v>
      </c>
      <c r="T17" s="257">
        <f>HCM!V21</f>
        <v>18.004320000000003</v>
      </c>
      <c r="U17" s="358">
        <f>HCM!W21</f>
        <v>24.86277419354839</v>
      </c>
      <c r="V17" s="358">
        <f>HCM!X21</f>
        <v>11.433172413793104</v>
      </c>
      <c r="W17" s="358">
        <f>HCM!Y21</f>
        <v>19.632217391304351</v>
      </c>
      <c r="X17" s="524">
        <f>HCM!Z21</f>
        <v>20.260200000000001</v>
      </c>
      <c r="Y17" s="524">
        <f>HCM!AA21</f>
        <v>23.484075000000001</v>
      </c>
      <c r="Z17" s="524">
        <f>HCM!AB21</f>
        <v>26.413692307692312</v>
      </c>
      <c r="AA17" s="524">
        <f>HCM!AC21</f>
        <v>24.383447368421049</v>
      </c>
      <c r="AB17" s="524">
        <f>HCM!AD21</f>
        <v>23.534806451612901</v>
      </c>
      <c r="AC17" s="524">
        <f>HCM!AE21</f>
        <v>17.240312499999998</v>
      </c>
      <c r="AD17" s="524">
        <f>HCM!AF21</f>
        <v>19.769978723404257</v>
      </c>
      <c r="AE17" s="524">
        <f>HCM!AG21</f>
        <v>19.342138461538458</v>
      </c>
      <c r="AF17" s="524">
        <f>HCM!AH21</f>
        <v>19.849252747252748</v>
      </c>
      <c r="AG17" s="524">
        <f>HCM!AI21</f>
        <v>22.212146788990829</v>
      </c>
      <c r="AH17" s="524">
        <f>HCM!AJ21</f>
        <v>23.89985026737968</v>
      </c>
      <c r="AI17" s="524">
        <f>HCM!AK21</f>
        <v>26.798257894736842</v>
      </c>
      <c r="AJ17" s="524">
        <f>HCM!AL21</f>
        <v>28.606157608695653</v>
      </c>
      <c r="AK17" s="524">
        <f>HCM!AM21</f>
        <v>35.155688073394494</v>
      </c>
      <c r="AL17" s="524">
        <f>HCM!AN21</f>
        <v>33.889387832699619</v>
      </c>
      <c r="AM17" s="524">
        <f>HCM!AO21</f>
        <v>32.207853281853282</v>
      </c>
      <c r="AN17" s="524">
        <f>HCM!AP21</f>
        <v>56.422341463414632</v>
      </c>
      <c r="AO17" s="524">
        <v>34.955541147132173</v>
      </c>
      <c r="AP17" s="524">
        <v>24.26832478632479</v>
      </c>
      <c r="AQ17" s="524">
        <v>34.591680733944955</v>
      </c>
      <c r="AR17" s="524">
        <v>32.073545454545453</v>
      </c>
      <c r="AS17" s="524">
        <v>23.720318396226418</v>
      </c>
      <c r="AT17" s="524">
        <v>36.658414023372288</v>
      </c>
      <c r="AU17" s="524">
        <v>27.929862626262626</v>
      </c>
      <c r="AV17" s="524">
        <v>35.368689034369886</v>
      </c>
      <c r="AW17" s="524">
        <v>45.135597368421045</v>
      </c>
      <c r="AX17" s="524">
        <v>25.155697095435684</v>
      </c>
      <c r="AY17" s="524">
        <v>29.182124463519315</v>
      </c>
      <c r="AZ17" s="524">
        <f>HCM!BE21</f>
        <v>38.931382429501063</v>
      </c>
      <c r="BA17" s="2282">
        <f>HCM!BF21</f>
        <v>43.324373708920184</v>
      </c>
      <c r="BB17" s="2282">
        <f>HCM!BG21</f>
        <v>32.600300941176478</v>
      </c>
      <c r="BC17" s="2282">
        <f>HCM!BH21</f>
        <v>30.206767422680414</v>
      </c>
      <c r="BD17" s="2282">
        <f>HCM!BI21</f>
        <v>29.99344503131524</v>
      </c>
      <c r="BE17" s="2282">
        <f>HCM!BJ21</f>
        <v>30.494364224137932</v>
      </c>
      <c r="BF17" s="2282">
        <f>HCM!BK21</f>
        <v>38.639670621468923</v>
      </c>
      <c r="BG17" s="2282">
        <f>HCM!BL21</f>
        <v>39.428537920168068</v>
      </c>
      <c r="BH17" s="2282">
        <f>HCM!BM21</f>
        <v>49.070957421602849</v>
      </c>
      <c r="BI17" s="2282">
        <f>HCM!BN21</f>
        <v>55.063078673966075</v>
      </c>
      <c r="BJ17" s="2282">
        <f>HCM!BO21</f>
        <v>36.821758055555556</v>
      </c>
      <c r="BK17" s="2282">
        <f>HCM!BP21</f>
        <v>38.799073960217001</v>
      </c>
      <c r="BL17" s="2282">
        <f>HCM!BQ21</f>
        <v>39.845128571428575</v>
      </c>
      <c r="BM17" s="2282">
        <f>HCM!BR21</f>
        <v>39.5758935483871</v>
      </c>
      <c r="BN17" s="2282">
        <f>HCM!BS21</f>
        <v>50.248963258785949</v>
      </c>
      <c r="BO17" s="2282">
        <f>HCM!BT21</f>
        <v>46.153921713441655</v>
      </c>
      <c r="BP17" s="2282">
        <f>HCM!BU21</f>
        <v>41.85024528571428</v>
      </c>
      <c r="BQ17" s="2282" t="str">
        <f>HCM!BV21</f>
        <v>-</v>
      </c>
      <c r="BR17" s="2282" t="str">
        <f>HCM!BW21</f>
        <v>-</v>
      </c>
      <c r="BS17" s="2282" t="str">
        <f>HCM!BX21</f>
        <v>-</v>
      </c>
      <c r="BT17" s="2282" t="str">
        <f>HCM!BY21</f>
        <v>-</v>
      </c>
      <c r="BU17" s="2282" t="str">
        <f>HCM!BZ21</f>
        <v>-</v>
      </c>
      <c r="BV17" s="1938">
        <f>Plan!$BO$40</f>
        <v>29.8646353110869</v>
      </c>
      <c r="BW17" s="408"/>
    </row>
    <row r="18" spans="2:75" s="1016" customFormat="1" hidden="1">
      <c r="B18" s="1036"/>
      <c r="C18" s="1091"/>
      <c r="D18" s="1092"/>
      <c r="E18" s="1089"/>
      <c r="F18" s="1077"/>
      <c r="G18" s="1076"/>
      <c r="H18" s="1077"/>
      <c r="I18" s="986"/>
      <c r="J18" s="986"/>
      <c r="K18" s="986"/>
      <c r="L18" s="986"/>
      <c r="M18" s="986"/>
      <c r="N18" s="986"/>
      <c r="O18" s="986"/>
      <c r="P18" s="986"/>
      <c r="Q18" s="986"/>
      <c r="R18" s="986"/>
      <c r="S18" s="986"/>
      <c r="T18" s="986"/>
      <c r="U18" s="982"/>
      <c r="V18" s="986"/>
      <c r="W18" s="982"/>
      <c r="X18" s="1078"/>
      <c r="Y18" s="1078"/>
      <c r="Z18" s="1078"/>
      <c r="AA18" s="1078"/>
      <c r="AB18" s="1078"/>
      <c r="AC18" s="1078"/>
      <c r="AD18" s="1078"/>
      <c r="AE18" s="1078"/>
      <c r="AF18" s="1078"/>
      <c r="AG18" s="1078"/>
      <c r="AH18" s="1078"/>
      <c r="AI18" s="1078"/>
      <c r="AJ18" s="1078"/>
      <c r="AK18" s="1078"/>
      <c r="AL18" s="1078"/>
      <c r="AM18" s="1078"/>
      <c r="AN18" s="986"/>
      <c r="AO18" s="986"/>
      <c r="AP18" s="986"/>
      <c r="AQ18" s="986"/>
      <c r="AR18" s="986"/>
      <c r="AS18" s="986"/>
      <c r="AT18" s="986"/>
      <c r="AU18" s="986"/>
      <c r="AV18" s="986"/>
      <c r="AW18" s="986"/>
      <c r="AX18" s="986"/>
      <c r="AY18" s="986"/>
      <c r="AZ18" s="986"/>
      <c r="BA18" s="986"/>
      <c r="BB18" s="986"/>
      <c r="BC18" s="986"/>
      <c r="BD18" s="986"/>
      <c r="BE18" s="986"/>
      <c r="BF18" s="986"/>
      <c r="BG18" s="986"/>
      <c r="BH18" s="986"/>
      <c r="BI18" s="986"/>
      <c r="BJ18" s="986"/>
      <c r="BK18" s="986"/>
      <c r="BL18" s="986"/>
      <c r="BM18" s="986"/>
      <c r="BN18" s="986"/>
      <c r="BO18" s="986"/>
      <c r="BP18" s="986"/>
      <c r="BQ18" s="986"/>
      <c r="BR18" s="986"/>
      <c r="BS18" s="986"/>
      <c r="BT18" s="1076"/>
      <c r="BU18" s="1076"/>
      <c r="BV18" s="1081"/>
      <c r="BW18" s="1082"/>
    </row>
    <row r="19" spans="2:75" s="1016" customFormat="1" hidden="1">
      <c r="B19" s="1036"/>
      <c r="C19" s="1093" t="s">
        <v>222</v>
      </c>
      <c r="D19" s="1092">
        <f>Plan!C30</f>
        <v>857.84841689412337</v>
      </c>
      <c r="E19" s="1089"/>
      <c r="F19" s="262">
        <f>HCM!C11</f>
        <v>500</v>
      </c>
      <c r="G19" s="1076"/>
      <c r="H19" s="1077">
        <f>SUM(HCM!J41:J43)</f>
        <v>11</v>
      </c>
      <c r="I19" s="986">
        <f>SUM(HCM!K41:K43)</f>
        <v>12</v>
      </c>
      <c r="J19" s="986">
        <f>SUM(HCM!L41:L43)</f>
        <v>15</v>
      </c>
      <c r="K19" s="986">
        <f>SUM(HCM!M41:M43)</f>
        <v>16</v>
      </c>
      <c r="L19" s="986">
        <f>SUM(HCM!N41:N43)</f>
        <v>15</v>
      </c>
      <c r="M19" s="986">
        <f>SUM(HCM!O41:O43)</f>
        <v>14</v>
      </c>
      <c r="N19" s="986">
        <f>SUM(HCM!P41:P43)</f>
        <v>13</v>
      </c>
      <c r="O19" s="986">
        <f>SUM(HCM!Q41:Q43)</f>
        <v>14</v>
      </c>
      <c r="P19" s="986">
        <f>SUM(HCM!R41:R43)</f>
        <v>16</v>
      </c>
      <c r="Q19" s="986">
        <f>SUM(HCM!S41:S43)</f>
        <v>18</v>
      </c>
      <c r="R19" s="986">
        <f>SUM(HCM!T41:T43)</f>
        <v>16</v>
      </c>
      <c r="S19" s="986">
        <f>SUM(HCM!U41:U43)</f>
        <v>16</v>
      </c>
      <c r="T19" s="986">
        <f>SUM(HCM!V41:V43)</f>
        <v>31</v>
      </c>
      <c r="U19" s="982">
        <f>SUM(HCM!W41:W43)</f>
        <v>37</v>
      </c>
      <c r="V19" s="986">
        <f>SUM(HCM!X41:X43)</f>
        <v>36</v>
      </c>
      <c r="W19" s="982">
        <f>SUM(HCM!Y41:Y43)</f>
        <v>33</v>
      </c>
      <c r="X19" s="1078">
        <f>SUM(HCM!Z41:Z43)</f>
        <v>38</v>
      </c>
      <c r="Y19" s="1078">
        <f>SUM(HCM!AA41:AA43)</f>
        <v>47</v>
      </c>
      <c r="Z19" s="1078">
        <f>SUM(HCM!AB41:AB43)</f>
        <v>51</v>
      </c>
      <c r="AA19" s="1078">
        <f>SUM(HCM!AC41:AC43)</f>
        <v>56</v>
      </c>
      <c r="AB19" s="1078">
        <f>SUM(HCM!AD41:AD43)</f>
        <v>65</v>
      </c>
      <c r="AC19" s="1078">
        <f>SUM(HCM!AE41:AE43)</f>
        <v>64</v>
      </c>
      <c r="AD19" s="1078">
        <f>SUM(HCM!AF41:AF43)</f>
        <v>59</v>
      </c>
      <c r="AE19" s="1078">
        <f>SUM(HCM!AG41:AG43)</f>
        <v>61</v>
      </c>
      <c r="AF19" s="1078">
        <f>SUM(HCM!AH41:AH43)</f>
        <v>81</v>
      </c>
      <c r="AG19" s="1078">
        <f>SUM(HCM!AI41:AI43)</f>
        <v>103</v>
      </c>
      <c r="AH19" s="1078"/>
      <c r="AI19" s="1078"/>
      <c r="AJ19" s="1078"/>
      <c r="AK19" s="1078"/>
      <c r="AL19" s="1078"/>
      <c r="AM19" s="1078"/>
      <c r="AN19" s="986"/>
      <c r="AO19" s="986"/>
      <c r="AP19" s="986"/>
      <c r="AQ19" s="986"/>
      <c r="AR19" s="986"/>
      <c r="AS19" s="986"/>
      <c r="AT19" s="986"/>
      <c r="AU19" s="986"/>
      <c r="AV19" s="986"/>
      <c r="AW19" s="986"/>
      <c r="AX19" s="986"/>
      <c r="AY19" s="986"/>
      <c r="AZ19" s="986"/>
      <c r="BA19" s="986"/>
      <c r="BB19" s="986"/>
      <c r="BC19" s="986"/>
      <c r="BD19" s="986"/>
      <c r="BE19" s="986"/>
      <c r="BF19" s="986"/>
      <c r="BG19" s="986"/>
      <c r="BH19" s="986"/>
      <c r="BI19" s="986"/>
      <c r="BJ19" s="986"/>
      <c r="BK19" s="986"/>
      <c r="BL19" s="986"/>
      <c r="BM19" s="986"/>
      <c r="BN19" s="986"/>
      <c r="BO19" s="986"/>
      <c r="BP19" s="986"/>
      <c r="BQ19" s="986"/>
      <c r="BR19" s="986"/>
      <c r="BS19" s="986"/>
      <c r="BT19" s="1076"/>
      <c r="BU19" s="1076"/>
      <c r="BV19" s="1081"/>
      <c r="BW19" s="1082"/>
    </row>
    <row r="20" spans="2:75" s="1016" customFormat="1" hidden="1">
      <c r="B20" s="1036"/>
      <c r="C20" s="1093" t="s">
        <v>198</v>
      </c>
      <c r="D20" s="1092">
        <f>Plan!C36</f>
        <v>2249.1085899999998</v>
      </c>
      <c r="E20" s="1089"/>
      <c r="F20" s="262">
        <f>HCM!C17</f>
        <v>2108</v>
      </c>
      <c r="G20" s="1076"/>
      <c r="H20" s="262">
        <f>HCM!J17</f>
        <v>21</v>
      </c>
      <c r="I20" s="255">
        <f>HCM!K17</f>
        <v>7</v>
      </c>
      <c r="J20" s="255">
        <f>HCM!L17</f>
        <v>15</v>
      </c>
      <c r="K20" s="255">
        <f>HCM!M17</f>
        <v>9</v>
      </c>
      <c r="L20" s="255">
        <f>HCM!N17</f>
        <v>4</v>
      </c>
      <c r="M20" s="255">
        <f>HCM!O17</f>
        <v>2</v>
      </c>
      <c r="N20" s="255">
        <f>HCM!P17</f>
        <v>6</v>
      </c>
      <c r="O20" s="255">
        <f>HCM!Q17</f>
        <v>3</v>
      </c>
      <c r="P20" s="255">
        <f>HCM!R17</f>
        <v>12</v>
      </c>
      <c r="Q20" s="255">
        <f>HCM!S17</f>
        <v>8</v>
      </c>
      <c r="R20" s="255">
        <f>HCM!T17</f>
        <v>1</v>
      </c>
      <c r="S20" s="255">
        <f>HCM!U17</f>
        <v>19</v>
      </c>
      <c r="T20" s="255">
        <f>HCM!V17</f>
        <v>27</v>
      </c>
      <c r="U20" s="359">
        <f>HCM!W17</f>
        <v>35</v>
      </c>
      <c r="V20" s="255">
        <f>HCM!X17</f>
        <v>24</v>
      </c>
      <c r="W20" s="359">
        <f>HCM!Y17</f>
        <v>17</v>
      </c>
      <c r="X20" s="386">
        <f>HCM!Z17</f>
        <v>23</v>
      </c>
      <c r="Y20" s="386">
        <f>HCM!AA17</f>
        <v>38</v>
      </c>
      <c r="Z20" s="386">
        <f>HCM!AB17</f>
        <v>29</v>
      </c>
      <c r="AA20" s="386">
        <f>HCM!AC17</f>
        <v>26</v>
      </c>
      <c r="AB20" s="386">
        <f>HCM!AD17</f>
        <v>38</v>
      </c>
      <c r="AC20" s="386">
        <f>HCM!AE17</f>
        <v>16</v>
      </c>
      <c r="AD20" s="386">
        <f>HCM!AF17</f>
        <v>20</v>
      </c>
      <c r="AE20" s="386">
        <f>HCM!AG17</f>
        <v>40</v>
      </c>
      <c r="AF20" s="386">
        <f>HCM!AH17</f>
        <v>82</v>
      </c>
      <c r="AG20" s="386">
        <f>HCM!AI17</f>
        <v>102</v>
      </c>
      <c r="AH20" s="386"/>
      <c r="AI20" s="386"/>
      <c r="AJ20" s="386"/>
      <c r="AK20" s="386"/>
      <c r="AL20" s="386"/>
      <c r="AM20" s="386"/>
      <c r="AN20" s="255"/>
      <c r="AO20" s="255"/>
      <c r="AP20" s="255"/>
      <c r="AQ20" s="255"/>
      <c r="AR20" s="255"/>
      <c r="AS20" s="255"/>
      <c r="AT20" s="255"/>
      <c r="AU20" s="255"/>
      <c r="AV20" s="255"/>
      <c r="AW20" s="25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1076"/>
      <c r="BU20" s="1076"/>
      <c r="BV20" s="1081"/>
      <c r="BW20" s="1082"/>
    </row>
    <row r="21" spans="2:75" s="1016" customFormat="1" hidden="1">
      <c r="B21" s="1036"/>
      <c r="C21" s="1093" t="s">
        <v>199</v>
      </c>
      <c r="D21" s="1092">
        <f>Plan!C37</f>
        <v>135</v>
      </c>
      <c r="E21" s="1089"/>
      <c r="F21" s="262">
        <f>HCM!C18</f>
        <v>195</v>
      </c>
      <c r="G21" s="1076"/>
      <c r="H21" s="262">
        <f>HCM!J18</f>
        <v>1</v>
      </c>
      <c r="I21" s="255">
        <f>HCM!K18</f>
        <v>1</v>
      </c>
      <c r="J21" s="255">
        <f>HCM!L18</f>
        <v>3</v>
      </c>
      <c r="K21" s="255">
        <f>HCM!M18</f>
        <v>1</v>
      </c>
      <c r="L21" s="255">
        <f>HCM!N18</f>
        <v>0</v>
      </c>
      <c r="M21" s="255">
        <f>HCM!O18</f>
        <v>0</v>
      </c>
      <c r="N21" s="255">
        <f>HCM!P18</f>
        <v>1</v>
      </c>
      <c r="O21" s="255">
        <f>HCM!Q18</f>
        <v>3</v>
      </c>
      <c r="P21" s="255">
        <f>HCM!R18</f>
        <v>2</v>
      </c>
      <c r="Q21" s="255">
        <f>HCM!S18</f>
        <v>3</v>
      </c>
      <c r="R21" s="255">
        <f>HCM!T18</f>
        <v>0</v>
      </c>
      <c r="S21" s="255">
        <f>HCM!U18</f>
        <v>0</v>
      </c>
      <c r="T21" s="255">
        <f>HCM!V18</f>
        <v>15</v>
      </c>
      <c r="U21" s="359">
        <f>HCM!W18</f>
        <v>6</v>
      </c>
      <c r="V21" s="255">
        <f>HCM!X18</f>
        <v>3</v>
      </c>
      <c r="W21" s="359">
        <f>HCM!Y18</f>
        <v>7</v>
      </c>
      <c r="X21" s="386">
        <f>HCM!Z18</f>
        <v>7</v>
      </c>
      <c r="Y21" s="386">
        <f>HCM!AA18</f>
        <v>9</v>
      </c>
      <c r="Z21" s="386">
        <f>HCM!AB18</f>
        <v>5</v>
      </c>
      <c r="AA21" s="386">
        <f>HCM!AC18</f>
        <v>8</v>
      </c>
      <c r="AB21" s="386">
        <f>HCM!AD18</f>
        <v>11</v>
      </c>
      <c r="AC21" s="386">
        <f>HCM!AE18</f>
        <v>0</v>
      </c>
      <c r="AD21" s="386">
        <f>HCM!AF18</f>
        <v>2</v>
      </c>
      <c r="AE21" s="386">
        <f>HCM!AG18</f>
        <v>11</v>
      </c>
      <c r="AF21" s="386">
        <f>HCM!AH18</f>
        <v>23</v>
      </c>
      <c r="AG21" s="386">
        <f>HCM!AI18</f>
        <v>26</v>
      </c>
      <c r="AH21" s="386"/>
      <c r="AI21" s="386"/>
      <c r="AJ21" s="386"/>
      <c r="AK21" s="386"/>
      <c r="AL21" s="386"/>
      <c r="AM21" s="386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1076"/>
      <c r="BU21" s="1076"/>
      <c r="BV21" s="1081"/>
      <c r="BW21" s="1082"/>
    </row>
    <row r="22" spans="2:75" s="1016" customFormat="1" ht="7.9" customHeight="1">
      <c r="B22" s="1017"/>
      <c r="C22" s="1018"/>
      <c r="D22" s="1094"/>
      <c r="E22" s="1095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96"/>
      <c r="V22" s="1018"/>
      <c r="W22" s="1096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18"/>
      <c r="AH22" s="1018"/>
      <c r="AI22" s="1018"/>
      <c r="AJ22" s="1018"/>
      <c r="AK22" s="1018"/>
      <c r="AL22" s="1018"/>
      <c r="AM22" s="1018"/>
      <c r="AN22" s="1018"/>
      <c r="AO22" s="1018"/>
      <c r="AP22" s="1018"/>
      <c r="AQ22" s="1018"/>
      <c r="AR22" s="1018"/>
      <c r="AS22" s="1018"/>
      <c r="AT22" s="1018"/>
      <c r="AU22" s="1018"/>
      <c r="AV22" s="1018"/>
      <c r="AW22" s="1018"/>
      <c r="AX22" s="1018"/>
      <c r="AY22" s="1018"/>
      <c r="AZ22" s="1018"/>
      <c r="BA22" s="1018"/>
      <c r="BB22" s="1018"/>
      <c r="BC22" s="1018"/>
      <c r="BD22" s="1018"/>
      <c r="BE22" s="1018"/>
      <c r="BF22" s="1018"/>
      <c r="BG22" s="1018"/>
      <c r="BH22" s="1018"/>
      <c r="BI22" s="1018"/>
      <c r="BJ22" s="1018"/>
      <c r="BK22" s="1018"/>
      <c r="BL22" s="1018"/>
      <c r="BM22" s="1018"/>
      <c r="BN22" s="1018"/>
      <c r="BO22" s="1018"/>
      <c r="BP22" s="1018"/>
      <c r="BQ22" s="1018"/>
      <c r="BR22" s="1018"/>
      <c r="BS22" s="1018"/>
      <c r="BT22" s="1018"/>
      <c r="BU22" s="1018"/>
      <c r="BV22" s="1097"/>
      <c r="BW22" s="1098"/>
    </row>
    <row r="23" spans="2:75" s="1016" customFormat="1" ht="16.5" hidden="1" customHeight="1">
      <c r="D23" s="1099"/>
      <c r="E23" s="1100"/>
      <c r="U23" s="1101"/>
      <c r="W23" s="1101"/>
      <c r="BA23" s="1222"/>
      <c r="BB23" s="1222"/>
      <c r="BC23" s="1222"/>
      <c r="BD23" s="1222"/>
      <c r="BE23" s="1222"/>
      <c r="BF23" s="1222"/>
      <c r="BG23" s="1222"/>
      <c r="BH23" s="1222"/>
      <c r="BI23" s="1222"/>
      <c r="BJ23" s="1222"/>
      <c r="BK23" s="1222"/>
      <c r="BL23" s="1222"/>
      <c r="BM23" s="1222"/>
      <c r="BN23" s="1222"/>
      <c r="BO23" s="1222"/>
      <c r="BP23" s="1222"/>
      <c r="BQ23" s="1222"/>
      <c r="BR23" s="1222"/>
      <c r="BS23" s="1222"/>
      <c r="BT23" s="1102"/>
      <c r="BU23" s="1102"/>
      <c r="BV23" s="1103"/>
    </row>
    <row r="24" spans="2:75" s="1016" customFormat="1" ht="16.5" hidden="1" customHeight="1">
      <c r="D24" s="1099"/>
      <c r="E24" s="1100"/>
      <c r="U24" s="1101"/>
      <c r="W24" s="1101"/>
      <c r="BA24" s="1222"/>
      <c r="BB24" s="1222"/>
      <c r="BC24" s="1222"/>
      <c r="BD24" s="1222"/>
      <c r="BE24" s="1222"/>
      <c r="BF24" s="1222"/>
      <c r="BG24" s="1222"/>
      <c r="BH24" s="1222"/>
      <c r="BI24" s="1222"/>
      <c r="BJ24" s="1222"/>
      <c r="BK24" s="1222"/>
      <c r="BL24" s="1222"/>
      <c r="BM24" s="1222"/>
      <c r="BN24" s="1222"/>
      <c r="BO24" s="1222"/>
      <c r="BP24" s="1222"/>
      <c r="BQ24" s="1222"/>
      <c r="BR24" s="1222"/>
      <c r="BS24" s="1222"/>
      <c r="BT24" s="1102"/>
      <c r="BU24" s="1102"/>
      <c r="BV24" s="1103"/>
    </row>
    <row r="25" spans="2:75" s="1016" customFormat="1" ht="16.5" hidden="1" customHeight="1">
      <c r="D25" s="1099"/>
      <c r="E25" s="1100"/>
      <c r="U25" s="1101"/>
      <c r="W25" s="1101"/>
      <c r="BA25" s="1222"/>
      <c r="BB25" s="1222"/>
      <c r="BC25" s="1222"/>
      <c r="BD25" s="1222"/>
      <c r="BE25" s="1222"/>
      <c r="BF25" s="1222"/>
      <c r="BG25" s="1222"/>
      <c r="BH25" s="1222"/>
      <c r="BI25" s="1222"/>
      <c r="BJ25" s="1222"/>
      <c r="BK25" s="1222"/>
      <c r="BL25" s="1222"/>
      <c r="BM25" s="1222"/>
      <c r="BN25" s="1222"/>
      <c r="BO25" s="1222"/>
      <c r="BP25" s="1222"/>
      <c r="BQ25" s="1222"/>
      <c r="BR25" s="1222"/>
      <c r="BS25" s="1222"/>
      <c r="BT25" s="1102"/>
      <c r="BU25" s="1102"/>
      <c r="BV25" s="1103"/>
    </row>
    <row r="26" spans="2:75" s="1016" customFormat="1" ht="16.5" hidden="1" customHeight="1">
      <c r="D26" s="1099"/>
      <c r="E26" s="1100"/>
      <c r="U26" s="1101"/>
      <c r="W26" s="1101"/>
      <c r="BA26" s="1222"/>
      <c r="BB26" s="1222"/>
      <c r="BC26" s="1222"/>
      <c r="BD26" s="1222"/>
      <c r="BE26" s="1222"/>
      <c r="BF26" s="1222"/>
      <c r="BG26" s="1222"/>
      <c r="BH26" s="1222"/>
      <c r="BI26" s="1222"/>
      <c r="BJ26" s="1222"/>
      <c r="BK26" s="1222"/>
      <c r="BL26" s="1222"/>
      <c r="BM26" s="1222"/>
      <c r="BN26" s="1222"/>
      <c r="BO26" s="1222"/>
      <c r="BP26" s="1222"/>
      <c r="BQ26" s="1222"/>
      <c r="BR26" s="1222"/>
      <c r="BS26" s="1222"/>
      <c r="BT26" s="1102"/>
      <c r="BU26" s="1102"/>
      <c r="BV26" s="1103"/>
    </row>
    <row r="27" spans="2:75" s="1016" customFormat="1" ht="16.5" hidden="1" customHeight="1">
      <c r="D27" s="1099"/>
      <c r="E27" s="1100"/>
      <c r="U27" s="1101"/>
      <c r="W27" s="1101"/>
      <c r="BA27" s="1222"/>
      <c r="BB27" s="1222"/>
      <c r="BC27" s="1222"/>
      <c r="BD27" s="1222"/>
      <c r="BE27" s="1222"/>
      <c r="BF27" s="1222"/>
      <c r="BG27" s="1222"/>
      <c r="BH27" s="1222"/>
      <c r="BI27" s="1222"/>
      <c r="BJ27" s="1222"/>
      <c r="BK27" s="1222"/>
      <c r="BL27" s="1222"/>
      <c r="BM27" s="1222"/>
      <c r="BN27" s="1222"/>
      <c r="BO27" s="1222"/>
      <c r="BP27" s="1222"/>
      <c r="BQ27" s="1222"/>
      <c r="BR27" s="1222"/>
      <c r="BS27" s="1222"/>
      <c r="BT27" s="1102"/>
      <c r="BU27" s="1102"/>
      <c r="BV27" s="1103"/>
    </row>
    <row r="28" spans="2:75" s="1016" customFormat="1" ht="16.5" hidden="1" customHeight="1">
      <c r="D28" s="1099"/>
      <c r="E28" s="1100"/>
      <c r="U28" s="1101"/>
      <c r="W28" s="1101"/>
      <c r="BA28" s="1222"/>
      <c r="BB28" s="1222"/>
      <c r="BC28" s="1222"/>
      <c r="BD28" s="1222"/>
      <c r="BE28" s="1222"/>
      <c r="BF28" s="1222"/>
      <c r="BG28" s="1222"/>
      <c r="BH28" s="1222"/>
      <c r="BI28" s="1222"/>
      <c r="BJ28" s="1222"/>
      <c r="BK28" s="1222"/>
      <c r="BL28" s="1222"/>
      <c r="BM28" s="1222"/>
      <c r="BN28" s="1222"/>
      <c r="BO28" s="1222"/>
      <c r="BP28" s="1222"/>
      <c r="BQ28" s="1222"/>
      <c r="BR28" s="1222"/>
      <c r="BS28" s="1222"/>
      <c r="BT28" s="1102"/>
      <c r="BU28" s="1102"/>
      <c r="BV28" s="1103"/>
    </row>
    <row r="29" spans="2:75" s="1016" customFormat="1" ht="16.5" hidden="1" customHeight="1">
      <c r="D29" s="1099"/>
      <c r="E29" s="1100"/>
      <c r="U29" s="1101"/>
      <c r="W29" s="1101"/>
      <c r="BA29" s="1222"/>
      <c r="BB29" s="1222"/>
      <c r="BC29" s="1222"/>
      <c r="BD29" s="1222"/>
      <c r="BE29" s="1222"/>
      <c r="BF29" s="1222"/>
      <c r="BG29" s="1222"/>
      <c r="BH29" s="1222"/>
      <c r="BI29" s="1222"/>
      <c r="BJ29" s="1222"/>
      <c r="BK29" s="1222"/>
      <c r="BL29" s="1222"/>
      <c r="BM29" s="1222"/>
      <c r="BN29" s="1222"/>
      <c r="BO29" s="1222"/>
      <c r="BP29" s="1222"/>
      <c r="BQ29" s="1222"/>
      <c r="BR29" s="1222"/>
      <c r="BS29" s="1222"/>
      <c r="BT29" s="1102"/>
      <c r="BU29" s="1102"/>
      <c r="BV29" s="1103"/>
    </row>
    <row r="30" spans="2:75" s="1016" customFormat="1" ht="16.5" hidden="1" customHeight="1">
      <c r="D30" s="1099"/>
      <c r="E30" s="1100"/>
      <c r="U30" s="1101"/>
      <c r="W30" s="1101"/>
      <c r="BA30" s="1222"/>
      <c r="BB30" s="1222"/>
      <c r="BC30" s="1222"/>
      <c r="BD30" s="1222"/>
      <c r="BE30" s="1222"/>
      <c r="BF30" s="1222"/>
      <c r="BG30" s="1222"/>
      <c r="BH30" s="1222"/>
      <c r="BI30" s="1222"/>
      <c r="BJ30" s="1222"/>
      <c r="BK30" s="1222"/>
      <c r="BL30" s="1222"/>
      <c r="BM30" s="1222"/>
      <c r="BN30" s="1222"/>
      <c r="BO30" s="1222"/>
      <c r="BP30" s="1222"/>
      <c r="BQ30" s="1222"/>
      <c r="BR30" s="1222"/>
      <c r="BS30" s="1222"/>
      <c r="BT30" s="1102"/>
      <c r="BU30" s="1102"/>
      <c r="BV30" s="1103"/>
    </row>
    <row r="31" spans="2:75" s="1016" customFormat="1" ht="16.5" hidden="1" customHeight="1">
      <c r="D31" s="1099"/>
      <c r="E31" s="1100"/>
      <c r="U31" s="1101"/>
      <c r="W31" s="1101"/>
      <c r="BA31" s="1222"/>
      <c r="BB31" s="1222"/>
      <c r="BC31" s="1222"/>
      <c r="BD31" s="1222"/>
      <c r="BE31" s="1222"/>
      <c r="BF31" s="1222"/>
      <c r="BG31" s="1222"/>
      <c r="BH31" s="1222"/>
      <c r="BI31" s="1222"/>
      <c r="BJ31" s="1222"/>
      <c r="BK31" s="1222"/>
      <c r="BL31" s="1222"/>
      <c r="BM31" s="1222"/>
      <c r="BN31" s="1222"/>
      <c r="BO31" s="1222"/>
      <c r="BP31" s="1222"/>
      <c r="BQ31" s="1222"/>
      <c r="BR31" s="1222"/>
      <c r="BS31" s="1222"/>
      <c r="BT31" s="1102"/>
      <c r="BU31" s="1102"/>
      <c r="BV31" s="1103"/>
    </row>
    <row r="32" spans="2:75" s="1016" customFormat="1" ht="16.5" hidden="1" customHeight="1">
      <c r="D32" s="1099"/>
      <c r="E32" s="1100"/>
      <c r="U32" s="1101"/>
      <c r="W32" s="1101"/>
      <c r="BA32" s="1222"/>
      <c r="BB32" s="1222"/>
      <c r="BC32" s="1222"/>
      <c r="BD32" s="1222"/>
      <c r="BE32" s="1222"/>
      <c r="BF32" s="1222"/>
      <c r="BG32" s="1222"/>
      <c r="BH32" s="1222"/>
      <c r="BI32" s="1222"/>
      <c r="BJ32" s="1222"/>
      <c r="BK32" s="1222"/>
      <c r="BL32" s="1222"/>
      <c r="BM32" s="1222"/>
      <c r="BN32" s="1222"/>
      <c r="BO32" s="1222"/>
      <c r="BP32" s="1222"/>
      <c r="BQ32" s="1222"/>
      <c r="BR32" s="1222"/>
      <c r="BS32" s="1222"/>
      <c r="BT32" s="1102"/>
      <c r="BU32" s="1102"/>
      <c r="BV32" s="1103"/>
    </row>
    <row r="33" spans="2:75" s="1016" customFormat="1" ht="16.5" hidden="1" customHeight="1">
      <c r="D33" s="1099"/>
      <c r="E33" s="1100"/>
      <c r="U33" s="1101"/>
      <c r="W33" s="1101"/>
      <c r="BA33" s="1222"/>
      <c r="BB33" s="1222"/>
      <c r="BC33" s="1222"/>
      <c r="BD33" s="1222"/>
      <c r="BE33" s="1222"/>
      <c r="BF33" s="1222"/>
      <c r="BG33" s="1222"/>
      <c r="BH33" s="1222"/>
      <c r="BI33" s="1222"/>
      <c r="BJ33" s="1222"/>
      <c r="BK33" s="1222"/>
      <c r="BL33" s="1222"/>
      <c r="BM33" s="1222"/>
      <c r="BN33" s="1222"/>
      <c r="BO33" s="1222"/>
      <c r="BP33" s="1222"/>
      <c r="BQ33" s="1222"/>
      <c r="BR33" s="1222"/>
      <c r="BS33" s="1222"/>
      <c r="BT33" s="1102"/>
      <c r="BU33" s="1102"/>
      <c r="BV33" s="1103"/>
    </row>
    <row r="34" spans="2:75" s="1016" customFormat="1" ht="16.5" hidden="1" customHeight="1">
      <c r="D34" s="1099"/>
      <c r="E34" s="1100"/>
      <c r="U34" s="1101"/>
      <c r="W34" s="1101"/>
      <c r="BA34" s="1222"/>
      <c r="BB34" s="1222"/>
      <c r="BC34" s="1222"/>
      <c r="BD34" s="1222"/>
      <c r="BE34" s="1222"/>
      <c r="BF34" s="1222"/>
      <c r="BG34" s="1222"/>
      <c r="BH34" s="1222"/>
      <c r="BI34" s="1222"/>
      <c r="BJ34" s="1222"/>
      <c r="BK34" s="1222"/>
      <c r="BL34" s="1222"/>
      <c r="BM34" s="1222"/>
      <c r="BN34" s="1222"/>
      <c r="BO34" s="1222"/>
      <c r="BP34" s="1222"/>
      <c r="BQ34" s="1222"/>
      <c r="BR34" s="1222"/>
      <c r="BS34" s="1222"/>
      <c r="BT34" s="1102"/>
      <c r="BU34" s="1102"/>
      <c r="BV34" s="1103"/>
    </row>
    <row r="35" spans="2:75" s="1016" customFormat="1" ht="16.5" hidden="1" customHeight="1">
      <c r="D35" s="1099"/>
      <c r="E35" s="1100"/>
      <c r="U35" s="1101"/>
      <c r="W35" s="1101"/>
      <c r="BA35" s="1222"/>
      <c r="BB35" s="1222"/>
      <c r="BC35" s="1222"/>
      <c r="BD35" s="1222"/>
      <c r="BE35" s="1222"/>
      <c r="BF35" s="1222"/>
      <c r="BG35" s="1222"/>
      <c r="BH35" s="1222"/>
      <c r="BI35" s="1222"/>
      <c r="BJ35" s="1222"/>
      <c r="BK35" s="1222"/>
      <c r="BL35" s="1222"/>
      <c r="BM35" s="1222"/>
      <c r="BN35" s="1222"/>
      <c r="BO35" s="1222"/>
      <c r="BP35" s="1222"/>
      <c r="BQ35" s="1222"/>
      <c r="BR35" s="1222"/>
      <c r="BS35" s="1222"/>
      <c r="BT35" s="1102"/>
      <c r="BU35" s="1102"/>
      <c r="BV35" s="1103"/>
    </row>
    <row r="36" spans="2:75" s="1016" customFormat="1" ht="16.5" hidden="1" customHeight="1">
      <c r="D36" s="1099"/>
      <c r="E36" s="1100"/>
      <c r="U36" s="1101"/>
      <c r="W36" s="1101"/>
      <c r="BA36" s="1222"/>
      <c r="BB36" s="1222"/>
      <c r="BC36" s="1222"/>
      <c r="BD36" s="1222"/>
      <c r="BE36" s="1222"/>
      <c r="BF36" s="1222"/>
      <c r="BG36" s="1222"/>
      <c r="BH36" s="1222"/>
      <c r="BI36" s="1222"/>
      <c r="BJ36" s="1222"/>
      <c r="BK36" s="1222"/>
      <c r="BL36" s="1222"/>
      <c r="BM36" s="1222"/>
      <c r="BN36" s="1222"/>
      <c r="BO36" s="1222"/>
      <c r="BP36" s="1222"/>
      <c r="BQ36" s="1222"/>
      <c r="BR36" s="1222"/>
      <c r="BS36" s="1222"/>
      <c r="BT36" s="1102"/>
      <c r="BU36" s="1102"/>
      <c r="BV36" s="1103"/>
    </row>
    <row r="37" spans="2:75" s="1016" customFormat="1" ht="16.5" customHeight="1">
      <c r="D37" s="1099"/>
      <c r="E37" s="1100"/>
      <c r="U37" s="1101"/>
      <c r="W37" s="1101"/>
      <c r="BA37" s="1222"/>
      <c r="BB37" s="1222"/>
      <c r="BC37" s="1222"/>
      <c r="BD37" s="1222"/>
      <c r="BE37" s="1222"/>
      <c r="BF37" s="1222"/>
      <c r="BG37" s="1222"/>
      <c r="BH37" s="1222"/>
      <c r="BI37" s="1222"/>
      <c r="BJ37" s="1222"/>
      <c r="BK37" s="1222"/>
      <c r="BL37" s="1222"/>
      <c r="BM37" s="1222"/>
      <c r="BN37" s="1222"/>
      <c r="BO37" s="1222"/>
      <c r="BP37" s="1222"/>
      <c r="BQ37" s="1222"/>
      <c r="BR37" s="1222"/>
      <c r="BS37" s="1222"/>
      <c r="BT37" s="1102"/>
      <c r="BU37" s="1102"/>
      <c r="BV37" s="1103"/>
    </row>
    <row r="38" spans="2:75" s="1016" customFormat="1" ht="15" customHeight="1">
      <c r="B38" s="1029" t="s">
        <v>459</v>
      </c>
      <c r="C38" s="1030"/>
      <c r="D38" s="1056" t="s">
        <v>249</v>
      </c>
      <c r="E38" s="1104"/>
      <c r="F38" s="1058" t="s">
        <v>58</v>
      </c>
      <c r="G38" s="1059"/>
      <c r="H38" s="1059"/>
      <c r="I38" s="1059"/>
      <c r="J38" s="1059"/>
      <c r="K38" s="1059"/>
      <c r="L38" s="1059"/>
      <c r="M38" s="1059"/>
      <c r="N38" s="1059"/>
      <c r="O38" s="1059"/>
      <c r="P38" s="1059"/>
      <c r="Q38" s="1059"/>
      <c r="R38" s="1059"/>
      <c r="S38" s="1059"/>
      <c r="T38" s="1059"/>
      <c r="U38" s="1060"/>
      <c r="V38" s="1059"/>
      <c r="W38" s="1061"/>
      <c r="X38" s="1059"/>
      <c r="Y38" s="1059"/>
      <c r="Z38" s="1059"/>
      <c r="AA38" s="1059"/>
      <c r="AB38" s="1059"/>
      <c r="AC38" s="1059"/>
      <c r="AD38" s="1059"/>
      <c r="AE38" s="1059"/>
      <c r="AF38" s="1059"/>
      <c r="AG38" s="1059"/>
      <c r="AH38" s="1059"/>
      <c r="AI38" s="1059"/>
      <c r="AJ38" s="1059"/>
      <c r="AK38" s="1059"/>
      <c r="AL38" s="1059"/>
      <c r="AM38" s="1059"/>
      <c r="AN38" s="1059"/>
      <c r="AO38" s="1059"/>
      <c r="AP38" s="1059"/>
      <c r="AQ38" s="1059"/>
      <c r="AR38" s="1059"/>
      <c r="AS38" s="1059"/>
      <c r="AT38" s="1059"/>
      <c r="AU38" s="1059"/>
      <c r="AV38" s="1059"/>
      <c r="AW38" s="1059"/>
      <c r="AX38" s="1059"/>
      <c r="AY38" s="1059"/>
      <c r="AZ38" s="1059"/>
      <c r="BA38" s="1059"/>
      <c r="BB38" s="1059"/>
      <c r="BC38" s="1059"/>
      <c r="BD38" s="1059"/>
      <c r="BE38" s="1059"/>
      <c r="BF38" s="1059"/>
      <c r="BG38" s="1059"/>
      <c r="BH38" s="1059"/>
      <c r="BI38" s="1059"/>
      <c r="BJ38" s="1059"/>
      <c r="BK38" s="1059"/>
      <c r="BL38" s="1059"/>
      <c r="BM38" s="1059"/>
      <c r="BN38" s="1059"/>
      <c r="BO38" s="1059"/>
      <c r="BP38" s="1059"/>
      <c r="BQ38" s="1059"/>
      <c r="BR38" s="1059"/>
      <c r="BS38" s="1059"/>
      <c r="BT38" s="1059"/>
      <c r="BU38" s="1059"/>
      <c r="BV38" s="1939">
        <f>BV4</f>
        <v>42947</v>
      </c>
      <c r="BW38" s="2387"/>
    </row>
    <row r="39" spans="2:75" s="1109" customFormat="1">
      <c r="B39" s="1105"/>
      <c r="C39" s="1064" t="s">
        <v>136</v>
      </c>
      <c r="D39" s="1065" t="s">
        <v>4136</v>
      </c>
      <c r="E39" s="1066"/>
      <c r="F39" s="1067" t="s">
        <v>163</v>
      </c>
      <c r="G39" s="1106"/>
      <c r="H39" s="1107" t="s">
        <v>56</v>
      </c>
      <c r="I39" s="1108"/>
      <c r="J39" s="1108"/>
      <c r="K39" s="1108"/>
      <c r="L39" s="1108"/>
      <c r="M39" s="1108"/>
      <c r="N39" s="1108"/>
      <c r="O39" s="1108"/>
      <c r="P39" s="1108"/>
      <c r="Q39" s="1071"/>
      <c r="R39" s="1071"/>
      <c r="S39" s="1071" t="s">
        <v>100</v>
      </c>
      <c r="T39" s="1071" t="s">
        <v>36</v>
      </c>
      <c r="U39" s="1072" t="s">
        <v>37</v>
      </c>
      <c r="V39" s="1072" t="s">
        <v>266</v>
      </c>
      <c r="W39" s="1072" t="s">
        <v>291</v>
      </c>
      <c r="X39" s="1072" t="s">
        <v>40</v>
      </c>
      <c r="Y39" s="1072" t="s">
        <v>41</v>
      </c>
      <c r="Z39" s="1072" t="s">
        <v>42</v>
      </c>
      <c r="AA39" s="1072" t="s">
        <v>43</v>
      </c>
      <c r="AB39" s="1072" t="s">
        <v>44</v>
      </c>
      <c r="AC39" s="1072" t="str">
        <f>AC5</f>
        <v>Jan'14</v>
      </c>
      <c r="AD39" s="1072" t="str">
        <f>AD5</f>
        <v>Feb'14</v>
      </c>
      <c r="AE39" s="1072" t="str">
        <f>AE5</f>
        <v>Mar'14</v>
      </c>
      <c r="AF39" s="1072" t="str">
        <f>AF5</f>
        <v>Apr'14</v>
      </c>
      <c r="AG39" s="1072" t="str">
        <f>AG5</f>
        <v>May'14</v>
      </c>
      <c r="AH39" s="1072" t="s">
        <v>757</v>
      </c>
      <c r="AI39" s="1072" t="str">
        <f>AI5</f>
        <v>Jul'14</v>
      </c>
      <c r="AJ39" s="1072" t="str">
        <f>AJ5</f>
        <v>Aug'14</v>
      </c>
      <c r="AK39" s="1072" t="s">
        <v>860</v>
      </c>
      <c r="AL39" s="1072" t="s">
        <v>899</v>
      </c>
      <c r="AM39" s="1072" t="s">
        <v>948</v>
      </c>
      <c r="AN39" s="1072" t="s">
        <v>1013</v>
      </c>
      <c r="AO39" s="1771">
        <f>AO5</f>
        <v>42095</v>
      </c>
      <c r="AP39" s="1649" t="str">
        <f t="shared" ref="AP39:AY39" si="0">AP5</f>
        <v>May-15</v>
      </c>
      <c r="AQ39" s="1771">
        <f t="shared" si="0"/>
        <v>42185</v>
      </c>
      <c r="AR39" s="1771">
        <f t="shared" si="0"/>
        <v>42216</v>
      </c>
      <c r="AS39" s="1771">
        <f t="shared" si="0"/>
        <v>42247</v>
      </c>
      <c r="AT39" s="1771">
        <f t="shared" si="0"/>
        <v>42277</v>
      </c>
      <c r="AU39" s="1771">
        <f t="shared" si="0"/>
        <v>42308</v>
      </c>
      <c r="AV39" s="1771">
        <f t="shared" si="0"/>
        <v>42338</v>
      </c>
      <c r="AW39" s="1771">
        <f t="shared" si="0"/>
        <v>42369</v>
      </c>
      <c r="AX39" s="1771">
        <f t="shared" si="0"/>
        <v>42400</v>
      </c>
      <c r="AY39" s="1771">
        <f t="shared" si="0"/>
        <v>42401</v>
      </c>
      <c r="AZ39" s="1771">
        <v>42460</v>
      </c>
      <c r="BA39" s="1771">
        <v>42490</v>
      </c>
      <c r="BB39" s="1771">
        <v>42521</v>
      </c>
      <c r="BC39" s="1771">
        <v>42551</v>
      </c>
      <c r="BD39" s="1771">
        <v>42582</v>
      </c>
      <c r="BE39" s="1771">
        <v>42613</v>
      </c>
      <c r="BF39" s="1771">
        <v>42643</v>
      </c>
      <c r="BG39" s="1771">
        <v>42674</v>
      </c>
      <c r="BH39" s="1771">
        <v>42704</v>
      </c>
      <c r="BI39" s="1771">
        <v>42735</v>
      </c>
      <c r="BJ39" s="2079">
        <v>42766</v>
      </c>
      <c r="BK39" s="1771">
        <v>42794</v>
      </c>
      <c r="BL39" s="1771">
        <v>42825</v>
      </c>
      <c r="BM39" s="1771">
        <v>42855</v>
      </c>
      <c r="BN39" s="1771">
        <v>42886</v>
      </c>
      <c r="BO39" s="1771">
        <v>42916</v>
      </c>
      <c r="BP39" s="1771">
        <v>42947</v>
      </c>
      <c r="BQ39" s="1771">
        <v>42978</v>
      </c>
      <c r="BR39" s="1771">
        <v>43008</v>
      </c>
      <c r="BS39" s="1771">
        <v>43039</v>
      </c>
      <c r="BT39" s="1771">
        <v>43069</v>
      </c>
      <c r="BU39" s="1771">
        <v>43100</v>
      </c>
      <c r="BV39" s="1940" t="str">
        <f>BV5</f>
        <v>target</v>
      </c>
      <c r="BW39" s="2388"/>
    </row>
    <row r="40" spans="2:75" s="1016" customFormat="1" ht="15" customHeight="1">
      <c r="B40" s="1036"/>
      <c r="C40" s="1075" t="s">
        <v>170</v>
      </c>
      <c r="D40" s="1911">
        <f>Plan!C49</f>
        <v>164343.05610311401</v>
      </c>
      <c r="E40" s="1926"/>
      <c r="F40" s="1913">
        <f>HN!C5</f>
        <v>164845.3144400001</v>
      </c>
      <c r="G40" s="1076"/>
      <c r="H40" s="1110"/>
      <c r="I40" s="1076"/>
      <c r="J40" s="1076"/>
      <c r="K40" s="1076"/>
      <c r="L40" s="1076"/>
      <c r="M40" s="1076"/>
      <c r="N40" s="1076"/>
      <c r="O40" s="1076"/>
      <c r="P40" s="1076"/>
      <c r="Q40" s="1076"/>
      <c r="R40" s="1076"/>
      <c r="S40" s="255">
        <f>HN!U5</f>
        <v>278.91499999999996</v>
      </c>
      <c r="T40" s="255">
        <f>HN!V5</f>
        <v>630.08899999999994</v>
      </c>
      <c r="U40" s="359">
        <f>HN!W5</f>
        <v>852.54500000000007</v>
      </c>
      <c r="V40" s="386">
        <f>HN!X5</f>
        <v>761.88900000000012</v>
      </c>
      <c r="W40" s="359">
        <f>HN!Y5</f>
        <v>624.44699999999989</v>
      </c>
      <c r="X40" s="386">
        <f>HN!Z5</f>
        <v>801.19399999999996</v>
      </c>
      <c r="Y40" s="386">
        <f>HN!AA5</f>
        <v>2094.2889999999998</v>
      </c>
      <c r="Z40" s="386">
        <f>HN!AB5</f>
        <v>1053.52</v>
      </c>
      <c r="AA40" s="386">
        <f>HN!AC5</f>
        <v>1637.6460000000002</v>
      </c>
      <c r="AB40" s="386">
        <f>HN!AD5</f>
        <v>2714.2509999999997</v>
      </c>
      <c r="AC40" s="1566">
        <f>HN!AE5</f>
        <v>516.98400000000004</v>
      </c>
      <c r="AD40" s="1566">
        <f>HN!AF5</f>
        <v>945.80200000000002</v>
      </c>
      <c r="AE40" s="1566">
        <f>HN!AG5</f>
        <v>568.93200000000002</v>
      </c>
      <c r="AF40" s="1566">
        <f>HN!AH5</f>
        <v>1339.546</v>
      </c>
      <c r="AG40" s="1566">
        <f>HN!AI5</f>
        <v>1610.701</v>
      </c>
      <c r="AH40" s="1566">
        <f>HN!AJ5</f>
        <v>4082.1039999999998</v>
      </c>
      <c r="AI40" s="1566">
        <f>HN!AK5</f>
        <v>2996.8719999999998</v>
      </c>
      <c r="AJ40" s="1566">
        <f>HN!AL5</f>
        <v>3828.9560000000001</v>
      </c>
      <c r="AK40" s="1566">
        <f>HN!AM5</f>
        <v>5641.8149999999996</v>
      </c>
      <c r="AL40" s="1566">
        <f>HN!AN5</f>
        <v>5902.7430000000004</v>
      </c>
      <c r="AM40" s="1566">
        <f>HN!AO5</f>
        <v>6960.9740000000002</v>
      </c>
      <c r="AN40" s="1566">
        <f>HN!AP5</f>
        <v>14155.986000000001</v>
      </c>
      <c r="AO40" s="1566">
        <v>9821.2939999999999</v>
      </c>
      <c r="AP40" s="1566">
        <v>7228.6790000000001</v>
      </c>
      <c r="AQ40" s="1566">
        <v>8453.3410000000003</v>
      </c>
      <c r="AR40" s="1932">
        <v>12617.351000000001</v>
      </c>
      <c r="AS40" s="1932">
        <v>6747.9769999999999</v>
      </c>
      <c r="AT40" s="1932">
        <v>16918.546999999999</v>
      </c>
      <c r="AU40" s="1932">
        <v>11923.806</v>
      </c>
      <c r="AV40" s="1932">
        <v>21127.813999999998</v>
      </c>
      <c r="AW40" s="1932">
        <v>24056.915000000001</v>
      </c>
      <c r="AX40" s="1932">
        <v>6775.7619999999997</v>
      </c>
      <c r="AY40" s="1932">
        <v>6973.8779999999997</v>
      </c>
      <c r="AZ40" s="1932">
        <f>HN!BE5</f>
        <v>16416.163</v>
      </c>
      <c r="BA40" s="2279">
        <f>HN!BF5</f>
        <v>12573.556000000011</v>
      </c>
      <c r="BB40" s="2279">
        <f>HN!BG5</f>
        <v>15243.324000000001</v>
      </c>
      <c r="BC40" s="2279">
        <f>HN!BH5</f>
        <v>25036.574900000065</v>
      </c>
      <c r="BD40" s="2279">
        <f>HN!BI5</f>
        <v>16282.324900000011</v>
      </c>
      <c r="BE40" s="2279">
        <f>HN!BJ5</f>
        <v>18211.759800000029</v>
      </c>
      <c r="BF40" s="2279">
        <f>HN!BK5</f>
        <v>29046.328700000071</v>
      </c>
      <c r="BG40" s="2279">
        <f>HN!BL5</f>
        <v>22151.736600000018</v>
      </c>
      <c r="BH40" s="2279">
        <f>HN!BM5</f>
        <v>24700.202600000055</v>
      </c>
      <c r="BI40" s="2279">
        <f>HN!BN5</f>
        <v>51760.349470000212</v>
      </c>
      <c r="BJ40" s="2279">
        <f>HN!BO5</f>
        <v>13431.969839999998</v>
      </c>
      <c r="BK40" s="2279">
        <f>HN!BP5</f>
        <v>20257.131399999998</v>
      </c>
      <c r="BL40" s="2279">
        <f>HN!BQ5</f>
        <v>30613.276999999998</v>
      </c>
      <c r="BM40" s="2279">
        <f>HN!BR5</f>
        <v>26920.5383</v>
      </c>
      <c r="BN40" s="2279">
        <f>HN!BS5</f>
        <v>22956.977000000003</v>
      </c>
      <c r="BO40" s="2279">
        <f>HN!BT5</f>
        <v>28200.368999999999</v>
      </c>
      <c r="BP40" s="2279">
        <f>HN!BU5</f>
        <v>22465.0519000001</v>
      </c>
      <c r="BQ40" s="2279">
        <f>HN!BV5</f>
        <v>0</v>
      </c>
      <c r="BR40" s="2279">
        <f>HN!BW5</f>
        <v>0</v>
      </c>
      <c r="BS40" s="2279">
        <f>HN!BX5</f>
        <v>0</v>
      </c>
      <c r="BT40" s="2279">
        <f>HN!BY5</f>
        <v>0</v>
      </c>
      <c r="BU40" s="2279">
        <f>HN!BZ5</f>
        <v>0</v>
      </c>
      <c r="BV40" s="1952">
        <f>Plan!$BO$49</f>
        <v>30929.501749738334</v>
      </c>
      <c r="BW40" s="405"/>
    </row>
    <row r="41" spans="2:75" s="1016" customFormat="1" ht="15" customHeight="1">
      <c r="B41" s="1036"/>
      <c r="C41" s="1075" t="s">
        <v>181</v>
      </c>
      <c r="D41" s="1911">
        <f>Plan!C51</f>
        <v>6918.5275745881127</v>
      </c>
      <c r="E41" s="1926"/>
      <c r="F41" s="1913">
        <f>INDEX($BJ$41:$BU$41,1,MATCH($C$2,BJ39:BU39,0))</f>
        <v>5453</v>
      </c>
      <c r="G41" s="1076"/>
      <c r="H41" s="1110"/>
      <c r="I41" s="1076"/>
      <c r="J41" s="1076"/>
      <c r="K41" s="1076"/>
      <c r="L41" s="1076"/>
      <c r="M41" s="1076"/>
      <c r="N41" s="1076"/>
      <c r="O41" s="1076"/>
      <c r="P41" s="1076"/>
      <c r="Q41" s="1076"/>
      <c r="R41" s="1076"/>
      <c r="S41" s="986">
        <f>HN!U8</f>
        <v>26</v>
      </c>
      <c r="T41" s="986">
        <f>HN!V8</f>
        <v>93</v>
      </c>
      <c r="U41" s="982">
        <f>HN!W8</f>
        <v>150</v>
      </c>
      <c r="V41" s="1078">
        <f>HN!X8</f>
        <v>202</v>
      </c>
      <c r="W41" s="982">
        <f>HN!Y8</f>
        <v>231</v>
      </c>
      <c r="X41" s="1078">
        <f>HN!Z8</f>
        <v>259</v>
      </c>
      <c r="Y41" s="1078">
        <f>HN!AA8</f>
        <v>305</v>
      </c>
      <c r="Z41" s="1078">
        <f>HN!AB8</f>
        <v>343</v>
      </c>
      <c r="AA41" s="1078">
        <f>HN!AC8</f>
        <v>382</v>
      </c>
      <c r="AB41" s="1078">
        <f>HN!AD8</f>
        <v>484</v>
      </c>
      <c r="AC41" s="1566">
        <f>HN!AE8</f>
        <v>471</v>
      </c>
      <c r="AD41" s="1566">
        <f>HN!AF8</f>
        <v>431</v>
      </c>
      <c r="AE41" s="1566">
        <f>HN!AG8</f>
        <v>388</v>
      </c>
      <c r="AF41" s="1566">
        <f>HN!AH8</f>
        <v>447</v>
      </c>
      <c r="AG41" s="1566">
        <f>HN!AI8</f>
        <v>489</v>
      </c>
      <c r="AH41" s="1566">
        <f>HN!AJ8</f>
        <v>519</v>
      </c>
      <c r="AI41" s="1566">
        <f>HN!AK8</f>
        <v>518</v>
      </c>
      <c r="AJ41" s="1566">
        <f>HN!AL8</f>
        <v>589</v>
      </c>
      <c r="AK41" s="1566">
        <f>HN!AM8</f>
        <v>652</v>
      </c>
      <c r="AL41" s="1566">
        <f>HN!AN8</f>
        <v>735</v>
      </c>
      <c r="AM41" s="1566">
        <f>HN!AO8</f>
        <v>860</v>
      </c>
      <c r="AN41" s="1566">
        <f>HN!AP8</f>
        <v>979</v>
      </c>
      <c r="AO41" s="1566">
        <v>1503</v>
      </c>
      <c r="AP41" s="1566">
        <v>1459</v>
      </c>
      <c r="AQ41" s="1566">
        <v>1485</v>
      </c>
      <c r="AR41" s="1932">
        <v>1485</v>
      </c>
      <c r="AS41" s="1932">
        <v>1572</v>
      </c>
      <c r="AT41" s="1932">
        <v>1732</v>
      </c>
      <c r="AU41" s="1932">
        <v>1852</v>
      </c>
      <c r="AV41" s="1932">
        <v>2108</v>
      </c>
      <c r="AW41" s="1932">
        <v>2192</v>
      </c>
      <c r="AX41" s="1932">
        <v>2219</v>
      </c>
      <c r="AY41" s="1932">
        <v>2130</v>
      </c>
      <c r="AZ41" s="1932">
        <f>HN!BE8</f>
        <v>2259</v>
      </c>
      <c r="BA41" s="2279">
        <f>HN!BF8</f>
        <v>2385</v>
      </c>
      <c r="BB41" s="2279">
        <f>HN!BG8</f>
        <v>2733</v>
      </c>
      <c r="BC41" s="2279">
        <f>HN!BH8</f>
        <v>3526</v>
      </c>
      <c r="BD41" s="2279">
        <f>HN!BI8</f>
        <v>3957</v>
      </c>
      <c r="BE41" s="2279">
        <f>HN!BJ8</f>
        <v>4470</v>
      </c>
      <c r="BF41" s="2279">
        <f>HN!BK8</f>
        <v>5082</v>
      </c>
      <c r="BG41" s="2279">
        <f>HN!BL8</f>
        <v>5596</v>
      </c>
      <c r="BH41" s="2279">
        <f>HN!BM8</f>
        <v>6020</v>
      </c>
      <c r="BI41" s="2279">
        <f>HN!BN8</f>
        <v>6701</v>
      </c>
      <c r="BJ41" s="2279">
        <f>HN!BO8</f>
        <v>6810</v>
      </c>
      <c r="BK41" s="2279">
        <f>HN!BP8</f>
        <v>5112</v>
      </c>
      <c r="BL41" s="2279">
        <f>HN!BQ8</f>
        <v>5243</v>
      </c>
      <c r="BM41" s="2279">
        <f>HN!BR8</f>
        <v>4730</v>
      </c>
      <c r="BN41" s="2279">
        <f>HN!BS8</f>
        <v>4944</v>
      </c>
      <c r="BO41" s="2279">
        <f>HN!BT8</f>
        <v>5524</v>
      </c>
      <c r="BP41" s="2279">
        <f>HN!BU8</f>
        <v>5453</v>
      </c>
      <c r="BQ41" s="2279">
        <f>HN!BV8</f>
        <v>0</v>
      </c>
      <c r="BR41" s="2279">
        <f>HN!BW8</f>
        <v>0</v>
      </c>
      <c r="BS41" s="2279">
        <f>HN!BX8</f>
        <v>0</v>
      </c>
      <c r="BT41" s="2279">
        <f>HN!BY8</f>
        <v>0</v>
      </c>
      <c r="BU41" s="2279">
        <f>HN!BZ8</f>
        <v>0</v>
      </c>
      <c r="BV41" s="1933">
        <f>Plan!$BO$51</f>
        <v>6918.5275745881127</v>
      </c>
      <c r="BW41" s="406"/>
    </row>
    <row r="42" spans="2:75" s="1016" customFormat="1" ht="15" customHeight="1">
      <c r="B42" s="1036"/>
      <c r="C42" s="1075" t="s">
        <v>180</v>
      </c>
      <c r="D42" s="1914">
        <f>Plan!C54</f>
        <v>0.28000000000000003</v>
      </c>
      <c r="E42" s="1928"/>
      <c r="F42" s="1916">
        <f>HN!C12</f>
        <v>0.18863163371488034</v>
      </c>
      <c r="G42" s="1076"/>
      <c r="H42" s="1110"/>
      <c r="I42" s="1076"/>
      <c r="J42" s="1076"/>
      <c r="K42" s="1076"/>
      <c r="L42" s="1076"/>
      <c r="M42" s="1076"/>
      <c r="N42" s="1076"/>
      <c r="O42" s="1076"/>
      <c r="P42" s="1076"/>
      <c r="Q42" s="1076"/>
      <c r="R42" s="1076"/>
      <c r="S42" s="256">
        <f>HN!U12</f>
        <v>1.2307692307692308</v>
      </c>
      <c r="T42" s="256">
        <f>HN!V12</f>
        <v>0.53781512605042014</v>
      </c>
      <c r="U42" s="360">
        <f>HN!W12</f>
        <v>0.41152263374485598</v>
      </c>
      <c r="V42" s="360">
        <f>HN!X12</f>
        <v>0.30113636363636365</v>
      </c>
      <c r="W42" s="360">
        <f>HN!Y12</f>
        <v>0.14780600461893764</v>
      </c>
      <c r="X42" s="525">
        <f>HN!Z12</f>
        <v>0.18775510204081633</v>
      </c>
      <c r="Y42" s="525">
        <f>HN!AA12</f>
        <v>0.27304964539007093</v>
      </c>
      <c r="Z42" s="525">
        <f>HN!AB12</f>
        <v>0.20370370370370369</v>
      </c>
      <c r="AA42" s="525">
        <f>HN!AC12</f>
        <v>0.18206896551724139</v>
      </c>
      <c r="AB42" s="525">
        <f>HN!AD12</f>
        <v>0.24711316397228639</v>
      </c>
      <c r="AC42" s="525">
        <f>HN!AE12</f>
        <v>6.2827225130890049E-2</v>
      </c>
      <c r="AD42" s="525">
        <f>HN!AF12</f>
        <v>0.14412416851441243</v>
      </c>
      <c r="AE42" s="525">
        <f>HN!AG12</f>
        <v>9.768009768009768E-2</v>
      </c>
      <c r="AF42" s="525">
        <f>HN!AH12</f>
        <v>0.13892215568862276</v>
      </c>
      <c r="AG42" s="525">
        <f>HN!AI12</f>
        <v>0.19017094017094016</v>
      </c>
      <c r="AH42" s="525">
        <f>HN!AJ12</f>
        <v>0.31150793650793651</v>
      </c>
      <c r="AI42" s="525">
        <f>HN!AK12</f>
        <v>0.27386692381870781</v>
      </c>
      <c r="AJ42" s="525">
        <f>HN!AL12</f>
        <v>0.31255645889792233</v>
      </c>
      <c r="AK42" s="525">
        <f>HN!AM12</f>
        <v>0.37550362610797744</v>
      </c>
      <c r="AL42" s="525">
        <f>HN!AN12</f>
        <v>0.34607065609228549</v>
      </c>
      <c r="AM42" s="525">
        <f>HN!AO12</f>
        <v>0.35360501567398117</v>
      </c>
      <c r="AN42" s="525">
        <f>HN!AP12</f>
        <v>0.40891789015769442</v>
      </c>
      <c r="AO42" s="525">
        <v>0.2427664079040226</v>
      </c>
      <c r="AP42" s="525">
        <v>0.28021607022282241</v>
      </c>
      <c r="AQ42" s="525">
        <v>0.3077445652173913</v>
      </c>
      <c r="AR42" s="1934">
        <v>0.33804713804713804</v>
      </c>
      <c r="AS42" s="1934">
        <v>0.26889106967615312</v>
      </c>
      <c r="AT42" s="1934">
        <v>0.46293494704992438</v>
      </c>
      <c r="AU42" s="1934">
        <v>0.3549107142857143</v>
      </c>
      <c r="AV42" s="1934">
        <v>0.38131313131313133</v>
      </c>
      <c r="AW42" s="1934">
        <v>0.3758139534883721</v>
      </c>
      <c r="AX42" s="1934">
        <v>0.17864429834504647</v>
      </c>
      <c r="AY42" s="1934">
        <v>0.17772675086107922</v>
      </c>
      <c r="AZ42" s="1934">
        <f>HN!BE12</f>
        <v>0.29847345636819322</v>
      </c>
      <c r="BA42" s="2283">
        <f>HN!BF12</f>
        <v>0.23815676141257536</v>
      </c>
      <c r="BB42" s="2283">
        <f>HN!BG12</f>
        <v>0.2598671355998437</v>
      </c>
      <c r="BC42" s="2283">
        <f>HN!BH12</f>
        <v>0.3403099536667199</v>
      </c>
      <c r="BD42" s="2283">
        <f>HN!BI12</f>
        <v>0.22210343445142322</v>
      </c>
      <c r="BE42" s="2283">
        <f>HN!BJ12</f>
        <v>0.22688975910763023</v>
      </c>
      <c r="BF42" s="2283">
        <f>HN!BK12</f>
        <v>0.25188442211055279</v>
      </c>
      <c r="BG42" s="2283">
        <f>HN!BL12</f>
        <v>0.18542798276830869</v>
      </c>
      <c r="BH42" s="2283">
        <f>HN!BM12</f>
        <v>0.16615013774104684</v>
      </c>
      <c r="BI42" s="2283">
        <f>HN!BN12</f>
        <v>0.26696014464271678</v>
      </c>
      <c r="BJ42" s="2283">
        <f>HN!BO12</f>
        <v>9.7846199393087113E-2</v>
      </c>
      <c r="BK42" s="2283">
        <f>HN!BP12</f>
        <v>0.15433652071800033</v>
      </c>
      <c r="BL42" s="2283">
        <f>HN!BQ12</f>
        <v>0.24065668759053596</v>
      </c>
      <c r="BM42" s="2283">
        <f>HN!BR12</f>
        <v>0.22019452521808883</v>
      </c>
      <c r="BN42" s="2283">
        <f>HN!BS12</f>
        <v>0.17862311350010338</v>
      </c>
      <c r="BO42" s="2283">
        <f>HN!BT12</f>
        <v>0.23423767672907911</v>
      </c>
      <c r="BP42" s="2283">
        <f>HN!BU12</f>
        <v>0.16233943700464606</v>
      </c>
      <c r="BQ42" s="2283">
        <f>HN!BV12</f>
        <v>0</v>
      </c>
      <c r="BR42" s="2283" t="str">
        <f>HN!BW12</f>
        <v>-</v>
      </c>
      <c r="BS42" s="2283" t="str">
        <f>HN!BX12</f>
        <v>-</v>
      </c>
      <c r="BT42" s="2283" t="str">
        <f>HN!BY12</f>
        <v>-</v>
      </c>
      <c r="BU42" s="2283" t="str">
        <f>HN!BZ12</f>
        <v>-</v>
      </c>
      <c r="BV42" s="1953">
        <f>Plan!$BO$54</f>
        <v>0.22786674205760518</v>
      </c>
      <c r="BW42" s="407"/>
    </row>
    <row r="43" spans="2:75" s="1016" customFormat="1" ht="15" customHeight="1">
      <c r="B43" s="1036"/>
      <c r="C43" s="1075" t="s">
        <v>125</v>
      </c>
      <c r="D43" s="1911">
        <f>Plan!C55</f>
        <v>8161.0155790168192</v>
      </c>
      <c r="E43" s="1926"/>
      <c r="F43" s="1913">
        <f>HN!C13</f>
        <v>7251</v>
      </c>
      <c r="G43" s="1076"/>
      <c r="H43" s="1110"/>
      <c r="I43" s="1076"/>
      <c r="J43" s="1076"/>
      <c r="K43" s="1076"/>
      <c r="L43" s="1076"/>
      <c r="M43" s="1076"/>
      <c r="N43" s="1076"/>
      <c r="O43" s="1076"/>
      <c r="P43" s="1076"/>
      <c r="Q43" s="1076"/>
      <c r="R43" s="1076"/>
      <c r="S43" s="986">
        <f>HN!U13</f>
        <v>16</v>
      </c>
      <c r="T43" s="986">
        <f>HN!V13</f>
        <v>32</v>
      </c>
      <c r="U43" s="982">
        <f>HN!W13</f>
        <v>50</v>
      </c>
      <c r="V43" s="982">
        <f>HN!X13</f>
        <v>53</v>
      </c>
      <c r="W43" s="982">
        <f>HN!Y13</f>
        <v>32</v>
      </c>
      <c r="X43" s="1078">
        <f>HN!Z13</f>
        <v>46</v>
      </c>
      <c r="Y43" s="1078">
        <f>HN!AA13</f>
        <v>77</v>
      </c>
      <c r="Z43" s="1078">
        <f>HN!AB13</f>
        <v>66</v>
      </c>
      <c r="AA43" s="1078">
        <f>HN!AC13</f>
        <v>66</v>
      </c>
      <c r="AB43" s="1078">
        <f>HN!AD13</f>
        <v>107</v>
      </c>
      <c r="AC43" s="1078">
        <f>HN!AE13</f>
        <v>30</v>
      </c>
      <c r="AD43" s="1078">
        <f>HN!AF13</f>
        <v>65</v>
      </c>
      <c r="AE43" s="1078">
        <f>HN!AG13</f>
        <v>40</v>
      </c>
      <c r="AF43" s="1078">
        <f>HN!AH13</f>
        <v>58</v>
      </c>
      <c r="AG43" s="1078">
        <f>HN!AI13</f>
        <v>89</v>
      </c>
      <c r="AH43" s="1078">
        <f>HN!AJ13</f>
        <v>157</v>
      </c>
      <c r="AI43" s="1078">
        <f>HN!AK13</f>
        <v>142</v>
      </c>
      <c r="AJ43" s="1078">
        <f>HN!AL13</f>
        <v>173</v>
      </c>
      <c r="AK43" s="1078">
        <f>HN!AM13</f>
        <v>233</v>
      </c>
      <c r="AL43" s="1078">
        <f>HN!AN13</f>
        <v>240</v>
      </c>
      <c r="AM43" s="1078">
        <f>HN!AO13</f>
        <v>282</v>
      </c>
      <c r="AN43" s="1078">
        <f>HN!AP13</f>
        <v>376</v>
      </c>
      <c r="AO43" s="1078">
        <v>344</v>
      </c>
      <c r="AP43" s="1078">
        <v>415</v>
      </c>
      <c r="AQ43" s="1078">
        <v>453</v>
      </c>
      <c r="AR43" s="1935">
        <v>502</v>
      </c>
      <c r="AS43" s="1935">
        <v>411</v>
      </c>
      <c r="AT43" s="1935">
        <v>765</v>
      </c>
      <c r="AU43" s="1935">
        <v>636</v>
      </c>
      <c r="AV43" s="1935">
        <v>755</v>
      </c>
      <c r="AW43" s="1935">
        <v>808</v>
      </c>
      <c r="AX43" s="1935">
        <v>394</v>
      </c>
      <c r="AY43" s="1935">
        <v>387</v>
      </c>
      <c r="AZ43" s="1935">
        <f>HN!BE13</f>
        <v>655</v>
      </c>
      <c r="BA43" s="2281">
        <f>HN!BF13</f>
        <v>553</v>
      </c>
      <c r="BB43" s="2281">
        <f>HN!BG13</f>
        <v>665</v>
      </c>
      <c r="BC43" s="2281">
        <f>HN!BH13</f>
        <v>1065</v>
      </c>
      <c r="BD43" s="2281">
        <f>HN!BI13</f>
        <v>831</v>
      </c>
      <c r="BE43" s="2281">
        <f>HN!BJ13</f>
        <v>956</v>
      </c>
      <c r="BF43" s="2281">
        <f>HN!BK13</f>
        <v>1203</v>
      </c>
      <c r="BG43" s="2281">
        <f>HN!BL13</f>
        <v>990</v>
      </c>
      <c r="BH43" s="2281">
        <f>HN!BM13</f>
        <v>965</v>
      </c>
      <c r="BI43" s="2284">
        <f>HN!BN13</f>
        <v>1698</v>
      </c>
      <c r="BJ43" s="2284">
        <f>HN!BO13</f>
        <v>661</v>
      </c>
      <c r="BK43" s="2284">
        <f>HN!BP13</f>
        <v>987</v>
      </c>
      <c r="BL43" s="2284">
        <f>HN!BQ13</f>
        <v>1291</v>
      </c>
      <c r="BM43" s="2284">
        <f>HN!BR13</f>
        <v>1213</v>
      </c>
      <c r="BN43" s="2284">
        <f>HN!BS13</f>
        <v>908</v>
      </c>
      <c r="BO43" s="2284">
        <f>HN!BT13</f>
        <v>1268</v>
      </c>
      <c r="BP43" s="2284">
        <f>HN!BU13</f>
        <v>923</v>
      </c>
      <c r="BQ43" s="2284">
        <f>HN!BV13</f>
        <v>0</v>
      </c>
      <c r="BR43" s="2284">
        <f>HN!BW13</f>
        <v>0</v>
      </c>
      <c r="BS43" s="2284">
        <f>HN!BX13</f>
        <v>0</v>
      </c>
      <c r="BT43" s="2284">
        <f>HN!BY13</f>
        <v>0</v>
      </c>
      <c r="BU43" s="2284">
        <f>HN!BZ13</f>
        <v>0</v>
      </c>
      <c r="BV43" s="1954">
        <f>Plan!$BO$55</f>
        <v>1553.8219115041015</v>
      </c>
      <c r="BW43" s="1079"/>
    </row>
    <row r="44" spans="2:75" s="1016" customFormat="1" ht="15" customHeight="1">
      <c r="B44" s="1036"/>
      <c r="C44" s="1075" t="s">
        <v>245</v>
      </c>
      <c r="D44" s="1919">
        <f>Plan!C56</f>
        <v>1.352859822919479</v>
      </c>
      <c r="E44" s="1929"/>
      <c r="F44" s="1920">
        <f>HN!C14</f>
        <v>1.4782788580885395</v>
      </c>
      <c r="G44" s="1076"/>
      <c r="H44" s="1110"/>
      <c r="I44" s="1076"/>
      <c r="J44" s="1076"/>
      <c r="K44" s="1076"/>
      <c r="L44" s="1076"/>
      <c r="M44" s="1076"/>
      <c r="N44" s="1076"/>
      <c r="O44" s="1076"/>
      <c r="P44" s="1076"/>
      <c r="Q44" s="1076"/>
      <c r="R44" s="1076"/>
      <c r="S44" s="257">
        <f>HN!U14</f>
        <v>1.1875</v>
      </c>
      <c r="T44" s="257">
        <f>HN!V14</f>
        <v>1.40625</v>
      </c>
      <c r="U44" s="358">
        <f>HN!W14</f>
        <v>1.3</v>
      </c>
      <c r="V44" s="358">
        <f>HN!X14</f>
        <v>1.3773584905660377</v>
      </c>
      <c r="W44" s="358">
        <f>HN!Y14</f>
        <v>1.28125</v>
      </c>
      <c r="X44" s="524">
        <f>HN!Z14</f>
        <v>1.3043478260869565</v>
      </c>
      <c r="Y44" s="524">
        <f>HN!AA14</f>
        <v>1.4415584415584415</v>
      </c>
      <c r="Z44" s="524">
        <f>HN!AB14</f>
        <v>1.1212121212121211</v>
      </c>
      <c r="AA44" s="524">
        <f>HN!AC14</f>
        <v>1.4545454545454546</v>
      </c>
      <c r="AB44" s="524">
        <f>HN!AD14</f>
        <v>1.6635514018691588</v>
      </c>
      <c r="AC44" s="524">
        <f>HN!AE14</f>
        <v>1.2</v>
      </c>
      <c r="AD44" s="524">
        <f>HN!AF14</f>
        <v>1.2153846153846153</v>
      </c>
      <c r="AE44" s="524">
        <f>HN!AG14</f>
        <v>1.1000000000000001</v>
      </c>
      <c r="AF44" s="524">
        <f>HN!AH14</f>
        <v>1.4827586206896552</v>
      </c>
      <c r="AG44" s="524">
        <f>HN!AI14</f>
        <v>1.247191011235955</v>
      </c>
      <c r="AH44" s="524">
        <f>HN!AJ14</f>
        <v>1.6560509554140128</v>
      </c>
      <c r="AI44" s="524">
        <f>HN!AK14</f>
        <v>1.295774647887324</v>
      </c>
      <c r="AJ44" s="524">
        <f>HN!AL14</f>
        <v>1.4971098265895955</v>
      </c>
      <c r="AK44" s="524">
        <f>HN!AM14</f>
        <v>1.502145922746781</v>
      </c>
      <c r="AL44" s="524">
        <f>HN!AN14</f>
        <v>1.5</v>
      </c>
      <c r="AM44" s="524">
        <f>HN!AO14</f>
        <v>1.5319148936170213</v>
      </c>
      <c r="AN44" s="524">
        <f>HN!AP14</f>
        <v>2.0851063829787235</v>
      </c>
      <c r="AO44" s="524">
        <v>1.430232558139535</v>
      </c>
      <c r="AP44" s="524">
        <v>1.2506024096385542</v>
      </c>
      <c r="AQ44" s="524">
        <v>1.2759381898454747</v>
      </c>
      <c r="AR44" s="1937">
        <v>1.454183266932271</v>
      </c>
      <c r="AS44" s="1937">
        <v>1.1751824817518248</v>
      </c>
      <c r="AT44" s="1937">
        <v>1.4457516339869281</v>
      </c>
      <c r="AU44" s="1937">
        <v>1.2845911949685536</v>
      </c>
      <c r="AV44" s="1937">
        <v>1.9006622516556291</v>
      </c>
      <c r="AW44" s="1937">
        <v>1.7685643564356435</v>
      </c>
      <c r="AX44" s="1937">
        <v>1.1878172588832487</v>
      </c>
      <c r="AY44" s="1937">
        <v>1.248062015503876</v>
      </c>
      <c r="AZ44" s="1937">
        <f>HN!BE14</f>
        <v>1.6473282442748092</v>
      </c>
      <c r="BA44" s="2282">
        <f>HN!BF14</f>
        <v>1.2585895117540686</v>
      </c>
      <c r="BB44" s="2282">
        <f>HN!BG14</f>
        <v>1.4390977443609023</v>
      </c>
      <c r="BC44" s="2282">
        <f>HN!BH14</f>
        <v>1.6525821596244132</v>
      </c>
      <c r="BD44" s="2282">
        <f>HN!BI14</f>
        <v>1.3068592057761732</v>
      </c>
      <c r="BE44" s="2282">
        <f>HN!BJ14</f>
        <v>1.3817991631799162</v>
      </c>
      <c r="BF44" s="2282">
        <f>HN!BK14</f>
        <v>1.6891105569409808</v>
      </c>
      <c r="BG44" s="2282">
        <f>HN!BL14</f>
        <v>1.4686868686868686</v>
      </c>
      <c r="BH44" s="2282">
        <f>HN!BM14</f>
        <v>1.6953367875647669</v>
      </c>
      <c r="BI44" s="2282">
        <f>HN!BN14</f>
        <v>1.8898704358068317</v>
      </c>
      <c r="BJ44" s="2282">
        <f>HN!BO14</f>
        <v>1.3797276853252647</v>
      </c>
      <c r="BK44" s="2282">
        <f>HN!BP14</f>
        <v>1.3414387031408308</v>
      </c>
      <c r="BL44" s="2282">
        <f>HN!BQ14</f>
        <v>1.5731990704879939</v>
      </c>
      <c r="BM44" s="2282">
        <f>HN!BR14</f>
        <v>1.4146743610882111</v>
      </c>
      <c r="BN44" s="2282">
        <f>HN!BS14</f>
        <v>1.5814977973568283</v>
      </c>
      <c r="BO44" s="2282">
        <f>HN!BT14</f>
        <v>1.4605678233438486</v>
      </c>
      <c r="BP44" s="2282">
        <f>HN!BU14</f>
        <v>1.5687973997833153</v>
      </c>
      <c r="BQ44" s="2282" t="str">
        <f>HN!BV14</f>
        <v>-</v>
      </c>
      <c r="BR44" s="2282" t="str">
        <f>HN!BW14</f>
        <v>-</v>
      </c>
      <c r="BS44" s="2282" t="str">
        <f>HN!BX14</f>
        <v>-</v>
      </c>
      <c r="BT44" s="2282" t="str">
        <f>HN!BY14</f>
        <v>-</v>
      </c>
      <c r="BU44" s="2282" t="str">
        <f>HN!BZ14</f>
        <v>-</v>
      </c>
      <c r="BV44" s="1955">
        <f>Plan!$BO$56</f>
        <v>1.3590318266867429</v>
      </c>
      <c r="BW44" s="1079"/>
    </row>
    <row r="45" spans="2:75" s="1016" customFormat="1" ht="15" customHeight="1">
      <c r="B45" s="1036"/>
      <c r="C45" s="1075" t="s">
        <v>137</v>
      </c>
      <c r="D45" s="1919">
        <f>Plan!C58</f>
        <v>14.885188973127001</v>
      </c>
      <c r="E45" s="1927"/>
      <c r="F45" s="1920">
        <f>HN!C16</f>
        <v>15.378796010821915</v>
      </c>
      <c r="G45" s="1076"/>
      <c r="H45" s="1110"/>
      <c r="I45" s="1076"/>
      <c r="J45" s="1076"/>
      <c r="K45" s="1076"/>
      <c r="L45" s="1076"/>
      <c r="M45" s="1076"/>
      <c r="N45" s="1076"/>
      <c r="O45" s="1076"/>
      <c r="P45" s="1076"/>
      <c r="Q45" s="1076"/>
      <c r="R45" s="1076"/>
      <c r="S45" s="257">
        <f>HN!U16</f>
        <v>14.679736842105262</v>
      </c>
      <c r="T45" s="257">
        <f>HN!V16</f>
        <v>14.001977777777777</v>
      </c>
      <c r="U45" s="358">
        <f>HN!W16</f>
        <v>13.116076923076925</v>
      </c>
      <c r="V45" s="358">
        <f>HN!X16</f>
        <v>10.436835616438358</v>
      </c>
      <c r="W45" s="358">
        <f>HN!Y16</f>
        <v>15.230414634146339</v>
      </c>
      <c r="X45" s="524">
        <f>HN!Z16</f>
        <v>13.353233333333332</v>
      </c>
      <c r="Y45" s="524">
        <f>HN!AA16</f>
        <v>18.867468468468466</v>
      </c>
      <c r="Z45" s="524">
        <f>HN!AB16</f>
        <v>14.236756756756757</v>
      </c>
      <c r="AA45" s="524">
        <f>HN!AC16</f>
        <v>17.058812500000002</v>
      </c>
      <c r="AB45" s="524">
        <f>HN!AD16</f>
        <v>15.248601123595504</v>
      </c>
      <c r="AC45" s="524">
        <f>HN!AE16</f>
        <v>14.360666666666667</v>
      </c>
      <c r="AD45" s="524">
        <f>HN!AF16</f>
        <v>11.972177215189873</v>
      </c>
      <c r="AE45" s="524">
        <f>HN!AG16</f>
        <v>12.930272727272728</v>
      </c>
      <c r="AF45" s="524">
        <f>HN!AH16</f>
        <v>15.576116279069767</v>
      </c>
      <c r="AG45" s="524">
        <f>HN!AI16</f>
        <v>14.510819819819821</v>
      </c>
      <c r="AH45" s="524">
        <f>HN!AJ16</f>
        <v>15.7004</v>
      </c>
      <c r="AI45" s="524">
        <f>HN!AK16</f>
        <v>16.287347826086954</v>
      </c>
      <c r="AJ45" s="524">
        <f>HN!AL16</f>
        <v>14.783613899613901</v>
      </c>
      <c r="AK45" s="524">
        <f>HN!AM16</f>
        <v>16.119471428571426</v>
      </c>
      <c r="AL45" s="524">
        <f>HN!AN16</f>
        <v>16.396508333333333</v>
      </c>
      <c r="AM45" s="524">
        <f>HN!AO16</f>
        <v>16.11336574074074</v>
      </c>
      <c r="AN45" s="524">
        <f>HN!AP16</f>
        <v>18.056104591836736</v>
      </c>
      <c r="AO45" s="524">
        <v>19.961979674796748</v>
      </c>
      <c r="AP45" s="524">
        <v>13.92809055876686</v>
      </c>
      <c r="AQ45" s="524">
        <v>14.625157439446367</v>
      </c>
      <c r="AR45" s="1937">
        <v>17.284042465753426</v>
      </c>
      <c r="AS45" s="1937">
        <v>13.970966873706004</v>
      </c>
      <c r="AT45" s="1937">
        <v>15.297058770343579</v>
      </c>
      <c r="AU45" s="1937">
        <v>14.594621787025705</v>
      </c>
      <c r="AV45" s="1937">
        <v>14.723215331010453</v>
      </c>
      <c r="AW45" s="1937">
        <v>16.834790062981106</v>
      </c>
      <c r="AX45" s="1937">
        <v>14.478123931623932</v>
      </c>
      <c r="AY45" s="1937">
        <v>14.438670807453416</v>
      </c>
      <c r="AZ45" s="1937">
        <f>HN!BE16</f>
        <v>15.214238183503245</v>
      </c>
      <c r="BA45" s="2282">
        <f>HN!BF16</f>
        <v>18.065454022988522</v>
      </c>
      <c r="BB45" s="2282">
        <f>HN!BG16</f>
        <v>15.928238244514107</v>
      </c>
      <c r="BC45" s="2282">
        <f>HN!BH16</f>
        <v>14.225326647727309</v>
      </c>
      <c r="BD45" s="2282">
        <f>HN!BI16</f>
        <v>14.992932688766125</v>
      </c>
      <c r="BE45" s="2282">
        <f>HN!BJ16</f>
        <v>13.786343527630605</v>
      </c>
      <c r="BF45" s="2282">
        <f>HN!BK16</f>
        <v>14.294453100393735</v>
      </c>
      <c r="BG45" s="2282">
        <f>HN!BL16</f>
        <v>15.235032049518582</v>
      </c>
      <c r="BH45" s="2282">
        <f>HN!BM16</f>
        <v>15.097923349633286</v>
      </c>
      <c r="BI45" s="2282">
        <f>HN!BN16</f>
        <v>16.129744303521413</v>
      </c>
      <c r="BJ45" s="2282">
        <f>HN!BO16</f>
        <v>14.728037105263155</v>
      </c>
      <c r="BK45" s="2282">
        <f>HN!BP16</f>
        <v>15.299948187311177</v>
      </c>
      <c r="BL45" s="2282">
        <f>HN!BQ16</f>
        <v>15.07300689315608</v>
      </c>
      <c r="BM45" s="2282">
        <f>HN!BR16</f>
        <v>15.687959382284383</v>
      </c>
      <c r="BN45" s="2282">
        <f>HN!BS16</f>
        <v>15.986752785515321</v>
      </c>
      <c r="BO45" s="2282">
        <f>HN!BT16</f>
        <v>15.226981101511878</v>
      </c>
      <c r="BP45" s="2282">
        <f>HN!BU16</f>
        <v>15.514538604972445</v>
      </c>
      <c r="BQ45" s="2282" t="str">
        <f>HN!BV16</f>
        <v>-</v>
      </c>
      <c r="BR45" s="2282" t="str">
        <f>HN!BW16</f>
        <v>-</v>
      </c>
      <c r="BS45" s="2282" t="str">
        <f>HN!BX16</f>
        <v>-</v>
      </c>
      <c r="BT45" s="2282" t="str">
        <f>HN!BY16</f>
        <v>-</v>
      </c>
      <c r="BU45" s="2282" t="str">
        <f>HN!BZ16</f>
        <v>-</v>
      </c>
      <c r="BV45" s="1955">
        <f>Plan!$BO$58</f>
        <v>14.436059960558691</v>
      </c>
      <c r="BW45" s="1079"/>
    </row>
    <row r="46" spans="2:75" s="1016" customFormat="1" ht="8.4499999999999993" customHeight="1">
      <c r="B46" s="1036"/>
      <c r="C46" s="1075"/>
      <c r="D46" s="1917"/>
      <c r="E46" s="1929"/>
      <c r="F46" s="1922"/>
      <c r="G46" s="1076"/>
      <c r="H46" s="1110"/>
      <c r="I46" s="1076"/>
      <c r="J46" s="1076"/>
      <c r="K46" s="1076"/>
      <c r="L46" s="1076"/>
      <c r="M46" s="1076"/>
      <c r="N46" s="1076"/>
      <c r="O46" s="1076"/>
      <c r="P46" s="1076"/>
      <c r="Q46" s="1076"/>
      <c r="R46" s="1076"/>
      <c r="S46" s="986"/>
      <c r="T46" s="986"/>
      <c r="U46" s="982"/>
      <c r="V46" s="982"/>
      <c r="W46" s="982"/>
      <c r="X46" s="1078"/>
      <c r="Y46" s="1078"/>
      <c r="Z46" s="1078"/>
      <c r="AA46" s="1078"/>
      <c r="AB46" s="1078"/>
      <c r="AC46" s="1078"/>
      <c r="AD46" s="1078"/>
      <c r="AE46" s="1078"/>
      <c r="AF46" s="1078"/>
      <c r="AG46" s="1078"/>
      <c r="AH46" s="1078"/>
      <c r="AI46" s="1078"/>
      <c r="AJ46" s="1078"/>
      <c r="AK46" s="1078"/>
      <c r="AL46" s="1078"/>
      <c r="AM46" s="1078"/>
      <c r="AN46" s="1078"/>
      <c r="AO46" s="1078"/>
      <c r="AP46" s="1078"/>
      <c r="AQ46" s="1078"/>
      <c r="AR46" s="1935"/>
      <c r="AS46" s="1935"/>
      <c r="AT46" s="1935"/>
      <c r="AU46" s="1935"/>
      <c r="AV46" s="1935"/>
      <c r="AW46" s="1935"/>
      <c r="AX46" s="1935"/>
      <c r="AY46" s="1935"/>
      <c r="AZ46" s="1935"/>
      <c r="BA46" s="2281"/>
      <c r="BB46" s="2281"/>
      <c r="BC46" s="2281"/>
      <c r="BD46" s="2281"/>
      <c r="BE46" s="2281"/>
      <c r="BF46" s="2281"/>
      <c r="BG46" s="2281"/>
      <c r="BH46" s="2281"/>
      <c r="BI46" s="2281"/>
      <c r="BJ46" s="2281"/>
      <c r="BK46" s="2281"/>
      <c r="BL46" s="2281"/>
      <c r="BM46" s="2281"/>
      <c r="BN46" s="2281"/>
      <c r="BO46" s="2281"/>
      <c r="BP46" s="2281"/>
      <c r="BQ46" s="2281"/>
      <c r="BR46" s="2281"/>
      <c r="BS46" s="2281"/>
      <c r="BT46" s="2281"/>
      <c r="BU46" s="2281"/>
      <c r="BV46" s="1936"/>
      <c r="BW46" s="1082"/>
    </row>
    <row r="47" spans="2:75" s="1016" customFormat="1" ht="15" customHeight="1">
      <c r="B47" s="1036"/>
      <c r="C47" s="1075" t="s">
        <v>171</v>
      </c>
      <c r="D47" s="1911">
        <f>Plan!C50</f>
        <v>164343.05610311401</v>
      </c>
      <c r="E47" s="1926"/>
      <c r="F47" s="1913">
        <f>HN!C6</f>
        <v>160931.27800000011</v>
      </c>
      <c r="G47" s="1076"/>
      <c r="H47" s="1110"/>
      <c r="I47" s="1076"/>
      <c r="J47" s="1076"/>
      <c r="K47" s="1076"/>
      <c r="L47" s="1076"/>
      <c r="M47" s="1076"/>
      <c r="N47" s="1076"/>
      <c r="O47" s="1076"/>
      <c r="P47" s="1076"/>
      <c r="Q47" s="1076"/>
      <c r="R47" s="1076"/>
      <c r="S47" s="255">
        <f>HN!U6</f>
        <v>278.91500000000002</v>
      </c>
      <c r="T47" s="255">
        <f>HN!V6</f>
        <v>585.83900000000006</v>
      </c>
      <c r="U47" s="359">
        <f>HN!W6</f>
        <v>793.54700000000003</v>
      </c>
      <c r="V47" s="359">
        <f>HN!X6</f>
        <v>727.76599999999996</v>
      </c>
      <c r="W47" s="359">
        <f>HN!Y6</f>
        <v>538.14700000000005</v>
      </c>
      <c r="X47" s="386">
        <f>HN!Z6</f>
        <v>739.94</v>
      </c>
      <c r="Y47" s="386">
        <f>HN!AA6</f>
        <v>1926.0889999999999</v>
      </c>
      <c r="Z47" s="386">
        <f>HN!AB6</f>
        <v>1005.551</v>
      </c>
      <c r="AA47" s="386">
        <f>HN!AC6</f>
        <v>1471.925</v>
      </c>
      <c r="AB47" s="386">
        <f>HN!AD6</f>
        <v>2625.864</v>
      </c>
      <c r="AC47" s="1566">
        <f>HN!AE6</f>
        <v>476.94200000000001</v>
      </c>
      <c r="AD47" s="1566">
        <f>HN!AF6</f>
        <v>910.78899999999999</v>
      </c>
      <c r="AE47" s="1566">
        <f>HN!AG6</f>
        <v>672.09</v>
      </c>
      <c r="AF47" s="1566">
        <f>HN!AH6</f>
        <v>1416.7670000000001</v>
      </c>
      <c r="AG47" s="1566">
        <f>HN!AI6</f>
        <v>1600.405</v>
      </c>
      <c r="AH47" s="1566">
        <f>HN!AJ6</f>
        <v>3966.788</v>
      </c>
      <c r="AI47" s="1566">
        <f>HN!AK6</f>
        <v>2728.212</v>
      </c>
      <c r="AJ47" s="1566">
        <f>HN!AL6</f>
        <v>3669.4270000000001</v>
      </c>
      <c r="AK47" s="1566">
        <f>HN!AM6</f>
        <v>5721.5209999999997</v>
      </c>
      <c r="AL47" s="1566">
        <f>HN!AN6</f>
        <v>5786.7690000000002</v>
      </c>
      <c r="AM47" s="1566">
        <f>HN!AO6</f>
        <v>6501.5190000000002</v>
      </c>
      <c r="AN47" s="1566">
        <f>HN!AP6</f>
        <v>14196.214</v>
      </c>
      <c r="AO47" s="1566">
        <v>9619.2289999999994</v>
      </c>
      <c r="AP47" s="1566">
        <v>7205.7780000000002</v>
      </c>
      <c r="AQ47" s="1566">
        <v>8224.2810000000009</v>
      </c>
      <c r="AR47" s="1932">
        <v>12295.299000000001</v>
      </c>
      <c r="AS47" s="1932">
        <v>6554.74</v>
      </c>
      <c r="AT47" s="1932">
        <v>16757.650000000001</v>
      </c>
      <c r="AU47" s="1932">
        <v>11684.695</v>
      </c>
      <c r="AV47" s="1932">
        <v>20894.795999999998</v>
      </c>
      <c r="AW47" s="1932">
        <v>23795.403999999999</v>
      </c>
      <c r="AX47" s="1932">
        <v>6882.9880000000003</v>
      </c>
      <c r="AY47" s="1932">
        <v>6802.7380000000003</v>
      </c>
      <c r="AZ47" s="1932">
        <f>HN!BE6</f>
        <v>16024.252</v>
      </c>
      <c r="BA47" s="2279">
        <f>HN!BF6</f>
        <v>12787.725</v>
      </c>
      <c r="BB47" s="2279">
        <f>HN!BG6</f>
        <v>14218.072</v>
      </c>
      <c r="BC47" s="2279">
        <f>HN!BH6</f>
        <v>24329.08</v>
      </c>
      <c r="BD47" s="2279">
        <f>HN!BI6</f>
        <v>15663.974000000011</v>
      </c>
      <c r="BE47" s="2279">
        <f>HN!BJ6</f>
        <v>17565.845000000008</v>
      </c>
      <c r="BF47" s="2279">
        <f>HN!BK6</f>
        <v>28869.911000000073</v>
      </c>
      <c r="BG47" s="2279">
        <f>HN!BL6</f>
        <v>21593.701000000019</v>
      </c>
      <c r="BH47" s="2279">
        <f>HN!BM6</f>
        <v>23151.401000000049</v>
      </c>
      <c r="BI47" s="2279">
        <f>HN!BN6</f>
        <v>49695.418000000216</v>
      </c>
      <c r="BJ47" s="2279">
        <f>HN!BO6</f>
        <v>13930.407000000003</v>
      </c>
      <c r="BK47" s="2279">
        <f>HN!BP6</f>
        <v>19706.295999999998</v>
      </c>
      <c r="BL47" s="2279">
        <f>HN!BQ6</f>
        <v>29635.23</v>
      </c>
      <c r="BM47" s="2279">
        <f>HN!BR6</f>
        <v>25471.794000000002</v>
      </c>
      <c r="BN47" s="2279">
        <f>HN!BS6</f>
        <v>22432.9</v>
      </c>
      <c r="BO47" s="2279">
        <f>HN!BT6</f>
        <v>27374.15</v>
      </c>
      <c r="BP47" s="2279">
        <f>HN!BU6</f>
        <v>22380.501000000098</v>
      </c>
      <c r="BQ47" s="2279">
        <f>HN!BV6</f>
        <v>0</v>
      </c>
      <c r="BR47" s="2279">
        <f>HN!BW6</f>
        <v>0</v>
      </c>
      <c r="BS47" s="2279">
        <f>HN!BX6</f>
        <v>0</v>
      </c>
      <c r="BT47" s="2279">
        <f>HN!BY6</f>
        <v>0</v>
      </c>
      <c r="BU47" s="2279">
        <f>HN!BZ6</f>
        <v>0</v>
      </c>
      <c r="BV47" s="1952">
        <f>Plan!$BO$50</f>
        <v>30929.501749738334</v>
      </c>
      <c r="BW47" s="405"/>
    </row>
    <row r="48" spans="2:75" s="1083" customFormat="1" ht="15" customHeight="1">
      <c r="B48" s="1084"/>
      <c r="C48" s="1085" t="s">
        <v>276</v>
      </c>
      <c r="D48" s="1917"/>
      <c r="E48" s="1930"/>
      <c r="F48" s="1923">
        <f>F47/D47</f>
        <v>0.97923990107027559</v>
      </c>
      <c r="G48" s="1087"/>
      <c r="H48" s="1111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01"/>
      <c r="T48" s="525">
        <f>T47/Plan!H27</f>
        <v>0.64166374589266162</v>
      </c>
      <c r="U48" s="525">
        <f>U47/Plan!I27</f>
        <v>0.63738714859437751</v>
      </c>
      <c r="V48" s="525">
        <f>V47/Plan!J27</f>
        <v>0.43841325301204814</v>
      </c>
      <c r="W48" s="525">
        <f>W47/Plan!K27</f>
        <v>0.38139404677533667</v>
      </c>
      <c r="X48" s="525">
        <f>X47/Plan!L27</f>
        <v>0.44574698795180728</v>
      </c>
      <c r="Y48" s="525">
        <f>Y47/Plan!M27</f>
        <v>0.92823566265060242</v>
      </c>
      <c r="Z48" s="525">
        <f>Z47/BV47</f>
        <v>3.2511063648430968E-2</v>
      </c>
      <c r="AA48" s="525">
        <f>AA47/BV47</f>
        <v>4.7589677063338165E-2</v>
      </c>
      <c r="AB48" s="525">
        <f>AB47/BV47</f>
        <v>8.4898360835127751E-2</v>
      </c>
      <c r="AC48" s="525">
        <f>AC47/BV47</f>
        <v>1.5420293668456361E-2</v>
      </c>
      <c r="AD48" s="525">
        <f>AD47/Plan!R50</f>
        <v>0.71077649445918523</v>
      </c>
      <c r="AE48" s="525">
        <f>AE47/Plan!S50</f>
        <v>0.39075000000000004</v>
      </c>
      <c r="AF48" s="525">
        <f>AF47/Plan!T50</f>
        <v>0.72893959662482</v>
      </c>
      <c r="AG48" s="525">
        <f>AG47/Plan!U50</f>
        <v>0.69697979270098431</v>
      </c>
      <c r="AH48" s="525">
        <f>AH47/Plan!V50</f>
        <v>1.2938412864085587</v>
      </c>
      <c r="AI48" s="525">
        <f>AI47/Plan!W50</f>
        <v>0.91686113724963036</v>
      </c>
      <c r="AJ48" s="525">
        <f>AJ47/Plan!X50</f>
        <v>1.1287766088347484</v>
      </c>
      <c r="AK48" s="525">
        <f>AK47/Plan!Y50</f>
        <v>1.4400284405516963</v>
      </c>
      <c r="AL48" s="525">
        <f>AL47/Plan!Z50</f>
        <v>1.6097610437298322</v>
      </c>
      <c r="AM48" s="525">
        <f>AM47/Plan!AA50</f>
        <v>1.7419137820169328</v>
      </c>
      <c r="AN48" s="525">
        <f>AN47/Plan!AB50</f>
        <v>3.1867230852114572</v>
      </c>
      <c r="AO48" s="525">
        <v>1.1112787661737522</v>
      </c>
      <c r="AP48" s="525">
        <v>0.72500030184123154</v>
      </c>
      <c r="AQ48" s="525">
        <v>0.62149784629335758</v>
      </c>
      <c r="AR48" s="1934">
        <v>1.0080592768713619</v>
      </c>
      <c r="AS48" s="1934">
        <v>0.47364260423440996</v>
      </c>
      <c r="AT48" s="1934">
        <v>0.93848846326164881</v>
      </c>
      <c r="AU48" s="1934">
        <v>0.73711172091849608</v>
      </c>
      <c r="AV48" s="1934">
        <v>1.105369306459292</v>
      </c>
      <c r="AW48" s="1934">
        <v>1.0415110955486497</v>
      </c>
      <c r="AX48" s="1934">
        <v>0.97520374043638425</v>
      </c>
      <c r="AY48" s="1934">
        <v>1.2597662962962963</v>
      </c>
      <c r="AZ48" s="1934">
        <f>AZ47/Plan!AQ50</f>
        <v>1.1127952777777779</v>
      </c>
      <c r="BA48" s="2283">
        <f>BA47/Plan!AR50</f>
        <v>0.67659920634920634</v>
      </c>
      <c r="BB48" s="2283">
        <f>BB47/Plan!AS50</f>
        <v>0.87765876543209875</v>
      </c>
      <c r="BC48" s="2283">
        <f>BC47/Plan!AT50</f>
        <v>1.1503111111111113</v>
      </c>
      <c r="BD48" s="2283">
        <f>BD47/Plan!AU50</f>
        <v>0.68695614419787787</v>
      </c>
      <c r="BE48" s="2283">
        <f>BE47/Plan!AV50</f>
        <v>0.70869549970321255</v>
      </c>
      <c r="BF48" s="2283">
        <f>BF47/Plan!AW50</f>
        <v>0.82488380070350542</v>
      </c>
      <c r="BG48" s="2283">
        <f>BG47/Plan!AX50</f>
        <v>0.81440345181151796</v>
      </c>
      <c r="BH48" s="2283">
        <f>BH47/Plan!AY50</f>
        <v>0.77708853952133428</v>
      </c>
      <c r="BI48" s="2283">
        <f>BI47/Plan!AZ50</f>
        <v>1.3019450583746039</v>
      </c>
      <c r="BJ48" s="2283">
        <f>BJ47/Plan!BA50</f>
        <v>1.2537491815009258</v>
      </c>
      <c r="BK48" s="2283">
        <f>BK47/Plan!BB50</f>
        <v>1.7853695068609809</v>
      </c>
      <c r="BL48" s="2283">
        <f>BL47/Plan!BC50</f>
        <v>1.2693042192896129</v>
      </c>
      <c r="BM48" s="2283">
        <f>BM47/Plan!BD50</f>
        <v>1.0379035350969685</v>
      </c>
      <c r="BN48" s="2283">
        <f>BN47/Plan!BE50</f>
        <v>0.77116125511681666</v>
      </c>
      <c r="BO48" s="2283">
        <f>BO47/Plan!BF50</f>
        <v>0.79840761694010487</v>
      </c>
      <c r="BP48" s="2283">
        <f>BP47/Plan!BG50</f>
        <v>0.72359720441307918</v>
      </c>
      <c r="BQ48" s="2283">
        <f>BQ47/Plan!BH50</f>
        <v>0</v>
      </c>
      <c r="BR48" s="2283">
        <f>BR47/Plan!BI50</f>
        <v>0</v>
      </c>
      <c r="BS48" s="2283">
        <f>BS47/Plan!BJ50</f>
        <v>0</v>
      </c>
      <c r="BT48" s="2283">
        <f>BT47/Plan!BK50</f>
        <v>0</v>
      </c>
      <c r="BU48" s="2283">
        <f>BU47/Plan!BL50</f>
        <v>0</v>
      </c>
      <c r="BV48" s="1936"/>
      <c r="BW48" s="1082"/>
    </row>
    <row r="49" spans="2:75" s="1016" customFormat="1" ht="7.9" customHeight="1">
      <c r="B49" s="1036"/>
      <c r="C49" s="1075"/>
      <c r="D49" s="1917"/>
      <c r="E49" s="1929"/>
      <c r="F49" s="1922"/>
      <c r="G49" s="1076"/>
      <c r="H49" s="1110"/>
      <c r="I49" s="1076"/>
      <c r="J49" s="1076"/>
      <c r="K49" s="1076"/>
      <c r="L49" s="1076"/>
      <c r="M49" s="1076"/>
      <c r="N49" s="1076"/>
      <c r="O49" s="1076"/>
      <c r="P49" s="1076"/>
      <c r="Q49" s="1076"/>
      <c r="R49" s="1076"/>
      <c r="S49" s="986"/>
      <c r="T49" s="986"/>
      <c r="U49" s="982"/>
      <c r="V49" s="982"/>
      <c r="W49" s="982"/>
      <c r="X49" s="1078"/>
      <c r="Y49" s="1078"/>
      <c r="Z49" s="1078"/>
      <c r="AA49" s="1078"/>
      <c r="AB49" s="1078"/>
      <c r="AC49" s="1078"/>
      <c r="AD49" s="1078"/>
      <c r="AE49" s="1078"/>
      <c r="AF49" s="1078"/>
      <c r="AG49" s="1078"/>
      <c r="AH49" s="1078"/>
      <c r="AI49" s="1078"/>
      <c r="AJ49" s="1078"/>
      <c r="AK49" s="1078"/>
      <c r="AL49" s="1078"/>
      <c r="AM49" s="1078"/>
      <c r="AN49" s="1078"/>
      <c r="AO49" s="1078"/>
      <c r="AP49" s="1078"/>
      <c r="AQ49" s="1078"/>
      <c r="AR49" s="1935"/>
      <c r="AS49" s="1935"/>
      <c r="AT49" s="1935"/>
      <c r="AU49" s="1935"/>
      <c r="AV49" s="1935"/>
      <c r="AW49" s="1935"/>
      <c r="AX49" s="1935"/>
      <c r="AY49" s="1935"/>
      <c r="AZ49" s="1935"/>
      <c r="BA49" s="2281"/>
      <c r="BB49" s="2281"/>
      <c r="BC49" s="2281"/>
      <c r="BD49" s="2281"/>
      <c r="BE49" s="2281"/>
      <c r="BF49" s="2281"/>
      <c r="BG49" s="2281"/>
      <c r="BH49" s="2281"/>
      <c r="BI49" s="2281"/>
      <c r="BJ49" s="2281"/>
      <c r="BK49" s="2281"/>
      <c r="BL49" s="2281"/>
      <c r="BM49" s="2281"/>
      <c r="BN49" s="2281"/>
      <c r="BO49" s="2281"/>
      <c r="BP49" s="2281"/>
      <c r="BQ49" s="2281"/>
      <c r="BR49" s="2281"/>
      <c r="BS49" s="2281"/>
      <c r="BT49" s="2281"/>
      <c r="BU49" s="2281"/>
      <c r="BV49" s="1936"/>
      <c r="BW49" s="1082"/>
    </row>
    <row r="50" spans="2:75" s="1016" customFormat="1" ht="15" customHeight="1">
      <c r="B50" s="1036"/>
      <c r="C50" s="1088" t="s">
        <v>95</v>
      </c>
      <c r="D50" s="1924">
        <f>Plan!C62</f>
        <v>4</v>
      </c>
      <c r="E50" s="1931"/>
      <c r="F50" s="1920">
        <f>HN!C20</f>
        <v>4.2883796680541133</v>
      </c>
      <c r="G50" s="1076"/>
      <c r="H50" s="1110"/>
      <c r="I50" s="1076"/>
      <c r="J50" s="1076"/>
      <c r="K50" s="1076"/>
      <c r="L50" s="1076"/>
      <c r="M50" s="1076"/>
      <c r="N50" s="1076"/>
      <c r="O50" s="1076"/>
      <c r="P50" s="1076"/>
      <c r="Q50" s="1076"/>
      <c r="R50" s="1076"/>
      <c r="S50" s="257">
        <f>HN!U20</f>
        <v>21.454999999999998</v>
      </c>
      <c r="T50" s="257">
        <f>HN!V20</f>
        <v>10.589731092436974</v>
      </c>
      <c r="U50" s="358">
        <f>HN!W20</f>
        <v>7.0168312757201656</v>
      </c>
      <c r="V50" s="358">
        <f>HN!X20</f>
        <v>4.3289147727272734</v>
      </c>
      <c r="W50" s="358">
        <f>HN!Y20</f>
        <v>2.8842817551963043</v>
      </c>
      <c r="X50" s="524">
        <f>HN!Z20</f>
        <v>3.2701795918367345</v>
      </c>
      <c r="Y50" s="524">
        <f>HN!AA20</f>
        <v>7.4265567375886512</v>
      </c>
      <c r="Z50" s="524">
        <f>HN!AB20</f>
        <v>3.2516049382716048</v>
      </c>
      <c r="AA50" s="524">
        <f>HN!AC20</f>
        <v>4.5176441379310353</v>
      </c>
      <c r="AB50" s="524">
        <f>HN!AD20</f>
        <v>6.2684780600461885</v>
      </c>
      <c r="AC50" s="524">
        <f>HN!AE20</f>
        <v>1.0826890052356022</v>
      </c>
      <c r="AD50" s="524">
        <f>HN!AF20</f>
        <v>2.0971219512195121</v>
      </c>
      <c r="AE50" s="524">
        <f>HN!AG20</f>
        <v>1.3893333333333333</v>
      </c>
      <c r="AF50" s="524">
        <f>HN!AH20</f>
        <v>3.2084934131736529</v>
      </c>
      <c r="AG50" s="524">
        <f>HN!AI20</f>
        <v>3.4416688034188034</v>
      </c>
      <c r="AH50" s="524">
        <f>HN!AJ20</f>
        <v>8.0994126984126975</v>
      </c>
      <c r="AI50" s="524">
        <f>HN!AK20</f>
        <v>5.779888138862102</v>
      </c>
      <c r="AJ50" s="524">
        <f>HN!AL20</f>
        <v>6.9177163504968382</v>
      </c>
      <c r="AK50" s="524">
        <f>HN!AM20</f>
        <v>9.0923690572119256</v>
      </c>
      <c r="AL50" s="524">
        <f>HN!AN20</f>
        <v>8.5115255948089406</v>
      </c>
      <c r="AM50" s="524">
        <f>HN!AO20</f>
        <v>8.7284940438871477</v>
      </c>
      <c r="AN50" s="524">
        <f>HN!AP20</f>
        <v>15.395308319738989</v>
      </c>
      <c r="AO50" s="524">
        <v>6.9310472829922372</v>
      </c>
      <c r="AP50" s="524">
        <v>4.8809446320054022</v>
      </c>
      <c r="AQ50" s="524">
        <v>5.7427588315217397</v>
      </c>
      <c r="AR50" s="1937">
        <v>8.4965326599326598</v>
      </c>
      <c r="AS50" s="1937">
        <v>4.4147706902191688</v>
      </c>
      <c r="AT50" s="1937">
        <v>10.23815249621785</v>
      </c>
      <c r="AU50" s="1937">
        <v>6.6539095982142857</v>
      </c>
      <c r="AV50" s="1937">
        <v>10.67061313131313</v>
      </c>
      <c r="AW50" s="1937">
        <v>11.189262790697676</v>
      </c>
      <c r="AX50" s="1937">
        <v>3.0722112899569258</v>
      </c>
      <c r="AY50" s="1937">
        <v>3.2026994259471868</v>
      </c>
      <c r="AZ50" s="1937">
        <f>HN!BE20</f>
        <v>7.4805937571200731</v>
      </c>
      <c r="BA50" s="2282">
        <f>HN!BF20</f>
        <v>5.4149681309216238</v>
      </c>
      <c r="BB50" s="2282">
        <f>HN!BG20</f>
        <v>5.9567502930832354</v>
      </c>
      <c r="BC50" s="2282">
        <f>HN!BH20</f>
        <v>8.0001837034670285</v>
      </c>
      <c r="BD50" s="2282">
        <f>HN!BI20</f>
        <v>4.3518174261659794</v>
      </c>
      <c r="BE50" s="2282">
        <f>HN!BJ20</f>
        <v>4.3222403702385259</v>
      </c>
      <c r="BF50" s="2282">
        <f>HN!BK20</f>
        <v>6.0817271147403833</v>
      </c>
      <c r="BG50" s="2282">
        <f>HN!BL20</f>
        <v>4.1490422551039554</v>
      </c>
      <c r="BH50" s="2282">
        <f>HN!BM20</f>
        <v>4.2527897038567586</v>
      </c>
      <c r="BI50" s="2282">
        <f>HN!BN20</f>
        <v>8.137779965411557</v>
      </c>
      <c r="BJ50" s="2282">
        <f>HN!BO20</f>
        <v>1.9883013603730291</v>
      </c>
      <c r="BK50" s="2282">
        <f>HN!BP20</f>
        <v>3.3982773695688642</v>
      </c>
      <c r="BL50" s="2282">
        <f>HN!BQ20</f>
        <v>5.9127526798647994</v>
      </c>
      <c r="BM50" s="2282">
        <f>HN!BR20</f>
        <v>5.3986841070891405</v>
      </c>
      <c r="BN50" s="2282">
        <f>HN!BS20</f>
        <v>4.7461188753359522</v>
      </c>
      <c r="BO50" s="2282">
        <f>HN!BT20</f>
        <v>5.3879191822697745</v>
      </c>
      <c r="BP50" s="2282">
        <f>HN!BU20</f>
        <v>4.0931132185478916</v>
      </c>
      <c r="BQ50" s="2282">
        <f>HN!BV20</f>
        <v>0</v>
      </c>
      <c r="BR50" s="2282" t="str">
        <f>HN!BW20</f>
        <v>-</v>
      </c>
      <c r="BS50" s="2282" t="str">
        <f>HN!BX20</f>
        <v>-</v>
      </c>
      <c r="BT50" s="2282" t="str">
        <f>HN!BY20</f>
        <v>-</v>
      </c>
      <c r="BU50" s="2282" t="str">
        <f>HN!BZ20</f>
        <v>-</v>
      </c>
      <c r="BV50" s="1938">
        <f>Plan!$BO$62</f>
        <v>4.4705324097200974</v>
      </c>
      <c r="BW50" s="408"/>
    </row>
    <row r="51" spans="2:75" s="1090" customFormat="1" ht="15" customHeight="1">
      <c r="B51" s="1036"/>
      <c r="C51" s="1088" t="s">
        <v>139</v>
      </c>
      <c r="D51" s="1924">
        <f>Plan!C63</f>
        <v>20</v>
      </c>
      <c r="E51" s="1931"/>
      <c r="F51" s="1920">
        <f>HN!C21</f>
        <v>22.734149005654405</v>
      </c>
      <c r="G51" s="1076"/>
      <c r="H51" s="1110"/>
      <c r="I51" s="1076"/>
      <c r="J51" s="1076"/>
      <c r="K51" s="1076"/>
      <c r="L51" s="1076"/>
      <c r="M51" s="1076"/>
      <c r="N51" s="1076"/>
      <c r="O51" s="1076"/>
      <c r="P51" s="1076"/>
      <c r="Q51" s="1076"/>
      <c r="R51" s="1076"/>
      <c r="S51" s="257">
        <f>HN!U21</f>
        <v>17.432187499999998</v>
      </c>
      <c r="T51" s="257">
        <f>HN!V21</f>
        <v>19.690281249999998</v>
      </c>
      <c r="U51" s="358">
        <f>HN!W21</f>
        <v>17.050900000000002</v>
      </c>
      <c r="V51" s="358">
        <f>HN!X21</f>
        <v>14.375264150943398</v>
      </c>
      <c r="W51" s="358">
        <f>HN!Y21</f>
        <v>19.513968749999997</v>
      </c>
      <c r="X51" s="524">
        <f>HN!Z21</f>
        <v>17.417260869565215</v>
      </c>
      <c r="Y51" s="524">
        <f>HN!AA21</f>
        <v>27.19855844155844</v>
      </c>
      <c r="Z51" s="524">
        <f>HN!AB21</f>
        <v>15.962424242424243</v>
      </c>
      <c r="AA51" s="524">
        <f>HN!AC21</f>
        <v>24.812818181818184</v>
      </c>
      <c r="AB51" s="524">
        <f>HN!AD21</f>
        <v>25.366831775700931</v>
      </c>
      <c r="AC51" s="524">
        <f>HN!AE21</f>
        <v>17.232800000000001</v>
      </c>
      <c r="AD51" s="524">
        <f>HN!AF21</f>
        <v>14.550800000000001</v>
      </c>
      <c r="AE51" s="524">
        <f>HN!AG21</f>
        <v>14.2233</v>
      </c>
      <c r="AF51" s="524">
        <f>HN!AH21</f>
        <v>23.095620689655174</v>
      </c>
      <c r="AG51" s="524">
        <f>HN!AI21</f>
        <v>18.097764044943819</v>
      </c>
      <c r="AH51" s="524">
        <f>HN!AJ21</f>
        <v>26.000662420382163</v>
      </c>
      <c r="AI51" s="524">
        <f>HN!AK21</f>
        <v>21.104732394366195</v>
      </c>
      <c r="AJ51" s="524">
        <f>HN!AL21</f>
        <v>22.132693641618499</v>
      </c>
      <c r="AK51" s="524">
        <f>HN!AM21</f>
        <v>24.213798283261802</v>
      </c>
      <c r="AL51" s="524">
        <f>HN!AN21</f>
        <v>24.594762500000002</v>
      </c>
      <c r="AM51" s="524">
        <f>HN!AO21</f>
        <v>24.684304964539006</v>
      </c>
      <c r="AN51" s="524">
        <f>HN!AP21</f>
        <v>37.648898936170212</v>
      </c>
      <c r="AO51" s="524">
        <v>28.550273255813952</v>
      </c>
      <c r="AP51" s="524">
        <v>17.41850361445783</v>
      </c>
      <c r="AQ51" s="524">
        <v>18.660796909492273</v>
      </c>
      <c r="AR51" s="1937">
        <v>25.13416533864542</v>
      </c>
      <c r="AS51" s="1937">
        <v>16.418435523114354</v>
      </c>
      <c r="AT51" s="1937">
        <v>22.115747712418298</v>
      </c>
      <c r="AU51" s="1937">
        <v>18.748122641509436</v>
      </c>
      <c r="AV51" s="1937">
        <v>27.983859602649005</v>
      </c>
      <c r="AW51" s="1937">
        <v>29.773409653465347</v>
      </c>
      <c r="AX51" s="1937">
        <v>17.197365482233501</v>
      </c>
      <c r="AY51" s="1937">
        <v>18.020356589147287</v>
      </c>
      <c r="AZ51" s="1937">
        <f>HN!BE21</f>
        <v>25.062844274809162</v>
      </c>
      <c r="BA51" s="2282">
        <f>HN!BF21</f>
        <v>22.7369909584087</v>
      </c>
      <c r="BB51" s="2282">
        <f>HN!BG21</f>
        <v>22.922291729323309</v>
      </c>
      <c r="BC51" s="2282">
        <f>HN!BH21</f>
        <v>23.508521032863911</v>
      </c>
      <c r="BD51" s="2282">
        <f>HN!BI21</f>
        <v>19.593652105896524</v>
      </c>
      <c r="BE51" s="2282">
        <f>HN!BJ21</f>
        <v>19.049957949790826</v>
      </c>
      <c r="BF51" s="2282">
        <f>HN!BK21</f>
        <v>24.144911637572793</v>
      </c>
      <c r="BG51" s="2282">
        <f>HN!BL21</f>
        <v>22.375491515151534</v>
      </c>
      <c r="BH51" s="2282">
        <f>HN!BM21</f>
        <v>25.596064870466378</v>
      </c>
      <c r="BI51" s="2282">
        <f>HN!BN21</f>
        <v>30.483126896348772</v>
      </c>
      <c r="BJ51" s="2282">
        <f>HN!BO21</f>
        <v>20.320680544629347</v>
      </c>
      <c r="BK51" s="2282">
        <f>HN!BP21</f>
        <v>20.523942654508609</v>
      </c>
      <c r="BL51" s="2282">
        <f>HN!BQ21</f>
        <v>23.712840433772268</v>
      </c>
      <c r="BM51" s="2282">
        <f>HN!BR21</f>
        <v>22.193353915910965</v>
      </c>
      <c r="BN51" s="2282">
        <f>HN!BS21</f>
        <v>25.283014317180619</v>
      </c>
      <c r="BO51" s="2282">
        <f>HN!BT21</f>
        <v>22.240038643533122</v>
      </c>
      <c r="BP51" s="2282">
        <f>HN!BU21</f>
        <v>24.339167822318636</v>
      </c>
      <c r="BQ51" s="2282" t="str">
        <f>HN!BV21</f>
        <v>-</v>
      </c>
      <c r="BR51" s="2282" t="str">
        <f>HN!BW21</f>
        <v>-</v>
      </c>
      <c r="BS51" s="2282" t="str">
        <f>HN!BX21</f>
        <v>-</v>
      </c>
      <c r="BT51" s="2282" t="str">
        <f>HN!BY21</f>
        <v>-</v>
      </c>
      <c r="BU51" s="2282" t="str">
        <f>HN!BZ21</f>
        <v>-</v>
      </c>
      <c r="BV51" s="1938">
        <f>Plan!$BO$63</f>
        <v>19.905435443241071</v>
      </c>
      <c r="BW51" s="408"/>
    </row>
    <row r="52" spans="2:75" s="1016" customFormat="1" hidden="1">
      <c r="B52" s="1036"/>
      <c r="C52" s="1091"/>
      <c r="D52" s="1113"/>
      <c r="E52" s="1112"/>
      <c r="F52" s="1077"/>
      <c r="G52" s="1076"/>
      <c r="H52" s="1110"/>
      <c r="I52" s="1076"/>
      <c r="J52" s="1076"/>
      <c r="K52" s="1076"/>
      <c r="L52" s="1076"/>
      <c r="M52" s="1076"/>
      <c r="N52" s="1076"/>
      <c r="O52" s="1076"/>
      <c r="P52" s="1076"/>
      <c r="Q52" s="1076"/>
      <c r="R52" s="1076"/>
      <c r="S52" s="986"/>
      <c r="T52" s="986"/>
      <c r="U52" s="982"/>
      <c r="V52" s="986"/>
      <c r="W52" s="982"/>
      <c r="X52" s="986"/>
      <c r="Y52" s="986"/>
      <c r="Z52" s="986"/>
      <c r="AA52" s="986"/>
      <c r="AB52" s="986"/>
      <c r="AC52" s="986"/>
      <c r="AD52" s="986"/>
      <c r="AE52" s="986"/>
      <c r="AF52" s="986"/>
      <c r="AG52" s="986"/>
      <c r="AH52" s="986"/>
      <c r="AI52" s="986"/>
      <c r="AJ52" s="986"/>
      <c r="AK52" s="986"/>
      <c r="AL52" s="986"/>
      <c r="AM52" s="986"/>
      <c r="AN52" s="986"/>
      <c r="AO52" s="986"/>
      <c r="AP52" s="986"/>
      <c r="AQ52" s="1076"/>
      <c r="AR52" s="1076"/>
      <c r="AS52" s="1076"/>
      <c r="AT52" s="1076"/>
      <c r="AU52" s="1076"/>
      <c r="AV52" s="1076"/>
      <c r="AW52" s="1076"/>
      <c r="AX52" s="1076"/>
      <c r="AY52" s="1076"/>
      <c r="AZ52" s="1076"/>
      <c r="BA52" s="1076"/>
      <c r="BB52" s="1076"/>
      <c r="BC52" s="1059"/>
      <c r="BD52" s="1059"/>
      <c r="BE52" s="1059"/>
      <c r="BF52" s="1059"/>
      <c r="BG52" s="1059"/>
      <c r="BH52" s="1059"/>
      <c r="BI52" s="1059"/>
      <c r="BJ52" s="1059"/>
      <c r="BK52" s="1059"/>
      <c r="BL52" s="1059"/>
      <c r="BM52" s="1059"/>
      <c r="BN52" s="1059"/>
      <c r="BO52" s="1059"/>
      <c r="BP52" s="1059"/>
      <c r="BQ52" s="1059"/>
      <c r="BR52" s="1059"/>
      <c r="BS52" s="1059"/>
      <c r="BT52" s="1059"/>
      <c r="BU52" s="1074"/>
      <c r="BV52" s="1082"/>
    </row>
    <row r="53" spans="2:75" s="1016" customFormat="1" hidden="1">
      <c r="B53" s="1036"/>
      <c r="C53" s="1093" t="s">
        <v>222</v>
      </c>
      <c r="D53" s="1113">
        <f>Plan!BP53</f>
        <v>0</v>
      </c>
      <c r="E53" s="1112"/>
      <c r="F53" s="262">
        <f>HN!C11</f>
        <v>872</v>
      </c>
      <c r="G53" s="1076"/>
      <c r="H53" s="1110"/>
      <c r="I53" s="1076"/>
      <c r="J53" s="1076"/>
      <c r="K53" s="1076"/>
      <c r="L53" s="1076"/>
      <c r="M53" s="1076"/>
      <c r="N53" s="1076"/>
      <c r="O53" s="1076"/>
      <c r="P53" s="1076"/>
      <c r="Q53" s="1076"/>
      <c r="R53" s="1076"/>
      <c r="S53" s="986">
        <f>SUM(HN!U41:U43)</f>
        <v>11</v>
      </c>
      <c r="T53" s="986">
        <f>SUM(HN!V41:V43)</f>
        <v>39</v>
      </c>
      <c r="U53" s="982">
        <f>SUM(HN!W41:W43)</f>
        <v>54</v>
      </c>
      <c r="V53" s="986">
        <f>SUM(HN!X41:X43)</f>
        <v>64</v>
      </c>
      <c r="W53" s="982">
        <f>SUM(HN!Y41:Y43)</f>
        <v>63</v>
      </c>
      <c r="X53" s="986">
        <f>SUM(HN!Z41:Z43)</f>
        <v>66</v>
      </c>
      <c r="Y53" s="986">
        <f>SUM(HN!AA41:AA43)</f>
        <v>72</v>
      </c>
      <c r="Z53" s="986">
        <f>SUM(HN!AB41:AB43)</f>
        <v>61</v>
      </c>
      <c r="AA53" s="986">
        <f>SUM(HN!AC41:AC43)</f>
        <v>64</v>
      </c>
      <c r="AB53" s="986">
        <f>SUM(HN!AD41:AD43)</f>
        <v>61</v>
      </c>
      <c r="AC53" s="986">
        <f>SUM(HN!AE41:AE43)</f>
        <v>61</v>
      </c>
      <c r="AD53" s="986">
        <f>SUM(HN!AF41:AF43)</f>
        <v>57</v>
      </c>
      <c r="AE53" s="986">
        <f>SUM(HN!AG41:AG43)</f>
        <v>56</v>
      </c>
      <c r="AF53" s="986">
        <f>SUM(HN!AH41:AH43)</f>
        <v>75</v>
      </c>
      <c r="AG53" s="986">
        <f>SUM(HN!AI41:AI43)</f>
        <v>90</v>
      </c>
      <c r="AH53" s="986"/>
      <c r="AI53" s="986"/>
      <c r="AJ53" s="986"/>
      <c r="AK53" s="986"/>
      <c r="AL53" s="986"/>
      <c r="AM53" s="986"/>
      <c r="AN53" s="986"/>
      <c r="AO53" s="986"/>
      <c r="AP53" s="986"/>
      <c r="AQ53" s="1076"/>
      <c r="AR53" s="1076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771"/>
      <c r="BD53" s="1771"/>
      <c r="BE53" s="1771"/>
      <c r="BF53" s="1771"/>
      <c r="BG53" s="1771"/>
      <c r="BH53" s="1771"/>
      <c r="BI53" s="1771"/>
      <c r="BJ53" s="1771"/>
      <c r="BK53" s="1771"/>
      <c r="BL53" s="1771"/>
      <c r="BM53" s="1771"/>
      <c r="BN53" s="1771"/>
      <c r="BO53" s="1771"/>
      <c r="BP53" s="1771"/>
      <c r="BQ53" s="1771"/>
      <c r="BR53" s="1771"/>
      <c r="BS53" s="1771"/>
      <c r="BT53" s="1771"/>
      <c r="BU53" s="2078"/>
      <c r="BV53" s="1082"/>
    </row>
    <row r="54" spans="2:75" s="1016" customFormat="1" hidden="1">
      <c r="B54" s="1036"/>
      <c r="C54" s="1093" t="s">
        <v>198</v>
      </c>
      <c r="D54" s="1113">
        <f>Plan!BP59</f>
        <v>0</v>
      </c>
      <c r="E54" s="1112"/>
      <c r="F54" s="262">
        <f>HN!C17</f>
        <v>4985</v>
      </c>
      <c r="G54" s="1076"/>
      <c r="H54" s="1110"/>
      <c r="I54" s="1076"/>
      <c r="J54" s="1076"/>
      <c r="K54" s="1076"/>
      <c r="L54" s="1076"/>
      <c r="M54" s="1076"/>
      <c r="N54" s="1076"/>
      <c r="O54" s="1076"/>
      <c r="P54" s="1076"/>
      <c r="Q54" s="1076"/>
      <c r="R54" s="1076"/>
      <c r="S54" s="255">
        <f>HN!U17</f>
        <v>15</v>
      </c>
      <c r="T54" s="255">
        <f>HN!V17</f>
        <v>39</v>
      </c>
      <c r="U54" s="359">
        <f>HN!W17</f>
        <v>42</v>
      </c>
      <c r="V54" s="255">
        <f>HN!X17</f>
        <v>43</v>
      </c>
      <c r="W54" s="359">
        <f>HN!Y17</f>
        <v>35</v>
      </c>
      <c r="X54" s="255">
        <f>HN!Z17</f>
        <v>45</v>
      </c>
      <c r="Y54" s="255">
        <f>HN!AA17</f>
        <v>58</v>
      </c>
      <c r="Z54" s="255">
        <f>HN!AB17</f>
        <v>61</v>
      </c>
      <c r="AA54" s="255">
        <f>HN!AC17</f>
        <v>57</v>
      </c>
      <c r="AB54" s="255">
        <f>HN!AD17</f>
        <v>104</v>
      </c>
      <c r="AC54" s="255">
        <f>HN!AE17</f>
        <v>31</v>
      </c>
      <c r="AD54" s="255">
        <f>HN!AF17</f>
        <v>26</v>
      </c>
      <c r="AE54" s="255">
        <f>HN!AG17</f>
        <v>28</v>
      </c>
      <c r="AF54" s="255">
        <f>HN!AH17</f>
        <v>56</v>
      </c>
      <c r="AG54" s="255">
        <f>HN!AI17</f>
        <v>75</v>
      </c>
      <c r="AH54" s="255"/>
      <c r="AI54" s="255"/>
      <c r="AJ54" s="255"/>
      <c r="AK54" s="255"/>
      <c r="AL54" s="255"/>
      <c r="AM54" s="255"/>
      <c r="AN54" s="255"/>
      <c r="AO54" s="255"/>
      <c r="AP54" s="255"/>
      <c r="AQ54" s="1076"/>
      <c r="AR54" s="1076"/>
      <c r="AS54" s="1076"/>
      <c r="AT54" s="1076"/>
      <c r="AU54" s="1076"/>
      <c r="AV54" s="1076"/>
      <c r="AW54" s="1076"/>
      <c r="AX54" s="1076"/>
      <c r="AY54" s="1076"/>
      <c r="AZ54" s="1076"/>
      <c r="BA54" s="1076"/>
      <c r="BB54" s="1076"/>
      <c r="BC54" s="1566"/>
      <c r="BD54" s="1566"/>
      <c r="BE54" s="1566"/>
      <c r="BF54" s="1566"/>
      <c r="BG54" s="1566"/>
      <c r="BH54" s="1566"/>
      <c r="BI54" s="1566"/>
      <c r="BJ54" s="1566"/>
      <c r="BK54" s="1566"/>
      <c r="BL54" s="1566"/>
      <c r="BM54" s="1566"/>
      <c r="BN54" s="1566"/>
      <c r="BO54" s="1566"/>
      <c r="BP54" s="1566"/>
      <c r="BQ54" s="1566"/>
      <c r="BR54" s="1566"/>
      <c r="BS54" s="1566"/>
      <c r="BT54" s="1566"/>
      <c r="BU54" s="1566"/>
      <c r="BV54" s="1082"/>
    </row>
    <row r="55" spans="2:75" s="1016" customFormat="1" hidden="1">
      <c r="B55" s="1036"/>
      <c r="C55" s="1093" t="s">
        <v>199</v>
      </c>
      <c r="D55" s="1113">
        <f>Plan!BP60</f>
        <v>0</v>
      </c>
      <c r="E55" s="1112"/>
      <c r="F55" s="262">
        <f>HN!C18</f>
        <v>277</v>
      </c>
      <c r="G55" s="1076"/>
      <c r="H55" s="1110"/>
      <c r="I55" s="1076"/>
      <c r="J55" s="1076"/>
      <c r="K55" s="1076"/>
      <c r="L55" s="1076"/>
      <c r="M55" s="1076"/>
      <c r="N55" s="1076"/>
      <c r="O55" s="1076"/>
      <c r="P55" s="1076"/>
      <c r="Q55" s="1076"/>
      <c r="R55" s="1076"/>
      <c r="S55" s="255">
        <f>HN!U18</f>
        <v>11</v>
      </c>
      <c r="T55" s="255">
        <f>HN!V18</f>
        <v>28</v>
      </c>
      <c r="U55" s="359">
        <f>HN!W18</f>
        <v>15</v>
      </c>
      <c r="V55" s="255">
        <f>HN!X18</f>
        <v>10</v>
      </c>
      <c r="W55" s="359">
        <f>HN!Y18</f>
        <v>1</v>
      </c>
      <c r="X55" s="255">
        <f>HN!Z18</f>
        <v>4</v>
      </c>
      <c r="Y55" s="255">
        <f>HN!AA18</f>
        <v>8</v>
      </c>
      <c r="Z55" s="255">
        <f>HN!AB18</f>
        <v>3</v>
      </c>
      <c r="AA55" s="255">
        <f>HN!AC18</f>
        <v>7</v>
      </c>
      <c r="AB55" s="255">
        <f>HN!AD18</f>
        <v>2</v>
      </c>
      <c r="AC55" s="255">
        <f>HN!AE18</f>
        <v>4</v>
      </c>
      <c r="AD55" s="255">
        <f>HN!AF18</f>
        <v>0</v>
      </c>
      <c r="AE55" s="255">
        <f>HN!AG18</f>
        <v>4</v>
      </c>
      <c r="AF55" s="255">
        <f>HN!AH18</f>
        <v>19</v>
      </c>
      <c r="AG55" s="255">
        <f>HN!AI18</f>
        <v>23</v>
      </c>
      <c r="AH55" s="255"/>
      <c r="AI55" s="255"/>
      <c r="AJ55" s="255"/>
      <c r="AK55" s="255"/>
      <c r="AL55" s="255"/>
      <c r="AM55" s="255"/>
      <c r="AN55" s="255"/>
      <c r="AO55" s="255"/>
      <c r="AP55" s="255"/>
      <c r="AQ55" s="1076"/>
      <c r="AR55" s="1076"/>
      <c r="AS55" s="1076"/>
      <c r="AT55" s="1076"/>
      <c r="AU55" s="1076"/>
      <c r="AV55" s="1076"/>
      <c r="AW55" s="1076"/>
      <c r="AX55" s="1076"/>
      <c r="AY55" s="1076"/>
      <c r="AZ55" s="1076"/>
      <c r="BA55" s="1076"/>
      <c r="BB55" s="1076"/>
      <c r="BC55" s="1566"/>
      <c r="BD55" s="1566"/>
      <c r="BE55" s="1566"/>
      <c r="BF55" s="1566"/>
      <c r="BG55" s="1566"/>
      <c r="BH55" s="1566"/>
      <c r="BI55" s="1566"/>
      <c r="BJ55" s="1566"/>
      <c r="BK55" s="1566"/>
      <c r="BL55" s="1566"/>
      <c r="BM55" s="1566"/>
      <c r="BN55" s="1566"/>
      <c r="BO55" s="1566"/>
      <c r="BP55" s="1566"/>
      <c r="BQ55" s="1566"/>
      <c r="BR55" s="1566"/>
      <c r="BS55" s="1566"/>
      <c r="BT55" s="1566"/>
      <c r="BU55" s="1566"/>
      <c r="BV55" s="1082"/>
    </row>
    <row r="56" spans="2:75" s="1016" customFormat="1" ht="7.9" customHeight="1">
      <c r="B56" s="1017"/>
      <c r="C56" s="1018"/>
      <c r="D56" s="1114"/>
      <c r="E56" s="1095"/>
      <c r="F56" s="1018"/>
      <c r="G56" s="1018"/>
      <c r="H56" s="1018"/>
      <c r="I56" s="1018"/>
      <c r="J56" s="1018"/>
      <c r="K56" s="1018"/>
      <c r="L56" s="1018"/>
      <c r="M56" s="1018"/>
      <c r="N56" s="1018"/>
      <c r="O56" s="1018"/>
      <c r="P56" s="1018"/>
      <c r="Q56" s="1018"/>
      <c r="R56" s="1018"/>
      <c r="S56" s="1018"/>
      <c r="T56" s="1018"/>
      <c r="U56" s="1096"/>
      <c r="V56" s="1018"/>
      <c r="W56" s="1096"/>
      <c r="X56" s="1018"/>
      <c r="Y56" s="1018"/>
      <c r="Z56" s="1018"/>
      <c r="AA56" s="1018"/>
      <c r="AB56" s="1018"/>
      <c r="AC56" s="1018"/>
      <c r="AD56" s="1018"/>
      <c r="AE56" s="1018"/>
      <c r="AF56" s="1018"/>
      <c r="AG56" s="1018"/>
      <c r="AH56" s="1018"/>
      <c r="AI56" s="1018"/>
      <c r="AJ56" s="1018"/>
      <c r="AK56" s="1018"/>
      <c r="AL56" s="1018"/>
      <c r="AM56" s="1018"/>
      <c r="AN56" s="1018"/>
      <c r="AO56" s="1018"/>
      <c r="AP56" s="1018"/>
      <c r="AQ56" s="1018"/>
      <c r="AR56" s="1018"/>
      <c r="AS56" s="1018"/>
      <c r="AT56" s="1018"/>
      <c r="AU56" s="1018"/>
      <c r="AV56" s="1018"/>
      <c r="AW56" s="1018"/>
      <c r="AX56" s="1018"/>
      <c r="AY56" s="1018"/>
      <c r="AZ56" s="1018"/>
      <c r="BA56" s="1018"/>
      <c r="BB56" s="1018"/>
      <c r="BC56" s="1018"/>
      <c r="BD56" s="1018"/>
      <c r="BE56" s="1018"/>
      <c r="BF56" s="1018"/>
      <c r="BG56" s="1018"/>
      <c r="BH56" s="1018"/>
      <c r="BI56" s="1018"/>
      <c r="BJ56" s="1018"/>
      <c r="BK56" s="1018"/>
      <c r="BL56" s="1018"/>
      <c r="BM56" s="1018"/>
      <c r="BN56" s="1018"/>
      <c r="BO56" s="1018"/>
      <c r="BP56" s="1018"/>
      <c r="BQ56" s="1018"/>
      <c r="BR56" s="1018"/>
      <c r="BS56" s="1018"/>
      <c r="BT56" s="1018"/>
      <c r="BU56" s="1018"/>
      <c r="BV56" s="1097"/>
      <c r="BW56" s="1098"/>
    </row>
    <row r="57" spans="2:75" hidden="1"/>
    <row r="58" spans="2:75" hidden="1"/>
    <row r="59" spans="2:75" hidden="1">
      <c r="C59" s="1"/>
      <c r="D59"/>
      <c r="E59"/>
      <c r="G59" s="74"/>
      <c r="H59" s="74"/>
      <c r="U59"/>
      <c r="V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BT59" s="120"/>
      <c r="BU59" s="120"/>
      <c r="BV59" s="120"/>
    </row>
    <row r="60" spans="2:75" hidden="1">
      <c r="C60" s="1"/>
      <c r="D60"/>
      <c r="E60"/>
      <c r="G60" s="74"/>
      <c r="H60" s="74"/>
      <c r="U60"/>
      <c r="V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BT60" s="120"/>
      <c r="BU60" s="120"/>
      <c r="BV60" s="120"/>
    </row>
    <row r="61" spans="2:75" hidden="1">
      <c r="C61" s="1"/>
      <c r="D61"/>
      <c r="E61"/>
      <c r="G61" s="74"/>
      <c r="H61" s="74"/>
      <c r="U61"/>
      <c r="V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BT61" s="120"/>
      <c r="BU61" s="120"/>
      <c r="BV61" s="120"/>
    </row>
    <row r="62" spans="2:75" hidden="1">
      <c r="C62" s="1"/>
      <c r="D62"/>
      <c r="E62"/>
      <c r="G62" s="74"/>
      <c r="H62" s="74"/>
      <c r="U62"/>
      <c r="V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BT62" s="120"/>
      <c r="BU62" s="120"/>
      <c r="BV62" s="120"/>
    </row>
    <row r="63" spans="2:75" hidden="1">
      <c r="C63" s="1"/>
      <c r="D63"/>
      <c r="E63"/>
      <c r="G63" s="74"/>
      <c r="H63" s="74"/>
      <c r="U63"/>
      <c r="V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BT63" s="120"/>
      <c r="BU63" s="120"/>
      <c r="BV63" s="120"/>
    </row>
    <row r="64" spans="2:75" hidden="1">
      <c r="C64" s="1"/>
      <c r="D64"/>
      <c r="E64"/>
      <c r="G64" s="74"/>
      <c r="H64" s="74"/>
      <c r="U64"/>
      <c r="V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BT64" s="120"/>
      <c r="BU64" s="120"/>
      <c r="BV64" s="120"/>
    </row>
    <row r="65" spans="3:77" hidden="1">
      <c r="C65" s="1"/>
      <c r="D65"/>
      <c r="E65"/>
      <c r="G65" s="74"/>
      <c r="H65" s="74"/>
      <c r="U65"/>
      <c r="V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BT65" s="120"/>
      <c r="BU65" s="120"/>
      <c r="BV65" s="120"/>
    </row>
    <row r="66" spans="3:77" hidden="1">
      <c r="C66" s="1"/>
      <c r="D66"/>
      <c r="E66"/>
      <c r="G66" s="74"/>
      <c r="H66" s="74"/>
      <c r="U66"/>
      <c r="V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BT66" s="120"/>
      <c r="BU66" s="120"/>
      <c r="BV66" s="120"/>
    </row>
    <row r="67" spans="3:77" hidden="1">
      <c r="C67" s="1"/>
      <c r="D67"/>
      <c r="E67"/>
      <c r="G67" s="74"/>
      <c r="H67" s="74"/>
      <c r="U67"/>
      <c r="V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BT67" s="120"/>
      <c r="BU67" s="120"/>
      <c r="BV67" s="120"/>
    </row>
    <row r="68" spans="3:77" hidden="1">
      <c r="C68" s="1"/>
      <c r="D68"/>
      <c r="E68"/>
      <c r="F68" s="11"/>
      <c r="G68" s="76"/>
      <c r="H68" s="76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U68"/>
      <c r="V68" s="179"/>
      <c r="W68" s="119"/>
      <c r="X68" s="179"/>
      <c r="Y68" s="179"/>
      <c r="Z68" s="179"/>
      <c r="AA68" s="179"/>
      <c r="AB68" s="179"/>
      <c r="AC68" s="179"/>
      <c r="AD68" s="179"/>
      <c r="AE68" s="179"/>
      <c r="AF68" s="179"/>
      <c r="AG68" s="179"/>
      <c r="AH68" s="179"/>
      <c r="AI68" s="179"/>
      <c r="AJ68" s="179"/>
      <c r="AK68" s="179"/>
      <c r="AL68" s="179"/>
      <c r="AM68" s="179"/>
      <c r="AN68" s="179"/>
      <c r="AO68" s="179"/>
      <c r="AP68" s="179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807"/>
      <c r="BB68" s="1807"/>
      <c r="BC68" s="1807"/>
      <c r="BD68" s="1807"/>
      <c r="BE68" s="1807"/>
      <c r="BF68" s="1807"/>
      <c r="BG68" s="1807"/>
      <c r="BH68" s="1807"/>
      <c r="BI68" s="1807"/>
      <c r="BJ68" s="1807"/>
      <c r="BK68" s="1807"/>
      <c r="BL68" s="1807"/>
      <c r="BM68" s="1807"/>
      <c r="BN68" s="1807"/>
      <c r="BO68" s="1807"/>
      <c r="BP68" s="1807"/>
      <c r="BQ68" s="1807"/>
      <c r="BR68" s="1807"/>
      <c r="BS68" s="1807"/>
      <c r="BT68" s="179"/>
      <c r="BU68" s="179"/>
      <c r="BV68" s="179"/>
      <c r="BW68" s="11"/>
      <c r="BX68" s="11"/>
      <c r="BY68" s="11"/>
    </row>
    <row r="69" spans="3:77" hidden="1">
      <c r="C69" s="1"/>
      <c r="D69"/>
      <c r="E69"/>
      <c r="G69" s="74"/>
      <c r="H69" s="74"/>
      <c r="U69"/>
      <c r="V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BT69" s="120"/>
      <c r="BU69" s="120"/>
      <c r="BV69" s="120"/>
    </row>
    <row r="70" spans="3:77" hidden="1">
      <c r="C70" s="1"/>
      <c r="D70"/>
      <c r="E70"/>
      <c r="G70" s="74"/>
      <c r="H70" s="74"/>
      <c r="U70"/>
      <c r="V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BT70" s="120"/>
      <c r="BU70" s="120"/>
      <c r="BV70" s="120"/>
    </row>
    <row r="71" spans="3:77" hidden="1">
      <c r="C71" s="1"/>
      <c r="D71"/>
      <c r="E71"/>
      <c r="G71" s="74"/>
      <c r="H71" s="74"/>
      <c r="U71"/>
      <c r="V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BT71" s="120"/>
      <c r="BU71" s="120"/>
      <c r="BV71" s="120"/>
    </row>
    <row r="72" spans="3:77" hidden="1">
      <c r="C72" s="1"/>
      <c r="D72"/>
      <c r="E72"/>
      <c r="G72" s="74"/>
      <c r="H72" s="74"/>
      <c r="U72"/>
      <c r="V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BT72" s="120"/>
      <c r="BU72" s="120"/>
      <c r="BV72" s="120"/>
    </row>
    <row r="73" spans="3:77" hidden="1">
      <c r="D73"/>
      <c r="E73"/>
      <c r="G73" s="74"/>
      <c r="H73" s="74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2"/>
      <c r="AR73" s="2"/>
      <c r="AS73" s="2"/>
      <c r="AT73" s="2"/>
      <c r="AU73" s="2"/>
      <c r="AV73" s="2"/>
      <c r="AW73" s="2"/>
      <c r="AX73" s="2"/>
      <c r="AY73" s="2"/>
      <c r="AZ73" s="2"/>
      <c r="BT73" s="120"/>
      <c r="BU73" s="120"/>
      <c r="BV73" s="120"/>
      <c r="BW73" s="2"/>
      <c r="BX73" s="2"/>
    </row>
    <row r="74" spans="3:77" hidden="1">
      <c r="D74"/>
      <c r="E74"/>
      <c r="G74" s="74"/>
      <c r="H74" s="74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2"/>
      <c r="AR74" s="2"/>
      <c r="AS74" s="2"/>
      <c r="AT74" s="2"/>
      <c r="AU74" s="2"/>
      <c r="AV74" s="2"/>
      <c r="AW74" s="2"/>
      <c r="AX74" s="2"/>
      <c r="AY74" s="2"/>
      <c r="AZ74" s="2"/>
      <c r="BT74" s="120"/>
      <c r="BU74" s="120"/>
      <c r="BV74" s="120"/>
      <c r="BW74" s="2"/>
      <c r="BX74" s="2"/>
    </row>
    <row r="75" spans="3:77" hidden="1">
      <c r="D75"/>
      <c r="E75"/>
      <c r="G75" s="74"/>
      <c r="H75" s="74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2"/>
      <c r="AR75" s="2"/>
      <c r="AS75" s="2"/>
      <c r="AT75" s="2"/>
      <c r="AU75" s="2"/>
      <c r="AV75" s="2"/>
      <c r="AW75" s="2"/>
      <c r="AX75" s="2"/>
      <c r="AY75" s="2"/>
      <c r="AZ75" s="2"/>
      <c r="BT75" s="120"/>
      <c r="BU75" s="120"/>
      <c r="BV75" s="120"/>
      <c r="BW75" s="2"/>
      <c r="BX75" s="2"/>
    </row>
    <row r="76" spans="3:77" hidden="1">
      <c r="D76"/>
      <c r="E76"/>
      <c r="G76" s="74"/>
      <c r="H76" s="74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2"/>
      <c r="AR76" s="2"/>
      <c r="AS76" s="2"/>
      <c r="AT76" s="2"/>
      <c r="AU76" s="2"/>
      <c r="AV76" s="2"/>
      <c r="AW76" s="2"/>
      <c r="AX76" s="2"/>
      <c r="AY76" s="2"/>
      <c r="AZ76" s="2"/>
      <c r="BT76" s="120"/>
      <c r="BU76" s="120"/>
      <c r="BV76" s="120"/>
      <c r="BW76" s="2"/>
      <c r="BX76" s="2"/>
    </row>
    <row r="77" spans="3:77" hidden="1">
      <c r="D77"/>
      <c r="E77"/>
      <c r="G77" s="74"/>
      <c r="H77" s="74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2"/>
      <c r="AR77" s="2"/>
      <c r="AS77" s="2"/>
      <c r="AT77" s="2"/>
      <c r="AU77" s="2"/>
      <c r="AV77" s="2"/>
      <c r="AW77" s="2"/>
      <c r="AX77" s="2"/>
      <c r="AY77" s="2"/>
      <c r="AZ77" s="2"/>
      <c r="BT77" s="120"/>
      <c r="BU77" s="120"/>
      <c r="BV77" s="120"/>
      <c r="BW77" s="2"/>
      <c r="BX77" s="2"/>
    </row>
    <row r="78" spans="3:77" ht="18" customHeight="1">
      <c r="D78"/>
      <c r="E78"/>
      <c r="G78" s="74"/>
      <c r="H78" s="74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2"/>
      <c r="AR78" s="2"/>
      <c r="AS78" s="2"/>
      <c r="AT78" s="2"/>
      <c r="AU78" s="2"/>
      <c r="AV78" s="2"/>
      <c r="AW78" s="2"/>
      <c r="AX78" s="2"/>
      <c r="AY78" s="2"/>
      <c r="AZ78" s="2"/>
      <c r="BT78" s="120"/>
      <c r="BU78" s="120"/>
      <c r="BV78" s="120"/>
      <c r="BW78" s="2"/>
      <c r="BX78" s="2"/>
    </row>
    <row r="100" spans="1:1">
      <c r="A100" s="377" t="s">
        <v>4024</v>
      </c>
    </row>
  </sheetData>
  <mergeCells count="2">
    <mergeCell ref="BW4:BW5"/>
    <mergeCell ref="BW38:BW39"/>
  </mergeCells>
  <conditionalFormatting sqref="AQ5:BB5">
    <cfRule type="expression" dxfId="145" priority="17">
      <formula>AQ5=$C$2</formula>
    </cfRule>
  </conditionalFormatting>
  <conditionalFormatting sqref="AQ39:BB39">
    <cfRule type="expression" dxfId="144" priority="10">
      <formula>AQ39=$C$2</formula>
    </cfRule>
  </conditionalFormatting>
  <conditionalFormatting sqref="BC5">
    <cfRule type="expression" dxfId="143" priority="8">
      <formula>BC5=$C$2</formula>
    </cfRule>
  </conditionalFormatting>
  <conditionalFormatting sqref="BC39 BC53">
    <cfRule type="expression" dxfId="142" priority="7">
      <formula>BC39=$C$2</formula>
    </cfRule>
  </conditionalFormatting>
  <conditionalFormatting sqref="BD5:BI5">
    <cfRule type="expression" dxfId="141" priority="6">
      <formula>BD5=$C$2</formula>
    </cfRule>
  </conditionalFormatting>
  <conditionalFormatting sqref="BD39:BI39 BD53:BU53">
    <cfRule type="expression" dxfId="140" priority="5">
      <formula>BD39=$C$2</formula>
    </cfRule>
  </conditionalFormatting>
  <conditionalFormatting sqref="BJ5:BU5">
    <cfRule type="expression" dxfId="139" priority="2">
      <formula>BJ5=$C$2</formula>
    </cfRule>
  </conditionalFormatting>
  <conditionalFormatting sqref="BJ39:BU39">
    <cfRule type="expression" dxfId="138" priority="1">
      <formula>BJ39=$C$2</formula>
    </cfRule>
  </conditionalFormatting>
  <hyperlinks>
    <hyperlink ref="Q1" location="Cover!A1" display="Back to cover page"/>
    <hyperlink ref="F1" location="Cover!A1" display="Back to cover page"/>
  </hyperlinks>
  <pageMargins left="0.27" right="0.17" top="0.24" bottom="0.17" header="0.17" footer="0.22"/>
  <pageSetup paperSize="9" scale="96" orientation="landscape" r:id="rId1"/>
  <ignoredErrors>
    <ignoredError sqref="Q19:S19 T19:Y19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81AE6A8-90F7-4875-8BCE-BDEAE9185FD5}">
            <xm:f>AF$5='1.0 Production (GVL)'!$B$2</xm:f>
            <x14:dxf>
              <font>
                <color rgb="FFFF0000"/>
              </font>
            </x14:dxf>
          </x14:cfRule>
          <xm:sqref>AQ5:AX5</xm:sqref>
        </x14:conditionalFormatting>
        <x14:conditionalFormatting xmlns:xm="http://schemas.microsoft.com/office/excel/2006/main">
          <x14:cfRule type="expression" priority="9" id="{63B1FAE5-B2C3-40F9-B77B-8A5F1E87549C}">
            <xm:f>AF$5='1.0 Production (GVL)'!$B$2</xm:f>
            <x14:dxf>
              <font>
                <color rgb="FFFF0000"/>
              </font>
            </x14:dxf>
          </x14:cfRule>
          <xm:sqref>AQ39:AX39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249977111117893"/>
    <pageSetUpPr fitToPage="1"/>
  </sheetPr>
  <dimension ref="A1:CE48"/>
  <sheetViews>
    <sheetView showGridLines="0" zoomScale="85" zoomScaleNormal="85" workbookViewId="0">
      <selection activeCell="BS6" sqref="BS6"/>
    </sheetView>
  </sheetViews>
  <sheetFormatPr defaultRowHeight="12.75" outlineLevelCol="2"/>
  <cols>
    <col min="1" max="1" width="2" customWidth="1"/>
    <col min="2" max="2" width="13.140625" customWidth="1"/>
    <col min="3" max="3" width="9.42578125" customWidth="1"/>
    <col min="4" max="5" width="7.7109375" customWidth="1"/>
    <col min="6" max="6" width="7.7109375" style="74" customWidth="1"/>
    <col min="7" max="7" width="2.140625" customWidth="1"/>
    <col min="8" max="15" width="7.7109375" style="2" hidden="1" customWidth="1"/>
    <col min="16" max="16" width="7.7109375" style="120" hidden="1" customWidth="1"/>
    <col min="17" max="19" width="7.7109375" style="2" hidden="1" customWidth="1"/>
    <col min="20" max="20" width="7.7109375" style="120" hidden="1" customWidth="1"/>
    <col min="21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42" width="7.7109375" style="120" hidden="1" customWidth="1"/>
    <col min="43" max="55" width="7.7109375" style="2" hidden="1" customWidth="1"/>
    <col min="56" max="56" width="7.5703125" style="2" hidden="1" customWidth="1"/>
    <col min="57" max="57" width="7.7109375" style="2" hidden="1" customWidth="1"/>
    <col min="58" max="71" width="7.7109375" style="2" customWidth="1"/>
    <col min="72" max="76" width="7.7109375" style="2" hidden="1" customWidth="1" outlineLevel="2"/>
    <col min="77" max="77" width="7.7109375" style="74" bestFit="1" customWidth="1" collapsed="1"/>
    <col min="78" max="78" width="3.140625" customWidth="1"/>
    <col min="79" max="79" width="8.7109375" customWidth="1"/>
  </cols>
  <sheetData>
    <row r="1" spans="1:82">
      <c r="A1" s="1" t="s">
        <v>26</v>
      </c>
      <c r="F1" s="3" t="s">
        <v>0</v>
      </c>
      <c r="L1" s="3" t="s">
        <v>0</v>
      </c>
      <c r="CB1" s="146"/>
      <c r="CD1" s="4"/>
    </row>
    <row r="2" spans="1:82">
      <c r="B2" s="1623">
        <f>+Cover!$G$5</f>
        <v>42947</v>
      </c>
      <c r="C2" s="73"/>
      <c r="CA2" s="146"/>
      <c r="CB2" s="146"/>
    </row>
    <row r="3" spans="1:82" ht="6" customHeight="1">
      <c r="CA3" s="146"/>
      <c r="CB3" s="146"/>
    </row>
    <row r="4" spans="1:82" ht="6.6" customHeight="1">
      <c r="A4" s="6"/>
      <c r="B4" s="273"/>
      <c r="C4" s="7"/>
      <c r="D4" s="7"/>
      <c r="E4" s="7"/>
      <c r="F4" s="75"/>
      <c r="G4" s="7"/>
      <c r="H4" s="7"/>
      <c r="I4" s="7"/>
      <c r="J4" s="7"/>
      <c r="K4" s="7"/>
      <c r="L4" s="7"/>
      <c r="M4" s="7"/>
      <c r="N4" s="7"/>
      <c r="O4" s="7"/>
      <c r="P4" s="127"/>
      <c r="Q4" s="7"/>
      <c r="R4" s="7"/>
      <c r="S4" s="7"/>
      <c r="T4" s="127"/>
      <c r="U4" s="7"/>
      <c r="V4" s="7"/>
      <c r="W4" s="127"/>
      <c r="X4" s="127"/>
      <c r="Y4" s="7"/>
      <c r="Z4" s="127"/>
      <c r="AA4" s="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5"/>
      <c r="BZ4" s="7"/>
      <c r="CA4" s="146"/>
      <c r="CB4" s="146"/>
    </row>
    <row r="5" spans="1:82" s="1016" customFormat="1" ht="18.600000000000001" customHeight="1">
      <c r="A5" s="1115" t="s">
        <v>182</v>
      </c>
      <c r="B5" s="1116"/>
      <c r="C5" s="1116"/>
      <c r="D5" s="1116"/>
      <c r="E5" s="1062"/>
      <c r="F5" s="1117" t="s">
        <v>4136</v>
      </c>
      <c r="G5" s="1062"/>
      <c r="H5" s="1062"/>
      <c r="I5" s="1118"/>
      <c r="J5" s="1118"/>
      <c r="K5" s="1118"/>
      <c r="L5" s="1118"/>
      <c r="M5" s="1118"/>
      <c r="N5" s="1118"/>
      <c r="O5" s="1118"/>
      <c r="P5" s="1119"/>
      <c r="Q5" s="1118"/>
      <c r="R5" s="1118"/>
      <c r="S5" s="1118"/>
      <c r="T5" s="1119"/>
      <c r="U5" s="1118"/>
      <c r="V5" s="1118"/>
      <c r="W5" s="1119"/>
      <c r="X5" s="1119"/>
      <c r="Y5" s="1118"/>
      <c r="Z5" s="1119"/>
      <c r="AA5" s="1118"/>
      <c r="AB5" s="1119"/>
      <c r="AC5" s="1119"/>
      <c r="AD5" s="1119"/>
      <c r="AE5" s="1119"/>
      <c r="AF5" s="1119"/>
      <c r="AG5" s="1119"/>
      <c r="AH5" s="1119"/>
      <c r="AI5" s="1119"/>
      <c r="AJ5" s="1119"/>
      <c r="AK5" s="1119"/>
      <c r="AL5" s="1119"/>
      <c r="AM5" s="1119"/>
      <c r="AN5" s="1119"/>
      <c r="AO5" s="1119"/>
      <c r="AP5" s="1119"/>
      <c r="AQ5" s="1118"/>
      <c r="AR5" s="1125"/>
      <c r="AS5" s="1118"/>
      <c r="AT5" s="1118"/>
      <c r="AU5" s="1118"/>
      <c r="AV5" s="1118"/>
      <c r="AW5" s="1118"/>
      <c r="AX5" s="1118"/>
      <c r="AY5" s="1118"/>
      <c r="AZ5" s="1118"/>
      <c r="BA5" s="1118"/>
      <c r="BB5" s="1118"/>
      <c r="BC5" s="1118"/>
      <c r="BD5" s="1118"/>
      <c r="BE5" s="1118"/>
      <c r="BF5" s="1118"/>
      <c r="BG5" s="1118"/>
      <c r="BH5" s="1118"/>
      <c r="BI5" s="1118"/>
      <c r="BJ5" s="1118"/>
      <c r="BK5" s="1118"/>
      <c r="BL5" s="1118"/>
      <c r="BM5" s="1118"/>
      <c r="BN5" s="1118"/>
      <c r="BO5" s="1118"/>
      <c r="BP5" s="1118"/>
      <c r="BQ5" s="1118"/>
      <c r="BR5" s="1118"/>
      <c r="BS5" s="1118"/>
      <c r="BT5" s="1118"/>
      <c r="BU5" s="1118"/>
      <c r="BV5" s="1118"/>
      <c r="BW5" s="1118"/>
      <c r="BX5" s="1118"/>
      <c r="BY5" s="1726">
        <f>B2</f>
        <v>42947</v>
      </c>
      <c r="CA5" s="1120"/>
      <c r="CB5" s="1120"/>
    </row>
    <row r="6" spans="1:82" s="1116" customFormat="1" ht="12">
      <c r="E6" s="1121" t="s">
        <v>4136</v>
      </c>
      <c r="F6" s="1117" t="s">
        <v>52</v>
      </c>
      <c r="G6" s="1122"/>
      <c r="H6" s="1123" t="s">
        <v>33</v>
      </c>
      <c r="I6" s="1123" t="s">
        <v>34</v>
      </c>
      <c r="J6" s="1123" t="s">
        <v>35</v>
      </c>
      <c r="K6" s="1124" t="s">
        <v>36</v>
      </c>
      <c r="L6" s="1124" t="s">
        <v>37</v>
      </c>
      <c r="M6" s="1124" t="s">
        <v>38</v>
      </c>
      <c r="N6" s="1124" t="s">
        <v>39</v>
      </c>
      <c r="O6" s="1124" t="s">
        <v>40</v>
      </c>
      <c r="P6" s="1125" t="s">
        <v>41</v>
      </c>
      <c r="Q6" s="1124" t="s">
        <v>42</v>
      </c>
      <c r="R6" s="1124" t="s">
        <v>43</v>
      </c>
      <c r="S6" s="1124" t="s">
        <v>44</v>
      </c>
      <c r="T6" s="1125" t="s">
        <v>98</v>
      </c>
      <c r="U6" s="1125" t="s">
        <v>34</v>
      </c>
      <c r="V6" s="1125" t="s">
        <v>35</v>
      </c>
      <c r="W6" s="1125" t="s">
        <v>36</v>
      </c>
      <c r="X6" s="1125" t="s">
        <v>37</v>
      </c>
      <c r="Y6" s="1125" t="s">
        <v>266</v>
      </c>
      <c r="Z6" s="1125" t="s">
        <v>291</v>
      </c>
      <c r="AA6" s="1125" t="s">
        <v>40</v>
      </c>
      <c r="AB6" s="1125" t="s">
        <v>41</v>
      </c>
      <c r="AC6" s="1125" t="s">
        <v>42</v>
      </c>
      <c r="AD6" s="1125" t="s">
        <v>43</v>
      </c>
      <c r="AE6" s="1125" t="s">
        <v>44</v>
      </c>
      <c r="AF6" s="1125" t="s">
        <v>552</v>
      </c>
      <c r="AG6" s="1125" t="s">
        <v>588</v>
      </c>
      <c r="AH6" s="1125" t="s">
        <v>632</v>
      </c>
      <c r="AI6" s="1125" t="s">
        <v>665</v>
      </c>
      <c r="AJ6" s="1125" t="s">
        <v>695</v>
      </c>
      <c r="AK6" s="1125" t="s">
        <v>757</v>
      </c>
      <c r="AL6" s="1125" t="s">
        <v>795</v>
      </c>
      <c r="AM6" s="1125" t="s">
        <v>823</v>
      </c>
      <c r="AN6" s="1125" t="s">
        <v>860</v>
      </c>
      <c r="AO6" s="1125" t="s">
        <v>899</v>
      </c>
      <c r="AP6" s="1125" t="s">
        <v>948</v>
      </c>
      <c r="AQ6" s="1125" t="s">
        <v>1013</v>
      </c>
      <c r="AR6" s="1125" t="s">
        <v>2648</v>
      </c>
      <c r="AS6" s="1125" t="s">
        <v>2649</v>
      </c>
      <c r="AT6" s="1125" t="s">
        <v>2650</v>
      </c>
      <c r="AU6" s="1125" t="s">
        <v>2651</v>
      </c>
      <c r="AV6" s="1125" t="s">
        <v>2652</v>
      </c>
      <c r="AW6" s="1125" t="s">
        <v>2653</v>
      </c>
      <c r="AX6" s="1125" t="s">
        <v>2654</v>
      </c>
      <c r="AY6" s="1125" t="s">
        <v>2655</v>
      </c>
      <c r="AZ6" s="1125" t="s">
        <v>2656</v>
      </c>
      <c r="BA6" s="1125" t="s">
        <v>2657</v>
      </c>
      <c r="BB6" s="1772">
        <v>42401</v>
      </c>
      <c r="BC6" s="1792">
        <v>42460</v>
      </c>
      <c r="BD6" s="1792">
        <v>42490</v>
      </c>
      <c r="BE6" s="1792">
        <v>42521</v>
      </c>
      <c r="BF6" s="1792">
        <v>42551</v>
      </c>
      <c r="BG6" s="1792">
        <v>42582</v>
      </c>
      <c r="BH6" s="1792">
        <v>42613</v>
      </c>
      <c r="BI6" s="1792">
        <v>42643</v>
      </c>
      <c r="BJ6" s="1792">
        <v>42674</v>
      </c>
      <c r="BK6" s="1792">
        <v>42704</v>
      </c>
      <c r="BL6" s="1792">
        <v>42735</v>
      </c>
      <c r="BM6" s="1772">
        <v>42766</v>
      </c>
      <c r="BN6" s="1772">
        <v>42794</v>
      </c>
      <c r="BO6" s="1772">
        <v>42825</v>
      </c>
      <c r="BP6" s="1772">
        <v>42855</v>
      </c>
      <c r="BQ6" s="1772">
        <v>42886</v>
      </c>
      <c r="BR6" s="1772">
        <v>42916</v>
      </c>
      <c r="BS6" s="1772">
        <v>42947</v>
      </c>
      <c r="BT6" s="1772">
        <v>42978</v>
      </c>
      <c r="BU6" s="1772">
        <v>43008</v>
      </c>
      <c r="BV6" s="1772">
        <v>43039</v>
      </c>
      <c r="BW6" s="1772">
        <v>43069</v>
      </c>
      <c r="BX6" s="1772">
        <v>43100</v>
      </c>
      <c r="BY6" s="1701" t="s">
        <v>2436</v>
      </c>
      <c r="BZ6" s="1126"/>
      <c r="CA6" s="1127"/>
      <c r="CB6" s="1725"/>
    </row>
    <row r="7" spans="1:82" s="1016" customFormat="1" ht="8.4499999999999993" customHeight="1">
      <c r="B7" s="1128"/>
      <c r="C7" s="1030"/>
      <c r="D7" s="1030"/>
      <c r="E7" s="1129"/>
      <c r="F7" s="1130"/>
      <c r="G7" s="1131"/>
      <c r="H7" s="1131"/>
      <c r="I7" s="1131"/>
      <c r="J7" s="1131"/>
      <c r="K7" s="1131"/>
      <c r="L7" s="1131"/>
      <c r="M7" s="1131"/>
      <c r="N7" s="1131"/>
      <c r="O7" s="1131"/>
      <c r="P7" s="1132"/>
      <c r="Q7" s="1131"/>
      <c r="R7" s="1131"/>
      <c r="S7" s="1131"/>
      <c r="T7" s="1132"/>
      <c r="U7" s="1132"/>
      <c r="V7" s="1132"/>
      <c r="W7" s="1132"/>
      <c r="X7" s="1132"/>
      <c r="Y7" s="1132"/>
      <c r="Z7" s="1132"/>
      <c r="AA7" s="1132"/>
      <c r="AB7" s="1132"/>
      <c r="AC7" s="1132"/>
      <c r="AD7" s="1132"/>
      <c r="AE7" s="1132"/>
      <c r="AF7" s="1132"/>
      <c r="AG7" s="1132"/>
      <c r="AH7" s="1132"/>
      <c r="AI7" s="1132"/>
      <c r="AJ7" s="1132"/>
      <c r="AK7" s="1132"/>
      <c r="AL7" s="1132"/>
      <c r="AM7" s="1132"/>
      <c r="AN7" s="1132"/>
      <c r="AO7" s="1132"/>
      <c r="AP7" s="1132"/>
      <c r="AQ7" s="1129"/>
      <c r="AR7" s="1129"/>
      <c r="AS7" s="1129"/>
      <c r="AT7" s="1129"/>
      <c r="AU7" s="1129"/>
      <c r="AV7" s="1129"/>
      <c r="AW7" s="1129"/>
      <c r="AX7" s="1129"/>
      <c r="AY7" s="1129"/>
      <c r="AZ7" s="1129"/>
      <c r="BA7" s="1129"/>
      <c r="BB7" s="1129"/>
      <c r="BC7" s="1129"/>
      <c r="BD7" s="1129"/>
      <c r="BE7" s="1129"/>
      <c r="BF7" s="1129"/>
      <c r="BG7" s="1129"/>
      <c r="BH7" s="1129"/>
      <c r="BI7" s="1129"/>
      <c r="BJ7" s="1129"/>
      <c r="BK7" s="1129"/>
      <c r="BL7" s="1129"/>
      <c r="BM7" s="1129"/>
      <c r="BN7" s="1129"/>
      <c r="BO7" s="1129"/>
      <c r="BP7" s="1129"/>
      <c r="BQ7" s="1129"/>
      <c r="BR7" s="1129"/>
      <c r="BS7" s="1129"/>
      <c r="BT7" s="1129"/>
      <c r="BU7" s="1129"/>
      <c r="BV7" s="1129"/>
      <c r="BW7" s="1129"/>
      <c r="BX7" s="1129"/>
      <c r="BY7" s="1130"/>
      <c r="BZ7" s="1133"/>
    </row>
    <row r="8" spans="1:82" s="1016" customFormat="1">
      <c r="B8" s="1139" t="s">
        <v>283</v>
      </c>
      <c r="C8" s="1134"/>
      <c r="D8" s="1135"/>
      <c r="E8" s="2049">
        <f>INDEX($BM$8:$BX$8,1,MATCH($B$2,$BM$6:$BX$6,0))</f>
        <v>7863</v>
      </c>
      <c r="F8" s="77">
        <f>Plan!C7</f>
        <v>11603.932911977012</v>
      </c>
      <c r="G8" s="1076"/>
      <c r="H8" s="1136"/>
      <c r="I8" s="1136"/>
      <c r="J8" s="1136"/>
      <c r="K8" s="1136" t="e">
        <f>#REF!</f>
        <v>#REF!</v>
      </c>
      <c r="L8" s="1136" t="e">
        <f>#REF!</f>
        <v>#REF!</v>
      </c>
      <c r="M8" s="1136" t="e">
        <f>#REF!</f>
        <v>#REF!</v>
      </c>
      <c r="N8" s="1136" t="e">
        <f>#REF!</f>
        <v>#REF!</v>
      </c>
      <c r="O8" s="1136" t="e">
        <f>#REF!</f>
        <v>#REF!</v>
      </c>
      <c r="P8" s="1137" t="e">
        <f>#REF!</f>
        <v>#REF!</v>
      </c>
      <c r="Q8" s="1136" t="e">
        <f>#REF!</f>
        <v>#REF!</v>
      </c>
      <c r="R8" s="1136" t="e">
        <f>#REF!</f>
        <v>#REF!</v>
      </c>
      <c r="S8" s="1136" t="e">
        <f>#REF!</f>
        <v>#REF!</v>
      </c>
      <c r="T8" s="1137">
        <f>Country!V7</f>
        <v>77</v>
      </c>
      <c r="U8" s="1137" t="e">
        <f>#REF!</f>
        <v>#REF!</v>
      </c>
      <c r="V8" s="1137">
        <f>Country!X7</f>
        <v>118</v>
      </c>
      <c r="W8" s="1137">
        <f>Country!Y7</f>
        <v>212</v>
      </c>
      <c r="X8" s="1137">
        <f>Country!Z7</f>
        <v>308</v>
      </c>
      <c r="Y8" s="1137">
        <f>Country!AA7</f>
        <v>376</v>
      </c>
      <c r="Z8" s="1137">
        <f>Country!AB7</f>
        <v>405</v>
      </c>
      <c r="AA8" s="1137">
        <f>Country!AC7</f>
        <v>452</v>
      </c>
      <c r="AB8" s="1137">
        <f>Country!AD7</f>
        <v>518</v>
      </c>
      <c r="AC8" s="1137">
        <f>Country!AE7</f>
        <v>571</v>
      </c>
      <c r="AD8" s="1137">
        <f>Country!AF7</f>
        <v>633</v>
      </c>
      <c r="AE8" s="1137">
        <f>Country!AG7</f>
        <v>783</v>
      </c>
      <c r="AF8" s="124">
        <f>Country!AH7</f>
        <v>767</v>
      </c>
      <c r="AG8" s="124">
        <f>Country!AI7</f>
        <v>708</v>
      </c>
      <c r="AH8" s="124">
        <f>Country!AJ7</f>
        <v>711</v>
      </c>
      <c r="AI8" s="124">
        <f>Country!AK7</f>
        <v>874</v>
      </c>
      <c r="AJ8" s="124">
        <f>Country!AL7</f>
        <v>995</v>
      </c>
      <c r="AK8" s="124">
        <f>Country!AM7</f>
        <v>1089</v>
      </c>
      <c r="AL8" s="124">
        <f>Country!AN7</f>
        <v>1143</v>
      </c>
      <c r="AM8" s="124">
        <f>Country!AO7</f>
        <v>1339</v>
      </c>
      <c r="AN8" s="124">
        <f>Country!AP7</f>
        <v>1493</v>
      </c>
      <c r="AO8" s="124">
        <f>Country!AQ7</f>
        <v>1633</v>
      </c>
      <c r="AP8" s="124">
        <f>Country!AR7</f>
        <v>1894</v>
      </c>
      <c r="AQ8" s="124">
        <f>Country!AS7</f>
        <v>2176</v>
      </c>
      <c r="AR8" s="124">
        <v>3135</v>
      </c>
      <c r="AS8" s="124">
        <v>3049</v>
      </c>
      <c r="AT8" s="124">
        <v>3106</v>
      </c>
      <c r="AU8" s="124">
        <v>3127</v>
      </c>
      <c r="AV8" s="124">
        <v>3315</v>
      </c>
      <c r="AW8" s="124">
        <v>3461</v>
      </c>
      <c r="AX8" s="124">
        <v>3650</v>
      </c>
      <c r="AY8" s="124">
        <v>4000</v>
      </c>
      <c r="AZ8" s="124">
        <v>4117</v>
      </c>
      <c r="BA8" s="124">
        <v>4158</v>
      </c>
      <c r="BB8" s="124">
        <v>4068</v>
      </c>
      <c r="BC8" s="124">
        <f>Country!BH45</f>
        <v>4327</v>
      </c>
      <c r="BD8" s="124">
        <f>Country!BI45</f>
        <v>4506</v>
      </c>
      <c r="BE8" s="124">
        <f>Country!BJ45</f>
        <v>4930</v>
      </c>
      <c r="BF8" s="124">
        <f>Country!BK45</f>
        <v>5821</v>
      </c>
      <c r="BG8" s="124">
        <f>Country!BL45</f>
        <v>6335</v>
      </c>
      <c r="BH8" s="124">
        <f>Country!BM45</f>
        <v>6970</v>
      </c>
      <c r="BI8" s="124">
        <f>Country!BN45</f>
        <v>7706</v>
      </c>
      <c r="BJ8" s="124">
        <f>Country!BO45</f>
        <v>8408</v>
      </c>
      <c r="BK8" s="124">
        <f>Country!BP45</f>
        <v>8627</v>
      </c>
      <c r="BL8" s="124">
        <f>Country!BQ45</f>
        <v>9845</v>
      </c>
      <c r="BM8" s="124">
        <f>Country!BR45</f>
        <v>10030</v>
      </c>
      <c r="BN8" s="124">
        <f>Country!BS45</f>
        <v>7676</v>
      </c>
      <c r="BO8" s="124">
        <f>Country!BT45</f>
        <v>7777</v>
      </c>
      <c r="BP8" s="124">
        <f>Country!BU45</f>
        <v>7057</v>
      </c>
      <c r="BQ8" s="124">
        <f>Country!BV45</f>
        <v>7380</v>
      </c>
      <c r="BR8" s="124">
        <f>Country!BW45</f>
        <v>8015</v>
      </c>
      <c r="BS8" s="124">
        <f>Country!BX45</f>
        <v>7863</v>
      </c>
      <c r="BT8" s="124">
        <f>Country!BY45</f>
        <v>0</v>
      </c>
      <c r="BU8" s="124">
        <f>Country!BZ45</f>
        <v>0</v>
      </c>
      <c r="BV8" s="124">
        <f>Country!CA45</f>
        <v>0</v>
      </c>
      <c r="BW8" s="124">
        <f>Country!CB45</f>
        <v>0</v>
      </c>
      <c r="BX8" s="124">
        <f>Country!CC45</f>
        <v>0</v>
      </c>
      <c r="BY8" s="1567">
        <f>Plan!$BO$7</f>
        <v>11603.932911977012</v>
      </c>
      <c r="BZ8" s="1138"/>
      <c r="CA8" s="138"/>
      <c r="CB8" s="138"/>
    </row>
    <row r="9" spans="1:82" s="1016" customFormat="1">
      <c r="B9" s="1139" t="s">
        <v>282</v>
      </c>
      <c r="C9" s="1140"/>
      <c r="D9" s="1135"/>
      <c r="E9" s="2051">
        <f>+E8-F8</f>
        <v>-3740.9329119770118</v>
      </c>
      <c r="F9" s="309">
        <f>+E8/F8</f>
        <v>0.67761508616481192</v>
      </c>
      <c r="G9" s="1076"/>
      <c r="H9" s="1136"/>
      <c r="I9" s="1136"/>
      <c r="J9" s="1136"/>
      <c r="K9" s="1135"/>
      <c r="L9" s="1135"/>
      <c r="M9" s="1135"/>
      <c r="N9" s="1135"/>
      <c r="O9" s="1135"/>
      <c r="P9" s="1135"/>
      <c r="Q9" s="1135"/>
      <c r="R9" s="1135"/>
      <c r="S9" s="1135"/>
      <c r="T9" s="1135"/>
      <c r="U9" s="1135"/>
      <c r="V9" s="1135"/>
      <c r="W9" s="1135"/>
      <c r="X9" s="1135"/>
      <c r="Y9" s="1135"/>
      <c r="Z9" s="1135"/>
      <c r="AA9" s="1135"/>
      <c r="AB9" s="1135"/>
      <c r="AC9" s="1135"/>
      <c r="AD9" s="1135"/>
      <c r="AE9" s="1135"/>
      <c r="AF9" s="1135"/>
      <c r="AG9" s="1135"/>
      <c r="AH9" s="1135"/>
      <c r="AI9" s="1135"/>
      <c r="AJ9" s="1135"/>
      <c r="AK9" s="1135"/>
      <c r="AL9" s="1135"/>
      <c r="AM9" s="1135"/>
      <c r="AN9" s="1135"/>
      <c r="AO9" s="1135"/>
      <c r="AP9" s="1135"/>
      <c r="AQ9" s="1141"/>
      <c r="AR9" s="1141"/>
      <c r="AS9" s="1141"/>
      <c r="AT9" s="1141"/>
      <c r="AU9" s="1141"/>
      <c r="AV9" s="1141"/>
      <c r="AW9" s="1141"/>
      <c r="AX9" s="1141"/>
      <c r="AY9" s="1141"/>
      <c r="AZ9" s="1141"/>
      <c r="BA9" s="1141"/>
      <c r="BB9" s="1141"/>
      <c r="BC9" s="1141"/>
      <c r="BD9" s="1141"/>
      <c r="BE9" s="1141"/>
      <c r="BF9" s="1141"/>
      <c r="BG9" s="1141"/>
      <c r="BH9" s="1141"/>
      <c r="BI9" s="1141"/>
      <c r="BJ9" s="1141"/>
      <c r="BK9" s="1141"/>
      <c r="BL9" s="1141"/>
      <c r="BM9" s="1141"/>
      <c r="BN9" s="1141"/>
      <c r="BO9" s="1141"/>
      <c r="BP9" s="1141"/>
      <c r="BQ9" s="1141"/>
      <c r="BR9" s="1141"/>
      <c r="BS9" s="1141"/>
      <c r="BT9" s="1141"/>
      <c r="BU9" s="1141"/>
      <c r="BV9" s="1141"/>
      <c r="BW9" s="1141"/>
      <c r="BX9" s="1141"/>
      <c r="BY9" s="1142"/>
      <c r="BZ9" s="1138"/>
    </row>
    <row r="10" spans="1:82" s="1016" customFormat="1">
      <c r="B10" s="1139" t="s">
        <v>8</v>
      </c>
      <c r="C10" s="1140"/>
      <c r="D10" s="1134"/>
      <c r="E10" s="2049">
        <f t="shared" ref="E10:E16" si="0">INDEX($BM10:$BX10,1,MATCH($B$2,$BM$6:$BX$6,0))</f>
        <v>6062</v>
      </c>
      <c r="F10" s="1142"/>
      <c r="G10" s="1076"/>
      <c r="H10" s="1136"/>
      <c r="I10" s="1136"/>
      <c r="J10" s="1136"/>
      <c r="K10" s="1136" t="e">
        <f>SUM(#REF!)</f>
        <v>#REF!</v>
      </c>
      <c r="L10" s="1136" t="e">
        <f>SUM(#REF!)</f>
        <v>#REF!</v>
      </c>
      <c r="M10" s="1136" t="e">
        <f>SUM(#REF!)</f>
        <v>#REF!</v>
      </c>
      <c r="N10" s="1136" t="e">
        <f>SUM(#REF!)</f>
        <v>#REF!</v>
      </c>
      <c r="O10" s="1136" t="e">
        <f>SUM(#REF!)</f>
        <v>#REF!</v>
      </c>
      <c r="P10" s="1137" t="e">
        <f>SUM(#REF!)</f>
        <v>#REF!</v>
      </c>
      <c r="Q10" s="1136" t="e">
        <f>SUM(#REF!)</f>
        <v>#REF!</v>
      </c>
      <c r="R10" s="1136" t="e">
        <f>SUM(#REF!)</f>
        <v>#REF!</v>
      </c>
      <c r="S10" s="1136" t="e">
        <f>SUM(#REF!)</f>
        <v>#REF!</v>
      </c>
      <c r="T10" s="162">
        <f>Country!V38</f>
        <v>58</v>
      </c>
      <c r="U10" s="162" t="e">
        <f>SUM(#REF!)</f>
        <v>#REF!</v>
      </c>
      <c r="V10" s="291">
        <f>Country!X38</f>
        <v>90</v>
      </c>
      <c r="W10" s="291">
        <f>Country!Y38</f>
        <v>134</v>
      </c>
      <c r="X10" s="291">
        <f>Country!Z38</f>
        <v>209</v>
      </c>
      <c r="Y10" s="291">
        <f>Country!AA38</f>
        <v>268</v>
      </c>
      <c r="Z10" s="291">
        <f>Country!AB38</f>
        <v>297</v>
      </c>
      <c r="AA10" s="291">
        <f>Country!AC38</f>
        <v>334</v>
      </c>
      <c r="AB10" s="291">
        <f>Country!AD38</f>
        <v>388</v>
      </c>
      <c r="AC10" s="291">
        <f>Country!AE38</f>
        <v>448</v>
      </c>
      <c r="AD10" s="291">
        <f>Country!AF38</f>
        <v>499</v>
      </c>
      <c r="AE10" s="291">
        <f>Country!AG38</f>
        <v>637</v>
      </c>
      <c r="AF10" s="1568">
        <f>Country!AH38</f>
        <v>610</v>
      </c>
      <c r="AG10" s="1568">
        <f>Country!AI38</f>
        <v>557</v>
      </c>
      <c r="AH10" s="1568">
        <f>Country!AJ38</f>
        <v>556</v>
      </c>
      <c r="AI10" s="1568">
        <f>Country!AK38</f>
        <v>685</v>
      </c>
      <c r="AJ10" s="1568">
        <f>Country!AL38</f>
        <v>770</v>
      </c>
      <c r="AK10" s="1568">
        <f>Country!AM38</f>
        <v>812</v>
      </c>
      <c r="AL10" s="1568">
        <f>Country!AN38</f>
        <v>858</v>
      </c>
      <c r="AM10" s="1568">
        <f>Country!AO38</f>
        <v>1018</v>
      </c>
      <c r="AN10" s="1568">
        <f>Country!AP38</f>
        <v>1132</v>
      </c>
      <c r="AO10" s="1568">
        <f>Country!AQ38</f>
        <v>1248</v>
      </c>
      <c r="AP10" s="1568">
        <f>Country!AR38</f>
        <v>1441</v>
      </c>
      <c r="AQ10" s="1568">
        <f>Country!AS38</f>
        <v>1637</v>
      </c>
      <c r="AR10" s="1568">
        <v>2320</v>
      </c>
      <c r="AS10" s="1568">
        <v>2186</v>
      </c>
      <c r="AT10" s="1568">
        <v>2260</v>
      </c>
      <c r="AU10" s="1568">
        <v>2280</v>
      </c>
      <c r="AV10" s="1568">
        <v>2477</v>
      </c>
      <c r="AW10" s="1568">
        <v>2545</v>
      </c>
      <c r="AX10" s="1568">
        <v>2682</v>
      </c>
      <c r="AY10" s="1568">
        <v>3001</v>
      </c>
      <c r="AZ10" s="1568">
        <v>3126</v>
      </c>
      <c r="BA10" s="1568">
        <v>3145</v>
      </c>
      <c r="BB10" s="1568">
        <v>3064</v>
      </c>
      <c r="BC10" s="1568">
        <f>Country!BH38</f>
        <v>3271</v>
      </c>
      <c r="BD10" s="1568">
        <f>Country!BI38</f>
        <v>3366</v>
      </c>
      <c r="BE10" s="1568">
        <f>Country!BJ38</f>
        <v>3707</v>
      </c>
      <c r="BF10" s="1568">
        <f>Country!BK38</f>
        <v>4496</v>
      </c>
      <c r="BG10" s="1568">
        <f>Country!BL38</f>
        <v>5001</v>
      </c>
      <c r="BH10" s="1568">
        <f>Country!BM38</f>
        <v>5521</v>
      </c>
      <c r="BI10" s="1568">
        <f>Country!BN38</f>
        <v>6102</v>
      </c>
      <c r="BJ10" s="1568">
        <f>Country!BO38</f>
        <v>6665</v>
      </c>
      <c r="BK10" s="1568">
        <f>Country!BP38</f>
        <v>6848</v>
      </c>
      <c r="BL10" s="1568">
        <f>Country!BQ38</f>
        <v>7861</v>
      </c>
      <c r="BM10" s="1568">
        <f>Country!BR38</f>
        <v>8036</v>
      </c>
      <c r="BN10" s="1568">
        <f>Country!BS38</f>
        <v>5563</v>
      </c>
      <c r="BO10" s="1568">
        <f>Country!BT38</f>
        <v>5661</v>
      </c>
      <c r="BP10" s="1568">
        <f>Country!BU38</f>
        <v>5110</v>
      </c>
      <c r="BQ10" s="1568">
        <f>Country!BV38</f>
        <v>5381</v>
      </c>
      <c r="BR10" s="1568">
        <f>Country!BW38</f>
        <v>6043</v>
      </c>
      <c r="BS10" s="1568">
        <f>Country!BX38</f>
        <v>6062</v>
      </c>
      <c r="BT10" s="1568">
        <f>Country!BY38</f>
        <v>0</v>
      </c>
      <c r="BU10" s="1568">
        <f>Country!BZ38</f>
        <v>0</v>
      </c>
      <c r="BV10" s="1568">
        <f>Country!CA38</f>
        <v>0</v>
      </c>
      <c r="BW10" s="1568">
        <f>Country!CB38</f>
        <v>0</v>
      </c>
      <c r="BX10" s="1568">
        <f>Country!CC38</f>
        <v>0</v>
      </c>
      <c r="BY10" s="1142"/>
      <c r="BZ10" s="1138"/>
      <c r="CA10" s="1144"/>
    </row>
    <row r="11" spans="1:82" s="1016" customFormat="1">
      <c r="B11" s="1139" t="s">
        <v>473</v>
      </c>
      <c r="C11" s="1140"/>
      <c r="D11" s="1134"/>
      <c r="E11" s="2049">
        <f t="shared" si="0"/>
        <v>429</v>
      </c>
      <c r="F11" s="1145" t="s">
        <v>379</v>
      </c>
      <c r="G11" s="1076"/>
      <c r="H11" s="1136"/>
      <c r="I11" s="1136"/>
      <c r="J11" s="1136"/>
      <c r="K11" s="1136"/>
      <c r="L11" s="1136"/>
      <c r="M11" s="1136"/>
      <c r="N11" s="1136"/>
      <c r="O11" s="1136"/>
      <c r="P11" s="1137"/>
      <c r="Q11" s="1136">
        <v>1</v>
      </c>
      <c r="R11" s="1136">
        <v>1</v>
      </c>
      <c r="S11" s="1136">
        <v>1</v>
      </c>
      <c r="T11" s="162">
        <f>Country!V39</f>
        <v>1</v>
      </c>
      <c r="U11" s="162">
        <v>1</v>
      </c>
      <c r="V11" s="291">
        <f>Country!X39</f>
        <v>1</v>
      </c>
      <c r="W11" s="291">
        <f>Country!Y39</f>
        <v>8</v>
      </c>
      <c r="X11" s="291">
        <f>Country!Z39</f>
        <v>8</v>
      </c>
      <c r="Y11" s="291">
        <f>Country!AA39</f>
        <v>8</v>
      </c>
      <c r="Z11" s="291">
        <f>Country!AB39</f>
        <v>12</v>
      </c>
      <c r="AA11" s="291">
        <f>Country!AC39</f>
        <v>14</v>
      </c>
      <c r="AB11" s="291">
        <f>Country!AD39</f>
        <v>11</v>
      </c>
      <c r="AC11" s="291">
        <f>Country!AE39</f>
        <v>11</v>
      </c>
      <c r="AD11" s="291">
        <f>Country!AF39</f>
        <v>14</v>
      </c>
      <c r="AE11" s="291">
        <f>Country!AG39</f>
        <v>20</v>
      </c>
      <c r="AF11" s="291">
        <f>Country!AH39</f>
        <v>32</v>
      </c>
      <c r="AG11" s="291">
        <f>Country!AI39</f>
        <v>35</v>
      </c>
      <c r="AH11" s="291">
        <f>Country!AJ39</f>
        <v>38</v>
      </c>
      <c r="AI11" s="291">
        <f>Country!AK39</f>
        <v>33</v>
      </c>
      <c r="AJ11" s="291">
        <f>Country!AL39</f>
        <v>32</v>
      </c>
      <c r="AK11" s="291">
        <f>Country!AM39</f>
        <v>28</v>
      </c>
      <c r="AL11" s="291">
        <f>Country!AN39</f>
        <v>28</v>
      </c>
      <c r="AM11" s="291">
        <f>Country!AO39</f>
        <v>32</v>
      </c>
      <c r="AN11" s="291">
        <f>Country!AP39</f>
        <v>38</v>
      </c>
      <c r="AO11" s="291">
        <f>Country!AQ39</f>
        <v>39</v>
      </c>
      <c r="AP11" s="291">
        <f>Country!AR39</f>
        <v>52</v>
      </c>
      <c r="AQ11" s="291">
        <f>Country!AS39</f>
        <v>76</v>
      </c>
      <c r="AR11" s="291">
        <v>134</v>
      </c>
      <c r="AS11" s="291">
        <v>138</v>
      </c>
      <c r="AT11" s="291">
        <v>123</v>
      </c>
      <c r="AU11" s="291">
        <v>108</v>
      </c>
      <c r="AV11" s="291">
        <v>102</v>
      </c>
      <c r="AW11" s="291">
        <v>102</v>
      </c>
      <c r="AX11" s="291">
        <v>118</v>
      </c>
      <c r="AY11" s="291">
        <v>133</v>
      </c>
      <c r="AZ11" s="291">
        <v>137</v>
      </c>
      <c r="BA11" s="291">
        <v>145</v>
      </c>
      <c r="BB11" s="291">
        <v>157</v>
      </c>
      <c r="BC11" s="291">
        <f>Country!BH39</f>
        <v>171</v>
      </c>
      <c r="BD11" s="291">
        <f>Country!BI39</f>
        <v>204</v>
      </c>
      <c r="BE11" s="291">
        <f>Country!BJ39</f>
        <v>209</v>
      </c>
      <c r="BF11" s="291">
        <f>Country!BK39</f>
        <v>201</v>
      </c>
      <c r="BG11" s="291">
        <f>Country!BL39</f>
        <v>208</v>
      </c>
      <c r="BH11" s="291">
        <f>Country!BM39</f>
        <v>238</v>
      </c>
      <c r="BI11" s="291">
        <f>Country!BN39</f>
        <v>261</v>
      </c>
      <c r="BJ11" s="291">
        <f>Country!BO39</f>
        <v>285</v>
      </c>
      <c r="BK11" s="291">
        <f>Country!BP39</f>
        <v>279</v>
      </c>
      <c r="BL11" s="291">
        <f>Country!BQ39</f>
        <v>321</v>
      </c>
      <c r="BM11" s="291">
        <f>Country!BR39</f>
        <v>338</v>
      </c>
      <c r="BN11" s="291">
        <f>Country!BS39</f>
        <v>369</v>
      </c>
      <c r="BO11" s="291">
        <f>Country!BT39</f>
        <v>412</v>
      </c>
      <c r="BP11" s="291">
        <f>Country!BU39</f>
        <v>426</v>
      </c>
      <c r="BQ11" s="291">
        <f>Country!BV39</f>
        <v>459</v>
      </c>
      <c r="BR11" s="291">
        <f>Country!BW39</f>
        <v>467</v>
      </c>
      <c r="BS11" s="291">
        <f>Country!BX39</f>
        <v>429</v>
      </c>
      <c r="BT11" s="291">
        <f>Country!BY39</f>
        <v>0</v>
      </c>
      <c r="BU11" s="291">
        <f>Country!BZ39</f>
        <v>0</v>
      </c>
      <c r="BV11" s="291">
        <f>Country!CA39</f>
        <v>0</v>
      </c>
      <c r="BW11" s="291">
        <f>Country!CB39</f>
        <v>0</v>
      </c>
      <c r="BX11" s="291">
        <f>Country!CC39</f>
        <v>0</v>
      </c>
      <c r="BY11" s="1142"/>
      <c r="BZ11" s="1138"/>
    </row>
    <row r="12" spans="1:82" s="1016" customFormat="1">
      <c r="B12" s="1139" t="s">
        <v>9</v>
      </c>
      <c r="C12" s="1140"/>
      <c r="D12" s="1134"/>
      <c r="E12" s="2049">
        <f t="shared" si="0"/>
        <v>861</v>
      </c>
      <c r="F12" s="2047">
        <f>E12/SUM($E$12:$E$15)</f>
        <v>0.62755102040816324</v>
      </c>
      <c r="G12" s="1076"/>
      <c r="H12" s="1136"/>
      <c r="I12" s="1136"/>
      <c r="J12" s="1136"/>
      <c r="K12" s="1136" t="e">
        <f>#REF!</f>
        <v>#REF!</v>
      </c>
      <c r="L12" s="1136" t="e">
        <f>#REF!</f>
        <v>#REF!</v>
      </c>
      <c r="M12" s="1136" t="e">
        <f>#REF!</f>
        <v>#REF!</v>
      </c>
      <c r="N12" s="1136" t="e">
        <f>#REF!</f>
        <v>#REF!</v>
      </c>
      <c r="O12" s="1136" t="e">
        <f>#REF!</f>
        <v>#REF!</v>
      </c>
      <c r="P12" s="1137" t="e">
        <f>#REF!</f>
        <v>#REF!</v>
      </c>
      <c r="Q12" s="1136" t="e">
        <f>#REF!-Q11</f>
        <v>#REF!</v>
      </c>
      <c r="R12" s="1136" t="e">
        <f>#REF!-R11</f>
        <v>#REF!</v>
      </c>
      <c r="S12" s="1136" t="e">
        <f>#REF!-S11</f>
        <v>#REF!</v>
      </c>
      <c r="T12" s="162">
        <f>Country!V40</f>
        <v>18</v>
      </c>
      <c r="U12" s="162" t="e">
        <f>#REF!-U11</f>
        <v>#REF!</v>
      </c>
      <c r="V12" s="291">
        <f>Country!X40</f>
        <v>23</v>
      </c>
      <c r="W12" s="291">
        <f>Country!Y40</f>
        <v>46</v>
      </c>
      <c r="X12" s="291">
        <f>Country!Z40</f>
        <v>61</v>
      </c>
      <c r="Y12" s="291">
        <f>Country!AA40</f>
        <v>69</v>
      </c>
      <c r="Z12" s="291">
        <f>Country!AB40</f>
        <v>62</v>
      </c>
      <c r="AA12" s="291">
        <f>Country!AC40</f>
        <v>69</v>
      </c>
      <c r="AB12" s="291">
        <f>Country!AD40</f>
        <v>82</v>
      </c>
      <c r="AC12" s="291">
        <f>Country!AE40</f>
        <v>78</v>
      </c>
      <c r="AD12" s="291">
        <f>Country!AF40</f>
        <v>82</v>
      </c>
      <c r="AE12" s="291">
        <f>Country!AG40</f>
        <v>87</v>
      </c>
      <c r="AF12" s="291">
        <f>Country!AH40</f>
        <v>86</v>
      </c>
      <c r="AG12" s="291">
        <f>Country!AI40</f>
        <v>79</v>
      </c>
      <c r="AH12" s="291">
        <f>Country!AJ40</f>
        <v>78</v>
      </c>
      <c r="AI12" s="291">
        <f>Country!AK40</f>
        <v>108</v>
      </c>
      <c r="AJ12" s="291">
        <f>Country!AL40</f>
        <v>131</v>
      </c>
      <c r="AK12" s="291">
        <f>Country!AM40</f>
        <v>166</v>
      </c>
      <c r="AL12" s="291">
        <f>Country!AN40</f>
        <v>167</v>
      </c>
      <c r="AM12" s="291">
        <f>Country!AO40</f>
        <v>188</v>
      </c>
      <c r="AN12" s="291">
        <f>Country!AP40</f>
        <v>212</v>
      </c>
      <c r="AO12" s="291">
        <f>Country!AQ40</f>
        <v>224</v>
      </c>
      <c r="AP12" s="291">
        <f>Country!AR40</f>
        <v>259</v>
      </c>
      <c r="AQ12" s="291">
        <f>Country!AS40</f>
        <v>298</v>
      </c>
      <c r="AR12" s="291">
        <v>435</v>
      </c>
      <c r="AS12" s="291">
        <v>465</v>
      </c>
      <c r="AT12" s="291">
        <v>455</v>
      </c>
      <c r="AU12" s="291">
        <v>469</v>
      </c>
      <c r="AV12" s="291">
        <v>471</v>
      </c>
      <c r="AW12" s="291">
        <v>526</v>
      </c>
      <c r="AX12" s="291">
        <v>552</v>
      </c>
      <c r="AY12" s="291">
        <v>570</v>
      </c>
      <c r="AZ12" s="291">
        <v>560</v>
      </c>
      <c r="BA12" s="291">
        <v>562</v>
      </c>
      <c r="BB12" s="291">
        <v>542</v>
      </c>
      <c r="BC12" s="291">
        <f>Country!BH40</f>
        <v>565</v>
      </c>
      <c r="BD12" s="291">
        <f>Country!BI40</f>
        <v>595</v>
      </c>
      <c r="BE12" s="291">
        <f>Country!BJ40</f>
        <v>652</v>
      </c>
      <c r="BF12" s="291">
        <f>Country!BK40</f>
        <v>728</v>
      </c>
      <c r="BG12" s="291">
        <f>Country!BL40</f>
        <v>719</v>
      </c>
      <c r="BH12" s="291">
        <f>Country!BM40</f>
        <v>784</v>
      </c>
      <c r="BI12" s="291">
        <f>Country!BN40</f>
        <v>867</v>
      </c>
      <c r="BJ12" s="291">
        <f>Country!BO40</f>
        <v>953</v>
      </c>
      <c r="BK12" s="291">
        <f>Country!BP40</f>
        <v>987</v>
      </c>
      <c r="BL12" s="291">
        <f>Country!BQ40</f>
        <v>1093</v>
      </c>
      <c r="BM12" s="291">
        <f>Country!BR40</f>
        <v>1078</v>
      </c>
      <c r="BN12" s="291">
        <f>Country!BS40</f>
        <v>1137</v>
      </c>
      <c r="BO12" s="291">
        <f>Country!BT40</f>
        <v>1116</v>
      </c>
      <c r="BP12" s="291">
        <f>Country!BU40</f>
        <v>938</v>
      </c>
      <c r="BQ12" s="291">
        <f>Country!BV40</f>
        <v>955</v>
      </c>
      <c r="BR12" s="291">
        <f>Country!BW40</f>
        <v>950</v>
      </c>
      <c r="BS12" s="291">
        <f>Country!BX40</f>
        <v>861</v>
      </c>
      <c r="BT12" s="291">
        <f>Country!BY40</f>
        <v>0</v>
      </c>
      <c r="BU12" s="291">
        <f>Country!BZ40</f>
        <v>0</v>
      </c>
      <c r="BV12" s="291">
        <f>Country!CA40</f>
        <v>0</v>
      </c>
      <c r="BW12" s="291">
        <f>Country!CB40</f>
        <v>0</v>
      </c>
      <c r="BX12" s="291">
        <f>Country!CC40</f>
        <v>0</v>
      </c>
      <c r="BY12" s="1142"/>
      <c r="BZ12" s="1138"/>
    </row>
    <row r="13" spans="1:82" s="1016" customFormat="1">
      <c r="B13" s="1139" t="s">
        <v>195</v>
      </c>
      <c r="C13" s="1140"/>
      <c r="D13" s="1134"/>
      <c r="E13" s="2049">
        <f t="shared" si="0"/>
        <v>333</v>
      </c>
      <c r="F13" s="2047">
        <f>E13/SUM($E$12:$E$15)</f>
        <v>0.24271137026239067</v>
      </c>
      <c r="G13" s="1076"/>
      <c r="H13" s="1146"/>
      <c r="I13" s="1146"/>
      <c r="J13" s="1146"/>
      <c r="K13" s="1136"/>
      <c r="L13" s="1136"/>
      <c r="M13" s="1136"/>
      <c r="N13" s="1136"/>
      <c r="O13" s="1136"/>
      <c r="P13" s="1137"/>
      <c r="Q13" s="1136"/>
      <c r="R13" s="1136"/>
      <c r="S13" s="1136"/>
      <c r="T13" s="162">
        <f>Country!V41</f>
        <v>0</v>
      </c>
      <c r="U13" s="162">
        <f>Country!W41</f>
        <v>0</v>
      </c>
      <c r="V13" s="291">
        <f>Country!X41</f>
        <v>3</v>
      </c>
      <c r="W13" s="291">
        <f>Country!Y41</f>
        <v>13</v>
      </c>
      <c r="X13" s="291">
        <f>Country!Z41</f>
        <v>18</v>
      </c>
      <c r="Y13" s="291">
        <f>Country!AA41</f>
        <v>19</v>
      </c>
      <c r="Z13" s="291">
        <f>Country!AB41</f>
        <v>22</v>
      </c>
      <c r="AA13" s="291">
        <f>Country!AC41</f>
        <v>22</v>
      </c>
      <c r="AB13" s="291">
        <f>Country!AD41</f>
        <v>23</v>
      </c>
      <c r="AC13" s="291">
        <f>Country!AE41</f>
        <v>19</v>
      </c>
      <c r="AD13" s="291">
        <f>Country!AF41</f>
        <v>22</v>
      </c>
      <c r="AE13" s="291">
        <f>Country!AG41</f>
        <v>22</v>
      </c>
      <c r="AF13" s="291">
        <f>Country!AH41</f>
        <v>22</v>
      </c>
      <c r="AG13" s="291">
        <f>Country!AI41</f>
        <v>20</v>
      </c>
      <c r="AH13" s="291">
        <f>Country!AJ41</f>
        <v>19</v>
      </c>
      <c r="AI13" s="291">
        <f>Country!AK41</f>
        <v>28</v>
      </c>
      <c r="AJ13" s="291">
        <f>Country!AL41</f>
        <v>34</v>
      </c>
      <c r="AK13" s="291">
        <f>Country!AM41</f>
        <v>44</v>
      </c>
      <c r="AL13" s="291">
        <f>Country!AN41</f>
        <v>51</v>
      </c>
      <c r="AM13" s="291">
        <f>Country!AO41</f>
        <v>59</v>
      </c>
      <c r="AN13" s="291">
        <f>Country!AP41</f>
        <v>66</v>
      </c>
      <c r="AO13" s="291">
        <f>Country!AQ41</f>
        <v>73</v>
      </c>
      <c r="AP13" s="291">
        <f>Country!AR41</f>
        <v>86</v>
      </c>
      <c r="AQ13" s="291">
        <f>Country!AS41</f>
        <v>97</v>
      </c>
      <c r="AR13" s="291">
        <v>152</v>
      </c>
      <c r="AS13" s="291">
        <v>162</v>
      </c>
      <c r="AT13" s="291">
        <v>170</v>
      </c>
      <c r="AU13" s="291">
        <v>178</v>
      </c>
      <c r="AV13" s="291">
        <v>175</v>
      </c>
      <c r="AW13" s="291">
        <v>191</v>
      </c>
      <c r="AX13" s="291">
        <v>200</v>
      </c>
      <c r="AY13" s="291">
        <v>198</v>
      </c>
      <c r="AZ13" s="291">
        <v>198</v>
      </c>
      <c r="BA13" s="291">
        <v>204</v>
      </c>
      <c r="BB13" s="291">
        <v>205</v>
      </c>
      <c r="BC13" s="291">
        <f>Country!BH41</f>
        <v>216</v>
      </c>
      <c r="BD13" s="291">
        <f>Country!BI41</f>
        <v>235</v>
      </c>
      <c r="BE13" s="291">
        <f>Country!BJ41</f>
        <v>255</v>
      </c>
      <c r="BF13" s="291">
        <f>Country!BK41</f>
        <v>276</v>
      </c>
      <c r="BG13" s="291">
        <f>Country!BL41</f>
        <v>282</v>
      </c>
      <c r="BH13" s="291">
        <f>Country!BM41</f>
        <v>297</v>
      </c>
      <c r="BI13" s="291">
        <f>Country!BN41</f>
        <v>326</v>
      </c>
      <c r="BJ13" s="291">
        <f>Country!BO41</f>
        <v>340</v>
      </c>
      <c r="BK13" s="291">
        <f>Country!BP41</f>
        <v>346</v>
      </c>
      <c r="BL13" s="291">
        <f>Country!BQ41</f>
        <v>393</v>
      </c>
      <c r="BM13" s="291">
        <f>Country!BR41</f>
        <v>398</v>
      </c>
      <c r="BN13" s="291">
        <f>Country!BS41</f>
        <v>410</v>
      </c>
      <c r="BO13" s="291">
        <f>Country!BT41</f>
        <v>393</v>
      </c>
      <c r="BP13" s="291">
        <f>Country!BU41</f>
        <v>385</v>
      </c>
      <c r="BQ13" s="291">
        <f>Country!BV41</f>
        <v>385</v>
      </c>
      <c r="BR13" s="291">
        <f>Country!BW41</f>
        <v>359</v>
      </c>
      <c r="BS13" s="291">
        <f>Country!BX41</f>
        <v>333</v>
      </c>
      <c r="BT13" s="291">
        <f>Country!BY41</f>
        <v>0</v>
      </c>
      <c r="BU13" s="291">
        <f>Country!BZ41</f>
        <v>0</v>
      </c>
      <c r="BV13" s="291">
        <f>Country!CA41</f>
        <v>0</v>
      </c>
      <c r="BW13" s="291">
        <f>Country!CB41</f>
        <v>0</v>
      </c>
      <c r="BX13" s="291">
        <f>Country!CC41</f>
        <v>0</v>
      </c>
      <c r="BY13" s="1142"/>
      <c r="BZ13" s="1138"/>
    </row>
    <row r="14" spans="1:82" s="1016" customFormat="1">
      <c r="B14" s="1139" t="s">
        <v>117</v>
      </c>
      <c r="C14" s="1140"/>
      <c r="D14" s="1134"/>
      <c r="E14" s="2049">
        <f t="shared" si="0"/>
        <v>114</v>
      </c>
      <c r="F14" s="2047">
        <f>E14/SUM($E$12:$E$15)</f>
        <v>8.3090379008746357E-2</v>
      </c>
      <c r="G14" s="1076"/>
      <c r="H14" s="1146"/>
      <c r="I14" s="1146"/>
      <c r="J14" s="1146"/>
      <c r="K14" s="161">
        <v>0</v>
      </c>
      <c r="L14" s="161">
        <v>0</v>
      </c>
      <c r="M14" s="161">
        <v>0</v>
      </c>
      <c r="N14" s="161">
        <v>0</v>
      </c>
      <c r="O14" s="161">
        <v>0</v>
      </c>
      <c r="P14" s="162">
        <v>0</v>
      </c>
      <c r="Q14" s="161">
        <v>0</v>
      </c>
      <c r="R14" s="161">
        <v>0</v>
      </c>
      <c r="S14" s="161">
        <v>0</v>
      </c>
      <c r="T14" s="162">
        <f>Country!V52</f>
        <v>0</v>
      </c>
      <c r="U14" s="162">
        <v>0</v>
      </c>
      <c r="V14" s="291">
        <f>Country!X42</f>
        <v>1</v>
      </c>
      <c r="W14" s="291">
        <f>Country!Y42</f>
        <v>11</v>
      </c>
      <c r="X14" s="291">
        <f>Country!Z42</f>
        <v>12</v>
      </c>
      <c r="Y14" s="291">
        <f>Country!AA42</f>
        <v>12</v>
      </c>
      <c r="Z14" s="291">
        <f>Country!AB42</f>
        <v>12</v>
      </c>
      <c r="AA14" s="291">
        <f>Country!AC42</f>
        <v>13</v>
      </c>
      <c r="AB14" s="291">
        <f>Country!AD42</f>
        <v>14</v>
      </c>
      <c r="AC14" s="291">
        <f>Country!AE42</f>
        <v>15</v>
      </c>
      <c r="AD14" s="291">
        <f>Country!AF42</f>
        <v>16</v>
      </c>
      <c r="AE14" s="291">
        <f>Country!AG42</f>
        <v>17</v>
      </c>
      <c r="AF14" s="291">
        <f>Country!AH42</f>
        <v>17</v>
      </c>
      <c r="AG14" s="291">
        <f>Country!AI42</f>
        <v>17</v>
      </c>
      <c r="AH14" s="291">
        <f>Country!AJ42</f>
        <v>20</v>
      </c>
      <c r="AI14" s="291">
        <f>Country!AK42</f>
        <v>20</v>
      </c>
      <c r="AJ14" s="291">
        <f>Country!AL42</f>
        <v>28</v>
      </c>
      <c r="AK14" s="291">
        <f>Country!AM42</f>
        <v>35</v>
      </c>
      <c r="AL14" s="291">
        <f>Country!AN42</f>
        <v>35</v>
      </c>
      <c r="AM14" s="291">
        <f>Country!AO42</f>
        <v>37</v>
      </c>
      <c r="AN14" s="291">
        <f>Country!AP42</f>
        <v>38</v>
      </c>
      <c r="AO14" s="291">
        <f>Country!AQ42</f>
        <v>41</v>
      </c>
      <c r="AP14" s="291">
        <f>Country!AR42</f>
        <v>47</v>
      </c>
      <c r="AQ14" s="291">
        <f>Country!AS42</f>
        <v>58</v>
      </c>
      <c r="AR14" s="291">
        <v>76</v>
      </c>
      <c r="AS14" s="291">
        <v>77</v>
      </c>
      <c r="AT14" s="291">
        <v>76</v>
      </c>
      <c r="AU14" s="291">
        <v>75</v>
      </c>
      <c r="AV14" s="291">
        <v>71</v>
      </c>
      <c r="AW14" s="291">
        <v>72</v>
      </c>
      <c r="AX14" s="291">
        <v>72</v>
      </c>
      <c r="AY14" s="291">
        <v>68</v>
      </c>
      <c r="AZ14" s="291">
        <v>68</v>
      </c>
      <c r="BA14" s="291">
        <v>70</v>
      </c>
      <c r="BB14" s="291">
        <v>67</v>
      </c>
      <c r="BC14" s="291">
        <f>Country!BH42</f>
        <v>68</v>
      </c>
      <c r="BD14" s="291">
        <f>Country!BI42</f>
        <v>68</v>
      </c>
      <c r="BE14" s="291">
        <f>Country!BJ42</f>
        <v>69</v>
      </c>
      <c r="BF14" s="291">
        <f>Country!BK42</f>
        <v>76</v>
      </c>
      <c r="BG14" s="291">
        <f>Country!BL42</f>
        <v>78</v>
      </c>
      <c r="BH14" s="291">
        <f>Country!BM42</f>
        <v>80</v>
      </c>
      <c r="BI14" s="291">
        <f>Country!BN42</f>
        <v>94</v>
      </c>
      <c r="BJ14" s="291">
        <f>Country!BO42</f>
        <v>105</v>
      </c>
      <c r="BK14" s="291">
        <f>Country!BP42</f>
        <v>106</v>
      </c>
      <c r="BL14" s="291">
        <f>Country!BQ42</f>
        <v>109</v>
      </c>
      <c r="BM14" s="291">
        <f>Country!BR42</f>
        <v>111</v>
      </c>
      <c r="BN14" s="291">
        <f>Country!BS42</f>
        <v>123</v>
      </c>
      <c r="BO14" s="291">
        <f>Country!BT42</f>
        <v>122</v>
      </c>
      <c r="BP14" s="291">
        <f>Country!BU42</f>
        <v>124</v>
      </c>
      <c r="BQ14" s="291">
        <f>Country!BV42</f>
        <v>124</v>
      </c>
      <c r="BR14" s="291">
        <f>Country!BW42</f>
        <v>122</v>
      </c>
      <c r="BS14" s="291">
        <f>Country!BX42</f>
        <v>114</v>
      </c>
      <c r="BT14" s="291">
        <f>Country!BY42</f>
        <v>0</v>
      </c>
      <c r="BU14" s="291">
        <f>Country!BZ42</f>
        <v>0</v>
      </c>
      <c r="BV14" s="291">
        <f>Country!CA42</f>
        <v>0</v>
      </c>
      <c r="BW14" s="291">
        <f>Country!CB42</f>
        <v>0</v>
      </c>
      <c r="BX14" s="291">
        <f>Country!CC42</f>
        <v>0</v>
      </c>
      <c r="BY14" s="1142"/>
      <c r="BZ14" s="1138"/>
    </row>
    <row r="15" spans="1:82" s="1016" customFormat="1">
      <c r="B15" s="1139" t="s">
        <v>740</v>
      </c>
      <c r="C15" s="1140"/>
      <c r="D15" s="1134"/>
      <c r="E15" s="2049">
        <f t="shared" si="0"/>
        <v>64</v>
      </c>
      <c r="F15" s="2047">
        <f>E15/SUM($E$12:$E$15)</f>
        <v>4.6647230320699708E-2</v>
      </c>
      <c r="G15" s="1076"/>
      <c r="H15" s="1146"/>
      <c r="I15" s="1146"/>
      <c r="J15" s="1146"/>
      <c r="K15" s="161"/>
      <c r="L15" s="161"/>
      <c r="M15" s="161"/>
      <c r="N15" s="161"/>
      <c r="O15" s="161"/>
      <c r="P15" s="162"/>
      <c r="Q15" s="161"/>
      <c r="R15" s="161"/>
      <c r="S15" s="161"/>
      <c r="T15" s="162"/>
      <c r="U15" s="162"/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91"/>
      <c r="AJ15" s="291"/>
      <c r="AK15" s="291">
        <f>Country!AM43</f>
        <v>4</v>
      </c>
      <c r="AL15" s="291">
        <f>Country!AN43</f>
        <v>4</v>
      </c>
      <c r="AM15" s="291">
        <f>Country!AO43</f>
        <v>5</v>
      </c>
      <c r="AN15" s="291">
        <f>Country!AP43</f>
        <v>7</v>
      </c>
      <c r="AO15" s="291">
        <f>Country!AQ43</f>
        <v>8</v>
      </c>
      <c r="AP15" s="291">
        <f>Country!AR43</f>
        <v>9</v>
      </c>
      <c r="AQ15" s="291">
        <f>Country!AS43</f>
        <v>10</v>
      </c>
      <c r="AR15" s="291">
        <v>18</v>
      </c>
      <c r="AS15" s="291">
        <v>21</v>
      </c>
      <c r="AT15" s="291">
        <v>22</v>
      </c>
      <c r="AU15" s="291">
        <v>25</v>
      </c>
      <c r="AV15" s="291">
        <v>27</v>
      </c>
      <c r="AW15" s="291">
        <v>30</v>
      </c>
      <c r="AX15" s="291">
        <v>30</v>
      </c>
      <c r="AY15" s="291">
        <v>30</v>
      </c>
      <c r="AZ15" s="291">
        <v>31</v>
      </c>
      <c r="BA15" s="291">
        <v>32</v>
      </c>
      <c r="BB15" s="291">
        <v>33</v>
      </c>
      <c r="BC15" s="291">
        <f>Country!BH43</f>
        <v>36</v>
      </c>
      <c r="BD15" s="291">
        <f>Country!BI43</f>
        <v>38</v>
      </c>
      <c r="BE15" s="291">
        <f>Country!BJ43</f>
        <v>38</v>
      </c>
      <c r="BF15" s="291">
        <f>Country!BK43</f>
        <v>44</v>
      </c>
      <c r="BG15" s="291">
        <f>Country!BL43</f>
        <v>47</v>
      </c>
      <c r="BH15" s="291">
        <f>Country!BM43</f>
        <v>50</v>
      </c>
      <c r="BI15" s="291">
        <f>Country!BN43</f>
        <v>56</v>
      </c>
      <c r="BJ15" s="291">
        <f>Country!BO43</f>
        <v>60</v>
      </c>
      <c r="BK15" s="291">
        <f>Country!BP43</f>
        <v>61</v>
      </c>
      <c r="BL15" s="291">
        <f>Country!BQ43</f>
        <v>68</v>
      </c>
      <c r="BM15" s="291">
        <f>Country!BR43</f>
        <v>69</v>
      </c>
      <c r="BN15" s="291">
        <f>Country!BS43</f>
        <v>74</v>
      </c>
      <c r="BO15" s="291">
        <f>Country!BT43</f>
        <v>73</v>
      </c>
      <c r="BP15" s="291">
        <f>Country!BU43</f>
        <v>74</v>
      </c>
      <c r="BQ15" s="291">
        <f>Country!BV43</f>
        <v>76</v>
      </c>
      <c r="BR15" s="291">
        <f>Country!BW43</f>
        <v>74</v>
      </c>
      <c r="BS15" s="291">
        <f>Country!BX43</f>
        <v>64</v>
      </c>
      <c r="BT15" s="291">
        <f>Country!BY43</f>
        <v>0</v>
      </c>
      <c r="BU15" s="291">
        <f>Country!BZ43</f>
        <v>0</v>
      </c>
      <c r="BV15" s="291">
        <f>Country!CA43</f>
        <v>0</v>
      </c>
      <c r="BW15" s="291">
        <f>Country!CB43</f>
        <v>0</v>
      </c>
      <c r="BX15" s="291">
        <f>Country!CC43</f>
        <v>0</v>
      </c>
      <c r="BY15" s="1142"/>
      <c r="BZ15" s="1138"/>
    </row>
    <row r="16" spans="1:82" s="1016" customFormat="1">
      <c r="B16" s="1139"/>
      <c r="C16" s="1140" t="s">
        <v>4209</v>
      </c>
      <c r="D16" s="1134"/>
      <c r="E16" s="2049">
        <f t="shared" si="0"/>
        <v>5854</v>
      </c>
      <c r="F16" s="2047"/>
      <c r="G16" s="1076"/>
      <c r="H16" s="1146"/>
      <c r="I16" s="1146"/>
      <c r="J16" s="1146"/>
      <c r="K16" s="2214"/>
      <c r="L16" s="2214"/>
      <c r="M16" s="2214"/>
      <c r="N16" s="2214"/>
      <c r="O16" s="2214"/>
      <c r="P16" s="2215"/>
      <c r="Q16" s="2214"/>
      <c r="R16" s="2214"/>
      <c r="S16" s="2214"/>
      <c r="T16" s="2215"/>
      <c r="U16" s="2215"/>
      <c r="V16" s="2216"/>
      <c r="W16" s="2216"/>
      <c r="X16" s="2216"/>
      <c r="Y16" s="2216"/>
      <c r="Z16" s="2216"/>
      <c r="AA16" s="2216"/>
      <c r="AB16" s="2216"/>
      <c r="AC16" s="2216"/>
      <c r="AD16" s="2216"/>
      <c r="AE16" s="2216"/>
      <c r="AF16" s="2216"/>
      <c r="AG16" s="2216"/>
      <c r="AH16" s="2216"/>
      <c r="AI16" s="2216"/>
      <c r="AJ16" s="2216"/>
      <c r="AK16" s="2216"/>
      <c r="AL16" s="2216"/>
      <c r="AM16" s="2216"/>
      <c r="AN16" s="2216"/>
      <c r="AO16" s="2216"/>
      <c r="AP16" s="2216"/>
      <c r="AQ16" s="2216"/>
      <c r="AR16" s="2216"/>
      <c r="AS16" s="2216"/>
      <c r="AT16" s="2216"/>
      <c r="AU16" s="2216"/>
      <c r="AV16" s="2216"/>
      <c r="AW16" s="2216"/>
      <c r="AX16" s="2216"/>
      <c r="AY16" s="2216"/>
      <c r="AZ16" s="2216"/>
      <c r="BA16" s="2216"/>
      <c r="BB16" s="2216"/>
      <c r="BC16" s="2216"/>
      <c r="BD16" s="2216"/>
      <c r="BE16" s="2216"/>
      <c r="BF16" s="2216"/>
      <c r="BG16" s="2216"/>
      <c r="BH16" s="2216"/>
      <c r="BI16" s="2216"/>
      <c r="BJ16" s="2216"/>
      <c r="BK16" s="2216"/>
      <c r="BL16" s="2216"/>
      <c r="BM16" s="2216"/>
      <c r="BN16" s="2216">
        <f>Country!BS44</f>
        <v>2354</v>
      </c>
      <c r="BO16" s="2216">
        <f>Country!BT44</f>
        <v>2611</v>
      </c>
      <c r="BP16" s="2216">
        <f>Country!BU44</f>
        <v>3496</v>
      </c>
      <c r="BQ16" s="2216">
        <f>Country!BV44</f>
        <v>4041</v>
      </c>
      <c r="BR16" s="2216">
        <f>Country!BW44</f>
        <v>4849</v>
      </c>
      <c r="BS16" s="2216">
        <f>Country!BX44</f>
        <v>5854</v>
      </c>
      <c r="BT16" s="2216">
        <f>Country!BY44</f>
        <v>0</v>
      </c>
      <c r="BU16" s="2216">
        <f>Country!BZ44</f>
        <v>0</v>
      </c>
      <c r="BV16" s="2216">
        <f>Country!CA44</f>
        <v>0</v>
      </c>
      <c r="BW16" s="2216">
        <f>Country!CB44</f>
        <v>0</v>
      </c>
      <c r="BX16" s="2216">
        <f>Country!CC44</f>
        <v>0</v>
      </c>
      <c r="BY16" s="1142"/>
      <c r="BZ16" s="1138"/>
    </row>
    <row r="17" spans="1:83" s="1016" customFormat="1" ht="6.75" customHeight="1">
      <c r="B17" s="1139"/>
      <c r="C17" s="1147"/>
      <c r="D17" s="1134"/>
      <c r="E17" s="1143"/>
      <c r="F17" s="1142"/>
      <c r="G17" s="1076"/>
      <c r="H17" s="1146"/>
      <c r="I17" s="1146"/>
      <c r="J17" s="1146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1135"/>
      <c r="V17" s="1135"/>
      <c r="W17" s="1135"/>
      <c r="X17" s="1135"/>
      <c r="Y17" s="1135"/>
      <c r="Z17" s="1135"/>
      <c r="AA17" s="1135"/>
      <c r="AB17" s="1135"/>
      <c r="AC17" s="1135"/>
      <c r="AD17" s="1135"/>
      <c r="AE17" s="1135"/>
      <c r="AF17" s="1135"/>
      <c r="AG17" s="1135"/>
      <c r="AH17" s="1135"/>
      <c r="AI17" s="1135"/>
      <c r="AJ17" s="1135"/>
      <c r="AK17" s="1135"/>
      <c r="AL17" s="1135"/>
      <c r="AM17" s="1135"/>
      <c r="AN17" s="1135"/>
      <c r="AO17" s="1135"/>
      <c r="AP17" s="1135"/>
      <c r="AQ17" s="1141"/>
      <c r="AR17" s="1141"/>
      <c r="AS17" s="1141"/>
      <c r="AT17" s="1141"/>
      <c r="AU17" s="1141"/>
      <c r="AV17" s="1141"/>
      <c r="AW17" s="1141"/>
      <c r="AX17" s="1141"/>
      <c r="AY17" s="1141"/>
      <c r="AZ17" s="1141"/>
      <c r="BA17" s="1141"/>
      <c r="BB17" s="1141"/>
      <c r="BC17" s="1141"/>
      <c r="BD17" s="1141"/>
      <c r="BE17" s="1141"/>
      <c r="BF17" s="1141"/>
      <c r="BG17" s="1141"/>
      <c r="BH17" s="1141"/>
      <c r="BI17" s="1141"/>
      <c r="BJ17" s="1141"/>
      <c r="BK17" s="1141"/>
      <c r="BL17" s="1141"/>
      <c r="BM17" s="1141"/>
      <c r="BN17" s="1141"/>
      <c r="BO17" s="1141"/>
      <c r="BP17" s="1141"/>
      <c r="BQ17" s="1141"/>
      <c r="BR17" s="1141"/>
      <c r="BS17" s="1141"/>
      <c r="BT17" s="1141"/>
      <c r="BU17" s="1141"/>
      <c r="BV17" s="1141"/>
      <c r="BW17" s="1141"/>
      <c r="BX17" s="1141"/>
      <c r="BY17" s="1142"/>
      <c r="BZ17" s="1138"/>
    </row>
    <row r="18" spans="1:83" s="1016" customFormat="1">
      <c r="B18" s="1148" t="s">
        <v>127</v>
      </c>
      <c r="C18" s="1140"/>
      <c r="D18" s="1134"/>
      <c r="E18" s="1143"/>
      <c r="F18" s="1142"/>
      <c r="G18" s="1076"/>
      <c r="H18" s="1146"/>
      <c r="I18" s="1146"/>
      <c r="J18" s="1146"/>
      <c r="K18" s="103" t="e">
        <f>K8/ SUM(K11:K14)</f>
        <v>#REF!</v>
      </c>
      <c r="L18" s="103" t="e">
        <f t="shared" ref="L18:T18" si="1">L8/ SUM(L11:L14)</f>
        <v>#REF!</v>
      </c>
      <c r="M18" s="103" t="e">
        <f t="shared" si="1"/>
        <v>#REF!</v>
      </c>
      <c r="N18" s="103" t="e">
        <f t="shared" si="1"/>
        <v>#REF!</v>
      </c>
      <c r="O18" s="103" t="e">
        <f t="shared" si="1"/>
        <v>#REF!</v>
      </c>
      <c r="P18" s="103" t="e">
        <f t="shared" si="1"/>
        <v>#REF!</v>
      </c>
      <c r="Q18" s="103" t="e">
        <f t="shared" si="1"/>
        <v>#REF!</v>
      </c>
      <c r="R18" s="103" t="e">
        <f t="shared" si="1"/>
        <v>#REF!</v>
      </c>
      <c r="S18" s="103" t="e">
        <f t="shared" si="1"/>
        <v>#REF!</v>
      </c>
      <c r="T18" s="131">
        <f t="shared" si="1"/>
        <v>4.0526315789473681</v>
      </c>
      <c r="U18" s="131" t="e">
        <f t="shared" ref="U18:AA18" si="2">U8/ SUM(U11:U14)</f>
        <v>#REF!</v>
      </c>
      <c r="V18" s="131">
        <f t="shared" si="2"/>
        <v>4.2142857142857144</v>
      </c>
      <c r="W18" s="131">
        <f t="shared" si="2"/>
        <v>2.7179487179487181</v>
      </c>
      <c r="X18" s="131">
        <f t="shared" si="2"/>
        <v>3.1111111111111112</v>
      </c>
      <c r="Y18" s="131">
        <f t="shared" si="2"/>
        <v>3.4814814814814814</v>
      </c>
      <c r="Z18" s="131">
        <f t="shared" si="2"/>
        <v>3.75</v>
      </c>
      <c r="AA18" s="131">
        <f t="shared" si="2"/>
        <v>3.8305084745762712</v>
      </c>
      <c r="AB18" s="131">
        <f t="shared" ref="AB18:AJ18" si="3">AB8/ SUM(AB11:AB14)</f>
        <v>3.9846153846153847</v>
      </c>
      <c r="AC18" s="131">
        <f t="shared" si="3"/>
        <v>4.6422764227642279</v>
      </c>
      <c r="AD18" s="131">
        <f t="shared" si="3"/>
        <v>4.7238805970149258</v>
      </c>
      <c r="AE18" s="131">
        <f t="shared" si="3"/>
        <v>5.3630136986301373</v>
      </c>
      <c r="AF18" s="131">
        <f t="shared" si="3"/>
        <v>4.8853503184713372</v>
      </c>
      <c r="AG18" s="131">
        <f t="shared" si="3"/>
        <v>4.6887417218543046</v>
      </c>
      <c r="AH18" s="131">
        <f t="shared" si="3"/>
        <v>4.5870967741935482</v>
      </c>
      <c r="AI18" s="131">
        <f t="shared" si="3"/>
        <v>4.6243386243386242</v>
      </c>
      <c r="AJ18" s="131">
        <f t="shared" si="3"/>
        <v>4.4222222222222225</v>
      </c>
      <c r="AK18" s="131">
        <f t="shared" ref="AK18:AQ18" si="4">AK8/ SUM(AK11:AK15)</f>
        <v>3.9314079422382671</v>
      </c>
      <c r="AL18" s="131">
        <f t="shared" si="4"/>
        <v>4.0105263157894733</v>
      </c>
      <c r="AM18" s="131">
        <f t="shared" si="4"/>
        <v>4.1713395638629285</v>
      </c>
      <c r="AN18" s="131">
        <f t="shared" si="4"/>
        <v>4.1357340720221609</v>
      </c>
      <c r="AO18" s="131">
        <f t="shared" si="4"/>
        <v>4.2415584415584417</v>
      </c>
      <c r="AP18" s="131">
        <f t="shared" si="4"/>
        <v>4.1810154525386309</v>
      </c>
      <c r="AQ18" s="131">
        <f t="shared" si="4"/>
        <v>4.0371057513914659</v>
      </c>
      <c r="AR18" s="131">
        <v>3.8466257668711656</v>
      </c>
      <c r="AS18" s="131">
        <v>3.5330243337195828</v>
      </c>
      <c r="AT18" s="131">
        <v>3.6713947990543736</v>
      </c>
      <c r="AU18" s="131">
        <v>3.657309941520468</v>
      </c>
      <c r="AV18" s="131">
        <v>3.9184397163120566</v>
      </c>
      <c r="AW18" s="131">
        <v>3.7578718783930509</v>
      </c>
      <c r="AX18" s="131">
        <v>3.7551440329218106</v>
      </c>
      <c r="AY18" s="131">
        <v>4.0040040040040044</v>
      </c>
      <c r="AZ18" s="131">
        <v>4.1418511066398391</v>
      </c>
      <c r="BA18" s="131">
        <v>4.1046396841066137</v>
      </c>
      <c r="BB18" s="131">
        <v>4.0517928286852589</v>
      </c>
      <c r="BC18" s="131">
        <f t="shared" ref="BC18:BO18" si="5">BC8/ SUM(BC11:BC15)</f>
        <v>4.0975378787878789</v>
      </c>
      <c r="BD18" s="131">
        <f t="shared" si="5"/>
        <v>3.9526315789473685</v>
      </c>
      <c r="BE18" s="131">
        <f t="shared" si="5"/>
        <v>4.0310711365494685</v>
      </c>
      <c r="BF18" s="131">
        <f t="shared" si="5"/>
        <v>4.3932075471698111</v>
      </c>
      <c r="BG18" s="131">
        <f t="shared" si="5"/>
        <v>4.748875562218891</v>
      </c>
      <c r="BH18" s="131">
        <f t="shared" si="5"/>
        <v>4.8102139406487234</v>
      </c>
      <c r="BI18" s="131">
        <f t="shared" si="5"/>
        <v>4.8042394014962593</v>
      </c>
      <c r="BJ18" s="131">
        <f t="shared" si="5"/>
        <v>4.8238668961560531</v>
      </c>
      <c r="BK18" s="131">
        <f t="shared" si="5"/>
        <v>4.849353569421023</v>
      </c>
      <c r="BL18" s="131">
        <f t="shared" si="5"/>
        <v>4.962197580645161</v>
      </c>
      <c r="BM18" s="131">
        <f t="shared" si="5"/>
        <v>5.0300902708124369</v>
      </c>
      <c r="BN18" s="131">
        <f t="shared" si="5"/>
        <v>3.632749645054425</v>
      </c>
      <c r="BO18" s="131">
        <f t="shared" si="5"/>
        <v>3.6753308128544422</v>
      </c>
      <c r="BP18" s="131">
        <f t="shared" ref="BP18:BQ18" si="6">BP8/ SUM(BP11:BP15)</f>
        <v>3.6245505906522855</v>
      </c>
      <c r="BQ18" s="131">
        <f t="shared" si="6"/>
        <v>3.6918459229614808</v>
      </c>
      <c r="BR18" s="131">
        <f t="shared" ref="BR18:BX18" si="7">BR8/ SUM(BR11:BR15)</f>
        <v>4.0644016227180524</v>
      </c>
      <c r="BS18" s="131">
        <f t="shared" si="7"/>
        <v>4.3659078289838975</v>
      </c>
      <c r="BT18" s="131" t="e">
        <f t="shared" si="7"/>
        <v>#DIV/0!</v>
      </c>
      <c r="BU18" s="131" t="e">
        <f t="shared" si="7"/>
        <v>#DIV/0!</v>
      </c>
      <c r="BV18" s="131" t="e">
        <f t="shared" si="7"/>
        <v>#DIV/0!</v>
      </c>
      <c r="BW18" s="131" t="e">
        <f t="shared" si="7"/>
        <v>#DIV/0!</v>
      </c>
      <c r="BX18" s="131" t="e">
        <f t="shared" si="7"/>
        <v>#DIV/0!</v>
      </c>
      <c r="BY18" s="1142"/>
      <c r="BZ18" s="1138"/>
    </row>
    <row r="19" spans="1:83" s="1016" customFormat="1" ht="9" hidden="1" customHeight="1">
      <c r="B19" s="1149"/>
      <c r="C19" s="1135"/>
      <c r="D19" s="1135"/>
      <c r="E19" s="1143"/>
      <c r="F19" s="1142"/>
      <c r="G19" s="1076"/>
      <c r="H19" s="1143"/>
      <c r="I19" s="1143"/>
      <c r="J19" s="1143"/>
      <c r="K19" s="1143"/>
      <c r="L19" s="1143"/>
      <c r="M19" s="1143"/>
      <c r="N19" s="1143"/>
      <c r="O19" s="1143"/>
      <c r="P19" s="1135"/>
      <c r="Q19" s="1143"/>
      <c r="R19" s="1143"/>
      <c r="S19" s="1143"/>
      <c r="T19" s="1135"/>
      <c r="U19" s="1135"/>
      <c r="V19" s="1135"/>
      <c r="W19" s="1135"/>
      <c r="X19" s="1135"/>
      <c r="Y19" s="1135"/>
      <c r="Z19" s="1135"/>
      <c r="AA19" s="1135"/>
      <c r="AB19" s="1135"/>
      <c r="AC19" s="1135"/>
      <c r="AD19" s="1135"/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5"/>
      <c r="AQ19" s="1141"/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1"/>
      <c r="BE19" s="1141"/>
      <c r="BF19" s="1141"/>
      <c r="BG19" s="1141"/>
      <c r="BH19" s="1141"/>
      <c r="BI19" s="1141"/>
      <c r="BJ19" s="1141"/>
      <c r="BK19" s="1141"/>
      <c r="BL19" s="1141"/>
      <c r="BM19" s="1141"/>
      <c r="BN19" s="1141"/>
      <c r="BO19" s="1141"/>
      <c r="BP19" s="1141"/>
      <c r="BQ19" s="1141"/>
      <c r="BR19" s="1141"/>
      <c r="BS19" s="1141"/>
      <c r="BT19" s="1141"/>
      <c r="BU19" s="1141"/>
      <c r="BV19" s="1141"/>
      <c r="BW19" s="1141"/>
      <c r="BX19" s="1141"/>
      <c r="BY19" s="1142"/>
      <c r="BZ19" s="1138"/>
    </row>
    <row r="20" spans="1:83" s="1083" customFormat="1" hidden="1">
      <c r="B20" s="1150" t="s">
        <v>51</v>
      </c>
      <c r="C20" s="1087"/>
      <c r="D20" s="1151" t="s">
        <v>10</v>
      </c>
      <c r="E20" s="153" t="e">
        <f>#REF!</f>
        <v>#REF!</v>
      </c>
      <c r="F20" s="153" t="e">
        <f>#REF!</f>
        <v>#REF!</v>
      </c>
      <c r="G20" s="1151"/>
      <c r="H20" s="1152"/>
      <c r="I20" s="1152"/>
      <c r="J20" s="1152"/>
      <c r="K20" s="1152" t="e">
        <f>#REF!</f>
        <v>#REF!</v>
      </c>
      <c r="L20" s="1152" t="e">
        <f>#REF!</f>
        <v>#REF!</v>
      </c>
      <c r="M20" s="1152" t="e">
        <f>#REF!</f>
        <v>#REF!</v>
      </c>
      <c r="N20" s="1152" t="e">
        <f>#REF!</f>
        <v>#REF!</v>
      </c>
      <c r="O20" s="1152" t="e">
        <f>#REF!</f>
        <v>#REF!</v>
      </c>
      <c r="P20" s="1152" t="e">
        <f>#REF!</f>
        <v>#REF!</v>
      </c>
      <c r="Q20" s="1152" t="e">
        <f>#REF!</f>
        <v>#REF!</v>
      </c>
      <c r="R20" s="1152" t="e">
        <f>#REF!</f>
        <v>#REF!</v>
      </c>
      <c r="S20" s="1152" t="e">
        <f>#REF!</f>
        <v>#REF!</v>
      </c>
      <c r="T20" s="1137" t="e">
        <f>#REF!</f>
        <v>#REF!</v>
      </c>
      <c r="U20" s="1137" t="e">
        <f>#REF!</f>
        <v>#REF!</v>
      </c>
      <c r="V20" s="1137" t="e">
        <f>#REF!</f>
        <v>#REF!</v>
      </c>
      <c r="W20" s="1137" t="e">
        <f>#REF!</f>
        <v>#REF!</v>
      </c>
      <c r="X20" s="1137" t="e">
        <f>#REF!</f>
        <v>#REF!</v>
      </c>
      <c r="Y20" s="1137" t="e">
        <f>#REF!</f>
        <v>#REF!</v>
      </c>
      <c r="Z20" s="1137" t="e">
        <f>#REF!</f>
        <v>#REF!</v>
      </c>
      <c r="AA20" s="1137" t="e">
        <f>#REF!</f>
        <v>#REF!</v>
      </c>
      <c r="AB20" s="1137" t="e">
        <f>#REF!</f>
        <v>#REF!</v>
      </c>
      <c r="AC20" s="1137" t="e">
        <f>#REF!</f>
        <v>#REF!</v>
      </c>
      <c r="AD20" s="1137" t="e">
        <f>#REF!</f>
        <v>#REF!</v>
      </c>
      <c r="AE20" s="1137" t="e">
        <f>#REF!</f>
        <v>#REF!</v>
      </c>
      <c r="AF20" s="1137" t="e">
        <f>#REF!</f>
        <v>#REF!</v>
      </c>
      <c r="AG20" s="1137" t="e">
        <f>#REF!</f>
        <v>#REF!</v>
      </c>
      <c r="AH20" s="1137" t="e">
        <f>#REF!</f>
        <v>#REF!</v>
      </c>
      <c r="AI20" s="1137" t="e">
        <f>#REF!</f>
        <v>#REF!</v>
      </c>
      <c r="AJ20" s="1137" t="e">
        <f>#REF!</f>
        <v>#REF!</v>
      </c>
      <c r="AK20" s="1137"/>
      <c r="AL20" s="1137"/>
      <c r="AM20" s="1137"/>
      <c r="AN20" s="1137"/>
      <c r="AO20" s="1137"/>
      <c r="AP20" s="1137"/>
      <c r="AQ20" s="1572"/>
      <c r="AR20" s="1572"/>
      <c r="AS20" s="1572"/>
      <c r="AT20" s="1572"/>
      <c r="AU20" s="1572"/>
      <c r="AV20" s="1572"/>
      <c r="AW20" s="1572"/>
      <c r="AX20" s="1572"/>
      <c r="AY20" s="1572"/>
      <c r="AZ20" s="1572"/>
      <c r="BA20" s="1572"/>
      <c r="BB20" s="1572"/>
      <c r="BC20" s="1572"/>
      <c r="BD20" s="1572"/>
      <c r="BE20" s="1572"/>
      <c r="BF20" s="1572"/>
      <c r="BG20" s="1572"/>
      <c r="BH20" s="1572"/>
      <c r="BI20" s="1572"/>
      <c r="BJ20" s="1572"/>
      <c r="BK20" s="1572"/>
      <c r="BL20" s="1572"/>
      <c r="BM20" s="1572"/>
      <c r="BN20" s="1572"/>
      <c r="BO20" s="1572"/>
      <c r="BP20" s="1572"/>
      <c r="BQ20" s="1572"/>
      <c r="BR20" s="1572"/>
      <c r="BS20" s="1572"/>
      <c r="BT20" s="1572"/>
      <c r="BU20" s="1572"/>
      <c r="BV20" s="1572"/>
      <c r="BW20" s="1572"/>
      <c r="BX20" s="1572"/>
      <c r="BY20" s="1153"/>
      <c r="BZ20" s="1138"/>
    </row>
    <row r="21" spans="1:83" s="1083" customFormat="1" hidden="1">
      <c r="B21" s="1154"/>
      <c r="C21" s="1087"/>
      <c r="D21" s="1151" t="s">
        <v>11</v>
      </c>
      <c r="E21" s="153" t="e">
        <f>#REF!</f>
        <v>#REF!</v>
      </c>
      <c r="F21" s="153" t="e">
        <f>#REF!</f>
        <v>#REF!</v>
      </c>
      <c r="G21" s="1151"/>
      <c r="H21" s="1152"/>
      <c r="I21" s="1152"/>
      <c r="J21" s="1152"/>
      <c r="K21" s="1152"/>
      <c r="L21" s="1152" t="e">
        <f>#REF!</f>
        <v>#REF!</v>
      </c>
      <c r="M21" s="1152" t="e">
        <f>#REF!</f>
        <v>#REF!</v>
      </c>
      <c r="N21" s="1152" t="e">
        <f>#REF!</f>
        <v>#REF!</v>
      </c>
      <c r="O21" s="1152" t="e">
        <f>#REF!</f>
        <v>#REF!</v>
      </c>
      <c r="P21" s="1152" t="e">
        <f>#REF!</f>
        <v>#REF!</v>
      </c>
      <c r="Q21" s="1152" t="e">
        <f>#REF!</f>
        <v>#REF!</v>
      </c>
      <c r="R21" s="1152" t="e">
        <f>#REF!</f>
        <v>#REF!</v>
      </c>
      <c r="S21" s="1152" t="e">
        <f>#REF!</f>
        <v>#REF!</v>
      </c>
      <c r="T21" s="1137" t="e">
        <f>#REF!</f>
        <v>#REF!</v>
      </c>
      <c r="U21" s="1137" t="e">
        <f>#REF!</f>
        <v>#REF!</v>
      </c>
      <c r="V21" s="1137" t="e">
        <f>#REF!</f>
        <v>#REF!</v>
      </c>
      <c r="W21" s="1137" t="e">
        <f>#REF!</f>
        <v>#REF!</v>
      </c>
      <c r="X21" s="1137" t="e">
        <f>#REF!</f>
        <v>#REF!</v>
      </c>
      <c r="Y21" s="1137" t="e">
        <f>#REF!</f>
        <v>#REF!</v>
      </c>
      <c r="Z21" s="1137" t="e">
        <f>#REF!</f>
        <v>#REF!</v>
      </c>
      <c r="AA21" s="1137" t="e">
        <f>#REF!</f>
        <v>#REF!</v>
      </c>
      <c r="AB21" s="1137" t="e">
        <f>#REF!</f>
        <v>#REF!</v>
      </c>
      <c r="AC21" s="1137" t="e">
        <f>#REF!</f>
        <v>#REF!</v>
      </c>
      <c r="AD21" s="1137" t="e">
        <f>#REF!</f>
        <v>#REF!</v>
      </c>
      <c r="AE21" s="1137" t="e">
        <f>#REF!</f>
        <v>#REF!</v>
      </c>
      <c r="AF21" s="1137" t="e">
        <f>#REF!</f>
        <v>#REF!</v>
      </c>
      <c r="AG21" s="1137" t="e">
        <f>#REF!</f>
        <v>#REF!</v>
      </c>
      <c r="AH21" s="1137" t="e">
        <f>#REF!</f>
        <v>#REF!</v>
      </c>
      <c r="AI21" s="1137" t="e">
        <f>#REF!</f>
        <v>#REF!</v>
      </c>
      <c r="AJ21" s="1137" t="e">
        <f>#REF!</f>
        <v>#REF!</v>
      </c>
      <c r="AK21" s="1137"/>
      <c r="AL21" s="1137"/>
      <c r="AM21" s="1137"/>
      <c r="AN21" s="1137"/>
      <c r="AO21" s="1137"/>
      <c r="AP21" s="1137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1572"/>
      <c r="BF21" s="1572"/>
      <c r="BG21" s="1572"/>
      <c r="BH21" s="1572"/>
      <c r="BI21" s="1572"/>
      <c r="BJ21" s="1572"/>
      <c r="BK21" s="1572"/>
      <c r="BL21" s="1572"/>
      <c r="BM21" s="1572"/>
      <c r="BN21" s="1572"/>
      <c r="BO21" s="1572"/>
      <c r="BP21" s="1572"/>
      <c r="BQ21" s="1572"/>
      <c r="BR21" s="1572"/>
      <c r="BS21" s="1572"/>
      <c r="BT21" s="1572"/>
      <c r="BU21" s="1572"/>
      <c r="BV21" s="1572"/>
      <c r="BW21" s="1572"/>
      <c r="BX21" s="1572"/>
      <c r="BY21" s="1153"/>
      <c r="BZ21" s="1138"/>
    </row>
    <row r="22" spans="1:83" s="1083" customFormat="1" hidden="1">
      <c r="B22" s="1154"/>
      <c r="C22" s="1087"/>
      <c r="D22" s="1151" t="s">
        <v>87</v>
      </c>
      <c r="E22" s="153" t="e">
        <f>#REF!</f>
        <v>#REF!</v>
      </c>
      <c r="F22" s="153" t="e">
        <f>#REF!</f>
        <v>#REF!</v>
      </c>
      <c r="G22" s="1151"/>
      <c r="H22" s="1152"/>
      <c r="I22" s="1152"/>
      <c r="J22" s="1152"/>
      <c r="K22" s="1152"/>
      <c r="L22" s="1152"/>
      <c r="M22" s="1152" t="e">
        <f>#REF!</f>
        <v>#REF!</v>
      </c>
      <c r="N22" s="1152" t="e">
        <f>#REF!</f>
        <v>#REF!</v>
      </c>
      <c r="O22" s="1152" t="e">
        <f>#REF!</f>
        <v>#REF!</v>
      </c>
      <c r="P22" s="1152" t="e">
        <f>#REF!</f>
        <v>#REF!</v>
      </c>
      <c r="Q22" s="1152" t="e">
        <f>#REF!</f>
        <v>#REF!</v>
      </c>
      <c r="R22" s="1152" t="e">
        <f>#REF!</f>
        <v>#REF!</v>
      </c>
      <c r="S22" s="1152" t="e">
        <f>#REF!</f>
        <v>#REF!</v>
      </c>
      <c r="T22" s="1137" t="e">
        <f>#REF!</f>
        <v>#REF!</v>
      </c>
      <c r="U22" s="1137" t="e">
        <f>#REF!</f>
        <v>#REF!</v>
      </c>
      <c r="V22" s="1137" t="e">
        <f>#REF!</f>
        <v>#REF!</v>
      </c>
      <c r="W22" s="1137" t="e">
        <f>#REF!</f>
        <v>#REF!</v>
      </c>
      <c r="X22" s="1137" t="e">
        <f>#REF!</f>
        <v>#REF!</v>
      </c>
      <c r="Y22" s="1137" t="e">
        <f>#REF!</f>
        <v>#REF!</v>
      </c>
      <c r="Z22" s="1137" t="e">
        <f>#REF!</f>
        <v>#REF!</v>
      </c>
      <c r="AA22" s="1137" t="e">
        <f>#REF!</f>
        <v>#REF!</v>
      </c>
      <c r="AB22" s="1137" t="e">
        <f>#REF!</f>
        <v>#REF!</v>
      </c>
      <c r="AC22" s="1137" t="e">
        <f>#REF!</f>
        <v>#REF!</v>
      </c>
      <c r="AD22" s="1137" t="e">
        <f>#REF!</f>
        <v>#REF!</v>
      </c>
      <c r="AE22" s="1137" t="e">
        <f>#REF!</f>
        <v>#REF!</v>
      </c>
      <c r="AF22" s="1137" t="e">
        <f>#REF!</f>
        <v>#REF!</v>
      </c>
      <c r="AG22" s="1137" t="e">
        <f>#REF!</f>
        <v>#REF!</v>
      </c>
      <c r="AH22" s="1137" t="e">
        <f>#REF!</f>
        <v>#REF!</v>
      </c>
      <c r="AI22" s="1137" t="e">
        <f>#REF!</f>
        <v>#REF!</v>
      </c>
      <c r="AJ22" s="1137" t="e">
        <f>#REF!</f>
        <v>#REF!</v>
      </c>
      <c r="AK22" s="1137"/>
      <c r="AL22" s="1137"/>
      <c r="AM22" s="1137"/>
      <c r="AN22" s="1137"/>
      <c r="AO22" s="1137"/>
      <c r="AP22" s="1137"/>
      <c r="AQ22" s="1572"/>
      <c r="AR22" s="1572"/>
      <c r="AS22" s="1572"/>
      <c r="AT22" s="1572"/>
      <c r="AU22" s="1572"/>
      <c r="AV22" s="1572"/>
      <c r="AW22" s="1572"/>
      <c r="AX22" s="1572"/>
      <c r="AY22" s="1572"/>
      <c r="AZ22" s="1572"/>
      <c r="BA22" s="1572"/>
      <c r="BB22" s="1572"/>
      <c r="BC22" s="1572"/>
      <c r="BD22" s="1572"/>
      <c r="BE22" s="1572"/>
      <c r="BF22" s="1572"/>
      <c r="BG22" s="1572"/>
      <c r="BH22" s="1572"/>
      <c r="BI22" s="1572"/>
      <c r="BJ22" s="1572"/>
      <c r="BK22" s="1572"/>
      <c r="BL22" s="1572"/>
      <c r="BM22" s="1572"/>
      <c r="BN22" s="1572"/>
      <c r="BO22" s="1572"/>
      <c r="BP22" s="1572"/>
      <c r="BQ22" s="1572"/>
      <c r="BR22" s="1572"/>
      <c r="BS22" s="1572"/>
      <c r="BT22" s="1572"/>
      <c r="BU22" s="1572"/>
      <c r="BV22" s="1572"/>
      <c r="BW22" s="1572"/>
      <c r="BX22" s="1572"/>
      <c r="BY22" s="1153"/>
      <c r="BZ22" s="1138"/>
    </row>
    <row r="23" spans="1:83" s="1083" customFormat="1" hidden="1">
      <c r="B23" s="1154"/>
      <c r="C23" s="1087"/>
      <c r="D23" s="1151" t="s">
        <v>13</v>
      </c>
      <c r="E23" s="153" t="e">
        <f>#REF!</f>
        <v>#REF!</v>
      </c>
      <c r="F23" s="153" t="e">
        <f>#REF!</f>
        <v>#REF!</v>
      </c>
      <c r="G23" s="1151"/>
      <c r="H23" s="1152"/>
      <c r="I23" s="1152"/>
      <c r="J23" s="1152"/>
      <c r="K23" s="1152"/>
      <c r="L23" s="1152"/>
      <c r="M23" s="1152"/>
      <c r="N23" s="1152"/>
      <c r="O23" s="1152" t="e">
        <f>#REF!</f>
        <v>#REF!</v>
      </c>
      <c r="P23" s="1152" t="e">
        <f>#REF!</f>
        <v>#REF!</v>
      </c>
      <c r="Q23" s="1152" t="e">
        <f>#REF!</f>
        <v>#REF!</v>
      </c>
      <c r="R23" s="1152" t="e">
        <f>#REF!</f>
        <v>#REF!</v>
      </c>
      <c r="S23" s="1152" t="e">
        <f>#REF!</f>
        <v>#REF!</v>
      </c>
      <c r="T23" s="1137" t="e">
        <f>#REF!</f>
        <v>#REF!</v>
      </c>
      <c r="U23" s="1137" t="e">
        <f>#REF!</f>
        <v>#REF!</v>
      </c>
      <c r="V23" s="1137" t="e">
        <f>#REF!</f>
        <v>#REF!</v>
      </c>
      <c r="W23" s="1137" t="e">
        <f>#REF!</f>
        <v>#REF!</v>
      </c>
      <c r="X23" s="1137" t="e">
        <f>#REF!</f>
        <v>#REF!</v>
      </c>
      <c r="Y23" s="1137" t="e">
        <f>#REF!</f>
        <v>#REF!</v>
      </c>
      <c r="Z23" s="1137" t="e">
        <f>#REF!</f>
        <v>#REF!</v>
      </c>
      <c r="AA23" s="1137" t="e">
        <f>#REF!</f>
        <v>#REF!</v>
      </c>
      <c r="AB23" s="1137" t="e">
        <f>#REF!</f>
        <v>#REF!</v>
      </c>
      <c r="AC23" s="1137" t="e">
        <f>#REF!</f>
        <v>#REF!</v>
      </c>
      <c r="AD23" s="1137" t="e">
        <f>#REF!</f>
        <v>#REF!</v>
      </c>
      <c r="AE23" s="1137" t="e">
        <f>#REF!</f>
        <v>#REF!</v>
      </c>
      <c r="AF23" s="1137" t="e">
        <f>#REF!</f>
        <v>#REF!</v>
      </c>
      <c r="AG23" s="1137" t="e">
        <f>#REF!</f>
        <v>#REF!</v>
      </c>
      <c r="AH23" s="1137" t="e">
        <f>#REF!</f>
        <v>#REF!</v>
      </c>
      <c r="AI23" s="1137" t="e">
        <f>#REF!</f>
        <v>#REF!</v>
      </c>
      <c r="AJ23" s="1137" t="e">
        <f>#REF!</f>
        <v>#REF!</v>
      </c>
      <c r="AK23" s="1137"/>
      <c r="AL23" s="1137"/>
      <c r="AM23" s="1137"/>
      <c r="AN23" s="1137"/>
      <c r="AO23" s="1137"/>
      <c r="AP23" s="1137"/>
      <c r="AQ23" s="1572"/>
      <c r="AR23" s="1572"/>
      <c r="AS23" s="1572"/>
      <c r="AT23" s="1572"/>
      <c r="AU23" s="1572"/>
      <c r="AV23" s="1572"/>
      <c r="AW23" s="1572"/>
      <c r="AX23" s="1572"/>
      <c r="AY23" s="1572"/>
      <c r="AZ23" s="1572"/>
      <c r="BA23" s="1572"/>
      <c r="BB23" s="1572"/>
      <c r="BC23" s="1572"/>
      <c r="BD23" s="1572"/>
      <c r="BE23" s="1572"/>
      <c r="BF23" s="1572"/>
      <c r="BG23" s="1572"/>
      <c r="BH23" s="1572"/>
      <c r="BI23" s="1572"/>
      <c r="BJ23" s="1572"/>
      <c r="BK23" s="1572"/>
      <c r="BL23" s="1572"/>
      <c r="BM23" s="1572"/>
      <c r="BN23" s="1572"/>
      <c r="BO23" s="1572"/>
      <c r="BP23" s="1572"/>
      <c r="BQ23" s="1572"/>
      <c r="BR23" s="1572"/>
      <c r="BS23" s="1572"/>
      <c r="BT23" s="1572"/>
      <c r="BU23" s="1572"/>
      <c r="BV23" s="1572"/>
      <c r="BW23" s="1572"/>
      <c r="BX23" s="1572"/>
      <c r="BY23" s="1153"/>
      <c r="BZ23" s="1138"/>
    </row>
    <row r="24" spans="1:83" s="1083" customFormat="1" hidden="1">
      <c r="B24" s="1154"/>
      <c r="C24" s="1155"/>
      <c r="D24" s="1151" t="s">
        <v>12</v>
      </c>
      <c r="E24" s="153" t="e">
        <f>#REF!</f>
        <v>#REF!</v>
      </c>
      <c r="F24" s="153" t="e">
        <f>#REF!</f>
        <v>#REF!</v>
      </c>
      <c r="G24" s="1151"/>
      <c r="H24" s="1152"/>
      <c r="I24" s="1152"/>
      <c r="J24" s="1152"/>
      <c r="K24" s="1152"/>
      <c r="L24" s="1152"/>
      <c r="M24" s="1152"/>
      <c r="N24" s="1152"/>
      <c r="O24" s="1152"/>
      <c r="Q24" s="1152" t="e">
        <f>#REF!</f>
        <v>#REF!</v>
      </c>
      <c r="R24" s="1152" t="e">
        <f>#REF!</f>
        <v>#REF!</v>
      </c>
      <c r="S24" s="1152" t="e">
        <f>#REF!</f>
        <v>#REF!</v>
      </c>
      <c r="T24" s="1137" t="e">
        <f>#REF!</f>
        <v>#REF!</v>
      </c>
      <c r="U24" s="1137" t="e">
        <f>#REF!</f>
        <v>#REF!</v>
      </c>
      <c r="V24" s="1137" t="e">
        <f>#REF!</f>
        <v>#REF!</v>
      </c>
      <c r="W24" s="1137" t="e">
        <f>#REF!</f>
        <v>#REF!</v>
      </c>
      <c r="X24" s="1137" t="e">
        <f>#REF!</f>
        <v>#REF!</v>
      </c>
      <c r="Y24" s="1137" t="e">
        <f>#REF!</f>
        <v>#REF!</v>
      </c>
      <c r="Z24" s="1137" t="e">
        <f>#REF!</f>
        <v>#REF!</v>
      </c>
      <c r="AA24" s="1137" t="e">
        <f>#REF!</f>
        <v>#REF!</v>
      </c>
      <c r="AB24" s="1137" t="e">
        <f>#REF!</f>
        <v>#REF!</v>
      </c>
      <c r="AC24" s="1137" t="e">
        <f>#REF!</f>
        <v>#REF!</v>
      </c>
      <c r="AD24" s="1137" t="e">
        <f>#REF!</f>
        <v>#REF!</v>
      </c>
      <c r="AE24" s="1137" t="e">
        <f>#REF!</f>
        <v>#REF!</v>
      </c>
      <c r="AF24" s="1137" t="e">
        <f>#REF!</f>
        <v>#REF!</v>
      </c>
      <c r="AG24" s="1137" t="e">
        <f>#REF!</f>
        <v>#REF!</v>
      </c>
      <c r="AH24" s="1137" t="e">
        <f>#REF!</f>
        <v>#REF!</v>
      </c>
      <c r="AI24" s="1137" t="e">
        <f>#REF!</f>
        <v>#REF!</v>
      </c>
      <c r="AJ24" s="1137" t="e">
        <f>#REF!</f>
        <v>#REF!</v>
      </c>
      <c r="AK24" s="1137"/>
      <c r="AL24" s="1137"/>
      <c r="AM24" s="1137"/>
      <c r="AN24" s="1137"/>
      <c r="AO24" s="1137"/>
      <c r="AP24" s="1137"/>
      <c r="AQ24" s="1572"/>
      <c r="AR24" s="1572"/>
      <c r="AS24" s="1572"/>
      <c r="AT24" s="1572"/>
      <c r="AU24" s="1572"/>
      <c r="AV24" s="1572"/>
      <c r="AW24" s="1572"/>
      <c r="AX24" s="1572"/>
      <c r="AY24" s="1572"/>
      <c r="AZ24" s="1572"/>
      <c r="BA24" s="1572"/>
      <c r="BB24" s="1572"/>
      <c r="BC24" s="1572"/>
      <c r="BD24" s="1572"/>
      <c r="BE24" s="1572"/>
      <c r="BF24" s="1572"/>
      <c r="BG24" s="1572"/>
      <c r="BH24" s="1572"/>
      <c r="BI24" s="1572"/>
      <c r="BJ24" s="1572"/>
      <c r="BK24" s="1572"/>
      <c r="BL24" s="1572"/>
      <c r="BM24" s="1572"/>
      <c r="BN24" s="1572"/>
      <c r="BO24" s="1572"/>
      <c r="BP24" s="1572"/>
      <c r="BQ24" s="1572"/>
      <c r="BR24" s="1572"/>
      <c r="BS24" s="1572"/>
      <c r="BT24" s="1572"/>
      <c r="BU24" s="1572"/>
      <c r="BV24" s="1572"/>
      <c r="BW24" s="1572"/>
      <c r="BX24" s="1572"/>
      <c r="BY24" s="1153"/>
      <c r="BZ24" s="1138"/>
      <c r="CC24" s="1156"/>
    </row>
    <row r="25" spans="1:83" s="1083" customFormat="1" hidden="1">
      <c r="B25" s="1154"/>
      <c r="C25" s="1155"/>
      <c r="D25" s="1151" t="s">
        <v>57</v>
      </c>
      <c r="E25" s="153" t="e">
        <f>#REF!</f>
        <v>#REF!</v>
      </c>
      <c r="F25" s="153"/>
      <c r="G25" s="1151"/>
      <c r="H25" s="1152"/>
      <c r="I25" s="1152"/>
      <c r="J25" s="1152"/>
      <c r="K25" s="1152" t="e">
        <f>#REF!</f>
        <v>#REF!</v>
      </c>
      <c r="L25" s="1152" t="e">
        <f>#REF!</f>
        <v>#REF!</v>
      </c>
      <c r="M25" s="1152" t="e">
        <f>#REF!</f>
        <v>#REF!</v>
      </c>
      <c r="N25" s="1152" t="e">
        <f>#REF!</f>
        <v>#REF!</v>
      </c>
      <c r="O25" s="1152" t="e">
        <f>#REF!</f>
        <v>#REF!</v>
      </c>
      <c r="P25" s="1152" t="e">
        <f>#REF!</f>
        <v>#REF!</v>
      </c>
      <c r="Q25" s="1152" t="e">
        <f>#REF!</f>
        <v>#REF!</v>
      </c>
      <c r="R25" s="1152" t="e">
        <f>#REF!</f>
        <v>#REF!</v>
      </c>
      <c r="S25" s="1152" t="e">
        <f>#REF!</f>
        <v>#REF!</v>
      </c>
      <c r="T25" s="1137" t="e">
        <f>#REF!</f>
        <v>#REF!</v>
      </c>
      <c r="U25" s="1137" t="e">
        <f>#REF!</f>
        <v>#REF!</v>
      </c>
      <c r="V25" s="1137" t="e">
        <f>#REF!</f>
        <v>#REF!</v>
      </c>
      <c r="W25" s="1137" t="e">
        <f>#REF!</f>
        <v>#REF!</v>
      </c>
      <c r="X25" s="1137" t="e">
        <f>#REF!</f>
        <v>#REF!</v>
      </c>
      <c r="Y25" s="1137" t="e">
        <f>#REF!</f>
        <v>#REF!</v>
      </c>
      <c r="Z25" s="1137" t="e">
        <f>#REF!</f>
        <v>#REF!</v>
      </c>
      <c r="AA25" s="1137" t="e">
        <f>#REF!</f>
        <v>#REF!</v>
      </c>
      <c r="AB25" s="1137" t="e">
        <f>#REF!</f>
        <v>#REF!</v>
      </c>
      <c r="AC25" s="1137" t="e">
        <f>#REF!</f>
        <v>#REF!</v>
      </c>
      <c r="AD25" s="1137" t="e">
        <f>#REF!</f>
        <v>#REF!</v>
      </c>
      <c r="AE25" s="1137" t="e">
        <f>#REF!</f>
        <v>#REF!</v>
      </c>
      <c r="AF25" s="1137" t="e">
        <f>#REF!</f>
        <v>#REF!</v>
      </c>
      <c r="AG25" s="1137" t="e">
        <f>#REF!</f>
        <v>#REF!</v>
      </c>
      <c r="AH25" s="1137" t="e">
        <f>#REF!</f>
        <v>#REF!</v>
      </c>
      <c r="AI25" s="1137" t="e">
        <f>#REF!</f>
        <v>#REF!</v>
      </c>
      <c r="AJ25" s="1137" t="e">
        <f>#REF!</f>
        <v>#REF!</v>
      </c>
      <c r="AK25" s="1137"/>
      <c r="AL25" s="1137"/>
      <c r="AM25" s="1137"/>
      <c r="AN25" s="1137"/>
      <c r="AO25" s="1137"/>
      <c r="AP25" s="1137"/>
      <c r="AQ25" s="1572"/>
      <c r="AR25" s="1572"/>
      <c r="AS25" s="1572"/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N25" s="1572"/>
      <c r="BO25" s="1572"/>
      <c r="BP25" s="1572"/>
      <c r="BQ25" s="1572"/>
      <c r="BR25" s="1572"/>
      <c r="BS25" s="1572"/>
      <c r="BT25" s="1572"/>
      <c r="BU25" s="1572"/>
      <c r="BV25" s="1572"/>
      <c r="BW25" s="1572"/>
      <c r="BX25" s="1572"/>
      <c r="BY25" s="1153"/>
      <c r="BZ25" s="1138"/>
      <c r="CC25" s="1156"/>
    </row>
    <row r="26" spans="1:83" s="1016" customFormat="1" ht="8.4499999999999993" customHeight="1">
      <c r="B26" s="1157"/>
      <c r="C26" s="1018"/>
      <c r="D26" s="1018"/>
      <c r="E26" s="1158"/>
      <c r="F26" s="1159"/>
      <c r="G26" s="1158"/>
      <c r="H26" s="1158"/>
      <c r="I26" s="1158"/>
      <c r="J26" s="1158"/>
      <c r="K26" s="1158"/>
      <c r="L26" s="1158"/>
      <c r="M26" s="1158"/>
      <c r="N26" s="1158"/>
      <c r="O26" s="1158"/>
      <c r="P26" s="1160"/>
      <c r="Q26" s="1158"/>
      <c r="R26" s="1158"/>
      <c r="S26" s="1158"/>
      <c r="T26" s="1160"/>
      <c r="U26" s="1160"/>
      <c r="V26" s="1160"/>
      <c r="W26" s="1160"/>
      <c r="X26" s="1160"/>
      <c r="Y26" s="1160"/>
      <c r="Z26" s="1160"/>
      <c r="AA26" s="1160"/>
      <c r="AB26" s="1160"/>
      <c r="AC26" s="1160"/>
      <c r="AD26" s="1160"/>
      <c r="AE26" s="1160"/>
      <c r="AF26" s="1160"/>
      <c r="AG26" s="1160"/>
      <c r="AH26" s="1160"/>
      <c r="AI26" s="1160"/>
      <c r="AJ26" s="1160"/>
      <c r="AK26" s="1160"/>
      <c r="AL26" s="1160"/>
      <c r="AM26" s="1160"/>
      <c r="AN26" s="1160"/>
      <c r="AO26" s="1160"/>
      <c r="AP26" s="1160"/>
      <c r="AQ26" s="1161"/>
      <c r="AR26" s="1161"/>
      <c r="AS26" s="1161"/>
      <c r="AT26" s="1161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1"/>
      <c r="BE26" s="1161"/>
      <c r="BF26" s="1161"/>
      <c r="BG26" s="1161"/>
      <c r="BH26" s="1161"/>
      <c r="BI26" s="1161"/>
      <c r="BJ26" s="1161"/>
      <c r="BK26" s="1161"/>
      <c r="BL26" s="1161"/>
      <c r="BM26" s="1161"/>
      <c r="BN26" s="1161"/>
      <c r="BO26" s="1161"/>
      <c r="BP26" s="1161"/>
      <c r="BQ26" s="1161"/>
      <c r="BR26" s="1161"/>
      <c r="BS26" s="1161"/>
      <c r="BT26" s="1161"/>
      <c r="BU26" s="1161"/>
      <c r="BV26" s="1161"/>
      <c r="BW26" s="1161"/>
      <c r="BX26" s="1161"/>
      <c r="BY26" s="1159"/>
      <c r="BZ26" s="1162"/>
    </row>
    <row r="27" spans="1:83" s="1016" customFormat="1">
      <c r="B27" s="1163"/>
      <c r="E27" s="1163"/>
      <c r="F27" s="1164"/>
      <c r="G27" s="1165"/>
      <c r="H27" s="1062"/>
      <c r="I27" s="1062"/>
      <c r="J27" s="1062"/>
      <c r="K27" s="1062"/>
      <c r="L27" s="1062"/>
      <c r="M27" s="1062"/>
      <c r="N27" s="1062"/>
      <c r="O27" s="1062"/>
      <c r="P27" s="1119"/>
      <c r="Q27" s="1062"/>
      <c r="R27" s="1062"/>
      <c r="S27" s="1062"/>
      <c r="T27" s="1119"/>
      <c r="U27" s="1119"/>
      <c r="V27" s="1119"/>
      <c r="W27" s="404"/>
      <c r="X27" s="404"/>
      <c r="Y27" s="404"/>
      <c r="Z27" s="428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1166"/>
      <c r="BZ27" s="1167"/>
    </row>
    <row r="28" spans="1:83" s="1016" customFormat="1" ht="15" customHeight="1">
      <c r="A28" s="1168" t="s">
        <v>183</v>
      </c>
      <c r="B28" s="1163"/>
      <c r="E28" s="1062"/>
      <c r="F28" s="1117" t="str">
        <f>F5</f>
        <v>YTD'17</v>
      </c>
      <c r="G28" s="1062"/>
      <c r="H28" s="1062"/>
      <c r="I28" s="1118"/>
      <c r="J28" s="1118"/>
      <c r="K28" s="1118"/>
      <c r="L28" s="1118"/>
      <c r="M28" s="1118"/>
      <c r="N28" s="1118"/>
      <c r="O28" s="1118"/>
      <c r="P28" s="1119"/>
      <c r="Q28" s="1118"/>
      <c r="R28" s="1118"/>
      <c r="S28" s="1118"/>
      <c r="T28" s="1119"/>
      <c r="U28" s="1119"/>
      <c r="V28" s="1119"/>
      <c r="W28" s="1119"/>
      <c r="X28" s="1119"/>
      <c r="Y28" s="1119"/>
      <c r="Z28" s="1119"/>
      <c r="AA28" s="1119"/>
      <c r="AB28" s="1119"/>
      <c r="AC28" s="1119"/>
      <c r="AD28" s="1119"/>
      <c r="AE28" s="1119"/>
      <c r="AF28" s="1119"/>
      <c r="AG28" s="1119"/>
      <c r="AH28" s="1119"/>
      <c r="AI28" s="1119"/>
      <c r="AJ28" s="1119"/>
      <c r="AK28" s="1119"/>
      <c r="AL28" s="1119"/>
      <c r="AM28" s="1119"/>
      <c r="AN28" s="1119"/>
      <c r="AO28" s="1119"/>
      <c r="AP28" s="1119"/>
      <c r="AQ28" s="1169"/>
      <c r="AR28" s="1169"/>
      <c r="AS28" s="1169"/>
      <c r="AT28" s="1169"/>
      <c r="AU28" s="1169"/>
      <c r="AV28" s="1169"/>
      <c r="AW28" s="1169"/>
      <c r="AX28" s="1169"/>
      <c r="AY28" s="1169"/>
      <c r="AZ28" s="1169"/>
      <c r="BA28" s="1169"/>
      <c r="BB28" s="1169"/>
      <c r="BC28" s="1169"/>
      <c r="BD28" s="1169"/>
      <c r="BE28" s="1169"/>
      <c r="BF28" s="1169"/>
      <c r="BG28" s="1169"/>
      <c r="BH28" s="1169"/>
      <c r="BI28" s="1169"/>
      <c r="BJ28" s="1169"/>
      <c r="BK28" s="1169"/>
      <c r="BL28" s="1169"/>
      <c r="BM28" s="1169"/>
      <c r="BN28" s="1169"/>
      <c r="BO28" s="1169"/>
      <c r="BP28" s="1169"/>
      <c r="BQ28" s="1169"/>
      <c r="BR28" s="1169"/>
      <c r="BS28" s="1169"/>
      <c r="BT28" s="1169"/>
      <c r="BU28" s="1169"/>
      <c r="BV28" s="1169"/>
      <c r="BW28" s="1169"/>
      <c r="BX28" s="1169"/>
      <c r="BY28" s="1726">
        <f>BY5</f>
        <v>42947</v>
      </c>
      <c r="BZ28" s="1167"/>
    </row>
    <row r="29" spans="1:83" s="1116" customFormat="1" ht="13.5" customHeight="1">
      <c r="E29" s="1121" t="str">
        <f>E6</f>
        <v>YTD'17</v>
      </c>
      <c r="F29" s="1117" t="s">
        <v>52</v>
      </c>
      <c r="G29" s="1122"/>
      <c r="H29" s="1123" t="s">
        <v>33</v>
      </c>
      <c r="I29" s="1123" t="s">
        <v>34</v>
      </c>
      <c r="J29" s="1123" t="s">
        <v>35</v>
      </c>
      <c r="K29" s="1124" t="s">
        <v>36</v>
      </c>
      <c r="L29" s="1124" t="s">
        <v>37</v>
      </c>
      <c r="M29" s="1124" t="s">
        <v>38</v>
      </c>
      <c r="N29" s="1124" t="s">
        <v>39</v>
      </c>
      <c r="O29" s="1124" t="s">
        <v>40</v>
      </c>
      <c r="P29" s="1125" t="s">
        <v>41</v>
      </c>
      <c r="Q29" s="1124" t="s">
        <v>42</v>
      </c>
      <c r="R29" s="1124" t="s">
        <v>43</v>
      </c>
      <c r="S29" s="1124" t="s">
        <v>44</v>
      </c>
      <c r="T29" s="1125" t="s">
        <v>98</v>
      </c>
      <c r="U29" s="1125" t="s">
        <v>34</v>
      </c>
      <c r="V29" s="1125" t="s">
        <v>35</v>
      </c>
      <c r="W29" s="1125" t="s">
        <v>36</v>
      </c>
      <c r="X29" s="1125" t="s">
        <v>37</v>
      </c>
      <c r="Y29" s="1125" t="s">
        <v>266</v>
      </c>
      <c r="Z29" s="1125" t="s">
        <v>291</v>
      </c>
      <c r="AA29" s="1125" t="s">
        <v>40</v>
      </c>
      <c r="AB29" s="1125" t="s">
        <v>41</v>
      </c>
      <c r="AC29" s="1125" t="s">
        <v>42</v>
      </c>
      <c r="AD29" s="1125" t="s">
        <v>43</v>
      </c>
      <c r="AE29" s="1125" t="s">
        <v>44</v>
      </c>
      <c r="AF29" s="1125" t="str">
        <f>AF6</f>
        <v>Jan'14</v>
      </c>
      <c r="AG29" s="1125" t="str">
        <f>AG6</f>
        <v>Feb'14</v>
      </c>
      <c r="AH29" s="1125" t="str">
        <f>AH6</f>
        <v>Mar'14</v>
      </c>
      <c r="AI29" s="1125" t="str">
        <f>AI6</f>
        <v>Apr'14</v>
      </c>
      <c r="AJ29" s="1125" t="str">
        <f>AJ6</f>
        <v>May'14</v>
      </c>
      <c r="AK29" s="1125" t="s">
        <v>738</v>
      </c>
      <c r="AL29" s="1125" t="s">
        <v>795</v>
      </c>
      <c r="AM29" s="1125" t="s">
        <v>823</v>
      </c>
      <c r="AN29" s="1125" t="s">
        <v>860</v>
      </c>
      <c r="AO29" s="1125" t="s">
        <v>899</v>
      </c>
      <c r="AP29" s="1125" t="s">
        <v>948</v>
      </c>
      <c r="AQ29" s="1125" t="s">
        <v>1013</v>
      </c>
      <c r="AR29" s="1750" t="str">
        <f>AR6</f>
        <v>Apr-15</v>
      </c>
      <c r="AS29" s="1125" t="str">
        <f t="shared" ref="AS29:BB29" si="8">AS6</f>
        <v>May-15</v>
      </c>
      <c r="AT29" s="1125" t="str">
        <f t="shared" si="8"/>
        <v>Jun-15</v>
      </c>
      <c r="AU29" s="1125" t="str">
        <f t="shared" si="8"/>
        <v>July-15</v>
      </c>
      <c r="AV29" s="1125" t="str">
        <f t="shared" si="8"/>
        <v>Aug-15</v>
      </c>
      <c r="AW29" s="1125" t="str">
        <f t="shared" si="8"/>
        <v>Sep-15</v>
      </c>
      <c r="AX29" s="1125" t="str">
        <f t="shared" si="8"/>
        <v>Oct-15</v>
      </c>
      <c r="AY29" s="1125" t="str">
        <f t="shared" si="8"/>
        <v>Nov-15</v>
      </c>
      <c r="AZ29" s="1125" t="str">
        <f t="shared" si="8"/>
        <v>Dec-15</v>
      </c>
      <c r="BA29" s="1125" t="str">
        <f t="shared" si="8"/>
        <v>Jan-16</v>
      </c>
      <c r="BB29" s="1772">
        <f t="shared" si="8"/>
        <v>42401</v>
      </c>
      <c r="BC29" s="1792">
        <v>42460</v>
      </c>
      <c r="BD29" s="1792">
        <v>42490</v>
      </c>
      <c r="BE29" s="1792">
        <v>42521</v>
      </c>
      <c r="BF29" s="1792">
        <v>42551</v>
      </c>
      <c r="BG29" s="1792">
        <v>42582</v>
      </c>
      <c r="BH29" s="1792">
        <v>42613</v>
      </c>
      <c r="BI29" s="1792">
        <v>42643</v>
      </c>
      <c r="BJ29" s="1792">
        <v>42674</v>
      </c>
      <c r="BK29" s="1792">
        <v>42704</v>
      </c>
      <c r="BL29" s="1792">
        <v>42735</v>
      </c>
      <c r="BM29" s="1772">
        <v>42766</v>
      </c>
      <c r="BN29" s="1772">
        <v>42794</v>
      </c>
      <c r="BO29" s="1772">
        <v>42825</v>
      </c>
      <c r="BP29" s="1772">
        <v>42855</v>
      </c>
      <c r="BQ29" s="1772">
        <v>42886</v>
      </c>
      <c r="BR29" s="1772">
        <v>42916</v>
      </c>
      <c r="BS29" s="1772">
        <v>42947</v>
      </c>
      <c r="BT29" s="1772">
        <v>42978</v>
      </c>
      <c r="BU29" s="1772">
        <v>43008</v>
      </c>
      <c r="BV29" s="1772">
        <v>43039</v>
      </c>
      <c r="BW29" s="1772">
        <v>43069</v>
      </c>
      <c r="BX29" s="1772">
        <v>43100</v>
      </c>
      <c r="BY29" s="1701" t="str">
        <f>BY6</f>
        <v>target</v>
      </c>
      <c r="BZ29" s="1170"/>
    </row>
    <row r="30" spans="1:83" s="1016" customFormat="1" ht="11.25" customHeight="1">
      <c r="B30" s="1128"/>
      <c r="C30" s="1171"/>
      <c r="D30" s="1171"/>
      <c r="E30" s="1172"/>
      <c r="F30" s="1173"/>
      <c r="G30" s="1171"/>
      <c r="H30" s="1174"/>
      <c r="I30" s="1060"/>
      <c r="J30" s="1060"/>
      <c r="K30" s="1060"/>
      <c r="L30" s="1060"/>
      <c r="M30" s="1060"/>
      <c r="N30" s="1060"/>
      <c r="O30" s="1060"/>
      <c r="P30" s="1060"/>
      <c r="Q30" s="1060"/>
      <c r="R30" s="1060"/>
      <c r="S30" s="1060"/>
      <c r="T30" s="1174"/>
      <c r="U30" s="1174"/>
      <c r="V30" s="1174"/>
      <c r="W30" s="1174"/>
      <c r="X30" s="1174"/>
      <c r="Y30" s="1174"/>
      <c r="Z30" s="1174"/>
      <c r="AA30" s="1174"/>
      <c r="AB30" s="1174"/>
      <c r="AC30" s="1174"/>
      <c r="AD30" s="1174"/>
      <c r="AE30" s="1174"/>
      <c r="AF30" s="1174"/>
      <c r="AG30" s="1174"/>
      <c r="AH30" s="1174"/>
      <c r="AI30" s="1174"/>
      <c r="AJ30" s="1174"/>
      <c r="AK30" s="1174"/>
      <c r="AL30" s="1174"/>
      <c r="AM30" s="1174"/>
      <c r="AN30" s="1174"/>
      <c r="AO30" s="1174"/>
      <c r="AP30" s="1174"/>
      <c r="AQ30" s="1172"/>
      <c r="AR30" s="1172"/>
      <c r="AS30" s="1172"/>
      <c r="AT30" s="1172"/>
      <c r="AU30" s="1172"/>
      <c r="AV30" s="1172"/>
      <c r="AW30" s="1172"/>
      <c r="AX30" s="1172"/>
      <c r="AY30" s="1172"/>
      <c r="AZ30" s="1172"/>
      <c r="BA30" s="1172"/>
      <c r="BB30" s="1172"/>
      <c r="BC30" s="1172"/>
      <c r="BD30" s="1172"/>
      <c r="BE30" s="1172"/>
      <c r="BF30" s="1172"/>
      <c r="BG30" s="1172"/>
      <c r="BH30" s="1172"/>
      <c r="BI30" s="1172"/>
      <c r="BJ30" s="1172"/>
      <c r="BK30" s="1172"/>
      <c r="BL30" s="1172"/>
      <c r="BM30" s="1172"/>
      <c r="BN30" s="1172"/>
      <c r="BO30" s="1172"/>
      <c r="BP30" s="1172"/>
      <c r="BQ30" s="1172"/>
      <c r="BR30" s="1172"/>
      <c r="BS30" s="1172"/>
      <c r="BT30" s="1172"/>
      <c r="BU30" s="1172"/>
      <c r="BV30" s="1172"/>
      <c r="BW30" s="1172"/>
      <c r="BX30" s="1172"/>
      <c r="BY30" s="1175"/>
      <c r="BZ30" s="1133"/>
      <c r="CE30" s="1176"/>
    </row>
    <row r="31" spans="1:83" s="1016" customFormat="1">
      <c r="B31" s="1177" t="s">
        <v>118</v>
      </c>
      <c r="C31" s="1178"/>
      <c r="D31" s="1178"/>
      <c r="E31" s="98">
        <f>SUM(E35:E38)</f>
        <v>492</v>
      </c>
      <c r="F31" s="77">
        <f>Plan!C16</f>
        <v>295</v>
      </c>
      <c r="G31" s="1178"/>
      <c r="H31" s="19"/>
      <c r="I31" s="19"/>
      <c r="J31" s="19"/>
      <c r="K31" s="161" t="e">
        <f>SUM(K35:K37)</f>
        <v>#REF!</v>
      </c>
      <c r="L31" s="161" t="e">
        <f t="shared" ref="L31:S31" si="9">SUM(L35:L37)</f>
        <v>#REF!</v>
      </c>
      <c r="M31" s="161" t="e">
        <f t="shared" si="9"/>
        <v>#REF!</v>
      </c>
      <c r="N31" s="161" t="e">
        <f t="shared" si="9"/>
        <v>#REF!</v>
      </c>
      <c r="O31" s="161" t="e">
        <f t="shared" si="9"/>
        <v>#REF!</v>
      </c>
      <c r="P31" s="161" t="e">
        <f t="shared" si="9"/>
        <v>#REF!</v>
      </c>
      <c r="Q31" s="161" t="e">
        <f t="shared" si="9"/>
        <v>#REF!</v>
      </c>
      <c r="R31" s="161" t="e">
        <f t="shared" si="9"/>
        <v>#REF!</v>
      </c>
      <c r="S31" s="161" t="e">
        <f t="shared" si="9"/>
        <v>#REF!</v>
      </c>
      <c r="T31" s="162">
        <f>SUM(Country!V50:V52)</f>
        <v>3</v>
      </c>
      <c r="U31" s="162">
        <f>SUM(Country!W50:W52)</f>
        <v>0</v>
      </c>
      <c r="V31" s="162">
        <f>SUM(Country!X50:X52)</f>
        <v>11</v>
      </c>
      <c r="W31" s="162">
        <f>SUM(Country!Y50:Y52)</f>
        <v>43</v>
      </c>
      <c r="X31" s="162">
        <f>SUM(Country!Z50:Z52)</f>
        <v>21</v>
      </c>
      <c r="Y31" s="162">
        <f>SUM(Country!AA50:AA52)</f>
        <v>13</v>
      </c>
      <c r="Z31" s="162">
        <f>SUM(Country!AB50:AB52)</f>
        <v>8</v>
      </c>
      <c r="AA31" s="162">
        <f>SUM(Country!AC50:AC52)</f>
        <v>11</v>
      </c>
      <c r="AB31" s="162">
        <f>SUM(Country!AD50:AD52)</f>
        <v>17</v>
      </c>
      <c r="AC31" s="162">
        <f>SUM(Country!AE50:AE52)</f>
        <v>8</v>
      </c>
      <c r="AD31" s="162">
        <f>SUM(Country!AF50:AF52)</f>
        <v>15</v>
      </c>
      <c r="AE31" s="162">
        <f>SUM(Country!AG50:AG52)</f>
        <v>13</v>
      </c>
      <c r="AF31" s="162">
        <f>SUM(Country!AH50:AH52)</f>
        <v>4</v>
      </c>
      <c r="AG31" s="162">
        <f>SUM(Country!AI50:AI52)</f>
        <v>2</v>
      </c>
      <c r="AH31" s="162">
        <f>SUM(Country!AJ50:AJ52)</f>
        <v>15</v>
      </c>
      <c r="AI31" s="162">
        <f>SUM(Country!AK50:AK52)</f>
        <v>42</v>
      </c>
      <c r="AJ31" s="162">
        <f>SUM(Country!AL50:AL52)</f>
        <v>49</v>
      </c>
      <c r="AK31" s="162">
        <f>SUM(Country!AM50:AM53)</f>
        <v>56</v>
      </c>
      <c r="AL31" s="162">
        <f>SUM(Country!AN50:AN53)</f>
        <v>27</v>
      </c>
      <c r="AM31" s="162">
        <f>SUM(Country!AO50:AO53)</f>
        <v>36</v>
      </c>
      <c r="AN31" s="162">
        <f>SUM(Country!AP50:AP53)</f>
        <v>35</v>
      </c>
      <c r="AO31" s="162">
        <f>SUM(Country!AQ50:AQ53)</f>
        <v>27</v>
      </c>
      <c r="AP31" s="162">
        <f>SUM(Country!AR49:AR53)</f>
        <v>73</v>
      </c>
      <c r="AQ31" s="162">
        <f>SUM(AQ35:AQ38)</f>
        <v>67</v>
      </c>
      <c r="AR31" s="162">
        <v>108</v>
      </c>
      <c r="AS31" s="162">
        <v>66</v>
      </c>
      <c r="AT31" s="162">
        <v>76</v>
      </c>
      <c r="AU31" s="162">
        <v>61</v>
      </c>
      <c r="AV31" s="162">
        <v>63</v>
      </c>
      <c r="AW31" s="162">
        <v>102</v>
      </c>
      <c r="AX31" s="162">
        <v>58</v>
      </c>
      <c r="AY31" s="162">
        <v>67</v>
      </c>
      <c r="AZ31" s="162">
        <v>53</v>
      </c>
      <c r="BA31" s="162">
        <v>14</v>
      </c>
      <c r="BB31" s="162">
        <v>10</v>
      </c>
      <c r="BC31" s="162">
        <f>SUM(BC35:BC38)</f>
        <v>65</v>
      </c>
      <c r="BD31" s="162">
        <f>SUM(BD35:BD38)</f>
        <v>74</v>
      </c>
      <c r="BE31" s="162">
        <f>SUM(BE35:BE38)</f>
        <v>130</v>
      </c>
      <c r="BF31" s="162">
        <f>SUM(BF35:BF38)</f>
        <v>180</v>
      </c>
      <c r="BG31" s="162">
        <f>SUM(BG35:BG38)</f>
        <v>103</v>
      </c>
      <c r="BH31" s="162">
        <f t="shared" ref="BH31:BR31" si="10">SUM(BH35:BH38)</f>
        <v>112</v>
      </c>
      <c r="BI31" s="162">
        <f t="shared" si="10"/>
        <v>192</v>
      </c>
      <c r="BJ31" s="162">
        <f t="shared" si="10"/>
        <v>176</v>
      </c>
      <c r="BK31" s="162">
        <f t="shared" si="10"/>
        <v>192</v>
      </c>
      <c r="BL31" s="162">
        <f t="shared" si="10"/>
        <v>153</v>
      </c>
      <c r="BM31" s="162">
        <f t="shared" si="10"/>
        <v>78</v>
      </c>
      <c r="BN31" s="162">
        <f t="shared" si="10"/>
        <v>131</v>
      </c>
      <c r="BO31" s="162">
        <f t="shared" si="10"/>
        <v>58</v>
      </c>
      <c r="BP31" s="162">
        <f t="shared" si="10"/>
        <v>57</v>
      </c>
      <c r="BQ31" s="162">
        <f t="shared" si="10"/>
        <v>54</v>
      </c>
      <c r="BR31" s="162">
        <f t="shared" si="10"/>
        <v>53</v>
      </c>
      <c r="BS31" s="162">
        <f t="shared" ref="BS31:BX31" si="11">SUM(BS35:BS38)</f>
        <v>61</v>
      </c>
      <c r="BT31" s="162">
        <f t="shared" si="11"/>
        <v>0</v>
      </c>
      <c r="BU31" s="162">
        <f t="shared" si="11"/>
        <v>0</v>
      </c>
      <c r="BV31" s="162">
        <f t="shared" si="11"/>
        <v>0</v>
      </c>
      <c r="BW31" s="162">
        <f t="shared" si="11"/>
        <v>0</v>
      </c>
      <c r="BX31" s="162">
        <f t="shared" si="11"/>
        <v>0</v>
      </c>
      <c r="BY31" s="882">
        <f>Plan!$BO$16</f>
        <v>55</v>
      </c>
      <c r="BZ31" s="1138"/>
      <c r="CE31" s="1176"/>
    </row>
    <row r="32" spans="1:83" s="1016" customFormat="1">
      <c r="B32" s="1148" t="s">
        <v>284</v>
      </c>
      <c r="C32" s="1178"/>
      <c r="D32" s="1178"/>
      <c r="E32" s="300">
        <f>+E31-F31</f>
        <v>197</v>
      </c>
      <c r="F32" s="309"/>
      <c r="G32" s="1178"/>
      <c r="H32" s="182"/>
      <c r="I32" s="182"/>
      <c r="J32" s="182"/>
      <c r="K32" s="186"/>
      <c r="L32" s="186"/>
      <c r="M32" s="186"/>
      <c r="N32" s="186"/>
      <c r="O32" s="186"/>
      <c r="P32" s="186"/>
      <c r="Q32" s="186"/>
      <c r="R32" s="186"/>
      <c r="S32" s="186"/>
      <c r="T32" s="1135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141"/>
      <c r="BN32" s="1141"/>
      <c r="BO32" s="1141"/>
      <c r="BP32" s="1141"/>
      <c r="BQ32" s="1141"/>
      <c r="BR32" s="1141"/>
      <c r="BS32" s="1141"/>
      <c r="BT32" s="1141"/>
      <c r="BU32" s="1141"/>
      <c r="BV32" s="1141"/>
      <c r="BW32" s="1141"/>
      <c r="BX32" s="1141"/>
      <c r="BY32" s="1179"/>
      <c r="BZ32" s="1138"/>
      <c r="CE32" s="1176"/>
    </row>
    <row r="33" spans="2:83" s="1016" customFormat="1" ht="7.15" customHeight="1">
      <c r="B33" s="1177"/>
      <c r="C33" s="1178"/>
      <c r="D33" s="1178"/>
      <c r="E33" s="1180"/>
      <c r="F33" s="1178"/>
      <c r="G33" s="1178"/>
      <c r="H33" s="1178"/>
      <c r="I33" s="1178"/>
      <c r="J33" s="1178"/>
      <c r="K33" s="1178"/>
      <c r="L33" s="1178"/>
      <c r="M33" s="1178"/>
      <c r="N33" s="1178"/>
      <c r="O33" s="1178"/>
      <c r="P33" s="1178"/>
      <c r="Q33" s="1178"/>
      <c r="R33" s="1178"/>
      <c r="S33" s="1178"/>
      <c r="T33" s="1134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179"/>
      <c r="BZ33" s="1138"/>
      <c r="CE33" s="1176"/>
    </row>
    <row r="34" spans="2:83" s="1016" customFormat="1">
      <c r="B34" s="1139" t="s">
        <v>952</v>
      </c>
      <c r="C34" s="1178"/>
      <c r="D34" s="1178"/>
      <c r="E34" s="2049">
        <f>Country!B49</f>
        <v>3</v>
      </c>
      <c r="F34" s="378"/>
      <c r="G34" s="1178"/>
      <c r="H34" s="19"/>
      <c r="I34" s="19"/>
      <c r="J34" s="19"/>
      <c r="K34" s="161"/>
      <c r="L34" s="161"/>
      <c r="M34" s="161"/>
      <c r="N34" s="161"/>
      <c r="O34" s="161"/>
      <c r="P34" s="161"/>
      <c r="Q34" s="161"/>
      <c r="R34" s="161"/>
      <c r="S34" s="161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>
        <f>Country!AR49</f>
        <v>5</v>
      </c>
      <c r="AQ34" s="162">
        <f>Country!AS49</f>
        <v>6</v>
      </c>
      <c r="AR34" s="162">
        <v>6</v>
      </c>
      <c r="AS34" s="162">
        <v>4</v>
      </c>
      <c r="AT34" s="162">
        <v>2</v>
      </c>
      <c r="AU34" s="162">
        <v>0</v>
      </c>
      <c r="AV34" s="162">
        <v>0</v>
      </c>
      <c r="AW34" s="162">
        <v>0</v>
      </c>
      <c r="AX34" s="162">
        <v>0</v>
      </c>
      <c r="AY34" s="162">
        <v>0</v>
      </c>
      <c r="AZ34" s="162">
        <v>0</v>
      </c>
      <c r="BA34" s="162">
        <v>0</v>
      </c>
      <c r="BB34" s="162">
        <v>0</v>
      </c>
      <c r="BC34" s="162">
        <f>Country!BH49</f>
        <v>0</v>
      </c>
      <c r="BD34" s="162">
        <f>Country!BI49</f>
        <v>0</v>
      </c>
      <c r="BE34" s="162">
        <f>Country!BJ49</f>
        <v>0</v>
      </c>
      <c r="BF34" s="162">
        <f>Country!BK49</f>
        <v>0</v>
      </c>
      <c r="BG34" s="162">
        <f>Country!BL49</f>
        <v>0</v>
      </c>
      <c r="BH34" s="162">
        <f>Country!BM49</f>
        <v>0</v>
      </c>
      <c r="BI34" s="162">
        <f>Country!BN49</f>
        <v>0</v>
      </c>
      <c r="BJ34" s="162">
        <f>Country!BO49</f>
        <v>0</v>
      </c>
      <c r="BK34" s="162">
        <f>Country!BP49</f>
        <v>0</v>
      </c>
      <c r="BL34" s="162">
        <f>Country!BQ49</f>
        <v>0</v>
      </c>
      <c r="BM34" s="162">
        <f>Country!BR49</f>
        <v>0</v>
      </c>
      <c r="BN34" s="162">
        <f>Country!BS49</f>
        <v>1</v>
      </c>
      <c r="BO34" s="162">
        <f>Country!BT49</f>
        <v>0</v>
      </c>
      <c r="BP34" s="162">
        <f>Country!BU49</f>
        <v>0</v>
      </c>
      <c r="BQ34" s="162">
        <f>Country!BV49</f>
        <v>0</v>
      </c>
      <c r="BR34" s="162">
        <f>Country!BW49</f>
        <v>2</v>
      </c>
      <c r="BS34" s="162">
        <f>Country!BX49</f>
        <v>0</v>
      </c>
      <c r="BT34" s="162">
        <f>Country!BY49</f>
        <v>0</v>
      </c>
      <c r="BU34" s="162">
        <f>Country!BZ49</f>
        <v>0</v>
      </c>
      <c r="BV34" s="162">
        <f>Country!CA49</f>
        <v>0</v>
      </c>
      <c r="BW34" s="162">
        <f>Country!CB49</f>
        <v>0</v>
      </c>
      <c r="BX34" s="162">
        <f>Country!CC49</f>
        <v>0</v>
      </c>
      <c r="BY34" s="1179"/>
      <c r="BZ34" s="1138"/>
      <c r="CE34" s="1176"/>
    </row>
    <row r="35" spans="2:83" s="1016" customFormat="1">
      <c r="B35" s="1139" t="s">
        <v>120</v>
      </c>
      <c r="C35" s="1178"/>
      <c r="D35" s="1178"/>
      <c r="E35" s="2049">
        <f>Country!B50</f>
        <v>343</v>
      </c>
      <c r="F35" s="2048">
        <f>+E35/$E$31</f>
        <v>0.69715447154471544</v>
      </c>
      <c r="G35" s="1178"/>
      <c r="H35" s="19"/>
      <c r="I35" s="19"/>
      <c r="J35" s="19"/>
      <c r="K35" s="161" t="e">
        <f>#REF!</f>
        <v>#REF!</v>
      </c>
      <c r="L35" s="161" t="e">
        <f>#REF!</f>
        <v>#REF!</v>
      </c>
      <c r="M35" s="161" t="e">
        <f>#REF!</f>
        <v>#REF!</v>
      </c>
      <c r="N35" s="161" t="e">
        <f>#REF!</f>
        <v>#REF!</v>
      </c>
      <c r="O35" s="161" t="e">
        <f>#REF!</f>
        <v>#REF!</v>
      </c>
      <c r="P35" s="161" t="e">
        <f>#REF!</f>
        <v>#REF!</v>
      </c>
      <c r="Q35" s="161" t="e">
        <f>#REF!</f>
        <v>#REF!</v>
      </c>
      <c r="R35" s="161" t="e">
        <f>#REF!</f>
        <v>#REF!</v>
      </c>
      <c r="S35" s="161" t="e">
        <f>#REF!</f>
        <v>#REF!</v>
      </c>
      <c r="T35" s="162">
        <f>Country!V50</f>
        <v>3</v>
      </c>
      <c r="U35" s="162">
        <f>Country!W50</f>
        <v>0</v>
      </c>
      <c r="V35" s="162">
        <f>Country!X50</f>
        <v>7</v>
      </c>
      <c r="W35" s="162">
        <f>Country!Y50</f>
        <v>23</v>
      </c>
      <c r="X35" s="162">
        <f>Country!Z50</f>
        <v>15</v>
      </c>
      <c r="Y35" s="162">
        <f>Country!AA50</f>
        <v>9</v>
      </c>
      <c r="Z35" s="162">
        <f>Country!AB50</f>
        <v>5</v>
      </c>
      <c r="AA35" s="162">
        <f>Country!AC50</f>
        <v>9</v>
      </c>
      <c r="AB35" s="162">
        <f>Country!AD50</f>
        <v>13</v>
      </c>
      <c r="AC35" s="162">
        <f>Country!AE50</f>
        <v>4</v>
      </c>
      <c r="AD35" s="162">
        <f>Country!AF50</f>
        <v>11</v>
      </c>
      <c r="AE35" s="162">
        <f>Country!AG50</f>
        <v>10</v>
      </c>
      <c r="AF35" s="162">
        <f>Country!AH50</f>
        <v>3</v>
      </c>
      <c r="AG35" s="162">
        <f>Country!AI50</f>
        <v>2</v>
      </c>
      <c r="AH35" s="162">
        <f>Country!AJ50</f>
        <v>10</v>
      </c>
      <c r="AI35" s="162">
        <f>Country!AK50</f>
        <v>31</v>
      </c>
      <c r="AJ35" s="162">
        <f>Country!AL50</f>
        <v>32</v>
      </c>
      <c r="AK35" s="162">
        <f>Country!AM50</f>
        <v>38</v>
      </c>
      <c r="AL35" s="162">
        <f>Country!AN50</f>
        <v>18</v>
      </c>
      <c r="AM35" s="162">
        <f>Country!AO50</f>
        <v>25</v>
      </c>
      <c r="AN35" s="162">
        <f>Country!AP50</f>
        <v>26</v>
      </c>
      <c r="AO35" s="162">
        <f>Country!AQ50</f>
        <v>17</v>
      </c>
      <c r="AP35" s="162">
        <f>Country!AR50</f>
        <v>48</v>
      </c>
      <c r="AQ35" s="162">
        <f>Country!AS50</f>
        <v>47</v>
      </c>
      <c r="AR35" s="162">
        <v>71</v>
      </c>
      <c r="AS35" s="162">
        <v>51</v>
      </c>
      <c r="AT35" s="162">
        <v>55</v>
      </c>
      <c r="AU35" s="162">
        <v>44</v>
      </c>
      <c r="AV35" s="162">
        <v>51</v>
      </c>
      <c r="AW35" s="162">
        <v>75</v>
      </c>
      <c r="AX35" s="162">
        <v>47</v>
      </c>
      <c r="AY35" s="162">
        <v>57</v>
      </c>
      <c r="AZ35" s="162">
        <v>40</v>
      </c>
      <c r="BA35" s="162">
        <v>12</v>
      </c>
      <c r="BB35" s="162">
        <v>7</v>
      </c>
      <c r="BC35" s="162">
        <f>Country!BH50</f>
        <v>44</v>
      </c>
      <c r="BD35" s="162">
        <f>Country!BI50</f>
        <v>52</v>
      </c>
      <c r="BE35" s="162">
        <f>Country!BJ50</f>
        <v>96</v>
      </c>
      <c r="BF35" s="162">
        <f>Country!BK50</f>
        <v>133</v>
      </c>
      <c r="BG35" s="162">
        <f>Country!BL50</f>
        <v>81</v>
      </c>
      <c r="BH35" s="162">
        <f>Country!BM50</f>
        <v>85</v>
      </c>
      <c r="BI35" s="162">
        <f>Country!BN50</f>
        <v>127</v>
      </c>
      <c r="BJ35" s="162">
        <f>Country!BO50</f>
        <v>131</v>
      </c>
      <c r="BK35" s="162">
        <f>Country!BP50</f>
        <v>147</v>
      </c>
      <c r="BL35" s="162">
        <f>Country!BQ50</f>
        <v>116</v>
      </c>
      <c r="BM35" s="162">
        <f>Country!BR50</f>
        <v>51</v>
      </c>
      <c r="BN35" s="162">
        <f>Country!BS50</f>
        <v>89</v>
      </c>
      <c r="BO35" s="162">
        <f>Country!BT50</f>
        <v>40</v>
      </c>
      <c r="BP35" s="162">
        <f>Country!BU50</f>
        <v>41</v>
      </c>
      <c r="BQ35" s="162">
        <f>Country!BV50</f>
        <v>33</v>
      </c>
      <c r="BR35" s="162">
        <f>Country!BW50</f>
        <v>43</v>
      </c>
      <c r="BS35" s="162">
        <f>Country!BX50</f>
        <v>46</v>
      </c>
      <c r="BT35" s="162">
        <f>Country!BY50</f>
        <v>0</v>
      </c>
      <c r="BU35" s="162">
        <f>Country!BZ50</f>
        <v>0</v>
      </c>
      <c r="BV35" s="162">
        <f>Country!CA50</f>
        <v>0</v>
      </c>
      <c r="BW35" s="162">
        <f>Country!CB50</f>
        <v>0</v>
      </c>
      <c r="BX35" s="162">
        <f>Country!CC50</f>
        <v>0</v>
      </c>
      <c r="BY35" s="1179"/>
      <c r="BZ35" s="1138"/>
      <c r="CE35" s="1176"/>
    </row>
    <row r="36" spans="2:83" s="1016" customFormat="1">
      <c r="B36" s="1139" t="s">
        <v>122</v>
      </c>
      <c r="C36" s="1178"/>
      <c r="D36" s="1178"/>
      <c r="E36" s="2049">
        <f>Country!B51</f>
        <v>92</v>
      </c>
      <c r="F36" s="2048">
        <f>+E36/$E$31</f>
        <v>0.18699186991869918</v>
      </c>
      <c r="G36" s="1178"/>
      <c r="H36" s="19"/>
      <c r="I36" s="19"/>
      <c r="J36" s="19"/>
      <c r="K36" s="1178"/>
      <c r="L36" s="1178"/>
      <c r="M36" s="1178"/>
      <c r="N36" s="1178"/>
      <c r="O36" s="1178"/>
      <c r="P36" s="1178"/>
      <c r="Q36" s="1178"/>
      <c r="R36" s="1178"/>
      <c r="S36" s="1178"/>
      <c r="T36" s="162">
        <f>Country!V51</f>
        <v>0</v>
      </c>
      <c r="U36" s="162">
        <f>Country!W51</f>
        <v>0</v>
      </c>
      <c r="V36" s="162">
        <f>Country!X51</f>
        <v>3</v>
      </c>
      <c r="W36" s="162">
        <f>Country!Y51</f>
        <v>10</v>
      </c>
      <c r="X36" s="162">
        <f>Country!Z51</f>
        <v>5</v>
      </c>
      <c r="Y36" s="162">
        <f>Country!AA51</f>
        <v>3</v>
      </c>
      <c r="Z36" s="162">
        <f>Country!AB51</f>
        <v>3</v>
      </c>
      <c r="AA36" s="162">
        <f>Country!AC51</f>
        <v>1</v>
      </c>
      <c r="AB36" s="162">
        <f>Country!AD51</f>
        <v>3</v>
      </c>
      <c r="AC36" s="162">
        <f>Country!AE51</f>
        <v>2</v>
      </c>
      <c r="AD36" s="162">
        <f>Country!AF51</f>
        <v>3</v>
      </c>
      <c r="AE36" s="162">
        <f>Country!AG51</f>
        <v>2</v>
      </c>
      <c r="AF36" s="162">
        <f>Country!AH51</f>
        <v>1</v>
      </c>
      <c r="AG36" s="162">
        <f>Country!AI51</f>
        <v>0</v>
      </c>
      <c r="AH36" s="162">
        <f>Country!AJ51</f>
        <v>2</v>
      </c>
      <c r="AI36" s="162">
        <f>Country!AK51</f>
        <v>6</v>
      </c>
      <c r="AJ36" s="162">
        <f>Country!AL51</f>
        <v>8</v>
      </c>
      <c r="AK36" s="162">
        <f>Country!AM51</f>
        <v>9</v>
      </c>
      <c r="AL36" s="162">
        <f>Country!AN51</f>
        <v>7</v>
      </c>
      <c r="AM36" s="162">
        <f>Country!AO51</f>
        <v>9</v>
      </c>
      <c r="AN36" s="162">
        <f>Country!AP51</f>
        <v>5</v>
      </c>
      <c r="AO36" s="162">
        <f>Country!AQ51</f>
        <v>5</v>
      </c>
      <c r="AP36" s="162">
        <f>Country!AR51</f>
        <v>13</v>
      </c>
      <c r="AQ36" s="162">
        <f>Country!AS51</f>
        <v>9</v>
      </c>
      <c r="AR36" s="162">
        <v>27</v>
      </c>
      <c r="AS36" s="162">
        <v>10</v>
      </c>
      <c r="AT36" s="162">
        <v>17</v>
      </c>
      <c r="AU36" s="162">
        <v>13</v>
      </c>
      <c r="AV36" s="162">
        <v>9</v>
      </c>
      <c r="AW36" s="162">
        <v>19</v>
      </c>
      <c r="AX36" s="162">
        <v>8</v>
      </c>
      <c r="AY36" s="162">
        <v>8</v>
      </c>
      <c r="AZ36" s="162">
        <v>11</v>
      </c>
      <c r="BA36" s="162">
        <v>1</v>
      </c>
      <c r="BB36" s="162">
        <v>1</v>
      </c>
      <c r="BC36" s="162">
        <f>Country!BH51</f>
        <v>15</v>
      </c>
      <c r="BD36" s="162">
        <f>Country!BI51</f>
        <v>17</v>
      </c>
      <c r="BE36" s="162">
        <f>Country!BJ51</f>
        <v>23</v>
      </c>
      <c r="BF36" s="162">
        <f>Country!BK51</f>
        <v>31</v>
      </c>
      <c r="BG36" s="162">
        <f>Country!BL51</f>
        <v>14</v>
      </c>
      <c r="BH36" s="162">
        <f>Country!BM51</f>
        <v>18</v>
      </c>
      <c r="BI36" s="162">
        <f>Country!BN51</f>
        <v>40</v>
      </c>
      <c r="BJ36" s="162">
        <f>Country!BO51</f>
        <v>26</v>
      </c>
      <c r="BK36" s="162">
        <f>Country!BP51</f>
        <v>28</v>
      </c>
      <c r="BL36" s="162">
        <f>Country!BQ51</f>
        <v>29</v>
      </c>
      <c r="BM36" s="162">
        <f>Country!BR51</f>
        <v>20</v>
      </c>
      <c r="BN36" s="162">
        <f>Country!BS51</f>
        <v>25</v>
      </c>
      <c r="BO36" s="162">
        <f>Country!BT51</f>
        <v>15</v>
      </c>
      <c r="BP36" s="162">
        <f>Country!BU51</f>
        <v>7</v>
      </c>
      <c r="BQ36" s="162">
        <f>Country!BV51</f>
        <v>13</v>
      </c>
      <c r="BR36" s="162">
        <f>Country!BW51</f>
        <v>5</v>
      </c>
      <c r="BS36" s="162">
        <f>Country!BX51</f>
        <v>7</v>
      </c>
      <c r="BT36" s="162">
        <f>Country!BY51</f>
        <v>0</v>
      </c>
      <c r="BU36" s="162">
        <f>Country!BZ51</f>
        <v>0</v>
      </c>
      <c r="BV36" s="162">
        <f>Country!CA51</f>
        <v>0</v>
      </c>
      <c r="BW36" s="162">
        <f>Country!CB51</f>
        <v>0</v>
      </c>
      <c r="BX36" s="162">
        <f>Country!CC51</f>
        <v>0</v>
      </c>
      <c r="BY36" s="1179"/>
      <c r="BZ36" s="1138"/>
      <c r="CE36" s="1176"/>
    </row>
    <row r="37" spans="2:83" s="1016" customFormat="1">
      <c r="B37" s="1139" t="s">
        <v>121</v>
      </c>
      <c r="C37" s="1178"/>
      <c r="D37" s="1178"/>
      <c r="E37" s="2049">
        <f>Country!B52</f>
        <v>37</v>
      </c>
      <c r="F37" s="2048">
        <f>+E37/$E$31</f>
        <v>7.5203252032520332E-2</v>
      </c>
      <c r="G37" s="1178"/>
      <c r="H37" s="19"/>
      <c r="I37" s="19"/>
      <c r="J37" s="19"/>
      <c r="K37" s="1178"/>
      <c r="L37" s="1178"/>
      <c r="M37" s="1178"/>
      <c r="N37" s="1178"/>
      <c r="O37" s="1178"/>
      <c r="P37" s="1178"/>
      <c r="Q37" s="1178"/>
      <c r="R37" s="1178"/>
      <c r="S37" s="1178"/>
      <c r="T37" s="162">
        <f>Country!V52</f>
        <v>0</v>
      </c>
      <c r="U37" s="162">
        <f>Country!W52</f>
        <v>0</v>
      </c>
      <c r="V37" s="162">
        <f>Country!X52</f>
        <v>1</v>
      </c>
      <c r="W37" s="162">
        <f>Country!Y52</f>
        <v>10</v>
      </c>
      <c r="X37" s="162">
        <f>Country!Z52</f>
        <v>1</v>
      </c>
      <c r="Y37" s="162">
        <f>Country!AA52</f>
        <v>1</v>
      </c>
      <c r="Z37" s="162">
        <f>Country!AB52</f>
        <v>0</v>
      </c>
      <c r="AA37" s="162">
        <f>Country!AC52</f>
        <v>1</v>
      </c>
      <c r="AB37" s="162">
        <f>Country!AD52</f>
        <v>1</v>
      </c>
      <c r="AC37" s="162">
        <f>Country!AE52</f>
        <v>2</v>
      </c>
      <c r="AD37" s="162">
        <f>Country!AF52</f>
        <v>1</v>
      </c>
      <c r="AE37" s="162">
        <f>Country!AG52</f>
        <v>1</v>
      </c>
      <c r="AF37" s="162">
        <f>Country!AH52</f>
        <v>0</v>
      </c>
      <c r="AG37" s="162">
        <f>Country!AI52</f>
        <v>0</v>
      </c>
      <c r="AH37" s="162">
        <f>Country!AJ52</f>
        <v>3</v>
      </c>
      <c r="AI37" s="162">
        <f>Country!AK52</f>
        <v>5</v>
      </c>
      <c r="AJ37" s="162">
        <f>Country!AL52</f>
        <v>9</v>
      </c>
      <c r="AK37" s="162">
        <f>Country!AM52</f>
        <v>7</v>
      </c>
      <c r="AL37" s="162">
        <f>Country!AN52</f>
        <v>2</v>
      </c>
      <c r="AM37" s="162">
        <f>Country!AO52</f>
        <v>1</v>
      </c>
      <c r="AN37" s="162">
        <f>Country!AP52</f>
        <v>3</v>
      </c>
      <c r="AO37" s="162">
        <f>Country!AQ52</f>
        <v>4</v>
      </c>
      <c r="AP37" s="162">
        <f>Country!AR52</f>
        <v>6</v>
      </c>
      <c r="AQ37" s="162">
        <f>Country!AS52</f>
        <v>10</v>
      </c>
      <c r="AR37" s="162">
        <v>6</v>
      </c>
      <c r="AS37" s="162">
        <v>3</v>
      </c>
      <c r="AT37" s="162">
        <v>3</v>
      </c>
      <c r="AU37" s="162">
        <v>2</v>
      </c>
      <c r="AV37" s="162">
        <v>2</v>
      </c>
      <c r="AW37" s="162">
        <v>5</v>
      </c>
      <c r="AX37" s="162">
        <v>1</v>
      </c>
      <c r="AY37" s="162">
        <v>2</v>
      </c>
      <c r="AZ37" s="162">
        <v>1</v>
      </c>
      <c r="BA37" s="162">
        <v>1</v>
      </c>
      <c r="BB37" s="162">
        <v>1</v>
      </c>
      <c r="BC37" s="162">
        <f>Country!BH52</f>
        <v>3</v>
      </c>
      <c r="BD37" s="162">
        <f>Country!BI52</f>
        <v>2</v>
      </c>
      <c r="BE37" s="162">
        <f>Country!BJ52</f>
        <v>8</v>
      </c>
      <c r="BF37" s="162">
        <f>Country!BK52</f>
        <v>9</v>
      </c>
      <c r="BG37" s="162">
        <f>Country!BL52</f>
        <v>5</v>
      </c>
      <c r="BH37" s="162">
        <f>Country!BM52</f>
        <v>5</v>
      </c>
      <c r="BI37" s="162">
        <f>Country!BN52</f>
        <v>16</v>
      </c>
      <c r="BJ37" s="162">
        <f>Country!BO52</f>
        <v>14</v>
      </c>
      <c r="BK37" s="162">
        <f>Country!BP52</f>
        <v>12</v>
      </c>
      <c r="BL37" s="162">
        <f>Country!BQ52</f>
        <v>4</v>
      </c>
      <c r="BM37" s="162">
        <f>Country!BR52</f>
        <v>4</v>
      </c>
      <c r="BN37" s="162">
        <f>Country!BS52</f>
        <v>11</v>
      </c>
      <c r="BO37" s="162">
        <f>Country!BT52</f>
        <v>3</v>
      </c>
      <c r="BP37" s="162">
        <f>Country!BU52</f>
        <v>5</v>
      </c>
      <c r="BQ37" s="162">
        <f>Country!BV52</f>
        <v>6</v>
      </c>
      <c r="BR37" s="162">
        <f>Country!BW52</f>
        <v>3</v>
      </c>
      <c r="BS37" s="162">
        <f>Country!BX52</f>
        <v>5</v>
      </c>
      <c r="BT37" s="162">
        <f>Country!BY52</f>
        <v>0</v>
      </c>
      <c r="BU37" s="162">
        <f>Country!BZ52</f>
        <v>0</v>
      </c>
      <c r="BV37" s="162">
        <f>Country!CA52</f>
        <v>0</v>
      </c>
      <c r="BW37" s="162">
        <f>Country!CB52</f>
        <v>0</v>
      </c>
      <c r="BX37" s="162">
        <f>Country!CC52</f>
        <v>0</v>
      </c>
      <c r="BY37" s="1179"/>
      <c r="BZ37" s="1138"/>
      <c r="CE37" s="1176"/>
    </row>
    <row r="38" spans="2:83" s="1016" customFormat="1">
      <c r="B38" s="1139" t="s">
        <v>741</v>
      </c>
      <c r="C38" s="1178"/>
      <c r="D38" s="1178"/>
      <c r="E38" s="2049">
        <f>Country!B53</f>
        <v>20</v>
      </c>
      <c r="F38" s="2048">
        <f>+E38/$E$31</f>
        <v>4.065040650406504E-2</v>
      </c>
      <c r="G38" s="1178"/>
      <c r="H38" s="19"/>
      <c r="I38" s="19"/>
      <c r="J38" s="19"/>
      <c r="K38" s="1178"/>
      <c r="L38" s="1178"/>
      <c r="M38" s="1178"/>
      <c r="N38" s="1178"/>
      <c r="O38" s="1178"/>
      <c r="P38" s="1178"/>
      <c r="Q38" s="1178"/>
      <c r="R38" s="1178"/>
      <c r="S38" s="1178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>
        <f>Country!AM53</f>
        <v>2</v>
      </c>
      <c r="AL38" s="162">
        <f>Country!AN53</f>
        <v>0</v>
      </c>
      <c r="AM38" s="162">
        <f>Country!AO53</f>
        <v>1</v>
      </c>
      <c r="AN38" s="162">
        <f>Country!AP53</f>
        <v>1</v>
      </c>
      <c r="AO38" s="162">
        <f>Country!AQ53</f>
        <v>1</v>
      </c>
      <c r="AP38" s="162">
        <f>Country!AR53</f>
        <v>1</v>
      </c>
      <c r="AQ38" s="162">
        <f>Country!AS53</f>
        <v>1</v>
      </c>
      <c r="AR38" s="162">
        <v>4</v>
      </c>
      <c r="AS38" s="162">
        <v>2</v>
      </c>
      <c r="AT38" s="162">
        <v>1</v>
      </c>
      <c r="AU38" s="162">
        <v>2</v>
      </c>
      <c r="AV38" s="162">
        <v>1</v>
      </c>
      <c r="AW38" s="162">
        <v>3</v>
      </c>
      <c r="AX38" s="162">
        <v>2</v>
      </c>
      <c r="AY38" s="162">
        <v>0</v>
      </c>
      <c r="AZ38" s="162">
        <v>1</v>
      </c>
      <c r="BA38" s="162">
        <v>0</v>
      </c>
      <c r="BB38" s="162">
        <v>1</v>
      </c>
      <c r="BC38" s="162">
        <f>Country!BH53</f>
        <v>3</v>
      </c>
      <c r="BD38" s="162">
        <f>Country!BI53</f>
        <v>3</v>
      </c>
      <c r="BE38" s="162">
        <f>Country!BJ53</f>
        <v>3</v>
      </c>
      <c r="BF38" s="162">
        <f>Country!BK53</f>
        <v>7</v>
      </c>
      <c r="BG38" s="162">
        <f>Country!BL53</f>
        <v>3</v>
      </c>
      <c r="BH38" s="162">
        <f>Country!BM53</f>
        <v>4</v>
      </c>
      <c r="BI38" s="162">
        <f>Country!BN53</f>
        <v>9</v>
      </c>
      <c r="BJ38" s="162">
        <f>Country!BO53</f>
        <v>5</v>
      </c>
      <c r="BK38" s="162">
        <f>Country!BP53</f>
        <v>5</v>
      </c>
      <c r="BL38" s="162">
        <f>Country!BQ53</f>
        <v>4</v>
      </c>
      <c r="BM38" s="162">
        <f>Country!BR53</f>
        <v>3</v>
      </c>
      <c r="BN38" s="162">
        <f>Country!BS53</f>
        <v>6</v>
      </c>
      <c r="BO38" s="162">
        <f>Country!BT53</f>
        <v>0</v>
      </c>
      <c r="BP38" s="162">
        <f>Country!BU53</f>
        <v>4</v>
      </c>
      <c r="BQ38" s="162">
        <f>Country!BV53</f>
        <v>2</v>
      </c>
      <c r="BR38" s="162">
        <f>Country!BW53</f>
        <v>2</v>
      </c>
      <c r="BS38" s="162">
        <f>Country!BX53</f>
        <v>3</v>
      </c>
      <c r="BT38" s="162">
        <f>Country!BY53</f>
        <v>0</v>
      </c>
      <c r="BU38" s="162">
        <f>Country!BZ53</f>
        <v>0</v>
      </c>
      <c r="BV38" s="162">
        <f>Country!CA53</f>
        <v>0</v>
      </c>
      <c r="BW38" s="162">
        <f>Country!CB53</f>
        <v>0</v>
      </c>
      <c r="BX38" s="162">
        <f>Country!CC53</f>
        <v>0</v>
      </c>
      <c r="BY38" s="1179"/>
      <c r="BZ38" s="1138"/>
      <c r="CE38" s="1176"/>
    </row>
    <row r="39" spans="2:83" s="1016" customFormat="1" ht="9" customHeight="1">
      <c r="B39" s="1181"/>
      <c r="C39" s="1178"/>
      <c r="D39" s="1178"/>
      <c r="E39" s="2050"/>
      <c r="F39" s="1183"/>
      <c r="G39" s="1178"/>
      <c r="H39" s="1184"/>
      <c r="I39" s="1134"/>
      <c r="J39" s="1134"/>
      <c r="K39" s="1134"/>
      <c r="L39" s="1134"/>
      <c r="M39" s="1134"/>
      <c r="N39" s="1134"/>
      <c r="O39" s="1134"/>
      <c r="P39" s="1134"/>
      <c r="Q39" s="1134"/>
      <c r="R39" s="1134"/>
      <c r="S39" s="1134"/>
      <c r="T39" s="1184"/>
      <c r="U39" s="1184"/>
      <c r="V39" s="1184"/>
      <c r="W39" s="1184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2"/>
      <c r="AR39" s="1182"/>
      <c r="AS39" s="1182"/>
      <c r="AT39" s="1182"/>
      <c r="AU39" s="1182"/>
      <c r="AV39" s="1182"/>
      <c r="AW39" s="1182"/>
      <c r="AX39" s="1182"/>
      <c r="AY39" s="1182"/>
      <c r="AZ39" s="1182"/>
      <c r="BA39" s="1182"/>
      <c r="BB39" s="1182"/>
      <c r="BC39" s="1182"/>
      <c r="BD39" s="1182"/>
      <c r="BE39" s="1182"/>
      <c r="BF39" s="1182"/>
      <c r="BG39" s="1182"/>
      <c r="BH39" s="1182"/>
      <c r="BI39" s="1182"/>
      <c r="BJ39" s="1182"/>
      <c r="BK39" s="1182"/>
      <c r="BL39" s="1182"/>
      <c r="BM39" s="1141"/>
      <c r="BN39" s="1141"/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79"/>
      <c r="BZ39" s="1138"/>
      <c r="CE39" s="1176"/>
    </row>
    <row r="40" spans="2:83" s="1016" customFormat="1">
      <c r="B40" s="1185" t="s">
        <v>119</v>
      </c>
      <c r="C40" s="1178"/>
      <c r="D40" s="1178"/>
      <c r="E40" s="2049">
        <f>Country!B48</f>
        <v>7093</v>
      </c>
      <c r="F40" s="77">
        <f>Plan!C15</f>
        <v>7123.9208819125888</v>
      </c>
      <c r="G40" s="1178"/>
      <c r="H40" s="19"/>
      <c r="I40" s="19"/>
      <c r="J40" s="19"/>
      <c r="K40" s="1136" t="e">
        <f>#REF!</f>
        <v>#REF!</v>
      </c>
      <c r="L40" s="1136" t="e">
        <f>#REF!</f>
        <v>#REF!</v>
      </c>
      <c r="M40" s="1136" t="e">
        <f>#REF!</f>
        <v>#REF!</v>
      </c>
      <c r="N40" s="1136" t="e">
        <f>#REF!</f>
        <v>#REF!</v>
      </c>
      <c r="O40" s="1136" t="e">
        <f>#REF!</f>
        <v>#REF!</v>
      </c>
      <c r="P40" s="1137" t="e">
        <f>#REF!</f>
        <v>#REF!</v>
      </c>
      <c r="Q40" s="1136" t="e">
        <f>#REF!</f>
        <v>#REF!</v>
      </c>
      <c r="R40" s="1136" t="e">
        <f>#REF!</f>
        <v>#REF!</v>
      </c>
      <c r="S40" s="1136" t="e">
        <f>#REF!</f>
        <v>#REF!</v>
      </c>
      <c r="T40" s="1137">
        <f>Country!V48</f>
        <v>8</v>
      </c>
      <c r="U40" s="1137">
        <f>Country!W48</f>
        <v>1</v>
      </c>
      <c r="V40" s="1137">
        <f>Country!X48</f>
        <v>34</v>
      </c>
      <c r="W40" s="1137">
        <f>Country!Y48</f>
        <v>66</v>
      </c>
      <c r="X40" s="1137">
        <f>Country!Z48</f>
        <v>77</v>
      </c>
      <c r="Y40" s="1137">
        <f>Country!AA48</f>
        <v>67</v>
      </c>
      <c r="Z40" s="1137">
        <f>Country!AB48</f>
        <v>52</v>
      </c>
      <c r="AA40" s="1137">
        <f>Country!AC48</f>
        <v>68</v>
      </c>
      <c r="AB40" s="1137">
        <f>Country!AD48</f>
        <v>96</v>
      </c>
      <c r="AC40" s="1137">
        <f>Country!AE48</f>
        <v>90</v>
      </c>
      <c r="AD40" s="1137">
        <f>Country!AF48</f>
        <v>83</v>
      </c>
      <c r="AE40" s="1137">
        <f>Country!AG48</f>
        <v>142</v>
      </c>
      <c r="AF40" s="1137">
        <f>Country!AH48</f>
        <v>47</v>
      </c>
      <c r="AG40" s="1137">
        <f>Country!AI48</f>
        <v>46</v>
      </c>
      <c r="AH40" s="1137">
        <f>Country!AJ48</f>
        <v>68</v>
      </c>
      <c r="AI40" s="1137">
        <f>Country!AK48</f>
        <v>138</v>
      </c>
      <c r="AJ40" s="1137">
        <f>Country!AL48</f>
        <v>177</v>
      </c>
      <c r="AK40" s="1137">
        <f>Country!AM48</f>
        <v>238</v>
      </c>
      <c r="AL40" s="1137">
        <f>Country!AN48</f>
        <v>163</v>
      </c>
      <c r="AM40" s="1137">
        <f>Country!AO48</f>
        <v>252</v>
      </c>
      <c r="AN40" s="1137">
        <f>Country!AP48</f>
        <v>259</v>
      </c>
      <c r="AO40" s="1137">
        <f>Country!AQ48</f>
        <v>196</v>
      </c>
      <c r="AP40" s="1137">
        <f>Country!AR48</f>
        <v>326</v>
      </c>
      <c r="AQ40" s="1137">
        <f>Country!AS48</f>
        <v>351</v>
      </c>
      <c r="AR40" s="1137">
        <v>477</v>
      </c>
      <c r="AS40" s="1137">
        <v>404</v>
      </c>
      <c r="AT40" s="1137">
        <v>429</v>
      </c>
      <c r="AU40" s="1872">
        <v>446</v>
      </c>
      <c r="AV40" s="1872">
        <v>429</v>
      </c>
      <c r="AW40" s="1872">
        <v>473</v>
      </c>
      <c r="AX40" s="1872">
        <v>406</v>
      </c>
      <c r="AY40" s="1872">
        <v>742</v>
      </c>
      <c r="AZ40" s="1872">
        <v>557</v>
      </c>
      <c r="BA40" s="1872">
        <v>192</v>
      </c>
      <c r="BB40" s="1872">
        <v>186</v>
      </c>
      <c r="BC40" s="1872">
        <f>Country!BH48</f>
        <v>620</v>
      </c>
      <c r="BD40" s="1872">
        <f>Country!BI48</f>
        <v>471</v>
      </c>
      <c r="BE40" s="1872">
        <f>Country!BJ48</f>
        <v>619</v>
      </c>
      <c r="BF40" s="1872">
        <f>Country!BK48</f>
        <v>1120</v>
      </c>
      <c r="BG40" s="1872">
        <f>Country!BL48</f>
        <v>826</v>
      </c>
      <c r="BH40" s="1872">
        <f>Country!BM48</f>
        <v>949</v>
      </c>
      <c r="BI40" s="1872">
        <f>Country!BN48</f>
        <v>1083</v>
      </c>
      <c r="BJ40" s="1872">
        <f>Country!BO48</f>
        <v>1014</v>
      </c>
      <c r="BK40" s="1872">
        <f>Country!BP48</f>
        <v>1068</v>
      </c>
      <c r="BL40" s="1872">
        <f>Country!BQ48</f>
        <v>1354</v>
      </c>
      <c r="BM40" s="1872">
        <f>Country!BR48</f>
        <v>431</v>
      </c>
      <c r="BN40" s="1872">
        <f>Country!BS48</f>
        <v>920</v>
      </c>
      <c r="BO40" s="1872">
        <f>Country!BT48</f>
        <v>1151</v>
      </c>
      <c r="BP40" s="1872">
        <f>Country!BU48</f>
        <v>905</v>
      </c>
      <c r="BQ40" s="1872">
        <f>Country!BV48</f>
        <v>899</v>
      </c>
      <c r="BR40" s="1872">
        <f>Country!BW48</f>
        <v>1684</v>
      </c>
      <c r="BS40" s="1872">
        <f>Country!BX48</f>
        <v>1103</v>
      </c>
      <c r="BT40" s="1872">
        <f>Country!BY48</f>
        <v>0</v>
      </c>
      <c r="BU40" s="1872">
        <f>Country!BZ48</f>
        <v>0</v>
      </c>
      <c r="BV40" s="1872">
        <f>Country!CA48</f>
        <v>0</v>
      </c>
      <c r="BW40" s="1872">
        <f>Country!CB48</f>
        <v>0</v>
      </c>
      <c r="BX40" s="1872">
        <f>Country!CC48</f>
        <v>0</v>
      </c>
      <c r="BY40" s="1942">
        <f>Plan!$BO$15</f>
        <v>1160.8254547148047</v>
      </c>
      <c r="BZ40" s="1138"/>
    </row>
    <row r="41" spans="2:83" s="1016" customFormat="1">
      <c r="B41" s="1148" t="s">
        <v>285</v>
      </c>
      <c r="C41" s="1135"/>
      <c r="D41" s="1135"/>
      <c r="E41" s="2051">
        <f>+E40-F40</f>
        <v>-30.920881912588811</v>
      </c>
      <c r="F41" s="309">
        <f>+E40/F40</f>
        <v>0.99565956971938085</v>
      </c>
      <c r="G41" s="1076"/>
      <c r="H41" s="1143"/>
      <c r="I41" s="1143"/>
      <c r="J41" s="1143"/>
      <c r="K41" s="1143"/>
      <c r="L41" s="1143"/>
      <c r="M41" s="1143"/>
      <c r="N41" s="1143"/>
      <c r="O41" s="1143"/>
      <c r="P41" s="1135"/>
      <c r="Q41" s="1143"/>
      <c r="R41" s="1143"/>
      <c r="S41" s="1143"/>
      <c r="T41" s="1135"/>
      <c r="U41" s="1135"/>
      <c r="V41" s="1135"/>
      <c r="W41" s="1135"/>
      <c r="X41" s="1135"/>
      <c r="Y41" s="1135"/>
      <c r="Z41" s="1135"/>
      <c r="AA41" s="1135"/>
      <c r="AB41" s="1135"/>
      <c r="AC41" s="1135"/>
      <c r="AD41" s="1135"/>
      <c r="AE41" s="1135"/>
      <c r="AF41" s="1135"/>
      <c r="AG41" s="1135"/>
      <c r="AH41" s="1135"/>
      <c r="AI41" s="1135"/>
      <c r="AJ41" s="1135"/>
      <c r="AK41" s="1135"/>
      <c r="AL41" s="1135"/>
      <c r="AM41" s="1135"/>
      <c r="AN41" s="1135"/>
      <c r="AO41" s="1135"/>
      <c r="AP41" s="1135"/>
      <c r="AQ41" s="1141"/>
      <c r="AR41" s="1141"/>
      <c r="AS41" s="1141"/>
      <c r="AT41" s="1141"/>
      <c r="AU41" s="1141"/>
      <c r="AV41" s="1141"/>
      <c r="AW41" s="1141"/>
      <c r="AX41" s="1141"/>
      <c r="AY41" s="1141"/>
      <c r="AZ41" s="1141"/>
      <c r="BA41" s="1141"/>
      <c r="BB41" s="1141"/>
      <c r="BC41" s="1141"/>
      <c r="BD41" s="1141"/>
      <c r="BE41" s="1141"/>
      <c r="BF41" s="1141"/>
      <c r="BG41" s="1141"/>
      <c r="BH41" s="1141"/>
      <c r="BI41" s="1141"/>
      <c r="BJ41" s="1141"/>
      <c r="BK41" s="1141"/>
      <c r="BL41" s="1141"/>
      <c r="BM41" s="1141"/>
      <c r="BN41" s="1141"/>
      <c r="BO41" s="1141"/>
      <c r="BP41" s="1141"/>
      <c r="BQ41" s="1141"/>
      <c r="BR41" s="1141"/>
      <c r="BS41" s="1141"/>
      <c r="BT41" s="1141"/>
      <c r="BU41" s="1141"/>
      <c r="BV41" s="1141"/>
      <c r="BW41" s="1141"/>
      <c r="BX41" s="1141"/>
      <c r="BY41" s="1142"/>
      <c r="BZ41" s="1138"/>
    </row>
    <row r="42" spans="2:83" s="1016" customFormat="1" ht="9" customHeight="1">
      <c r="B42" s="1149"/>
      <c r="C42" s="1135"/>
      <c r="D42" s="1135"/>
      <c r="E42" s="2052"/>
      <c r="F42" s="1142"/>
      <c r="G42" s="1076"/>
      <c r="H42" s="1143"/>
      <c r="I42" s="1143"/>
      <c r="J42" s="1143"/>
      <c r="K42" s="1143"/>
      <c r="L42" s="1143"/>
      <c r="M42" s="1143"/>
      <c r="N42" s="1143"/>
      <c r="O42" s="1143"/>
      <c r="P42" s="1135"/>
      <c r="Q42" s="1143"/>
      <c r="R42" s="1143"/>
      <c r="S42" s="1143"/>
      <c r="T42" s="1135"/>
      <c r="U42" s="1135"/>
      <c r="V42" s="1135"/>
      <c r="W42" s="1135"/>
      <c r="X42" s="1135"/>
      <c r="Y42" s="1135"/>
      <c r="Z42" s="1135"/>
      <c r="AA42" s="1135"/>
      <c r="AB42" s="1135"/>
      <c r="AC42" s="1135"/>
      <c r="AD42" s="1135"/>
      <c r="AE42" s="1135"/>
      <c r="AF42" s="1135"/>
      <c r="AG42" s="1135"/>
      <c r="AH42" s="1135"/>
      <c r="AI42" s="1135"/>
      <c r="AJ42" s="1135"/>
      <c r="AK42" s="1135"/>
      <c r="AL42" s="1135"/>
      <c r="AM42" s="1135"/>
      <c r="AN42" s="1135"/>
      <c r="AO42" s="1135"/>
      <c r="AP42" s="1135"/>
      <c r="AQ42" s="1141"/>
      <c r="AR42" s="1141"/>
      <c r="AS42" s="1141"/>
      <c r="AT42" s="1141"/>
      <c r="AU42" s="1141"/>
      <c r="AV42" s="1141"/>
      <c r="AW42" s="1141"/>
      <c r="AX42" s="1141"/>
      <c r="AY42" s="1141"/>
      <c r="AZ42" s="1141"/>
      <c r="BA42" s="1141"/>
      <c r="BB42" s="1141"/>
      <c r="BC42" s="1141"/>
      <c r="BD42" s="1141"/>
      <c r="BE42" s="1141"/>
      <c r="BF42" s="1141"/>
      <c r="BG42" s="1141"/>
      <c r="BH42" s="1141"/>
      <c r="BI42" s="1141"/>
      <c r="BJ42" s="1141"/>
      <c r="BK42" s="1141"/>
      <c r="BL42" s="1141"/>
      <c r="BM42" s="1141"/>
      <c r="BN42" s="1141"/>
      <c r="BO42" s="1141"/>
      <c r="BP42" s="1141"/>
      <c r="BQ42" s="1141"/>
      <c r="BR42" s="1141"/>
      <c r="BS42" s="1141"/>
      <c r="BT42" s="1141"/>
      <c r="BU42" s="1141"/>
      <c r="BV42" s="1141"/>
      <c r="BW42" s="1141"/>
      <c r="BX42" s="1141"/>
      <c r="BY42" s="1142"/>
      <c r="BZ42" s="1138"/>
    </row>
    <row r="43" spans="2:83" s="1016" customFormat="1">
      <c r="B43" s="1185" t="s">
        <v>568</v>
      </c>
      <c r="C43" s="1178"/>
      <c r="D43" s="1186"/>
      <c r="E43" s="2049">
        <f>Country!B10</f>
        <v>1372</v>
      </c>
      <c r="F43" s="1142"/>
      <c r="G43" s="1178"/>
      <c r="H43" s="1136"/>
      <c r="I43" s="1136"/>
      <c r="J43" s="1136"/>
      <c r="K43" s="1136" t="e">
        <f>#REF!</f>
        <v>#REF!</v>
      </c>
      <c r="L43" s="1136" t="e">
        <f>#REF!</f>
        <v>#REF!</v>
      </c>
      <c r="M43" s="1136" t="e">
        <f>#REF!</f>
        <v>#REF!</v>
      </c>
      <c r="N43" s="1136" t="e">
        <f>#REF!</f>
        <v>#REF!</v>
      </c>
      <c r="O43" s="1136" t="e">
        <f>#REF!</f>
        <v>#REF!</v>
      </c>
      <c r="P43" s="1136" t="e">
        <f>#REF!</f>
        <v>#REF!</v>
      </c>
      <c r="Q43" s="1136" t="e">
        <f>#REF!</f>
        <v>#REF!</v>
      </c>
      <c r="R43" s="1136" t="e">
        <f>#REF!</f>
        <v>#REF!</v>
      </c>
      <c r="S43" s="1136" t="e">
        <f>#REF!</f>
        <v>#REF!</v>
      </c>
      <c r="T43" s="1137">
        <f>Country!V10</f>
        <v>18</v>
      </c>
      <c r="U43" s="1137">
        <f>Country!W10</f>
        <v>16</v>
      </c>
      <c r="V43" s="1137">
        <f>Country!X10</f>
        <v>27</v>
      </c>
      <c r="W43" s="1137">
        <f>Country!Y10</f>
        <v>70</v>
      </c>
      <c r="X43" s="1137">
        <f>Country!Z10</f>
        <v>91</v>
      </c>
      <c r="Y43" s="1137">
        <f>Country!AA10</f>
        <v>100</v>
      </c>
      <c r="Z43" s="1137">
        <f>Country!AB10</f>
        <v>96</v>
      </c>
      <c r="AA43" s="1137">
        <f>Country!AC10</f>
        <v>104</v>
      </c>
      <c r="AB43" s="1137">
        <f>Country!AD10</f>
        <v>119</v>
      </c>
      <c r="AC43" s="1137">
        <f>Country!AE10</f>
        <v>112</v>
      </c>
      <c r="AD43" s="1137">
        <f>Country!AF10</f>
        <v>120</v>
      </c>
      <c r="AE43" s="1137">
        <f>Country!AG10</f>
        <v>126</v>
      </c>
      <c r="AF43" s="1137">
        <f>Country!AH10</f>
        <v>125</v>
      </c>
      <c r="AG43" s="1137">
        <f>Country!AI10</f>
        <v>116</v>
      </c>
      <c r="AH43" s="1137">
        <f>Country!AJ10</f>
        <v>117</v>
      </c>
      <c r="AI43" s="1137">
        <f>Country!AK10</f>
        <v>156</v>
      </c>
      <c r="AJ43" s="1137">
        <f>Country!AL10</f>
        <v>193</v>
      </c>
      <c r="AK43" s="1137">
        <f>Country!AM10</f>
        <v>249</v>
      </c>
      <c r="AL43" s="1137">
        <f>Country!AN10</f>
        <v>257</v>
      </c>
      <c r="AM43" s="1137">
        <f>Country!AO10</f>
        <v>289</v>
      </c>
      <c r="AN43" s="1137">
        <f>Country!AP10</f>
        <v>323</v>
      </c>
      <c r="AO43" s="1137">
        <f>Country!AQ10</f>
        <v>346</v>
      </c>
      <c r="AP43" s="1137">
        <f>Country!AR10</f>
        <v>401</v>
      </c>
      <c r="AQ43" s="1137">
        <f>Country!AS10</f>
        <v>463</v>
      </c>
      <c r="AR43" s="1137">
        <v>681</v>
      </c>
      <c r="AS43" s="1137">
        <v>725</v>
      </c>
      <c r="AT43" s="1137">
        <v>723</v>
      </c>
      <c r="AU43" s="1872">
        <v>747</v>
      </c>
      <c r="AV43" s="1872">
        <v>744</v>
      </c>
      <c r="AW43" s="1872">
        <v>819</v>
      </c>
      <c r="AX43" s="1872">
        <v>854</v>
      </c>
      <c r="AY43" s="1872">
        <v>866</v>
      </c>
      <c r="AZ43" s="1872">
        <v>857</v>
      </c>
      <c r="BA43" s="1872">
        <v>868</v>
      </c>
      <c r="BB43" s="1872">
        <v>847</v>
      </c>
      <c r="BC43" s="1872">
        <f>Country!BH10</f>
        <v>885</v>
      </c>
      <c r="BD43" s="1872">
        <f>Country!BI10</f>
        <v>936</v>
      </c>
      <c r="BE43" s="1872">
        <f>Country!BJ10</f>
        <v>1014</v>
      </c>
      <c r="BF43" s="1872">
        <f>Country!BK10</f>
        <v>1124</v>
      </c>
      <c r="BG43" s="1872">
        <f>Country!BL10</f>
        <v>1126</v>
      </c>
      <c r="BH43" s="1872">
        <f>Country!BM10</f>
        <v>1211</v>
      </c>
      <c r="BI43" s="1872">
        <f>Country!BN10</f>
        <v>1343</v>
      </c>
      <c r="BJ43" s="1872">
        <f>Country!BO10</f>
        <v>1458</v>
      </c>
      <c r="BK43" s="2074">
        <f>Country!BP10</f>
        <v>1500</v>
      </c>
      <c r="BL43" s="2074">
        <f>Country!BQ10</f>
        <v>1663</v>
      </c>
      <c r="BM43" s="1872">
        <f>Country!BR10</f>
        <v>1656</v>
      </c>
      <c r="BN43" s="1872">
        <f>Country!BS10</f>
        <v>1744</v>
      </c>
      <c r="BO43" s="1872">
        <f>Country!BT10</f>
        <v>1704</v>
      </c>
      <c r="BP43" s="1872">
        <f>Country!BU10</f>
        <v>1521</v>
      </c>
      <c r="BQ43" s="1872">
        <f>Country!BV10</f>
        <v>1540</v>
      </c>
      <c r="BR43" s="1872">
        <f>Country!BW10</f>
        <v>1505</v>
      </c>
      <c r="BS43" s="1872">
        <f>Country!BX10</f>
        <v>1372</v>
      </c>
      <c r="BT43" s="1872">
        <f>Country!BY10</f>
        <v>0</v>
      </c>
      <c r="BU43" s="1872">
        <f>Country!BZ10</f>
        <v>0</v>
      </c>
      <c r="BV43" s="1872">
        <f>Country!CA10</f>
        <v>0</v>
      </c>
      <c r="BW43" s="1872">
        <f>Country!CB10</f>
        <v>0</v>
      </c>
      <c r="BX43" s="1872">
        <f>Country!CC10</f>
        <v>0</v>
      </c>
      <c r="BY43" s="1896">
        <f>Plan!$BO$9</f>
        <v>2071.9648378944012</v>
      </c>
      <c r="BZ43" s="1138"/>
    </row>
    <row r="44" spans="2:83" s="1016" customFormat="1">
      <c r="B44" s="1139" t="s">
        <v>286</v>
      </c>
      <c r="C44" s="1178"/>
      <c r="D44" s="1178"/>
      <c r="E44" s="2049">
        <f>Country!B58/Country!B2</f>
        <v>497.71428571428572</v>
      </c>
      <c r="F44" s="1142"/>
      <c r="G44" s="1178"/>
      <c r="H44" s="1136"/>
      <c r="I44" s="1136"/>
      <c r="J44" s="1136"/>
      <c r="K44" s="1136" t="e">
        <f>#REF!</f>
        <v>#REF!</v>
      </c>
      <c r="L44" s="1136" t="e">
        <f>#REF!</f>
        <v>#REF!</v>
      </c>
      <c r="M44" s="1136" t="e">
        <f>#REF!</f>
        <v>#REF!</v>
      </c>
      <c r="N44" s="1137">
        <v>6</v>
      </c>
      <c r="O44" s="1136" t="e">
        <f>#REF!</f>
        <v>#REF!</v>
      </c>
      <c r="P44" s="1137" t="e">
        <f>#REF!</f>
        <v>#REF!</v>
      </c>
      <c r="Q44" s="1136" t="e">
        <f>#REF!</f>
        <v>#REF!</v>
      </c>
      <c r="R44" s="1136" t="e">
        <f>#REF!</f>
        <v>#REF!</v>
      </c>
      <c r="S44" s="1136" t="e">
        <f>#REF!</f>
        <v>#REF!</v>
      </c>
      <c r="T44" s="1137">
        <f>Country!V58</f>
        <v>5</v>
      </c>
      <c r="U44" s="1137">
        <f>Country!W58</f>
        <v>1</v>
      </c>
      <c r="V44" s="1137">
        <f>Country!X58</f>
        <v>16</v>
      </c>
      <c r="W44" s="1137">
        <f>Country!Y58</f>
        <v>38</v>
      </c>
      <c r="X44" s="1137">
        <f>Country!Z58</f>
        <v>45</v>
      </c>
      <c r="Y44" s="1137">
        <f>Country!AA58</f>
        <v>37</v>
      </c>
      <c r="Z44" s="1137">
        <f>Country!AB58</f>
        <v>39</v>
      </c>
      <c r="AA44" s="1137">
        <f>Country!AC58</f>
        <v>40</v>
      </c>
      <c r="AB44" s="1137">
        <f>Country!AD58</f>
        <v>47</v>
      </c>
      <c r="AC44" s="1137">
        <f>Country!AE58</f>
        <v>56</v>
      </c>
      <c r="AD44" s="1137">
        <f>Country!AF58</f>
        <v>48</v>
      </c>
      <c r="AE44" s="1137">
        <f>Country!AG58</f>
        <v>60</v>
      </c>
      <c r="AF44" s="1137">
        <f>Country!AH58</f>
        <v>31</v>
      </c>
      <c r="AG44" s="1137">
        <f>Country!AI58</f>
        <v>30</v>
      </c>
      <c r="AH44" s="1137">
        <f>Country!AJ58</f>
        <v>40</v>
      </c>
      <c r="AI44" s="1137">
        <f>Country!AK58</f>
        <v>86</v>
      </c>
      <c r="AJ44" s="1137">
        <f>Country!AL58</f>
        <v>98</v>
      </c>
      <c r="AK44" s="1137">
        <f>Country!AM58</f>
        <v>129</v>
      </c>
      <c r="AL44" s="1137">
        <f>Country!AN58</f>
        <v>150</v>
      </c>
      <c r="AM44" s="1137">
        <f>Country!AO58</f>
        <v>146</v>
      </c>
      <c r="AN44" s="1137">
        <f>Country!AP58</f>
        <v>146</v>
      </c>
      <c r="AO44" s="1137">
        <f>Country!AQ58</f>
        <v>126</v>
      </c>
      <c r="AP44" s="1137">
        <f>Country!AR58</f>
        <v>185</v>
      </c>
      <c r="AQ44" s="1137">
        <f>Country!AS58</f>
        <v>215</v>
      </c>
      <c r="AR44" s="1137">
        <v>287</v>
      </c>
      <c r="AS44" s="1137">
        <v>260</v>
      </c>
      <c r="AT44" s="1137">
        <v>279</v>
      </c>
      <c r="AU44" s="1872">
        <v>282</v>
      </c>
      <c r="AV44" s="1872">
        <v>282</v>
      </c>
      <c r="AW44" s="1872">
        <v>293</v>
      </c>
      <c r="AX44" s="1872">
        <v>265</v>
      </c>
      <c r="AY44" s="1872">
        <v>387</v>
      </c>
      <c r="AZ44" s="1872">
        <v>329</v>
      </c>
      <c r="BA44" s="1872">
        <v>145</v>
      </c>
      <c r="BB44" s="1872">
        <v>123</v>
      </c>
      <c r="BC44" s="1872">
        <f>Country!BH58</f>
        <v>338</v>
      </c>
      <c r="BD44" s="1872">
        <f>Country!BI58</f>
        <v>266</v>
      </c>
      <c r="BE44" s="1872">
        <f>Country!BJ58</f>
        <v>333</v>
      </c>
      <c r="BF44" s="1872">
        <f>Country!BK58</f>
        <v>493</v>
      </c>
      <c r="BG44" s="1872">
        <f>Country!BL58</f>
        <v>366</v>
      </c>
      <c r="BH44" s="1872">
        <f>Country!BM58</f>
        <v>392</v>
      </c>
      <c r="BI44" s="1872">
        <f>Country!BN58</f>
        <v>597</v>
      </c>
      <c r="BJ44" s="1872">
        <f>Country!BO58</f>
        <v>570</v>
      </c>
      <c r="BK44" s="2074">
        <f>Country!BP58</f>
        <v>638</v>
      </c>
      <c r="BL44" s="2074">
        <f>Country!BQ58</f>
        <v>715</v>
      </c>
      <c r="BM44" s="1872">
        <f>Country!BR58</f>
        <v>314</v>
      </c>
      <c r="BN44" s="1872">
        <f>Country!BS58</f>
        <v>513</v>
      </c>
      <c r="BO44" s="1872">
        <f>Country!BT58</f>
        <v>577</v>
      </c>
      <c r="BP44" s="1872">
        <f>Country!BU58</f>
        <v>480</v>
      </c>
      <c r="BQ44" s="1872">
        <f>Country!BV58</f>
        <v>454</v>
      </c>
      <c r="BR44" s="1872">
        <f>Country!BW58</f>
        <v>675</v>
      </c>
      <c r="BS44" s="1872">
        <f>Country!BX58</f>
        <v>471</v>
      </c>
      <c r="BT44" s="1872">
        <f>Country!BY58</f>
        <v>0</v>
      </c>
      <c r="BU44" s="1872">
        <f>Country!BZ58</f>
        <v>0</v>
      </c>
      <c r="BV44" s="1872">
        <f>Country!CA58</f>
        <v>0</v>
      </c>
      <c r="BW44" s="1872">
        <f>Country!CB58</f>
        <v>0</v>
      </c>
      <c r="BX44" s="1872">
        <f>Country!CC58</f>
        <v>0</v>
      </c>
      <c r="BY44" s="1943">
        <f>BY45*BY43</f>
        <v>773.88363647653648</v>
      </c>
      <c r="BZ44" s="1138"/>
      <c r="CA44" s="792"/>
    </row>
    <row r="45" spans="2:83" s="1016" customFormat="1" ht="14.25" customHeight="1">
      <c r="B45" s="1139" t="s">
        <v>569</v>
      </c>
      <c r="C45" s="1178"/>
      <c r="D45" s="1178"/>
      <c r="E45" s="85">
        <f>Country!B59</f>
        <v>0.24989241141873475</v>
      </c>
      <c r="F45" s="1142"/>
      <c r="G45" s="1178"/>
      <c r="H45" s="19"/>
      <c r="I45" s="19"/>
      <c r="J45" s="19"/>
      <c r="K45" s="19" t="e">
        <f>#REF!</f>
        <v>#REF!</v>
      </c>
      <c r="L45" s="19" t="e">
        <f>#REF!</f>
        <v>#REF!</v>
      </c>
      <c r="M45" s="19" t="e">
        <f>#REF!</f>
        <v>#REF!</v>
      </c>
      <c r="N45" s="19" t="e">
        <f>#REF!</f>
        <v>#REF!</v>
      </c>
      <c r="O45" s="19" t="e">
        <f>#REF!</f>
        <v>#REF!</v>
      </c>
      <c r="P45" s="132" t="e">
        <f>#REF!</f>
        <v>#REF!</v>
      </c>
      <c r="Q45" s="19" t="e">
        <f>#REF!</f>
        <v>#REF!</v>
      </c>
      <c r="R45" s="19" t="e">
        <f>#REF!</f>
        <v>#REF!</v>
      </c>
      <c r="S45" s="19" t="e">
        <f>#REF!</f>
        <v>#REF!</v>
      </c>
      <c r="T45" s="132">
        <f>Country!V59</f>
        <v>0.26315789473684209</v>
      </c>
      <c r="U45" s="132">
        <f>Country!W59</f>
        <v>5.8823529411764705E-2</v>
      </c>
      <c r="V45" s="132">
        <f>Country!X59</f>
        <v>0.5714285714285714</v>
      </c>
      <c r="W45" s="132">
        <f>Country!Y59</f>
        <v>0.48717948717948717</v>
      </c>
      <c r="X45" s="132">
        <f>Country!Z59</f>
        <v>0.45454545454545453</v>
      </c>
      <c r="Y45" s="132">
        <f>Country!AA59</f>
        <v>0.34259259259259262</v>
      </c>
      <c r="Z45" s="132">
        <f>Country!AB59</f>
        <v>0.3611111111111111</v>
      </c>
      <c r="AA45" s="132">
        <f>Country!AC59</f>
        <v>0.33898305084745761</v>
      </c>
      <c r="AB45" s="132">
        <f>Country!AD59</f>
        <v>0.36153846153846153</v>
      </c>
      <c r="AC45" s="132">
        <f>Country!AE59</f>
        <v>0.45528455284552843</v>
      </c>
      <c r="AD45" s="132">
        <f>Country!AF59</f>
        <v>0.35820895522388058</v>
      </c>
      <c r="AE45" s="132">
        <f>Country!AG59</f>
        <v>0.41095890410958902</v>
      </c>
      <c r="AF45" s="132">
        <f>Country!AH59</f>
        <v>0.19745222929936307</v>
      </c>
      <c r="AG45" s="132">
        <f>Country!AI59</f>
        <v>0.19867549668874171</v>
      </c>
      <c r="AH45" s="132">
        <f>Country!AJ59</f>
        <v>0.25806451612903225</v>
      </c>
      <c r="AI45" s="132">
        <f>Country!AK59</f>
        <v>0.455026455026455</v>
      </c>
      <c r="AJ45" s="132">
        <f>Country!AL59</f>
        <v>0.43555555555555553</v>
      </c>
      <c r="AK45" s="132">
        <f>Country!AM59</f>
        <v>0.46570397111913359</v>
      </c>
      <c r="AL45" s="132">
        <f>Country!AN59</f>
        <v>0.52631578947368418</v>
      </c>
      <c r="AM45" s="132">
        <f>Country!AO59</f>
        <v>0.45482866043613707</v>
      </c>
      <c r="AN45" s="132">
        <f>Country!AP59</f>
        <v>0.40443213296398894</v>
      </c>
      <c r="AO45" s="132">
        <f>Country!AQ59</f>
        <v>0.32727272727272727</v>
      </c>
      <c r="AP45" s="132">
        <f>Country!AR59</f>
        <v>0.4083885209713024</v>
      </c>
      <c r="AQ45" s="132">
        <f>Country!AS59</f>
        <v>0.39888682745825604</v>
      </c>
      <c r="AR45" s="132">
        <v>0.3521472392638037</v>
      </c>
      <c r="AS45" s="132">
        <v>0.30127462340672073</v>
      </c>
      <c r="AT45" s="132">
        <v>0.32978723404255317</v>
      </c>
      <c r="AU45" s="132">
        <v>0.3298245614035088</v>
      </c>
      <c r="AV45" s="132">
        <v>0.33333333333333331</v>
      </c>
      <c r="AW45" s="132">
        <v>0.31813246471226925</v>
      </c>
      <c r="AX45" s="132">
        <v>0.27263374485596709</v>
      </c>
      <c r="AY45" s="132">
        <v>0.38738738738738737</v>
      </c>
      <c r="AZ45" s="132">
        <v>0.33098591549295775</v>
      </c>
      <c r="BA45" s="132">
        <v>0.14313919052319843</v>
      </c>
      <c r="BB45" s="132">
        <v>0.12250996015936255</v>
      </c>
      <c r="BC45" s="132">
        <f>Country!BH59</f>
        <v>0.32007575757575757</v>
      </c>
      <c r="BD45" s="132">
        <f>Country!BI59</f>
        <v>0.23333333333333334</v>
      </c>
      <c r="BE45" s="132">
        <f>Country!BJ59</f>
        <v>0.2722812755519215</v>
      </c>
      <c r="BF45" s="132">
        <f>Country!BK59</f>
        <v>0.37207547169811322</v>
      </c>
      <c r="BG45" s="132">
        <f>Country!BL59</f>
        <v>0.27436281859070466</v>
      </c>
      <c r="BH45" s="132">
        <f>Country!BM59</f>
        <v>0.27053140096618356</v>
      </c>
      <c r="BI45" s="132">
        <f>Country!BN59</f>
        <v>0.37219451371571072</v>
      </c>
      <c r="BJ45" s="132">
        <f>Country!BO59</f>
        <v>0.32702237521514632</v>
      </c>
      <c r="BK45" s="143">
        <f>Country!BP59</f>
        <v>0.35862844294547497</v>
      </c>
      <c r="BL45" s="143">
        <f>Country!BQ59</f>
        <v>0.36038306451612906</v>
      </c>
      <c r="BM45" s="132">
        <f>Country!BR59</f>
        <v>0.15747241725175526</v>
      </c>
      <c r="BN45" s="132">
        <f>Country!BS59</f>
        <v>0.24278277330809275</v>
      </c>
      <c r="BO45" s="132">
        <f>Country!BT59</f>
        <v>0.27268431001890359</v>
      </c>
      <c r="BP45" s="132">
        <f>Country!BU59</f>
        <v>0.24653312788906009</v>
      </c>
      <c r="BQ45" s="132">
        <f>Country!BV59</f>
        <v>0.22711355677838921</v>
      </c>
      <c r="BR45" s="132">
        <f>Country!BW59</f>
        <v>0.34229208924949289</v>
      </c>
      <c r="BS45" s="132">
        <f>Country!BX59</f>
        <v>0.26152137701277067</v>
      </c>
      <c r="BT45" s="132">
        <f>Country!BY59</f>
        <v>0</v>
      </c>
      <c r="BU45" s="132">
        <f>Country!BZ59</f>
        <v>0</v>
      </c>
      <c r="BV45" s="132">
        <f>Country!CA59</f>
        <v>0</v>
      </c>
      <c r="BW45" s="132">
        <f>Country!CB59</f>
        <v>0</v>
      </c>
      <c r="BX45" s="132">
        <f>Country!CC59</f>
        <v>0</v>
      </c>
      <c r="BY45" s="883">
        <f xml:space="preserve"> (BY40/BY46) /BY43</f>
        <v>0.37350230193239309</v>
      </c>
      <c r="BZ45" s="1138"/>
    </row>
    <row r="46" spans="2:83" s="1016" customFormat="1">
      <c r="B46" s="1139" t="s">
        <v>30</v>
      </c>
      <c r="C46" s="1178"/>
      <c r="D46" s="1178"/>
      <c r="E46" s="84">
        <f>Country!B60</f>
        <v>2.0358783008036738</v>
      </c>
      <c r="F46" s="1142"/>
      <c r="G46" s="1178"/>
      <c r="H46" s="19"/>
      <c r="I46" s="19"/>
      <c r="J46" s="19"/>
      <c r="K46" s="72" t="e">
        <f>#REF!</f>
        <v>#REF!</v>
      </c>
      <c r="L46" s="72" t="e">
        <f>#REF!</f>
        <v>#REF!</v>
      </c>
      <c r="M46" s="72" t="e">
        <f>#REF!</f>
        <v>#REF!</v>
      </c>
      <c r="N46" s="72" t="e">
        <f>#REF!</f>
        <v>#REF!</v>
      </c>
      <c r="O46" s="72" t="e">
        <f>#REF!</f>
        <v>#REF!</v>
      </c>
      <c r="P46" s="129" t="e">
        <f>#REF!</f>
        <v>#REF!</v>
      </c>
      <c r="Q46" s="72" t="e">
        <f>#REF!</f>
        <v>#REF!</v>
      </c>
      <c r="R46" s="72" t="e">
        <f>#REF!</f>
        <v>#REF!</v>
      </c>
      <c r="S46" s="72" t="e">
        <f>#REF!</f>
        <v>#REF!</v>
      </c>
      <c r="T46" s="129">
        <f>Country!V60</f>
        <v>1.6</v>
      </c>
      <c r="U46" s="129">
        <f>Country!W60</f>
        <v>1</v>
      </c>
      <c r="V46" s="129">
        <f>Country!X60</f>
        <v>2.125</v>
      </c>
      <c r="W46" s="129">
        <f>Country!Y60</f>
        <v>1.736842105263158</v>
      </c>
      <c r="X46" s="129">
        <f>Country!Z60</f>
        <v>1.711111111111111</v>
      </c>
      <c r="Y46" s="129">
        <f>Country!AA60</f>
        <v>1.8108108108108107</v>
      </c>
      <c r="Z46" s="129">
        <f>Country!AB60</f>
        <v>1.3333333333333333</v>
      </c>
      <c r="AA46" s="129">
        <f>Country!AC60</f>
        <v>1.7</v>
      </c>
      <c r="AB46" s="129">
        <f>Country!AD60</f>
        <v>2.0425531914893615</v>
      </c>
      <c r="AC46" s="129">
        <f>Country!AE60</f>
        <v>1.6071428571428572</v>
      </c>
      <c r="AD46" s="129">
        <f>Country!AF60</f>
        <v>1.7291666666666667</v>
      </c>
      <c r="AE46" s="129">
        <f>Country!AG60</f>
        <v>2.3666666666666667</v>
      </c>
      <c r="AF46" s="129">
        <f>Country!AH60</f>
        <v>1.5161290322580645</v>
      </c>
      <c r="AG46" s="129">
        <f>Country!AI60</f>
        <v>1.5333333333333334</v>
      </c>
      <c r="AH46" s="129">
        <f>Country!AJ60</f>
        <v>1.7</v>
      </c>
      <c r="AI46" s="129">
        <f>Country!AK60</f>
        <v>1.6046511627906976</v>
      </c>
      <c r="AJ46" s="129">
        <f>Country!AL60</f>
        <v>1.8061224489795917</v>
      </c>
      <c r="AK46" s="129">
        <f>Country!AM60</f>
        <v>1.8449612403100775</v>
      </c>
      <c r="AL46" s="129">
        <f>Country!AN60</f>
        <v>1.0866666666666667</v>
      </c>
      <c r="AM46" s="129">
        <f>Country!AO60</f>
        <v>1.726027397260274</v>
      </c>
      <c r="AN46" s="129">
        <f>Country!AP60</f>
        <v>1.773972602739726</v>
      </c>
      <c r="AO46" s="129">
        <f>Country!AQ60</f>
        <v>1.5555555555555556</v>
      </c>
      <c r="AP46" s="129">
        <f>Country!AR60</f>
        <v>1.7621621621621621</v>
      </c>
      <c r="AQ46" s="129">
        <f>Country!AS60</f>
        <v>1.6325581395348838</v>
      </c>
      <c r="AR46" s="129">
        <v>1.6620209059233448</v>
      </c>
      <c r="AS46" s="129">
        <v>1.5538461538461539</v>
      </c>
      <c r="AT46" s="129">
        <v>1.5376344086021505</v>
      </c>
      <c r="AU46" s="129">
        <v>1.5815602836879432</v>
      </c>
      <c r="AV46" s="129">
        <v>1.5212765957446808</v>
      </c>
      <c r="AW46" s="129">
        <v>1.6143344709897611</v>
      </c>
      <c r="AX46" s="129">
        <v>1.5320754716981133</v>
      </c>
      <c r="AY46" s="129">
        <v>1.9173126614987079</v>
      </c>
      <c r="AZ46" s="129">
        <v>1.6930091185410334</v>
      </c>
      <c r="BA46" s="129">
        <v>1.3241379310344827</v>
      </c>
      <c r="BB46" s="129">
        <v>1.5121951219512195</v>
      </c>
      <c r="BC46" s="129">
        <f>Country!BH60</f>
        <v>1.834319526627219</v>
      </c>
      <c r="BD46" s="129">
        <f>Country!BI60</f>
        <v>1.7706766917293233</v>
      </c>
      <c r="BE46" s="129">
        <f>Country!BJ60</f>
        <v>1.8588588588588588</v>
      </c>
      <c r="BF46" s="129">
        <f>Country!BK60</f>
        <v>2.2718052738336714</v>
      </c>
      <c r="BG46" s="129">
        <f>Country!BL60</f>
        <v>2.2568306010928962</v>
      </c>
      <c r="BH46" s="129">
        <f>Country!BM60</f>
        <v>2.420918367346939</v>
      </c>
      <c r="BI46" s="129">
        <f>Country!BN60</f>
        <v>1.8140703517587939</v>
      </c>
      <c r="BJ46" s="129">
        <f>Country!BO60</f>
        <v>1.7789473684210526</v>
      </c>
      <c r="BK46" s="145">
        <f>Country!BP60</f>
        <v>1.6739811912225706</v>
      </c>
      <c r="BL46" s="145">
        <f>Country!BQ60</f>
        <v>1.8937062937062936</v>
      </c>
      <c r="BM46" s="129">
        <f>Country!BR60</f>
        <v>1.3726114649681529</v>
      </c>
      <c r="BN46" s="129">
        <f>Country!BS60</f>
        <v>1.7933723196881091</v>
      </c>
      <c r="BO46" s="129">
        <f>Country!BT60</f>
        <v>1.9948006932409013</v>
      </c>
      <c r="BP46" s="129">
        <f>Country!BU60</f>
        <v>1.8854166666666667</v>
      </c>
      <c r="BQ46" s="129">
        <f>Country!BV60</f>
        <v>1.9801762114537445</v>
      </c>
      <c r="BR46" s="129">
        <f>Country!BW60</f>
        <v>2.4948148148148146</v>
      </c>
      <c r="BS46" s="129">
        <f>Country!BX60</f>
        <v>2.3418259023354566</v>
      </c>
      <c r="BT46" s="129" t="str">
        <f>Country!BY60</f>
        <v>-</v>
      </c>
      <c r="BU46" s="129" t="str">
        <f>Country!BZ60</f>
        <v>-</v>
      </c>
      <c r="BV46" s="129" t="str">
        <f>Country!CA60</f>
        <v>-</v>
      </c>
      <c r="BW46" s="129" t="str">
        <f>Country!CB60</f>
        <v>-</v>
      </c>
      <c r="BX46" s="129" t="str">
        <f>Country!CC60</f>
        <v>-</v>
      </c>
      <c r="BY46" s="1187">
        <v>1.5</v>
      </c>
      <c r="BZ46" s="1138"/>
    </row>
    <row r="47" spans="2:83" s="1016" customFormat="1">
      <c r="B47" s="1139" t="s">
        <v>31</v>
      </c>
      <c r="C47" s="1178"/>
      <c r="D47" s="1178"/>
      <c r="E47" s="84">
        <f>Country!B61</f>
        <v>0.50875053794290637</v>
      </c>
      <c r="F47" s="1178"/>
      <c r="G47" s="1178"/>
      <c r="H47" s="19"/>
      <c r="I47" s="19"/>
      <c r="J47" s="19"/>
      <c r="K47" s="72" t="e">
        <f t="shared" ref="K47:S47" si="12">+K40/K43</f>
        <v>#REF!</v>
      </c>
      <c r="L47" s="72" t="e">
        <f t="shared" si="12"/>
        <v>#REF!</v>
      </c>
      <c r="M47" s="72" t="e">
        <f t="shared" si="12"/>
        <v>#REF!</v>
      </c>
      <c r="N47" s="72" t="e">
        <f t="shared" si="12"/>
        <v>#REF!</v>
      </c>
      <c r="O47" s="72" t="e">
        <f t="shared" si="12"/>
        <v>#REF!</v>
      </c>
      <c r="P47" s="129" t="e">
        <f t="shared" si="12"/>
        <v>#REF!</v>
      </c>
      <c r="Q47" s="129" t="e">
        <f t="shared" si="12"/>
        <v>#REF!</v>
      </c>
      <c r="R47" s="129" t="e">
        <f t="shared" si="12"/>
        <v>#REF!</v>
      </c>
      <c r="S47" s="129" t="e">
        <f t="shared" si="12"/>
        <v>#REF!</v>
      </c>
      <c r="T47" s="129">
        <f>Country!V61</f>
        <v>0.42105263157894735</v>
      </c>
      <c r="U47" s="129">
        <f>Country!W61</f>
        <v>5.8823529411764705E-2</v>
      </c>
      <c r="V47" s="129">
        <f>Country!X61</f>
        <v>1.2142857142857142</v>
      </c>
      <c r="W47" s="129">
        <f>Country!Y61</f>
        <v>0.84615384615384615</v>
      </c>
      <c r="X47" s="129">
        <f>Country!Z61</f>
        <v>0.77777777777777779</v>
      </c>
      <c r="Y47" s="129">
        <f>Country!AA61</f>
        <v>0.62037037037037035</v>
      </c>
      <c r="Z47" s="129">
        <f>Country!AB61</f>
        <v>0.48148148148148145</v>
      </c>
      <c r="AA47" s="129">
        <f>Country!AC61</f>
        <v>0.57627118644067798</v>
      </c>
      <c r="AB47" s="129">
        <f>Country!AD61</f>
        <v>0.7384615384615385</v>
      </c>
      <c r="AC47" s="129">
        <f>Country!AE61</f>
        <v>0.73170731707317072</v>
      </c>
      <c r="AD47" s="129">
        <f>Country!AF61</f>
        <v>0.61940298507462688</v>
      </c>
      <c r="AE47" s="129">
        <f>Country!AG61</f>
        <v>0.9726027397260274</v>
      </c>
      <c r="AF47" s="129">
        <f>Country!AH61</f>
        <v>0.29936305732484075</v>
      </c>
      <c r="AG47" s="129">
        <f>Country!AI61</f>
        <v>0.30463576158940397</v>
      </c>
      <c r="AH47" s="129">
        <f>Country!AJ61</f>
        <v>0.43870967741935485</v>
      </c>
      <c r="AI47" s="129">
        <f>Country!AK61</f>
        <v>0.73015873015873012</v>
      </c>
      <c r="AJ47" s="129">
        <f>Country!AL61</f>
        <v>0.78666666666666663</v>
      </c>
      <c r="AK47" s="129">
        <f>Country!AM61</f>
        <v>0.8592057761732852</v>
      </c>
      <c r="AL47" s="129">
        <f>Country!AN61</f>
        <v>0.57192982456140351</v>
      </c>
      <c r="AM47" s="129">
        <f>Country!AO61</f>
        <v>0.78504672897196259</v>
      </c>
      <c r="AN47" s="129">
        <f>Country!AP61</f>
        <v>0.7174515235457064</v>
      </c>
      <c r="AO47" s="129">
        <f>Country!AQ61</f>
        <v>0.50909090909090904</v>
      </c>
      <c r="AP47" s="129">
        <f>Country!AR61</f>
        <v>0.7196467991169978</v>
      </c>
      <c r="AQ47" s="129">
        <f>Country!AS61</f>
        <v>0.65120593692022266</v>
      </c>
      <c r="AR47" s="129">
        <v>0.58527607361963185</v>
      </c>
      <c r="AS47" s="129">
        <v>0.46813441483198148</v>
      </c>
      <c r="AT47" s="129">
        <v>0.50709219858156029</v>
      </c>
      <c r="AU47" s="129">
        <v>0.52163742690058479</v>
      </c>
      <c r="AV47" s="129">
        <v>0.50709219858156029</v>
      </c>
      <c r="AW47" s="129">
        <v>0.51357220412595006</v>
      </c>
      <c r="AX47" s="129">
        <v>0.41769547325102879</v>
      </c>
      <c r="AY47" s="129">
        <v>0.74274274274274277</v>
      </c>
      <c r="AZ47" s="129">
        <v>0.56036217303822933</v>
      </c>
      <c r="BA47" s="129">
        <v>0.1895360315893386</v>
      </c>
      <c r="BB47" s="129">
        <v>0.1852589641434263</v>
      </c>
      <c r="BC47" s="129">
        <f>Country!BH61</f>
        <v>0.58712121212121215</v>
      </c>
      <c r="BD47" s="129">
        <f>Country!BI61</f>
        <v>0.41315789473684211</v>
      </c>
      <c r="BE47" s="129">
        <f>Country!BJ61</f>
        <v>0.50613246116107935</v>
      </c>
      <c r="BF47" s="129">
        <f>Country!BK61</f>
        <v>0.84528301886792456</v>
      </c>
      <c r="BG47" s="129">
        <f>Country!BL61</f>
        <v>0.61919040479760123</v>
      </c>
      <c r="BH47" s="129">
        <f>Country!BM61</f>
        <v>0.65493443754313319</v>
      </c>
      <c r="BI47" s="129">
        <f>Country!BN61</f>
        <v>0.67518703241895262</v>
      </c>
      <c r="BJ47" s="129">
        <f>Country!BO61</f>
        <v>0.58175559380378661</v>
      </c>
      <c r="BK47" s="145">
        <f>Country!BP61</f>
        <v>0.6003372681281619</v>
      </c>
      <c r="BL47" s="145">
        <f>Country!BQ61</f>
        <v>0.68245967741935487</v>
      </c>
      <c r="BM47" s="129">
        <f>Country!BR61</f>
        <v>0.21614844533600802</v>
      </c>
      <c r="BN47" s="129">
        <f>Country!BS61</f>
        <v>0.43539990534784667</v>
      </c>
      <c r="BO47" s="129">
        <f>Country!BT61</f>
        <v>0.54395085066162574</v>
      </c>
      <c r="BP47" s="129">
        <f>Country!BU61</f>
        <v>0.4648176682074987</v>
      </c>
      <c r="BQ47" s="129">
        <f>Country!BV61</f>
        <v>0.44972486243121562</v>
      </c>
      <c r="BR47" s="129">
        <f>Country!BW61</f>
        <v>0.8539553752535497</v>
      </c>
      <c r="BS47" s="129">
        <f>Country!BX61</f>
        <v>0.61243753470294282</v>
      </c>
      <c r="BT47" s="129" t="str">
        <f>Country!BY61</f>
        <v>-</v>
      </c>
      <c r="BU47" s="129" t="str">
        <f>Country!BZ61</f>
        <v>-</v>
      </c>
      <c r="BV47" s="129" t="str">
        <f>Country!CA61</f>
        <v>-</v>
      </c>
      <c r="BW47" s="129" t="str">
        <f>Country!CB61</f>
        <v>-</v>
      </c>
      <c r="BX47" s="129" t="str">
        <f>Country!CC61</f>
        <v>-</v>
      </c>
      <c r="BY47" s="370">
        <f>+BY45*BY46</f>
        <v>0.56025345289858963</v>
      </c>
      <c r="BZ47" s="1138"/>
    </row>
    <row r="48" spans="2:83" s="1016" customFormat="1" ht="8.25" customHeight="1">
      <c r="B48" s="1157"/>
      <c r="C48" s="1018"/>
      <c r="D48" s="1018"/>
      <c r="E48" s="1018"/>
      <c r="F48" s="1159"/>
      <c r="G48" s="1018"/>
      <c r="H48" s="1158"/>
      <c r="I48" s="1158"/>
      <c r="J48" s="1158"/>
      <c r="K48" s="1158"/>
      <c r="L48" s="1158"/>
      <c r="M48" s="1158"/>
      <c r="N48" s="1158"/>
      <c r="O48" s="1158"/>
      <c r="P48" s="1160"/>
      <c r="Q48" s="1158"/>
      <c r="R48" s="1158"/>
      <c r="S48" s="1158"/>
      <c r="T48" s="1160"/>
      <c r="U48" s="1158"/>
      <c r="V48" s="1160"/>
      <c r="W48" s="1160"/>
      <c r="X48" s="1160"/>
      <c r="Y48" s="1158"/>
      <c r="Z48" s="1160"/>
      <c r="AA48" s="1158"/>
      <c r="AB48" s="1160"/>
      <c r="AC48" s="1160"/>
      <c r="AD48" s="1160"/>
      <c r="AE48" s="1160"/>
      <c r="AF48" s="1160"/>
      <c r="AG48" s="1160"/>
      <c r="AH48" s="1160"/>
      <c r="AI48" s="1160"/>
      <c r="AJ48" s="1160"/>
      <c r="AK48" s="1160"/>
      <c r="AL48" s="1160"/>
      <c r="AM48" s="1160"/>
      <c r="AN48" s="1160"/>
      <c r="AO48" s="1160"/>
      <c r="AP48" s="1160"/>
      <c r="AQ48" s="1158"/>
      <c r="AR48" s="1158"/>
      <c r="AS48" s="1158"/>
      <c r="AT48" s="1158"/>
      <c r="AU48" s="1158"/>
      <c r="AV48" s="1158"/>
      <c r="AW48" s="1158"/>
      <c r="AX48" s="1158"/>
      <c r="AY48" s="1158"/>
      <c r="AZ48" s="1158"/>
      <c r="BA48" s="1158"/>
      <c r="BB48" s="1158"/>
      <c r="BC48" s="1158"/>
      <c r="BD48" s="1158"/>
      <c r="BE48" s="1158"/>
      <c r="BF48" s="1158"/>
      <c r="BG48" s="1158"/>
      <c r="BH48" s="1158"/>
      <c r="BI48" s="1158"/>
      <c r="BJ48" s="1158"/>
      <c r="BK48" s="1158"/>
      <c r="BL48" s="1158"/>
      <c r="BM48" s="1158"/>
      <c r="BN48" s="1158"/>
      <c r="BO48" s="1158"/>
      <c r="BP48" s="1158"/>
      <c r="BQ48" s="1158"/>
      <c r="BR48" s="1158"/>
      <c r="BS48" s="1158"/>
      <c r="BT48" s="1158"/>
      <c r="BU48" s="1158"/>
      <c r="BV48" s="1158"/>
      <c r="BW48" s="1158"/>
      <c r="BX48" s="1158"/>
      <c r="BY48" s="1159"/>
      <c r="BZ48" s="1023"/>
    </row>
  </sheetData>
  <conditionalFormatting sqref="AT6:BX6">
    <cfRule type="expression" dxfId="135" priority="3">
      <formula>AT6=$B$2</formula>
    </cfRule>
  </conditionalFormatting>
  <conditionalFormatting sqref="AT29:BL29">
    <cfRule type="expression" dxfId="134" priority="2">
      <formula>AT29=$B$2</formula>
    </cfRule>
  </conditionalFormatting>
  <conditionalFormatting sqref="BM29:BX29">
    <cfRule type="expression" dxfId="133" priority="1">
      <formula>BM29=$B$2</formula>
    </cfRule>
  </conditionalFormatting>
  <hyperlinks>
    <hyperlink ref="L1" location="Cover!A1" display="Back to cover page"/>
    <hyperlink ref="F1" location="Cover!A1" display="Back to cover page"/>
  </hyperlinks>
  <pageMargins left="0.18" right="0.17" top="0.24" bottom="0.17" header="0.17" footer="0.17"/>
  <pageSetup paperSize="9" orientation="landscape" r:id="rId1"/>
  <ignoredErrors>
    <ignoredError sqref="K10:P10 Q10:S10 T31:U31 U10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  <pageSetUpPr fitToPage="1"/>
  </sheetPr>
  <dimension ref="A1:BO61"/>
  <sheetViews>
    <sheetView showGridLines="0" zoomScale="85" zoomScaleNormal="85" workbookViewId="0">
      <selection activeCell="BE7" sqref="BE7"/>
    </sheetView>
  </sheetViews>
  <sheetFormatPr defaultRowHeight="12.75" outlineLevelCol="1"/>
  <cols>
    <col min="1" max="1" width="1.42578125" customWidth="1"/>
    <col min="2" max="2" width="2.85546875" customWidth="1"/>
    <col min="3" max="3" width="22.140625" customWidth="1"/>
    <col min="4" max="4" width="10.140625" style="209" customWidth="1"/>
    <col min="5" max="5" width="2.28515625" style="210" customWidth="1"/>
    <col min="6" max="6" width="9.28515625" style="209" hidden="1" customWidth="1" outlineLevel="1"/>
    <col min="7" max="7" width="9.140625" style="209" hidden="1" customWidth="1" outlineLevel="1"/>
    <col min="8" max="10" width="9.28515625" style="209" hidden="1" customWidth="1" outlineLevel="1"/>
    <col min="11" max="12" width="9.28515625" style="387" hidden="1" customWidth="1" outlineLevel="1"/>
    <col min="13" max="13" width="11" style="209" hidden="1" customWidth="1" outlineLevel="1"/>
    <col min="14" max="14" width="11.85546875" style="209" hidden="1" customWidth="1" outlineLevel="1"/>
    <col min="15" max="16" width="12" style="209" hidden="1" customWidth="1" outlineLevel="1"/>
    <col min="17" max="28" width="11.85546875" style="209" hidden="1" customWidth="1" outlineLevel="1"/>
    <col min="29" max="38" width="10.85546875" style="834" hidden="1" customWidth="1" outlineLevel="1"/>
    <col min="39" max="41" width="9.5703125" style="834" hidden="1" customWidth="1" outlineLevel="1"/>
    <col min="42" max="44" width="9.5703125" style="1808" hidden="1" customWidth="1" outlineLevel="1"/>
    <col min="45" max="45" width="9.5703125" style="1808" customWidth="1" collapsed="1"/>
    <col min="46" max="53" width="9.5703125" style="1808" customWidth="1"/>
    <col min="54" max="57" width="10.140625" style="1808" customWidth="1"/>
    <col min="58" max="62" width="10.140625" style="1808" hidden="1" customWidth="1" outlineLevel="1"/>
    <col min="63" max="63" width="7.42578125" style="865" customWidth="1" collapsed="1"/>
    <col min="64" max="64" width="1.5703125" customWidth="1"/>
    <col min="65" max="65" width="2.5703125" customWidth="1"/>
    <col min="66" max="66" width="12.42578125" customWidth="1"/>
    <col min="67" max="67" width="11.7109375" customWidth="1"/>
    <col min="69" max="69" width="4.140625" customWidth="1"/>
    <col min="73" max="73" width="7.85546875" customWidth="1"/>
  </cols>
  <sheetData>
    <row r="1" spans="1:66">
      <c r="B1" s="196" t="s">
        <v>226</v>
      </c>
      <c r="E1" s="3" t="s">
        <v>0</v>
      </c>
      <c r="J1" s="3" t="s">
        <v>0</v>
      </c>
      <c r="L1" s="379"/>
    </row>
    <row r="2" spans="1:66">
      <c r="A2" s="817">
        <f>'2.0 MP (GVL)'!B2</f>
        <v>42947</v>
      </c>
      <c r="B2" s="582"/>
      <c r="C2" s="1623">
        <f>'2.0 MP (GVL)'!B2</f>
        <v>42947</v>
      </c>
      <c r="J2" s="3"/>
      <c r="L2" s="379"/>
    </row>
    <row r="3" spans="1:66" ht="14.25" customHeight="1"/>
    <row r="5" spans="1:66" s="1016" customFormat="1" ht="22.5" customHeight="1">
      <c r="B5" s="1029" t="s">
        <v>458</v>
      </c>
      <c r="C5" s="1030"/>
      <c r="D5" s="1031"/>
      <c r="E5" s="1031"/>
      <c r="F5" s="1031"/>
      <c r="G5" s="1031"/>
      <c r="H5" s="1031"/>
      <c r="I5" s="1031"/>
      <c r="J5" s="1031"/>
      <c r="K5" s="1188"/>
      <c r="L5" s="1188"/>
      <c r="M5" s="1031"/>
      <c r="N5" s="1031"/>
      <c r="O5" s="1031"/>
      <c r="P5" s="1031"/>
      <c r="Q5" s="1031"/>
      <c r="R5" s="1031"/>
      <c r="S5" s="1031"/>
      <c r="T5" s="1031"/>
      <c r="U5" s="1031"/>
      <c r="V5" s="1031"/>
      <c r="W5" s="1031"/>
      <c r="X5" s="1031"/>
      <c r="Y5" s="1031"/>
      <c r="Z5" s="1031"/>
      <c r="AA5" s="1031"/>
      <c r="AB5" s="1031"/>
      <c r="AC5" s="1189"/>
      <c r="AD5" s="1189"/>
      <c r="AE5" s="1189"/>
      <c r="AF5" s="1189"/>
      <c r="AG5" s="1189"/>
      <c r="AH5" s="1189"/>
      <c r="AI5" s="1189"/>
      <c r="AJ5" s="1189"/>
      <c r="AK5" s="1189"/>
      <c r="AL5" s="1189"/>
      <c r="AM5" s="1189"/>
      <c r="AN5" s="1189"/>
      <c r="AO5" s="1189"/>
      <c r="AP5" s="1189"/>
      <c r="AQ5" s="1189"/>
      <c r="AR5" s="1189"/>
      <c r="AS5" s="1189"/>
      <c r="AT5" s="1189"/>
      <c r="AU5" s="1189"/>
      <c r="AV5" s="1189"/>
      <c r="AW5" s="1189"/>
      <c r="AX5" s="1189"/>
      <c r="AY5" s="1189"/>
      <c r="AZ5" s="1189"/>
      <c r="BA5" s="1189"/>
      <c r="BB5" s="1189"/>
      <c r="BC5" s="1189"/>
      <c r="BD5" s="1189"/>
      <c r="BE5" s="1189"/>
      <c r="BF5" s="1189"/>
      <c r="BG5" s="1189"/>
      <c r="BH5" s="1189"/>
      <c r="BI5" s="1189"/>
      <c r="BJ5" s="1189"/>
      <c r="BK5" s="1730">
        <f>C2</f>
        <v>42947</v>
      </c>
      <c r="BL5" s="1035"/>
    </row>
    <row r="6" spans="1:66" s="1016" customFormat="1" ht="15.75" customHeight="1">
      <c r="B6" s="1036"/>
      <c r="C6" s="1190" t="s">
        <v>88</v>
      </c>
      <c r="D6" s="1191" t="s">
        <v>4136</v>
      </c>
      <c r="E6" s="1004"/>
      <c r="F6" s="1071" t="s">
        <v>98</v>
      </c>
      <c r="G6" s="1071" t="s">
        <v>34</v>
      </c>
      <c r="H6" s="1192" t="s">
        <v>35</v>
      </c>
      <c r="I6" s="1192" t="s">
        <v>36</v>
      </c>
      <c r="J6" s="1192" t="s">
        <v>37</v>
      </c>
      <c r="K6" s="1073" t="s">
        <v>266</v>
      </c>
      <c r="L6" s="1073" t="s">
        <v>291</v>
      </c>
      <c r="M6" s="1192" t="s">
        <v>40</v>
      </c>
      <c r="N6" s="1192" t="s">
        <v>41</v>
      </c>
      <c r="O6" s="1073" t="s">
        <v>42</v>
      </c>
      <c r="P6" s="1073" t="s">
        <v>43</v>
      </c>
      <c r="Q6" s="1073" t="s">
        <v>44</v>
      </c>
      <c r="R6" s="1073" t="s">
        <v>552</v>
      </c>
      <c r="S6" s="1073" t="s">
        <v>588</v>
      </c>
      <c r="T6" s="1073" t="s">
        <v>632</v>
      </c>
      <c r="U6" s="1073" t="s">
        <v>665</v>
      </c>
      <c r="V6" s="1073" t="s">
        <v>695</v>
      </c>
      <c r="W6" s="1073" t="s">
        <v>757</v>
      </c>
      <c r="X6" s="1073" t="s">
        <v>795</v>
      </c>
      <c r="Y6" s="1073" t="s">
        <v>823</v>
      </c>
      <c r="Z6" s="1073" t="s">
        <v>860</v>
      </c>
      <c r="AA6" s="1073" t="s">
        <v>899</v>
      </c>
      <c r="AB6" s="1073" t="s">
        <v>948</v>
      </c>
      <c r="AC6" s="1073" t="s">
        <v>1013</v>
      </c>
      <c r="AD6" s="1073" t="s">
        <v>2648</v>
      </c>
      <c r="AE6" s="1073" t="s">
        <v>2649</v>
      </c>
      <c r="AF6" s="1771">
        <v>42185</v>
      </c>
      <c r="AG6" s="1771">
        <v>42216</v>
      </c>
      <c r="AH6" s="1771">
        <v>42247</v>
      </c>
      <c r="AI6" s="1771">
        <v>42277</v>
      </c>
      <c r="AJ6" s="1771">
        <v>42308</v>
      </c>
      <c r="AK6" s="1771">
        <v>42338</v>
      </c>
      <c r="AL6" s="1771">
        <v>42369</v>
      </c>
      <c r="AM6" s="1771">
        <v>42400</v>
      </c>
      <c r="AN6" s="1771">
        <v>42429</v>
      </c>
      <c r="AO6" s="1771">
        <v>42460</v>
      </c>
      <c r="AP6" s="1771">
        <v>42490</v>
      </c>
      <c r="AQ6" s="1771">
        <v>42521</v>
      </c>
      <c r="AR6" s="1771">
        <v>42551</v>
      </c>
      <c r="AS6" s="1771">
        <v>42582</v>
      </c>
      <c r="AT6" s="1771">
        <v>42613</v>
      </c>
      <c r="AU6" s="1771">
        <v>42643</v>
      </c>
      <c r="AV6" s="1771">
        <v>42674</v>
      </c>
      <c r="AW6" s="1771">
        <v>42704</v>
      </c>
      <c r="AX6" s="1771">
        <v>42735</v>
      </c>
      <c r="AY6" s="1771">
        <v>42766</v>
      </c>
      <c r="AZ6" s="1771">
        <v>42794</v>
      </c>
      <c r="BA6" s="1771">
        <v>42825</v>
      </c>
      <c r="BB6" s="1771">
        <v>42855</v>
      </c>
      <c r="BC6" s="1771">
        <v>42886</v>
      </c>
      <c r="BD6" s="1771">
        <v>42916</v>
      </c>
      <c r="BE6" s="1771">
        <v>42947</v>
      </c>
      <c r="BF6" s="1771">
        <v>42978</v>
      </c>
      <c r="BG6" s="1771">
        <v>43008</v>
      </c>
      <c r="BH6" s="1771">
        <v>43039</v>
      </c>
      <c r="BI6" s="1771">
        <v>43069</v>
      </c>
      <c r="BJ6" s="1771">
        <v>43100</v>
      </c>
      <c r="BK6" s="1729" t="s">
        <v>52</v>
      </c>
      <c r="BL6" s="1042"/>
    </row>
    <row r="7" spans="1:66" s="983" customFormat="1" ht="13.5" customHeight="1">
      <c r="B7" s="984"/>
      <c r="C7" s="985" t="s">
        <v>223</v>
      </c>
      <c r="D7" s="1982">
        <f>INDEX($AY7:$BJ7,1,MATCH($C$2,$AY$6:$BJ$6,0))</f>
        <v>1789</v>
      </c>
      <c r="E7" s="1982"/>
      <c r="F7" s="1982">
        <f>HCM!S39</f>
        <v>58</v>
      </c>
      <c r="G7" s="1982">
        <f>HCM!T39</f>
        <v>57</v>
      </c>
      <c r="H7" s="1982">
        <f>HCM!U39</f>
        <v>75</v>
      </c>
      <c r="I7" s="1982">
        <f>HCM!V39</f>
        <v>80</v>
      </c>
      <c r="J7" s="1982">
        <f>HCM!W39</f>
        <v>113</v>
      </c>
      <c r="K7" s="1983">
        <f>HCM!X39</f>
        <v>130</v>
      </c>
      <c r="L7" s="1983">
        <f>HCM!Y39</f>
        <v>132</v>
      </c>
      <c r="M7" s="1982">
        <f>HCM!Z39</f>
        <v>146</v>
      </c>
      <c r="N7" s="1982">
        <f>HCM!AA39</f>
        <v>161</v>
      </c>
      <c r="O7" s="1983">
        <f>HCM!AB39</f>
        <v>174</v>
      </c>
      <c r="P7" s="1983">
        <f>HCM!AC39</f>
        <v>192</v>
      </c>
      <c r="Q7" s="1983">
        <f>HCM!AD39</f>
        <v>226</v>
      </c>
      <c r="R7" s="1983">
        <f>HCM!AE39</f>
        <v>224</v>
      </c>
      <c r="S7" s="1983">
        <f>HCM!AF39</f>
        <v>210</v>
      </c>
      <c r="T7" s="1983">
        <f>HCM!AG39</f>
        <v>252</v>
      </c>
      <c r="U7" s="1983">
        <f>HCM!AH39</f>
        <v>335</v>
      </c>
      <c r="V7" s="1983">
        <f>HCM!AI39</f>
        <v>394</v>
      </c>
      <c r="W7" s="1983">
        <f>HCM!AJ39</f>
        <v>425</v>
      </c>
      <c r="X7" s="1983">
        <f>HCM!AK39</f>
        <v>461</v>
      </c>
      <c r="Y7" s="1983">
        <f>HCM!AL39</f>
        <v>550</v>
      </c>
      <c r="Z7" s="1983">
        <f>HCM!AM39</f>
        <v>609</v>
      </c>
      <c r="AA7" s="1983">
        <f>HCM!AN39</f>
        <v>640</v>
      </c>
      <c r="AB7" s="1983">
        <f>HCM!AO39</f>
        <v>742</v>
      </c>
      <c r="AC7" s="1983">
        <f>HCM!AP39</f>
        <v>843</v>
      </c>
      <c r="AD7" s="1983">
        <v>1193</v>
      </c>
      <c r="AE7" s="1983">
        <v>1125</v>
      </c>
      <c r="AF7" s="1983">
        <v>1155</v>
      </c>
      <c r="AG7" s="1983">
        <v>1179</v>
      </c>
      <c r="AH7" s="1983">
        <v>1278</v>
      </c>
      <c r="AI7" s="1983">
        <v>1248</v>
      </c>
      <c r="AJ7" s="1983">
        <v>1295</v>
      </c>
      <c r="AK7" s="1983">
        <v>1380</v>
      </c>
      <c r="AL7" s="1983">
        <v>1422</v>
      </c>
      <c r="AM7" s="1983">
        <v>1429</v>
      </c>
      <c r="AN7" s="1983">
        <v>1443</v>
      </c>
      <c r="AO7" s="1983">
        <f>HCM!BE39</f>
        <v>1545</v>
      </c>
      <c r="AP7" s="1983">
        <f>HCM!BF39</f>
        <v>1574</v>
      </c>
      <c r="AQ7" s="1983">
        <f>HCM!BG39</f>
        <v>1627</v>
      </c>
      <c r="AR7" s="1983">
        <f>HCM!BH39</f>
        <v>1730</v>
      </c>
      <c r="AS7" s="1983">
        <f>HCM!BI39</f>
        <v>1845</v>
      </c>
      <c r="AT7" s="1983">
        <f>HCM!BJ39</f>
        <v>1944</v>
      </c>
      <c r="AU7" s="1983">
        <f>HCM!BK39</f>
        <v>2064</v>
      </c>
      <c r="AV7" s="1983">
        <f>HCM!BL39</f>
        <v>2227</v>
      </c>
      <c r="AW7" s="1983">
        <f>HCM!BM39</f>
        <v>2410</v>
      </c>
      <c r="AX7" s="1983">
        <f>HCM!BN39</f>
        <v>2513</v>
      </c>
      <c r="AY7" s="1983">
        <f>HCM!BO39</f>
        <v>2581</v>
      </c>
      <c r="AZ7" s="1983">
        <f>HCM!BP39</f>
        <v>1867</v>
      </c>
      <c r="BA7" s="1983">
        <f>HCM!BQ39</f>
        <v>1817</v>
      </c>
      <c r="BB7" s="1983">
        <f>HCM!BR39</f>
        <v>1650</v>
      </c>
      <c r="BC7" s="1983">
        <f>HCM!BS39</f>
        <v>1756</v>
      </c>
      <c r="BD7" s="1983">
        <f>HCM!BT39</f>
        <v>1833</v>
      </c>
      <c r="BE7" s="1983">
        <f>HCM!BU39</f>
        <v>1789</v>
      </c>
      <c r="BF7" s="1983">
        <f>HCM!BV39</f>
        <v>0</v>
      </c>
      <c r="BG7" s="1983">
        <f>HCM!BW39</f>
        <v>0</v>
      </c>
      <c r="BH7" s="1983">
        <f>HCM!BX39</f>
        <v>0</v>
      </c>
      <c r="BI7" s="1983">
        <f>HCM!BY39</f>
        <v>0</v>
      </c>
      <c r="BJ7" s="1983">
        <f>HCM!BZ39</f>
        <v>0</v>
      </c>
      <c r="BK7" s="988"/>
      <c r="BL7" s="989"/>
    </row>
    <row r="8" spans="1:66" s="983" customFormat="1" ht="13.5" customHeight="1">
      <c r="B8" s="984"/>
      <c r="C8" s="985" t="s">
        <v>155</v>
      </c>
      <c r="D8" s="1982">
        <f t="shared" ref="D8:D13" si="0">INDEX($AY8:$BK8,1,MATCH($C$2,$AY$6:$BJ$6,0))</f>
        <v>121</v>
      </c>
      <c r="E8" s="1982"/>
      <c r="F8" s="1982">
        <f>HCM!S40</f>
        <v>1</v>
      </c>
      <c r="G8" s="1982">
        <f>HCM!T40</f>
        <v>1</v>
      </c>
      <c r="H8" s="1982">
        <f>HCM!U40</f>
        <v>1</v>
      </c>
      <c r="I8" s="1982">
        <f>HCM!V40</f>
        <v>8</v>
      </c>
      <c r="J8" s="1982">
        <f>HCM!W40</f>
        <v>8</v>
      </c>
      <c r="K8" s="1983">
        <f>HCM!X40</f>
        <v>8</v>
      </c>
      <c r="L8" s="1983">
        <f>HCM!Y40</f>
        <v>9</v>
      </c>
      <c r="M8" s="1982">
        <f>HCM!Z40</f>
        <v>9</v>
      </c>
      <c r="N8" s="1982">
        <f>HCM!AA40</f>
        <v>5</v>
      </c>
      <c r="O8" s="1983">
        <f>HCM!AB40</f>
        <v>3</v>
      </c>
      <c r="P8" s="1983">
        <f>HCM!AC40</f>
        <v>3</v>
      </c>
      <c r="Q8" s="1983">
        <f>HCM!AD40</f>
        <v>8</v>
      </c>
      <c r="R8" s="1983">
        <f>HCM!AE40</f>
        <v>8</v>
      </c>
      <c r="S8" s="1983">
        <f>HCM!AF40</f>
        <v>8</v>
      </c>
      <c r="T8" s="1983">
        <f>HCM!AG40</f>
        <v>10</v>
      </c>
      <c r="U8" s="1983">
        <f>HCM!AH40</f>
        <v>11</v>
      </c>
      <c r="V8" s="1983">
        <f>HCM!AI40</f>
        <v>9</v>
      </c>
      <c r="W8" s="1983">
        <f>HCM!AJ40</f>
        <v>8</v>
      </c>
      <c r="X8" s="1983">
        <f>HCM!AK40</f>
        <v>9</v>
      </c>
      <c r="Y8" s="1983">
        <f>HCM!AL40</f>
        <v>11</v>
      </c>
      <c r="Z8" s="1983">
        <f>HCM!AM40</f>
        <v>13</v>
      </c>
      <c r="AA8" s="1983">
        <f>HCM!AN40</f>
        <v>11</v>
      </c>
      <c r="AB8" s="1983">
        <f>HCM!AO40</f>
        <v>19</v>
      </c>
      <c r="AC8" s="1983">
        <f>HCM!AP40</f>
        <v>32</v>
      </c>
      <c r="AD8" s="1983">
        <v>71</v>
      </c>
      <c r="AE8" s="1983">
        <v>76</v>
      </c>
      <c r="AF8" s="1983">
        <v>74</v>
      </c>
      <c r="AG8" s="1983">
        <v>65</v>
      </c>
      <c r="AH8" s="1983">
        <v>65</v>
      </c>
      <c r="AI8" s="1983">
        <v>63</v>
      </c>
      <c r="AJ8" s="1983">
        <v>71</v>
      </c>
      <c r="AK8" s="1983">
        <v>78</v>
      </c>
      <c r="AL8" s="1983">
        <v>79</v>
      </c>
      <c r="AM8" s="1983">
        <v>77</v>
      </c>
      <c r="AN8" s="1983">
        <v>79</v>
      </c>
      <c r="AO8" s="1983">
        <f>HCM!BE40</f>
        <v>84</v>
      </c>
      <c r="AP8" s="1983">
        <f>HCM!BF40</f>
        <v>94</v>
      </c>
      <c r="AQ8" s="1983">
        <f>HCM!BG40</f>
        <v>95</v>
      </c>
      <c r="AR8" s="1983">
        <f>HCM!BH40</f>
        <v>86</v>
      </c>
      <c r="AS8" s="1983">
        <f>HCM!BI40</f>
        <v>81</v>
      </c>
      <c r="AT8" s="1983">
        <f>HCM!BJ40</f>
        <v>91</v>
      </c>
      <c r="AU8" s="1983">
        <f>HCM!BK40</f>
        <v>83</v>
      </c>
      <c r="AV8" s="1983">
        <f>HCM!BL40</f>
        <v>91</v>
      </c>
      <c r="AW8" s="1983">
        <f>HCM!BM40</f>
        <v>85</v>
      </c>
      <c r="AX8" s="1983">
        <f>HCM!BN40</f>
        <v>84</v>
      </c>
      <c r="AY8" s="1983">
        <f>HCM!BO40</f>
        <v>85</v>
      </c>
      <c r="AZ8" s="1983">
        <f>HCM!BP40</f>
        <v>97</v>
      </c>
      <c r="BA8" s="1983">
        <f>HCM!BQ40</f>
        <v>125</v>
      </c>
      <c r="BB8" s="1983">
        <f>HCM!BR40</f>
        <v>131</v>
      </c>
      <c r="BC8" s="1983">
        <f>HCM!BS40</f>
        <v>146</v>
      </c>
      <c r="BD8" s="1983">
        <f>HCM!BT40</f>
        <v>143</v>
      </c>
      <c r="BE8" s="1983">
        <f>HCM!BU40</f>
        <v>121</v>
      </c>
      <c r="BF8" s="1983">
        <f>HCM!BV40</f>
        <v>0</v>
      </c>
      <c r="BG8" s="1983">
        <f>HCM!BW40</f>
        <v>0</v>
      </c>
      <c r="BH8" s="1983">
        <f>HCM!BX40</f>
        <v>0</v>
      </c>
      <c r="BI8" s="1983">
        <f>HCM!BY40</f>
        <v>0</v>
      </c>
      <c r="BJ8" s="1983">
        <f>HCM!BZ40</f>
        <v>0</v>
      </c>
      <c r="BK8" s="988"/>
      <c r="BL8" s="989"/>
    </row>
    <row r="9" spans="1:66" s="983" customFormat="1" ht="13.5" customHeight="1">
      <c r="B9" s="984"/>
      <c r="C9" s="985" t="s">
        <v>156</v>
      </c>
      <c r="D9" s="1982">
        <f t="shared" si="0"/>
        <v>320</v>
      </c>
      <c r="E9" s="1982"/>
      <c r="F9" s="1982">
        <f>HCM!S41</f>
        <v>18</v>
      </c>
      <c r="G9" s="1982">
        <f>HCM!T41</f>
        <v>16</v>
      </c>
      <c r="H9" s="1982">
        <f>HCM!U41</f>
        <v>16</v>
      </c>
      <c r="I9" s="1982">
        <f>HCM!V41</f>
        <v>21</v>
      </c>
      <c r="J9" s="1982">
        <f>HCM!W41</f>
        <v>26</v>
      </c>
      <c r="K9" s="1983">
        <f>HCM!X41</f>
        <v>27</v>
      </c>
      <c r="L9" s="1983">
        <f>HCM!Y41</f>
        <v>21</v>
      </c>
      <c r="M9" s="1982">
        <f>HCM!Z41</f>
        <v>25</v>
      </c>
      <c r="N9" s="1982">
        <f>HCM!AA41</f>
        <v>32</v>
      </c>
      <c r="O9" s="1983">
        <f>HCM!AB41</f>
        <v>37</v>
      </c>
      <c r="P9" s="1983">
        <f>HCM!AC41</f>
        <v>40</v>
      </c>
      <c r="Q9" s="1983">
        <f>HCM!AD41</f>
        <v>46</v>
      </c>
      <c r="R9" s="1983">
        <f>HCM!AE41</f>
        <v>46</v>
      </c>
      <c r="S9" s="1983">
        <f>HCM!AF41</f>
        <v>42</v>
      </c>
      <c r="T9" s="1983">
        <f>HCM!AG41</f>
        <v>44</v>
      </c>
      <c r="U9" s="1983">
        <f>HCM!AH41</f>
        <v>62</v>
      </c>
      <c r="V9" s="1983">
        <f>HCM!AI41</f>
        <v>76</v>
      </c>
      <c r="W9" s="1983">
        <f>HCM!AJ41</f>
        <v>90</v>
      </c>
      <c r="X9" s="1983">
        <f>HCM!AK41</f>
        <v>99</v>
      </c>
      <c r="Y9" s="1983">
        <f>HCM!AL41</f>
        <v>110</v>
      </c>
      <c r="Z9" s="1983">
        <f>HCM!AM41</f>
        <v>117</v>
      </c>
      <c r="AA9" s="1983">
        <f>HCM!AN41</f>
        <v>119</v>
      </c>
      <c r="AB9" s="1983">
        <f>HCM!AO41</f>
        <v>131</v>
      </c>
      <c r="AC9" s="1983">
        <f>HCM!AP41</f>
        <v>141</v>
      </c>
      <c r="AD9" s="1983">
        <v>233</v>
      </c>
      <c r="AE9" s="1983">
        <v>251</v>
      </c>
      <c r="AF9" s="1983">
        <v>247</v>
      </c>
      <c r="AG9" s="1983">
        <v>256</v>
      </c>
      <c r="AH9" s="1983">
        <v>260</v>
      </c>
      <c r="AI9" s="1983">
        <v>273</v>
      </c>
      <c r="AJ9" s="1983">
        <v>280</v>
      </c>
      <c r="AK9" s="1983">
        <v>281</v>
      </c>
      <c r="AL9" s="1983">
        <v>272</v>
      </c>
      <c r="AM9" s="1983">
        <v>272</v>
      </c>
      <c r="AN9" s="1983">
        <v>258</v>
      </c>
      <c r="AO9" s="1983">
        <f>HCM!BE41</f>
        <v>272</v>
      </c>
      <c r="AP9" s="1983">
        <f>HCM!BF41</f>
        <v>284</v>
      </c>
      <c r="AQ9" s="1983">
        <f>HCM!BG41</f>
        <v>304</v>
      </c>
      <c r="AR9" s="1983">
        <f>HCM!BH41</f>
        <v>299</v>
      </c>
      <c r="AS9" s="1983">
        <f>HCM!BI41</f>
        <v>275</v>
      </c>
      <c r="AT9" s="1983">
        <f>HCM!BJ41</f>
        <v>290</v>
      </c>
      <c r="AU9" s="1983">
        <f>HCM!BK41</f>
        <v>299</v>
      </c>
      <c r="AV9" s="1983">
        <f>HCM!BL41</f>
        <v>313</v>
      </c>
      <c r="AW9" s="1983">
        <f>HCM!BM41</f>
        <v>347</v>
      </c>
      <c r="AX9" s="1983">
        <f>HCM!BN41</f>
        <v>355</v>
      </c>
      <c r="AY9" s="1983">
        <f>HCM!BO41</f>
        <v>356</v>
      </c>
      <c r="AZ9" s="1983">
        <f>HCM!BP41</f>
        <v>388</v>
      </c>
      <c r="BA9" s="1983">
        <f>HCM!BQ41</f>
        <v>387</v>
      </c>
      <c r="BB9" s="1983">
        <f>HCM!BR41</f>
        <v>336</v>
      </c>
      <c r="BC9" s="1983">
        <f>HCM!BS41</f>
        <v>325</v>
      </c>
      <c r="BD9" s="1983">
        <f>HCM!BT41</f>
        <v>316</v>
      </c>
      <c r="BE9" s="1983">
        <f>HCM!BU41</f>
        <v>320</v>
      </c>
      <c r="BF9" s="1983">
        <f>HCM!BV41</f>
        <v>0</v>
      </c>
      <c r="BG9" s="1983">
        <f>HCM!BW41</f>
        <v>0</v>
      </c>
      <c r="BH9" s="1983">
        <f>HCM!BX41</f>
        <v>0</v>
      </c>
      <c r="BI9" s="1983">
        <f>HCM!BY41</f>
        <v>0</v>
      </c>
      <c r="BJ9" s="1983">
        <f>HCM!BZ41</f>
        <v>0</v>
      </c>
      <c r="BK9" s="988"/>
      <c r="BL9" s="989"/>
    </row>
    <row r="10" spans="1:66" s="983" customFormat="1" ht="13.5" customHeight="1">
      <c r="B10" s="984"/>
      <c r="C10" s="985" t="s">
        <v>157</v>
      </c>
      <c r="D10" s="1982">
        <f t="shared" si="0"/>
        <v>117</v>
      </c>
      <c r="E10" s="1982"/>
      <c r="F10" s="1982">
        <f>HCM!S42</f>
        <v>0</v>
      </c>
      <c r="G10" s="1982">
        <f>HCM!T42</f>
        <v>0</v>
      </c>
      <c r="H10" s="1982">
        <f>HCM!U42</f>
        <v>0</v>
      </c>
      <c r="I10" s="1982">
        <f>HCM!V42</f>
        <v>6</v>
      </c>
      <c r="J10" s="1982">
        <f>HCM!W42</f>
        <v>7</v>
      </c>
      <c r="K10" s="1983">
        <f>HCM!X42</f>
        <v>5</v>
      </c>
      <c r="L10" s="1983">
        <f>HCM!Y42</f>
        <v>8</v>
      </c>
      <c r="M10" s="1982">
        <f>HCM!Z42</f>
        <v>9</v>
      </c>
      <c r="N10" s="1982">
        <f>HCM!AA42</f>
        <v>10</v>
      </c>
      <c r="O10" s="1983">
        <f>HCM!AB42</f>
        <v>9</v>
      </c>
      <c r="P10" s="1983">
        <f>HCM!AC42</f>
        <v>11</v>
      </c>
      <c r="Q10" s="1983">
        <f>HCM!AD42</f>
        <v>13</v>
      </c>
      <c r="R10" s="1983">
        <f>HCM!AE42</f>
        <v>12</v>
      </c>
      <c r="S10" s="1983">
        <f>HCM!AF42</f>
        <v>11</v>
      </c>
      <c r="T10" s="1983">
        <f>HCM!AG42</f>
        <v>9</v>
      </c>
      <c r="U10" s="1983">
        <f>HCM!AH42</f>
        <v>10</v>
      </c>
      <c r="V10" s="1983">
        <f>HCM!AI42</f>
        <v>14</v>
      </c>
      <c r="W10" s="1983">
        <f>HCM!AJ42</f>
        <v>21</v>
      </c>
      <c r="X10" s="1983">
        <f>HCM!AK42</f>
        <v>26</v>
      </c>
      <c r="Y10" s="1983">
        <f>HCM!AL42</f>
        <v>29</v>
      </c>
      <c r="Z10" s="1983">
        <f>HCM!AM42</f>
        <v>34</v>
      </c>
      <c r="AA10" s="1983">
        <f>HCM!AN42</f>
        <v>37</v>
      </c>
      <c r="AB10" s="1983">
        <f>HCM!AO42</f>
        <v>39</v>
      </c>
      <c r="AC10" s="1983">
        <f>HCM!AP42</f>
        <v>46</v>
      </c>
      <c r="AD10" s="1983">
        <v>82</v>
      </c>
      <c r="AE10" s="1983">
        <v>82</v>
      </c>
      <c r="AF10" s="1983">
        <v>89</v>
      </c>
      <c r="AG10" s="1983">
        <v>96</v>
      </c>
      <c r="AH10" s="1983">
        <v>95</v>
      </c>
      <c r="AI10" s="1983">
        <v>97</v>
      </c>
      <c r="AJ10" s="1983">
        <v>103</v>
      </c>
      <c r="AK10" s="1983">
        <v>103</v>
      </c>
      <c r="AL10" s="1983">
        <v>105</v>
      </c>
      <c r="AM10" s="1983">
        <v>110</v>
      </c>
      <c r="AN10" s="1983">
        <v>109</v>
      </c>
      <c r="AO10" s="1983">
        <f>HCM!BE42</f>
        <v>117</v>
      </c>
      <c r="AP10" s="1983">
        <f>HCM!BF42</f>
        <v>121</v>
      </c>
      <c r="AQ10" s="1983">
        <f>HCM!BG42</f>
        <v>124</v>
      </c>
      <c r="AR10" s="1983">
        <f>HCM!BH42</f>
        <v>129</v>
      </c>
      <c r="AS10" s="1983">
        <f>HCM!BI42</f>
        <v>126</v>
      </c>
      <c r="AT10" s="1983">
        <f>HCM!BJ42</f>
        <v>125</v>
      </c>
      <c r="AU10" s="1983">
        <f>HCM!BK42</f>
        <v>129</v>
      </c>
      <c r="AV10" s="1983">
        <f>HCM!BL42</f>
        <v>130</v>
      </c>
      <c r="AW10" s="1983">
        <f>HCM!BM42</f>
        <v>136</v>
      </c>
      <c r="AX10" s="1983">
        <f>HCM!BN42</f>
        <v>142</v>
      </c>
      <c r="AY10" s="1983">
        <f>HCM!BO42</f>
        <v>143</v>
      </c>
      <c r="AZ10" s="1983">
        <f>HCM!BP42</f>
        <v>151</v>
      </c>
      <c r="BA10" s="1983">
        <f>HCM!BQ42</f>
        <v>144</v>
      </c>
      <c r="BB10" s="1983">
        <f>HCM!BR42</f>
        <v>147</v>
      </c>
      <c r="BC10" s="1983">
        <f>HCM!BS42</f>
        <v>144</v>
      </c>
      <c r="BD10" s="1983">
        <f>HCM!BT42</f>
        <v>134</v>
      </c>
      <c r="BE10" s="1983">
        <f>HCM!BU42</f>
        <v>117</v>
      </c>
      <c r="BF10" s="1983">
        <f>HCM!BV42</f>
        <v>0</v>
      </c>
      <c r="BG10" s="1983">
        <f>HCM!BW42</f>
        <v>0</v>
      </c>
      <c r="BH10" s="1983">
        <f>HCM!BX42</f>
        <v>0</v>
      </c>
      <c r="BI10" s="1983">
        <f>HCM!BY42</f>
        <v>0</v>
      </c>
      <c r="BJ10" s="1983">
        <f>HCM!BZ42</f>
        <v>0</v>
      </c>
      <c r="BK10" s="988"/>
      <c r="BL10" s="989"/>
    </row>
    <row r="11" spans="1:66" s="983" customFormat="1" ht="13.5" customHeight="1">
      <c r="B11" s="984"/>
      <c r="C11" s="985" t="s">
        <v>158</v>
      </c>
      <c r="D11" s="1982">
        <f t="shared" si="0"/>
        <v>40</v>
      </c>
      <c r="E11" s="1982"/>
      <c r="F11" s="1982">
        <f>HCM!S43</f>
        <v>0</v>
      </c>
      <c r="G11" s="1982">
        <f>HCM!T43</f>
        <v>0</v>
      </c>
      <c r="H11" s="1982">
        <f>HCM!U43</f>
        <v>0</v>
      </c>
      <c r="I11" s="1982">
        <f>HCM!V43</f>
        <v>4</v>
      </c>
      <c r="J11" s="1982">
        <f>HCM!W43</f>
        <v>4</v>
      </c>
      <c r="K11" s="1983">
        <f>HCM!X43</f>
        <v>4</v>
      </c>
      <c r="L11" s="1983">
        <f>HCM!Y43</f>
        <v>4</v>
      </c>
      <c r="M11" s="1983">
        <f>HCM!Z43</f>
        <v>4</v>
      </c>
      <c r="N11" s="1982">
        <f>HCM!AA43</f>
        <v>5</v>
      </c>
      <c r="O11" s="1983">
        <f>HCM!AB43</f>
        <v>5</v>
      </c>
      <c r="P11" s="1983">
        <f>HCM!AC43</f>
        <v>5</v>
      </c>
      <c r="Q11" s="1983">
        <f>HCM!AD43</f>
        <v>6</v>
      </c>
      <c r="R11" s="1983">
        <f>HCM!AE43</f>
        <v>6</v>
      </c>
      <c r="S11" s="1983">
        <f>HCM!AF43</f>
        <v>6</v>
      </c>
      <c r="T11" s="1983">
        <f>HCM!AG43</f>
        <v>8</v>
      </c>
      <c r="U11" s="1983">
        <f>HCM!AH43</f>
        <v>9</v>
      </c>
      <c r="V11" s="1983">
        <f>HCM!AI43</f>
        <v>13</v>
      </c>
      <c r="W11" s="1983">
        <f>HCM!AJ43</f>
        <v>19</v>
      </c>
      <c r="X11" s="1983">
        <f>HCM!AK43</f>
        <v>19</v>
      </c>
      <c r="Y11" s="1983">
        <f>HCM!AL43</f>
        <v>20</v>
      </c>
      <c r="Z11" s="1983">
        <f>HCM!AM43</f>
        <v>21</v>
      </c>
      <c r="AA11" s="1983">
        <f>HCM!AN43</f>
        <v>24</v>
      </c>
      <c r="AB11" s="1983">
        <f>HCM!AO43</f>
        <v>25</v>
      </c>
      <c r="AC11" s="1983">
        <f>HCM!AP43</f>
        <v>33</v>
      </c>
      <c r="AD11" s="1983">
        <v>45</v>
      </c>
      <c r="AE11" s="1983">
        <v>47</v>
      </c>
      <c r="AF11" s="1983">
        <v>47</v>
      </c>
      <c r="AG11" s="1983">
        <v>46</v>
      </c>
      <c r="AH11" s="1983">
        <v>45</v>
      </c>
      <c r="AI11" s="1983">
        <v>44</v>
      </c>
      <c r="AJ11" s="1983">
        <v>43</v>
      </c>
      <c r="AK11" s="1983">
        <v>40</v>
      </c>
      <c r="AL11" s="1983">
        <v>40</v>
      </c>
      <c r="AM11" s="1983">
        <v>40</v>
      </c>
      <c r="AN11" s="1983">
        <v>38</v>
      </c>
      <c r="AO11" s="1983">
        <f>HCM!BE43</f>
        <v>39</v>
      </c>
      <c r="AP11" s="1983">
        <f>HCM!BF43</f>
        <v>37</v>
      </c>
      <c r="AQ11" s="1983">
        <f>HCM!BG43</f>
        <v>36</v>
      </c>
      <c r="AR11" s="1983">
        <f>HCM!BH43</f>
        <v>40</v>
      </c>
      <c r="AS11" s="1983">
        <f>HCM!BI43</f>
        <v>39</v>
      </c>
      <c r="AT11" s="1983">
        <f>HCM!BJ43</f>
        <v>38</v>
      </c>
      <c r="AU11" s="1983">
        <f>HCM!BK43</f>
        <v>37</v>
      </c>
      <c r="AV11" s="1983">
        <f>HCM!BL43</f>
        <v>38</v>
      </c>
      <c r="AW11" s="1983">
        <f>HCM!BM43</f>
        <v>39</v>
      </c>
      <c r="AX11" s="1983">
        <f>HCM!BN43</f>
        <v>36</v>
      </c>
      <c r="AY11" s="1983">
        <f>HCM!BO43</f>
        <v>37</v>
      </c>
      <c r="AZ11" s="1983">
        <f>HCM!BP43</f>
        <v>40</v>
      </c>
      <c r="BA11" s="1983">
        <f>HCM!BQ43</f>
        <v>40</v>
      </c>
      <c r="BB11" s="1983">
        <f>HCM!BR43</f>
        <v>42</v>
      </c>
      <c r="BC11" s="1983">
        <f>HCM!BS43</f>
        <v>43</v>
      </c>
      <c r="BD11" s="1983">
        <f>HCM!BT43</f>
        <v>42</v>
      </c>
      <c r="BE11" s="1983">
        <f>HCM!BU43</f>
        <v>40</v>
      </c>
      <c r="BF11" s="1983">
        <f>HCM!BV43</f>
        <v>0</v>
      </c>
      <c r="BG11" s="1983">
        <f>HCM!BW43</f>
        <v>0</v>
      </c>
      <c r="BH11" s="1983">
        <f>HCM!BX43</f>
        <v>0</v>
      </c>
      <c r="BI11" s="1983">
        <f>HCM!BY43</f>
        <v>0</v>
      </c>
      <c r="BJ11" s="1983">
        <f>HCM!BZ43</f>
        <v>0</v>
      </c>
      <c r="BK11" s="988"/>
      <c r="BL11" s="989"/>
    </row>
    <row r="12" spans="1:66" s="983" customFormat="1" ht="13.5" customHeight="1">
      <c r="B12" s="984"/>
      <c r="C12" s="985" t="s">
        <v>739</v>
      </c>
      <c r="D12" s="1982">
        <f t="shared" si="0"/>
        <v>23</v>
      </c>
      <c r="E12" s="1982"/>
      <c r="F12" s="1982"/>
      <c r="G12" s="1982"/>
      <c r="H12" s="1982"/>
      <c r="I12" s="1982"/>
      <c r="J12" s="1982"/>
      <c r="K12" s="1983"/>
      <c r="L12" s="1983"/>
      <c r="M12" s="1983"/>
      <c r="N12" s="1982"/>
      <c r="O12" s="1983"/>
      <c r="P12" s="1983"/>
      <c r="Q12" s="1983"/>
      <c r="R12" s="1983"/>
      <c r="S12" s="1983"/>
      <c r="T12" s="1983"/>
      <c r="U12" s="1983"/>
      <c r="V12" s="1983"/>
      <c r="W12" s="1983">
        <f>HCM!AJ44</f>
        <v>2</v>
      </c>
      <c r="X12" s="1983">
        <f>HCM!AK44</f>
        <v>2</v>
      </c>
      <c r="Y12" s="1983">
        <f>HCM!AL44</f>
        <v>2</v>
      </c>
      <c r="Z12" s="1983">
        <f>HCM!AM44</f>
        <v>3</v>
      </c>
      <c r="AA12" s="1983">
        <f>HCM!AN44</f>
        <v>3</v>
      </c>
      <c r="AB12" s="1983">
        <f>HCM!AO44</f>
        <v>3</v>
      </c>
      <c r="AC12" s="1983">
        <f>HCM!AP44</f>
        <v>4</v>
      </c>
      <c r="AD12" s="1983">
        <v>8</v>
      </c>
      <c r="AE12" s="1983">
        <v>9</v>
      </c>
      <c r="AF12" s="1983">
        <v>9</v>
      </c>
      <c r="AG12" s="1983">
        <v>8</v>
      </c>
      <c r="AH12" s="1983">
        <v>8</v>
      </c>
      <c r="AI12" s="1983">
        <v>9</v>
      </c>
      <c r="AJ12" s="1983">
        <v>10</v>
      </c>
      <c r="AK12" s="1983">
        <v>10</v>
      </c>
      <c r="AL12" s="1983">
        <v>10</v>
      </c>
      <c r="AM12" s="1983">
        <v>11</v>
      </c>
      <c r="AN12" s="1983">
        <v>11</v>
      </c>
      <c r="AO12" s="1983">
        <f>HCM!BE44</f>
        <v>11</v>
      </c>
      <c r="AP12" s="1983">
        <f>HCM!BF44</f>
        <v>11</v>
      </c>
      <c r="AQ12" s="1983">
        <f>HCM!BG44</f>
        <v>11</v>
      </c>
      <c r="AR12" s="1983">
        <f>HCM!BH44</f>
        <v>11</v>
      </c>
      <c r="AS12" s="1983">
        <f>HCM!BI44</f>
        <v>12</v>
      </c>
      <c r="AT12" s="1983">
        <f>HCM!BJ44</f>
        <v>12</v>
      </c>
      <c r="AU12" s="1983">
        <f>HCM!BK44</f>
        <v>12</v>
      </c>
      <c r="AV12" s="1983">
        <f>HCM!BL44</f>
        <v>13</v>
      </c>
      <c r="AW12" s="1983">
        <f>HCM!BM44</f>
        <v>14</v>
      </c>
      <c r="AX12" s="1983">
        <f>HCM!BN44</f>
        <v>14</v>
      </c>
      <c r="AY12" s="1983">
        <f>HCM!BO44</f>
        <v>18</v>
      </c>
      <c r="AZ12" s="1983">
        <f>HCM!BP44</f>
        <v>21</v>
      </c>
      <c r="BA12" s="1983">
        <f>HCM!BQ44</f>
        <v>21</v>
      </c>
      <c r="BB12" s="1983">
        <f>HCM!BR44</f>
        <v>21</v>
      </c>
      <c r="BC12" s="1983">
        <f>HCM!BS44</f>
        <v>22</v>
      </c>
      <c r="BD12" s="1983">
        <f>HCM!BT44</f>
        <v>23</v>
      </c>
      <c r="BE12" s="1983">
        <f>HCM!BU44</f>
        <v>23</v>
      </c>
      <c r="BF12" s="1983">
        <f>HCM!BV44</f>
        <v>0</v>
      </c>
      <c r="BG12" s="1983">
        <f>HCM!BW44</f>
        <v>0</v>
      </c>
      <c r="BH12" s="1983">
        <f>HCM!BX44</f>
        <v>0</v>
      </c>
      <c r="BI12" s="1983">
        <f>HCM!BY44</f>
        <v>0</v>
      </c>
      <c r="BJ12" s="1983">
        <f>HCM!BZ44</f>
        <v>0</v>
      </c>
      <c r="BK12" s="988"/>
      <c r="BL12" s="989"/>
    </row>
    <row r="13" spans="1:66" s="990" customFormat="1" ht="13.5" customHeight="1">
      <c r="B13" s="991"/>
      <c r="C13" s="992" t="s">
        <v>138</v>
      </c>
      <c r="D13" s="1982">
        <f t="shared" si="0"/>
        <v>2410</v>
      </c>
      <c r="E13" s="1984"/>
      <c r="F13" s="1984">
        <f>HCM!S46</f>
        <v>77</v>
      </c>
      <c r="G13" s="1984">
        <f>HCM!T46</f>
        <v>74</v>
      </c>
      <c r="H13" s="1984">
        <f>HCM!U46</f>
        <v>92</v>
      </c>
      <c r="I13" s="1984">
        <f>HCM!V46</f>
        <v>119</v>
      </c>
      <c r="J13" s="1984">
        <f>HCM!W46</f>
        <v>158</v>
      </c>
      <c r="K13" s="1985">
        <f>HCM!X46</f>
        <v>174</v>
      </c>
      <c r="L13" s="1985">
        <f>HCM!Y46</f>
        <v>174</v>
      </c>
      <c r="M13" s="1985">
        <f>HCM!Z46</f>
        <v>193</v>
      </c>
      <c r="N13" s="1984">
        <f>HCM!AA46</f>
        <v>213</v>
      </c>
      <c r="O13" s="1985">
        <f>HCM!AB46</f>
        <v>228</v>
      </c>
      <c r="P13" s="1985">
        <f>HCM!AC46</f>
        <v>251</v>
      </c>
      <c r="Q13" s="1985">
        <f>HCM!AD46</f>
        <v>299</v>
      </c>
      <c r="R13" s="1985">
        <f>HCM!AE46</f>
        <v>296</v>
      </c>
      <c r="S13" s="1985">
        <f>HCM!AF46</f>
        <v>277</v>
      </c>
      <c r="T13" s="1985">
        <f>HCM!AG46</f>
        <v>323</v>
      </c>
      <c r="U13" s="1985">
        <f>HCM!AH46</f>
        <v>427</v>
      </c>
      <c r="V13" s="1985">
        <f>HCM!AI46</f>
        <v>506</v>
      </c>
      <c r="W13" s="1985">
        <f>HCM!AJ46</f>
        <v>565</v>
      </c>
      <c r="X13" s="1985">
        <f>HCM!AK46</f>
        <v>616</v>
      </c>
      <c r="Y13" s="1985">
        <f>HCM!AL46</f>
        <v>722</v>
      </c>
      <c r="Z13" s="1985">
        <f>HCM!AM46</f>
        <v>797</v>
      </c>
      <c r="AA13" s="1985">
        <f>HCM!AN46</f>
        <v>834</v>
      </c>
      <c r="AB13" s="1985">
        <f>HCM!AO46</f>
        <v>959</v>
      </c>
      <c r="AC13" s="1985">
        <f>HCM!AP46</f>
        <v>1099</v>
      </c>
      <c r="AD13" s="1985">
        <v>1632</v>
      </c>
      <c r="AE13" s="1985">
        <v>1590</v>
      </c>
      <c r="AF13" s="1985">
        <v>1621</v>
      </c>
      <c r="AG13" s="1985">
        <v>1650</v>
      </c>
      <c r="AH13" s="1985">
        <v>1751</v>
      </c>
      <c r="AI13" s="1985">
        <v>1734</v>
      </c>
      <c r="AJ13" s="1985">
        <v>1802</v>
      </c>
      <c r="AK13" s="1985">
        <v>1892</v>
      </c>
      <c r="AL13" s="1985">
        <v>1928</v>
      </c>
      <c r="AM13" s="1985">
        <v>1939</v>
      </c>
      <c r="AN13" s="1985">
        <v>1938</v>
      </c>
      <c r="AO13" s="1985">
        <f>HCM!BE46</f>
        <v>2068</v>
      </c>
      <c r="AP13" s="1985">
        <f>HCM!BF46</f>
        <v>2121</v>
      </c>
      <c r="AQ13" s="1985">
        <f>HCM!BG46</f>
        <v>2197</v>
      </c>
      <c r="AR13" s="1985">
        <f>HCM!BH46</f>
        <v>2295</v>
      </c>
      <c r="AS13" s="1985">
        <f>HCM!BI46</f>
        <v>2378</v>
      </c>
      <c r="AT13" s="1985">
        <f>HCM!BJ46</f>
        <v>2500</v>
      </c>
      <c r="AU13" s="1985">
        <f>HCM!BK46</f>
        <v>2624</v>
      </c>
      <c r="AV13" s="1985">
        <f>HCM!BL46</f>
        <v>2812</v>
      </c>
      <c r="AW13" s="1985">
        <f>HCM!BM46</f>
        <v>3031</v>
      </c>
      <c r="AX13" s="1985">
        <f>HCM!BN46</f>
        <v>3144</v>
      </c>
      <c r="AY13" s="1985">
        <f>HCM!BO46</f>
        <v>3220</v>
      </c>
      <c r="AZ13" s="1985">
        <f>HCM!BP46</f>
        <v>2564</v>
      </c>
      <c r="BA13" s="1985">
        <f>HCM!BQ46</f>
        <v>2534</v>
      </c>
      <c r="BB13" s="1985">
        <f>HCM!BR46</f>
        <v>2327</v>
      </c>
      <c r="BC13" s="1985">
        <f>HCM!BS46</f>
        <v>2436</v>
      </c>
      <c r="BD13" s="1985">
        <f>HCM!BT46</f>
        <v>2491</v>
      </c>
      <c r="BE13" s="1985">
        <f>HCM!BU46</f>
        <v>2410</v>
      </c>
      <c r="BF13" s="1985">
        <f>HCM!BV46</f>
        <v>0</v>
      </c>
      <c r="BG13" s="1985">
        <f>HCM!BW46</f>
        <v>0</v>
      </c>
      <c r="BH13" s="1985">
        <f>HCM!BX46</f>
        <v>0</v>
      </c>
      <c r="BI13" s="1985">
        <f>HCM!BY46</f>
        <v>0</v>
      </c>
      <c r="BJ13" s="1985">
        <f>HCM!BZ46</f>
        <v>0</v>
      </c>
      <c r="BK13" s="1986">
        <f>Plan!$BO$28</f>
        <v>4685.4053373888992</v>
      </c>
      <c r="BL13" s="994"/>
      <c r="BN13" s="897"/>
    </row>
    <row r="14" spans="1:66" s="995" customFormat="1" ht="13.5" customHeight="1">
      <c r="B14" s="996"/>
      <c r="C14" s="997" t="s">
        <v>287</v>
      </c>
      <c r="D14" s="793">
        <f>D13/Plan!C28</f>
        <v>0.51436318236301282</v>
      </c>
      <c r="E14" s="998"/>
      <c r="F14" s="793">
        <f>F13/Plan!E28</f>
        <v>0.88505747126436785</v>
      </c>
      <c r="G14" s="793">
        <f>G13/Plan!F28</f>
        <v>0.78723404255319152</v>
      </c>
      <c r="H14" s="794">
        <f>H13/Plan!G28</f>
        <v>0.73599999999999999</v>
      </c>
      <c r="I14" s="794">
        <f>I13/Plan!H28</f>
        <v>0.7168674698795181</v>
      </c>
      <c r="J14" s="794">
        <f>J13/Plan!I28</f>
        <v>0.69603524229074887</v>
      </c>
      <c r="K14" s="794">
        <f>K13/Plan!J28</f>
        <v>0.62142857142857144</v>
      </c>
      <c r="L14" s="794">
        <f>L13/Plan!K28</f>
        <v>0.54889589905362779</v>
      </c>
      <c r="M14" s="815">
        <f>M13/Plan!L28</f>
        <v>0.55300859598853869</v>
      </c>
      <c r="N14" s="815">
        <f>N13/Plan!M28</f>
        <v>0.55759162303664922</v>
      </c>
      <c r="O14" s="815">
        <f>O13/Plan!N28</f>
        <v>0.55609756097560981</v>
      </c>
      <c r="P14" s="815">
        <f>P13/Plan!O28</f>
        <v>0.57834101382488479</v>
      </c>
      <c r="Q14" s="815">
        <f>Q13/Plan!P28</f>
        <v>0.65426695842450766</v>
      </c>
      <c r="R14" s="815">
        <f>R13/Plan!Q28</f>
        <v>0.82913165266106448</v>
      </c>
      <c r="S14" s="815">
        <f>S13/Plan!R28</f>
        <v>0.7847025495750708</v>
      </c>
      <c r="T14" s="815">
        <f>T13/Plan!S28</f>
        <v>0.85224274406332456</v>
      </c>
      <c r="U14" s="815">
        <f>U13/Plan!T28</f>
        <v>0.94888888888888889</v>
      </c>
      <c r="V14" s="815">
        <f>V13/Plan!U28</f>
        <v>0.95652173913043481</v>
      </c>
      <c r="W14" s="815">
        <f>W13/Plan!V28</f>
        <v>0.93698175787728022</v>
      </c>
      <c r="X14" s="815">
        <f>X13/Plan!W28</f>
        <v>0.92492492492492495</v>
      </c>
      <c r="Y14" s="815">
        <f>Y13/Plan!X28</f>
        <v>1.0083798882681565</v>
      </c>
      <c r="Z14" s="815">
        <f>Z13/Plan!Y28</f>
        <v>1.0612516644474035</v>
      </c>
      <c r="AA14" s="815">
        <f>AA13/Plan!Z28</f>
        <v>1.0678617157490398</v>
      </c>
      <c r="AB14" s="815">
        <f>AB13/Plan!AA28</f>
        <v>1.1854140914709519</v>
      </c>
      <c r="AC14" s="815">
        <f>AC13/Plan!AB28</f>
        <v>1.3177458033573142</v>
      </c>
      <c r="AD14" s="815">
        <v>0.86624203821656054</v>
      </c>
      <c r="AE14" s="815">
        <v>0.75931232091690548</v>
      </c>
      <c r="AF14" s="815">
        <v>0.70693414740514615</v>
      </c>
      <c r="AG14" s="815">
        <v>0.66612838110617678</v>
      </c>
      <c r="AH14" s="815">
        <v>0.66125377643504535</v>
      </c>
      <c r="AI14" s="815">
        <v>0.61708185053380782</v>
      </c>
      <c r="AJ14" s="815">
        <v>0.60673400673400668</v>
      </c>
      <c r="AK14" s="815">
        <v>0.59125000000000005</v>
      </c>
      <c r="AL14" s="815">
        <v>0.56226305045202685</v>
      </c>
      <c r="AM14" s="815">
        <v>0.98878123406425289</v>
      </c>
      <c r="AN14" s="815">
        <v>0.95988112927191682</v>
      </c>
      <c r="AO14" s="815">
        <f>IFERROR($AO$13/Plan!AQ28,"")</f>
        <v>0.91504424778761062</v>
      </c>
      <c r="AP14" s="794">
        <f>IFERROR(AP13/Plan!AR28,"")</f>
        <v>0.87717121588089331</v>
      </c>
      <c r="AQ14" s="794">
        <f>IFERROR(AQ13/Plan!AS28,"")</f>
        <v>0.84208509007282484</v>
      </c>
      <c r="AR14" s="794">
        <f>IFERROR(AR13/Plan!AT28,"")</f>
        <v>0.7779661016949152</v>
      </c>
      <c r="AS14" s="794">
        <f>IFERROR(AS13/Plan!AU28,"")</f>
        <v>1.011330219947439</v>
      </c>
      <c r="AT14" s="794">
        <f>IFERROR(AT13/Plan!AV28,"")</f>
        <v>0.92093006990595494</v>
      </c>
      <c r="AU14" s="794">
        <f>IFERROR(AU13/Plan!AW28,"")</f>
        <v>0.90302215372529138</v>
      </c>
      <c r="AV14" s="794">
        <f>IFERROR(AV13/Plan!AX28,"")</f>
        <v>0.9160306499923605</v>
      </c>
      <c r="AW14" s="794">
        <f>IFERROR(AW13/Plan!AY28,"")</f>
        <v>0.90192663624223313</v>
      </c>
      <c r="AX14" s="794">
        <f>IFERROR(AX13/Plan!AZ28,"")</f>
        <v>0.80933382989391434</v>
      </c>
      <c r="AY14" s="794">
        <f>IFERROR(AY13/Plan!BA28,"")</f>
        <v>0.78747448185924118</v>
      </c>
      <c r="AZ14" s="794">
        <f>IFERROR(AZ13/Plan!BB28,"")</f>
        <v>0.61833168397418148</v>
      </c>
      <c r="BA14" s="794">
        <f>IFERROR(BA13/Plan!BC28,"")</f>
        <v>0.58052610015326922</v>
      </c>
      <c r="BB14" s="794">
        <f>IFERROR(BB13/Plan!BD28,"")</f>
        <v>0.51947399176378772</v>
      </c>
      <c r="BC14" s="794">
        <f>IFERROR(BC13/Plan!BE28,"")</f>
        <v>0.53390789806433225</v>
      </c>
      <c r="BD14" s="794">
        <f>IFERROR(BD13/Plan!BF28,"")</f>
        <v>0.51711859882646749</v>
      </c>
      <c r="BE14" s="794">
        <f>IFERROR(BE13/Plan!BG28,"")</f>
        <v>0.51436318236301282</v>
      </c>
      <c r="BF14" s="794">
        <f>IFERROR(BF13/Plan!BH28,"")</f>
        <v>0</v>
      </c>
      <c r="BG14" s="794">
        <f>IFERROR(BG13/Plan!BI28,"")</f>
        <v>0</v>
      </c>
      <c r="BH14" s="794">
        <f>IFERROR(BH13/Plan!BJ28,"")</f>
        <v>0</v>
      </c>
      <c r="BI14" s="794">
        <f>IFERROR(BI13/Plan!BK28,"")</f>
        <v>0</v>
      </c>
      <c r="BJ14" s="794">
        <f>IFERROR(BJ13/Plan!BL28,"")</f>
        <v>0</v>
      </c>
      <c r="BK14" s="866"/>
      <c r="BL14" s="999"/>
    </row>
    <row r="15" spans="1:66" s="983" customFormat="1" ht="13.5" customHeight="1">
      <c r="B15" s="984"/>
      <c r="C15" s="1000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987"/>
      <c r="AD15" s="987"/>
      <c r="AE15" s="987"/>
      <c r="AF15" s="987"/>
      <c r="AG15" s="987"/>
      <c r="AH15" s="987"/>
      <c r="AI15" s="987"/>
      <c r="AJ15" s="987"/>
      <c r="AK15" s="987"/>
      <c r="AL15" s="987"/>
      <c r="AM15" s="987"/>
      <c r="AN15" s="987"/>
      <c r="AO15" s="987"/>
      <c r="AP15" s="982"/>
      <c r="AQ15" s="982"/>
      <c r="AR15" s="982"/>
      <c r="AS15" s="982"/>
      <c r="AT15" s="982"/>
      <c r="AU15" s="982"/>
      <c r="AV15" s="982"/>
      <c r="AW15" s="982"/>
      <c r="AX15" s="982"/>
      <c r="AY15" s="982"/>
      <c r="AZ15" s="982"/>
      <c r="BA15" s="982"/>
      <c r="BB15" s="982"/>
      <c r="BC15" s="982"/>
      <c r="BD15" s="982"/>
      <c r="BE15" s="982"/>
      <c r="BF15" s="982"/>
      <c r="BG15" s="982"/>
      <c r="BH15" s="982"/>
      <c r="BI15" s="982"/>
      <c r="BJ15" s="982"/>
      <c r="BK15" s="1731">
        <f>BK5</f>
        <v>42947</v>
      </c>
      <c r="BL15" s="989"/>
    </row>
    <row r="16" spans="1:66" s="983" customFormat="1" ht="23.25" customHeight="1">
      <c r="B16" s="984"/>
      <c r="C16" s="1002" t="s">
        <v>232</v>
      </c>
      <c r="D16" s="1003" t="str">
        <f>D6</f>
        <v>YTD'17</v>
      </c>
      <c r="E16" s="1004"/>
      <c r="F16" s="1005" t="s">
        <v>98</v>
      </c>
      <c r="G16" s="1005" t="s">
        <v>34</v>
      </c>
      <c r="H16" s="1006" t="s">
        <v>35</v>
      </c>
      <c r="I16" s="1006" t="s">
        <v>36</v>
      </c>
      <c r="J16" s="1006" t="s">
        <v>37</v>
      </c>
      <c r="K16" s="1007" t="s">
        <v>266</v>
      </c>
      <c r="L16" s="1007" t="s">
        <v>291</v>
      </c>
      <c r="M16" s="1007" t="s">
        <v>40</v>
      </c>
      <c r="N16" s="1007" t="s">
        <v>41</v>
      </c>
      <c r="O16" s="1007" t="s">
        <v>42</v>
      </c>
      <c r="P16" s="1007" t="str">
        <f t="shared" ref="P16:U16" si="1">P6</f>
        <v>Nov</v>
      </c>
      <c r="Q16" s="1007" t="str">
        <f t="shared" si="1"/>
        <v>Dec</v>
      </c>
      <c r="R16" s="1007" t="str">
        <f t="shared" si="1"/>
        <v>Jan'14</v>
      </c>
      <c r="S16" s="1007" t="str">
        <f t="shared" si="1"/>
        <v>Feb'14</v>
      </c>
      <c r="T16" s="1007" t="str">
        <f t="shared" si="1"/>
        <v>Mar'14</v>
      </c>
      <c r="U16" s="1007" t="str">
        <f t="shared" si="1"/>
        <v>Apr'14</v>
      </c>
      <c r="V16" s="1007" t="str">
        <f>V6</f>
        <v>May'14</v>
      </c>
      <c r="W16" s="1007" t="str">
        <f>W6</f>
        <v>Jun'14</v>
      </c>
      <c r="X16" s="1007" t="s">
        <v>795</v>
      </c>
      <c r="Y16" s="1007" t="s">
        <v>823</v>
      </c>
      <c r="Z16" s="1007" t="s">
        <v>860</v>
      </c>
      <c r="AA16" s="1007" t="s">
        <v>899</v>
      </c>
      <c r="AB16" s="1007" t="s">
        <v>948</v>
      </c>
      <c r="AC16" s="1073" t="s">
        <v>1013</v>
      </c>
      <c r="AD16" s="1073" t="str">
        <f>AD6</f>
        <v>Apr-15</v>
      </c>
      <c r="AE16" s="1073" t="str">
        <f t="shared" ref="AE16:AN16" si="2">AE6</f>
        <v>May-15</v>
      </c>
      <c r="AF16" s="1771">
        <f t="shared" si="2"/>
        <v>42185</v>
      </c>
      <c r="AG16" s="1771">
        <f>AG6</f>
        <v>42216</v>
      </c>
      <c r="AH16" s="1771">
        <f t="shared" si="2"/>
        <v>42247</v>
      </c>
      <c r="AI16" s="1771">
        <f t="shared" si="2"/>
        <v>42277</v>
      </c>
      <c r="AJ16" s="1771">
        <f t="shared" si="2"/>
        <v>42308</v>
      </c>
      <c r="AK16" s="1771">
        <f t="shared" si="2"/>
        <v>42338</v>
      </c>
      <c r="AL16" s="1771">
        <f t="shared" si="2"/>
        <v>42369</v>
      </c>
      <c r="AM16" s="1771">
        <f t="shared" si="2"/>
        <v>42400</v>
      </c>
      <c r="AN16" s="1771">
        <f t="shared" si="2"/>
        <v>42429</v>
      </c>
      <c r="AO16" s="1771">
        <f>AO6</f>
        <v>42460</v>
      </c>
      <c r="AP16" s="1771">
        <f t="shared" ref="AP16:AX16" si="3">AP6</f>
        <v>42490</v>
      </c>
      <c r="AQ16" s="1771">
        <f t="shared" si="3"/>
        <v>42521</v>
      </c>
      <c r="AR16" s="1771">
        <f t="shared" si="3"/>
        <v>42551</v>
      </c>
      <c r="AS16" s="1771">
        <f t="shared" si="3"/>
        <v>42582</v>
      </c>
      <c r="AT16" s="1771">
        <f t="shared" si="3"/>
        <v>42613</v>
      </c>
      <c r="AU16" s="1771">
        <f t="shared" si="3"/>
        <v>42643</v>
      </c>
      <c r="AV16" s="1771">
        <f t="shared" si="3"/>
        <v>42674</v>
      </c>
      <c r="AW16" s="1771">
        <f>AW6</f>
        <v>42704</v>
      </c>
      <c r="AX16" s="1771">
        <f t="shared" si="3"/>
        <v>42735</v>
      </c>
      <c r="AY16" s="1771">
        <v>42766</v>
      </c>
      <c r="AZ16" s="1771">
        <v>42794</v>
      </c>
      <c r="BA16" s="1771">
        <v>42825</v>
      </c>
      <c r="BB16" s="1771">
        <v>42855</v>
      </c>
      <c r="BC16" s="1771">
        <v>42886</v>
      </c>
      <c r="BD16" s="1771">
        <v>42916</v>
      </c>
      <c r="BE16" s="1771">
        <v>42947</v>
      </c>
      <c r="BF16" s="1771">
        <v>42978</v>
      </c>
      <c r="BG16" s="1771">
        <v>43008</v>
      </c>
      <c r="BH16" s="1771">
        <v>43039</v>
      </c>
      <c r="BI16" s="1771">
        <v>43069</v>
      </c>
      <c r="BJ16" s="1771">
        <v>43100</v>
      </c>
      <c r="BK16" s="1689" t="str">
        <f>BK6</f>
        <v>Target</v>
      </c>
      <c r="BL16" s="989"/>
    </row>
    <row r="17" spans="2:64" s="983" customFormat="1" ht="13.5" customHeight="1">
      <c r="B17" s="984"/>
      <c r="C17" s="985" t="s">
        <v>155</v>
      </c>
      <c r="D17" s="1982">
        <f>HCM!C50</f>
        <v>0</v>
      </c>
      <c r="E17" s="1982"/>
      <c r="F17" s="1982"/>
      <c r="G17" s="1982"/>
      <c r="H17" s="1982"/>
      <c r="I17" s="1982"/>
      <c r="J17" s="1982"/>
      <c r="K17" s="1983"/>
      <c r="L17" s="1983"/>
      <c r="M17" s="1982"/>
      <c r="N17" s="1982"/>
      <c r="O17" s="1983"/>
      <c r="P17" s="1983"/>
      <c r="Q17" s="1983"/>
      <c r="R17" s="1983"/>
      <c r="S17" s="1983"/>
      <c r="T17" s="1983"/>
      <c r="U17" s="1983"/>
      <c r="V17" s="1983"/>
      <c r="W17" s="1983"/>
      <c r="X17" s="1983"/>
      <c r="Y17" s="1983"/>
      <c r="Z17" s="1983"/>
      <c r="AA17" s="1983"/>
      <c r="AB17" s="1983">
        <f>HCM!AO50</f>
        <v>0</v>
      </c>
      <c r="AC17" s="1983">
        <f>HCM!AP50</f>
        <v>3</v>
      </c>
      <c r="AD17" s="1983">
        <v>5</v>
      </c>
      <c r="AE17" s="1983">
        <v>3</v>
      </c>
      <c r="AF17" s="1983">
        <v>2</v>
      </c>
      <c r="AG17" s="1983">
        <v>0</v>
      </c>
      <c r="AH17" s="1983">
        <v>0</v>
      </c>
      <c r="AI17" s="1983">
        <v>0</v>
      </c>
      <c r="AJ17" s="1983">
        <v>0</v>
      </c>
      <c r="AK17" s="1983">
        <v>0</v>
      </c>
      <c r="AL17" s="1983">
        <v>0</v>
      </c>
      <c r="AM17" s="1983">
        <v>0</v>
      </c>
      <c r="AN17" s="1983">
        <v>0</v>
      </c>
      <c r="AO17" s="1983">
        <f>HCM!BE50</f>
        <v>0</v>
      </c>
      <c r="AP17" s="1983">
        <f>HCM!BF50</f>
        <v>0</v>
      </c>
      <c r="AQ17" s="1983">
        <f>HCM!BG50</f>
        <v>0</v>
      </c>
      <c r="AR17" s="1983">
        <f>HCM!BH50</f>
        <v>0</v>
      </c>
      <c r="AS17" s="1983">
        <f>HCM!BI50</f>
        <v>0</v>
      </c>
      <c r="AT17" s="1983">
        <f>HCM!BJ50</f>
        <v>0</v>
      </c>
      <c r="AU17" s="1983">
        <f>HCM!BK50</f>
        <v>0</v>
      </c>
      <c r="AV17" s="1983">
        <f>HCM!BL50</f>
        <v>0</v>
      </c>
      <c r="AW17" s="1983">
        <f>HCM!BM50</f>
        <v>0</v>
      </c>
      <c r="AX17" s="2075">
        <f>HCM!BN50</f>
        <v>0</v>
      </c>
      <c r="AY17" s="2075">
        <f>HCM!BO50</f>
        <v>0</v>
      </c>
      <c r="AZ17" s="2075"/>
      <c r="BA17" s="2075"/>
      <c r="BB17" s="2075"/>
      <c r="BC17" s="2075"/>
      <c r="BD17" s="2075"/>
      <c r="BE17" s="2075"/>
      <c r="BF17" s="2075"/>
      <c r="BG17" s="2075"/>
      <c r="BH17" s="2075"/>
      <c r="BI17" s="2075"/>
      <c r="BJ17" s="2075"/>
      <c r="BK17" s="988"/>
      <c r="BL17" s="989"/>
    </row>
    <row r="18" spans="2:64" s="983" customFormat="1" ht="13.5" customHeight="1">
      <c r="B18" s="984"/>
      <c r="C18" s="985" t="s">
        <v>156</v>
      </c>
      <c r="D18" s="1982">
        <f>HCM!C51</f>
        <v>137</v>
      </c>
      <c r="E18" s="1982"/>
      <c r="F18" s="1982">
        <f>HCM!S51</f>
        <v>3</v>
      </c>
      <c r="G18" s="1982">
        <f>HCM!T51</f>
        <v>0</v>
      </c>
      <c r="H18" s="1982">
        <f>HCM!U51</f>
        <v>0</v>
      </c>
      <c r="I18" s="1982">
        <f>HCM!V51</f>
        <v>5</v>
      </c>
      <c r="J18" s="1982">
        <f>HCM!W51</f>
        <v>5</v>
      </c>
      <c r="K18" s="1983">
        <f>HCM!X51</f>
        <v>2</v>
      </c>
      <c r="L18" s="1983">
        <f>HCM!Y51</f>
        <v>4</v>
      </c>
      <c r="M18" s="1982">
        <f>HCM!Z51</f>
        <v>6</v>
      </c>
      <c r="N18" s="1982">
        <f>HCM!AA51</f>
        <v>7</v>
      </c>
      <c r="O18" s="1983">
        <f>HCM!AB51</f>
        <v>3</v>
      </c>
      <c r="P18" s="1983">
        <f>HCM!AC51</f>
        <v>6</v>
      </c>
      <c r="Q18" s="1983">
        <f>HCM!AD51</f>
        <v>8</v>
      </c>
      <c r="R18" s="1983">
        <f>HCM!AE51</f>
        <v>0</v>
      </c>
      <c r="S18" s="1983">
        <f>HCM!AF51</f>
        <v>2</v>
      </c>
      <c r="T18" s="1983">
        <f>HCM!AG51</f>
        <v>8</v>
      </c>
      <c r="U18" s="1983">
        <f>HCM!AH51</f>
        <v>19</v>
      </c>
      <c r="V18" s="1983">
        <f>HCM!AI51</f>
        <v>18</v>
      </c>
      <c r="W18" s="1983">
        <f>HCM!AJ51</f>
        <v>14</v>
      </c>
      <c r="X18" s="1983">
        <f>HCM!AK51</f>
        <v>13</v>
      </c>
      <c r="Y18" s="1983">
        <f>HCM!AL51</f>
        <v>11</v>
      </c>
      <c r="Z18" s="1983">
        <f>HCM!AM51</f>
        <v>12</v>
      </c>
      <c r="AA18" s="1983">
        <f>HCM!AN51</f>
        <v>6</v>
      </c>
      <c r="AB18" s="1983">
        <f>HCM!AO51</f>
        <v>19</v>
      </c>
      <c r="AC18" s="1983">
        <f>HCM!AP51</f>
        <v>22</v>
      </c>
      <c r="AD18" s="1983">
        <v>38</v>
      </c>
      <c r="AE18" s="1983">
        <v>28</v>
      </c>
      <c r="AF18" s="1983">
        <v>27</v>
      </c>
      <c r="AG18" s="1983">
        <v>19</v>
      </c>
      <c r="AH18" s="1983">
        <v>20</v>
      </c>
      <c r="AI18" s="1983">
        <v>27</v>
      </c>
      <c r="AJ18" s="1983">
        <v>19</v>
      </c>
      <c r="AK18" s="1983">
        <v>17</v>
      </c>
      <c r="AL18" s="1983">
        <v>16</v>
      </c>
      <c r="AM18" s="1983">
        <v>5</v>
      </c>
      <c r="AN18" s="1983">
        <v>2</v>
      </c>
      <c r="AO18" s="1983">
        <f>HCM!BE51</f>
        <v>22</v>
      </c>
      <c r="AP18" s="1983">
        <f>HCM!BF51</f>
        <v>16</v>
      </c>
      <c r="AQ18" s="1983">
        <f>HCM!BG51</f>
        <v>29</v>
      </c>
      <c r="AR18" s="1983">
        <f>HCM!BH51</f>
        <v>31</v>
      </c>
      <c r="AS18" s="1983">
        <f>HCM!BI51</f>
        <v>19</v>
      </c>
      <c r="AT18" s="1983">
        <f>HCM!BJ51</f>
        <v>24</v>
      </c>
      <c r="AU18" s="1983">
        <f>HCM!BK51</f>
        <v>29</v>
      </c>
      <c r="AV18" s="1983">
        <f>HCM!BL51</f>
        <v>41</v>
      </c>
      <c r="AW18" s="1983">
        <f>HCM!BM51</f>
        <v>57</v>
      </c>
      <c r="AX18" s="2075">
        <f>HCM!BN51</f>
        <v>32</v>
      </c>
      <c r="AY18" s="2075">
        <f>HCM!BO51</f>
        <v>21</v>
      </c>
      <c r="AZ18" s="2075">
        <f>HCM!BP51</f>
        <v>41</v>
      </c>
      <c r="BA18" s="2075">
        <f>HCM!BQ51</f>
        <v>13</v>
      </c>
      <c r="BB18" s="2075">
        <f>HCM!BR51</f>
        <v>14</v>
      </c>
      <c r="BC18" s="2075">
        <f>HCM!BS51</f>
        <v>10</v>
      </c>
      <c r="BD18" s="2075">
        <f>HCM!BT51</f>
        <v>15</v>
      </c>
      <c r="BE18" s="2075">
        <f>HCM!BU51</f>
        <v>23</v>
      </c>
      <c r="BF18" s="2075">
        <f>HCM!BV51</f>
        <v>0</v>
      </c>
      <c r="BG18" s="2075">
        <f>HCM!BW51</f>
        <v>0</v>
      </c>
      <c r="BH18" s="2075">
        <f>HCM!BX51</f>
        <v>0</v>
      </c>
      <c r="BI18" s="2075">
        <f>HCM!BY51</f>
        <v>0</v>
      </c>
      <c r="BJ18" s="2075">
        <f>HCM!BZ51</f>
        <v>0</v>
      </c>
      <c r="BK18" s="988"/>
      <c r="BL18" s="989"/>
    </row>
    <row r="19" spans="2:64" s="983" customFormat="1" ht="13.5" customHeight="1">
      <c r="B19" s="984"/>
      <c r="C19" s="985" t="s">
        <v>157</v>
      </c>
      <c r="D19" s="1982">
        <f>HCM!C52</f>
        <v>41</v>
      </c>
      <c r="E19" s="1982"/>
      <c r="F19" s="1982">
        <f>HCM!S52</f>
        <v>0</v>
      </c>
      <c r="G19" s="1982">
        <f>HCM!T52</f>
        <v>0</v>
      </c>
      <c r="H19" s="1982">
        <f>HCM!U52</f>
        <v>0</v>
      </c>
      <c r="I19" s="1982">
        <f>HCM!V52</f>
        <v>6</v>
      </c>
      <c r="J19" s="1982">
        <f>HCM!W52</f>
        <v>1</v>
      </c>
      <c r="K19" s="1983">
        <f>HCM!X52</f>
        <v>0</v>
      </c>
      <c r="L19" s="1983">
        <f>HCM!Y52</f>
        <v>3</v>
      </c>
      <c r="M19" s="1982">
        <f>HCM!Z52</f>
        <v>1</v>
      </c>
      <c r="N19" s="1982">
        <f>HCM!AA52</f>
        <v>1</v>
      </c>
      <c r="O19" s="1983">
        <f>HCM!AB52</f>
        <v>1</v>
      </c>
      <c r="P19" s="1983">
        <f>HCM!AC52</f>
        <v>2</v>
      </c>
      <c r="Q19" s="1983">
        <f>HCM!AD52</f>
        <v>2</v>
      </c>
      <c r="R19" s="1983">
        <f>HCM!AE52</f>
        <v>0</v>
      </c>
      <c r="S19" s="1983">
        <f>HCM!AF52</f>
        <v>0</v>
      </c>
      <c r="T19" s="1983">
        <f>HCM!AG52</f>
        <v>1</v>
      </c>
      <c r="U19" s="1983">
        <f>HCM!AH52</f>
        <v>1</v>
      </c>
      <c r="V19" s="1983">
        <f>HCM!AI52</f>
        <v>4</v>
      </c>
      <c r="W19" s="1983">
        <f>HCM!AJ52</f>
        <v>5</v>
      </c>
      <c r="X19" s="1983">
        <f>HCM!AK52</f>
        <v>6</v>
      </c>
      <c r="Y19" s="1983">
        <f>HCM!AL52</f>
        <v>3</v>
      </c>
      <c r="Z19" s="1983">
        <f>HCM!AM52</f>
        <v>3</v>
      </c>
      <c r="AA19" s="1983">
        <f>HCM!AN52</f>
        <v>1</v>
      </c>
      <c r="AB19" s="1983">
        <f>HCM!AO52</f>
        <v>3</v>
      </c>
      <c r="AC19" s="1983">
        <f>HCM!AP52</f>
        <v>5</v>
      </c>
      <c r="AD19" s="1983">
        <v>16</v>
      </c>
      <c r="AE19" s="1983">
        <v>2</v>
      </c>
      <c r="AF19" s="1983">
        <v>7</v>
      </c>
      <c r="AG19" s="1983">
        <v>5</v>
      </c>
      <c r="AH19" s="1983">
        <v>3</v>
      </c>
      <c r="AI19" s="1983">
        <v>5</v>
      </c>
      <c r="AJ19" s="1983">
        <v>5</v>
      </c>
      <c r="AK19" s="1983">
        <v>1</v>
      </c>
      <c r="AL19" s="1983">
        <v>5</v>
      </c>
      <c r="AM19" s="1983">
        <v>0</v>
      </c>
      <c r="AN19" s="1983">
        <v>0</v>
      </c>
      <c r="AO19" s="1983">
        <f>HCM!BE52</f>
        <v>8</v>
      </c>
      <c r="AP19" s="1983">
        <f>HCM!BF52</f>
        <v>1</v>
      </c>
      <c r="AQ19" s="1983">
        <f>HCM!BG52</f>
        <v>7</v>
      </c>
      <c r="AR19" s="1983">
        <f>HCM!BH52</f>
        <v>9</v>
      </c>
      <c r="AS19" s="1983">
        <f>HCM!BI52</f>
        <v>1</v>
      </c>
      <c r="AT19" s="1983">
        <f>HCM!BJ52</f>
        <v>4</v>
      </c>
      <c r="AU19" s="1983">
        <f>HCM!BK52</f>
        <v>9</v>
      </c>
      <c r="AV19" s="1983">
        <f>HCM!BL52</f>
        <v>8</v>
      </c>
      <c r="AW19" s="1983">
        <f>HCM!BM52</f>
        <v>10</v>
      </c>
      <c r="AX19" s="2075">
        <f>HCM!BN52</f>
        <v>7</v>
      </c>
      <c r="AY19" s="2075">
        <f>HCM!BO52</f>
        <v>12</v>
      </c>
      <c r="AZ19" s="2075">
        <f>HCM!BP52</f>
        <v>10</v>
      </c>
      <c r="BA19" s="2075">
        <f>HCM!BQ52</f>
        <v>5</v>
      </c>
      <c r="BB19" s="2075">
        <f>HCM!BR52</f>
        <v>3</v>
      </c>
      <c r="BC19" s="2075">
        <f>HCM!BS52</f>
        <v>5</v>
      </c>
      <c r="BD19" s="2075">
        <f>HCM!BT52</f>
        <v>3</v>
      </c>
      <c r="BE19" s="2075">
        <f>HCM!BU52</f>
        <v>3</v>
      </c>
      <c r="BF19" s="2075">
        <f>HCM!BV52</f>
        <v>0</v>
      </c>
      <c r="BG19" s="2075">
        <f>HCM!BW52</f>
        <v>0</v>
      </c>
      <c r="BH19" s="2075">
        <f>HCM!BX52</f>
        <v>0</v>
      </c>
      <c r="BI19" s="2075">
        <f>HCM!BY52</f>
        <v>0</v>
      </c>
      <c r="BJ19" s="2075">
        <f>HCM!BZ52</f>
        <v>0</v>
      </c>
      <c r="BK19" s="988"/>
      <c r="BL19" s="989"/>
    </row>
    <row r="20" spans="2:64" s="983" customFormat="1" ht="13.5" customHeight="1">
      <c r="B20" s="984"/>
      <c r="C20" s="985" t="s">
        <v>158</v>
      </c>
      <c r="D20" s="1982">
        <f>HCM!C53</f>
        <v>17</v>
      </c>
      <c r="E20" s="1982"/>
      <c r="F20" s="1982">
        <f>HCM!S53</f>
        <v>0</v>
      </c>
      <c r="G20" s="1982">
        <f>HCM!T53</f>
        <v>0</v>
      </c>
      <c r="H20" s="1982">
        <f>HCM!U53</f>
        <v>0</v>
      </c>
      <c r="I20" s="1982">
        <f>HCM!V53</f>
        <v>4</v>
      </c>
      <c r="J20" s="1982">
        <f>HCM!W53</f>
        <v>0</v>
      </c>
      <c r="K20" s="1983">
        <f>HCM!X53</f>
        <v>1</v>
      </c>
      <c r="L20" s="1983">
        <f>HCM!Y53</f>
        <v>0</v>
      </c>
      <c r="M20" s="1983">
        <f>HCM!Z53</f>
        <v>0</v>
      </c>
      <c r="N20" s="1982">
        <f>HCM!AA53</f>
        <v>1</v>
      </c>
      <c r="O20" s="1983">
        <f>HCM!AB53</f>
        <v>1</v>
      </c>
      <c r="P20" s="1983">
        <f>HCM!AC53</f>
        <v>0</v>
      </c>
      <c r="Q20" s="1983">
        <f>HCM!AD53</f>
        <v>1</v>
      </c>
      <c r="R20" s="1983">
        <f>HCM!AE53</f>
        <v>0</v>
      </c>
      <c r="S20" s="1983">
        <f>HCM!AF53</f>
        <v>0</v>
      </c>
      <c r="T20" s="1983">
        <f>HCM!AG53</f>
        <v>2</v>
      </c>
      <c r="U20" s="1983">
        <f>HCM!AH53</f>
        <v>3</v>
      </c>
      <c r="V20" s="1983">
        <f>HCM!AI53</f>
        <v>4</v>
      </c>
      <c r="W20" s="1983">
        <f>HCM!AJ53</f>
        <v>4</v>
      </c>
      <c r="X20" s="1983">
        <f>HCM!AK53</f>
        <v>1</v>
      </c>
      <c r="Y20" s="1983">
        <f>HCM!AL53</f>
        <v>0</v>
      </c>
      <c r="Z20" s="1983">
        <f>HCM!AM53</f>
        <v>3</v>
      </c>
      <c r="AA20" s="1983">
        <f>HCM!AN53</f>
        <v>3</v>
      </c>
      <c r="AB20" s="1983">
        <f>HCM!AO53</f>
        <v>1</v>
      </c>
      <c r="AC20" s="1983">
        <f>HCM!AP53</f>
        <v>7</v>
      </c>
      <c r="AD20" s="1983">
        <v>4</v>
      </c>
      <c r="AE20" s="1983">
        <v>2</v>
      </c>
      <c r="AF20" s="1983">
        <v>2</v>
      </c>
      <c r="AG20" s="1983">
        <v>1</v>
      </c>
      <c r="AH20" s="1983">
        <v>1</v>
      </c>
      <c r="AI20" s="1983">
        <v>2</v>
      </c>
      <c r="AJ20" s="1983">
        <v>0</v>
      </c>
      <c r="AK20" s="1983">
        <v>0</v>
      </c>
      <c r="AL20" s="1983">
        <v>0</v>
      </c>
      <c r="AM20" s="1983">
        <v>1</v>
      </c>
      <c r="AN20" s="1983">
        <v>0</v>
      </c>
      <c r="AO20" s="1983">
        <f>HCM!BE53</f>
        <v>3</v>
      </c>
      <c r="AP20" s="1983">
        <f>HCM!BF53</f>
        <v>0</v>
      </c>
      <c r="AQ20" s="1983">
        <f>HCM!BG53</f>
        <v>3</v>
      </c>
      <c r="AR20" s="1983">
        <f>HCM!BH53</f>
        <v>3</v>
      </c>
      <c r="AS20" s="1983">
        <f>HCM!BI53</f>
        <v>2</v>
      </c>
      <c r="AT20" s="1983">
        <f>HCM!BJ53</f>
        <v>0</v>
      </c>
      <c r="AU20" s="1983">
        <f>HCM!BK53</f>
        <v>1</v>
      </c>
      <c r="AV20" s="1983">
        <f>HCM!BL53</f>
        <v>4</v>
      </c>
      <c r="AW20" s="1983">
        <f>HCM!BM53</f>
        <v>2</v>
      </c>
      <c r="AX20" s="2075">
        <f>HCM!BN53</f>
        <v>0</v>
      </c>
      <c r="AY20" s="2075">
        <f>HCM!BO53</f>
        <v>3</v>
      </c>
      <c r="AZ20" s="2075">
        <f>HCM!BP53</f>
        <v>3</v>
      </c>
      <c r="BA20" s="2075">
        <f>HCM!BQ53</f>
        <v>2</v>
      </c>
      <c r="BB20" s="2075">
        <f>HCM!BR53</f>
        <v>4</v>
      </c>
      <c r="BC20" s="2075">
        <f>HCM!BS53</f>
        <v>2</v>
      </c>
      <c r="BD20" s="2075">
        <f>HCM!BT53</f>
        <v>1</v>
      </c>
      <c r="BE20" s="2075">
        <f>HCM!BU53</f>
        <v>2</v>
      </c>
      <c r="BF20" s="2075">
        <f>HCM!BV53</f>
        <v>0</v>
      </c>
      <c r="BG20" s="2075">
        <f>HCM!BW53</f>
        <v>0</v>
      </c>
      <c r="BH20" s="2075">
        <f>HCM!BX53</f>
        <v>0</v>
      </c>
      <c r="BI20" s="2075">
        <f>HCM!BY53</f>
        <v>0</v>
      </c>
      <c r="BJ20" s="2075">
        <f>HCM!BZ53</f>
        <v>0</v>
      </c>
      <c r="BK20" s="988"/>
      <c r="BL20" s="989"/>
    </row>
    <row r="21" spans="2:64" s="983" customFormat="1" ht="13.5" customHeight="1">
      <c r="B21" s="984"/>
      <c r="C21" s="985" t="s">
        <v>739</v>
      </c>
      <c r="D21" s="1982">
        <f>HCM!C54</f>
        <v>11</v>
      </c>
      <c r="E21" s="1982"/>
      <c r="F21" s="1982"/>
      <c r="G21" s="1982"/>
      <c r="H21" s="1982"/>
      <c r="I21" s="1982"/>
      <c r="J21" s="1982"/>
      <c r="K21" s="1983"/>
      <c r="L21" s="1983"/>
      <c r="M21" s="1983"/>
      <c r="N21" s="1982"/>
      <c r="O21" s="1983"/>
      <c r="P21" s="1983"/>
      <c r="Q21" s="1983"/>
      <c r="R21" s="1983"/>
      <c r="S21" s="1983"/>
      <c r="T21" s="1983"/>
      <c r="U21" s="1983"/>
      <c r="V21" s="1983"/>
      <c r="W21" s="1983">
        <f>HCM!AJ54</f>
        <v>2</v>
      </c>
      <c r="X21" s="1983">
        <f>HCM!AK54</f>
        <v>0</v>
      </c>
      <c r="Y21" s="1983">
        <f>HCM!AL54</f>
        <v>0</v>
      </c>
      <c r="Z21" s="1983">
        <f>HCM!AM54</f>
        <v>0</v>
      </c>
      <c r="AA21" s="1983">
        <f>HCM!AN54</f>
        <v>0</v>
      </c>
      <c r="AB21" s="1983">
        <f>HCM!AO54</f>
        <v>0</v>
      </c>
      <c r="AC21" s="1983">
        <f>HCM!AP54</f>
        <v>1</v>
      </c>
      <c r="AD21" s="1983">
        <v>2</v>
      </c>
      <c r="AE21" s="1983">
        <v>1</v>
      </c>
      <c r="AF21" s="1983">
        <v>0</v>
      </c>
      <c r="AG21" s="1983">
        <v>0</v>
      </c>
      <c r="AH21" s="1983">
        <v>0</v>
      </c>
      <c r="AI21" s="1983">
        <v>1</v>
      </c>
      <c r="AJ21" s="1983">
        <v>1</v>
      </c>
      <c r="AK21" s="1983">
        <v>0</v>
      </c>
      <c r="AL21" s="1983">
        <v>0</v>
      </c>
      <c r="AM21" s="1983">
        <v>0</v>
      </c>
      <c r="AN21" s="1983">
        <v>0</v>
      </c>
      <c r="AO21" s="1983">
        <f>HCM!BE54</f>
        <v>1</v>
      </c>
      <c r="AP21" s="1983">
        <f>HCM!BF54</f>
        <v>0</v>
      </c>
      <c r="AQ21" s="1983">
        <f>HCM!BG54</f>
        <v>1</v>
      </c>
      <c r="AR21" s="1983">
        <f>HCM!BH54</f>
        <v>1</v>
      </c>
      <c r="AS21" s="1983">
        <f>HCM!BI54</f>
        <v>0</v>
      </c>
      <c r="AT21" s="1983">
        <f>HCM!BJ54</f>
        <v>0</v>
      </c>
      <c r="AU21" s="1983">
        <f>HCM!BK54</f>
        <v>2</v>
      </c>
      <c r="AV21" s="1983">
        <f>HCM!BL54</f>
        <v>1</v>
      </c>
      <c r="AW21" s="1983">
        <f>HCM!BM54</f>
        <v>1</v>
      </c>
      <c r="AX21" s="2075">
        <f>HCM!BN54</f>
        <v>0</v>
      </c>
      <c r="AY21" s="2075">
        <f>HCM!BO54</f>
        <v>3</v>
      </c>
      <c r="AZ21" s="2075">
        <f>HCM!BP54</f>
        <v>4</v>
      </c>
      <c r="BA21" s="2075">
        <f>HCM!BQ54</f>
        <v>0</v>
      </c>
      <c r="BB21" s="2075">
        <f>HCM!BR54</f>
        <v>1</v>
      </c>
      <c r="BC21" s="2075">
        <f>HCM!BS54</f>
        <v>1</v>
      </c>
      <c r="BD21" s="2075">
        <f>HCM!BT54</f>
        <v>1</v>
      </c>
      <c r="BE21" s="2075">
        <f>HCM!BU54</f>
        <v>1</v>
      </c>
      <c r="BF21" s="2075">
        <f>HCM!BV54</f>
        <v>0</v>
      </c>
      <c r="BG21" s="2075">
        <f>HCM!BW54</f>
        <v>0</v>
      </c>
      <c r="BH21" s="2075">
        <f>HCM!BX54</f>
        <v>0</v>
      </c>
      <c r="BI21" s="2075">
        <f>HCM!BY54</f>
        <v>0</v>
      </c>
      <c r="BJ21" s="2075">
        <f>HCM!BZ54</f>
        <v>0</v>
      </c>
      <c r="BK21" s="988"/>
      <c r="BL21" s="989"/>
    </row>
    <row r="22" spans="2:64" s="990" customFormat="1" ht="13.5" customHeight="1">
      <c r="B22" s="991"/>
      <c r="C22" s="992" t="s">
        <v>146</v>
      </c>
      <c r="D22" s="1982">
        <f>SUM(D18:D21)</f>
        <v>206</v>
      </c>
      <c r="E22" s="1984"/>
      <c r="F22" s="1984">
        <f t="shared" ref="F22:M22" si="4">SUM(F18:F20)</f>
        <v>3</v>
      </c>
      <c r="G22" s="1984">
        <f t="shared" si="4"/>
        <v>0</v>
      </c>
      <c r="H22" s="1984">
        <f t="shared" si="4"/>
        <v>0</v>
      </c>
      <c r="I22" s="1984">
        <f t="shared" si="4"/>
        <v>15</v>
      </c>
      <c r="J22" s="1984">
        <f t="shared" si="4"/>
        <v>6</v>
      </c>
      <c r="K22" s="1985">
        <f t="shared" si="4"/>
        <v>3</v>
      </c>
      <c r="L22" s="1985">
        <f t="shared" si="4"/>
        <v>7</v>
      </c>
      <c r="M22" s="1985">
        <f t="shared" si="4"/>
        <v>7</v>
      </c>
      <c r="N22" s="1984">
        <f>SUM(N18:N20)</f>
        <v>9</v>
      </c>
      <c r="O22" s="1985">
        <f>SUM(O18:O20)</f>
        <v>5</v>
      </c>
      <c r="P22" s="1985">
        <f>SUM(P18:P20)</f>
        <v>8</v>
      </c>
      <c r="Q22" s="1985">
        <f t="shared" ref="Q22:AA22" si="5">SUM(Q18:Q21)</f>
        <v>11</v>
      </c>
      <c r="R22" s="1985">
        <f t="shared" si="5"/>
        <v>0</v>
      </c>
      <c r="S22" s="1985">
        <f t="shared" si="5"/>
        <v>2</v>
      </c>
      <c r="T22" s="1985">
        <f t="shared" si="5"/>
        <v>11</v>
      </c>
      <c r="U22" s="1985">
        <f t="shared" si="5"/>
        <v>23</v>
      </c>
      <c r="V22" s="1985">
        <f t="shared" si="5"/>
        <v>26</v>
      </c>
      <c r="W22" s="1985">
        <f t="shared" si="5"/>
        <v>25</v>
      </c>
      <c r="X22" s="1985">
        <f t="shared" si="5"/>
        <v>20</v>
      </c>
      <c r="Y22" s="1985">
        <f t="shared" si="5"/>
        <v>14</v>
      </c>
      <c r="Z22" s="1985">
        <f t="shared" si="5"/>
        <v>18</v>
      </c>
      <c r="AA22" s="1985">
        <f t="shared" si="5"/>
        <v>10</v>
      </c>
      <c r="AB22" s="1985">
        <f>SUM(AB17:AB21)</f>
        <v>23</v>
      </c>
      <c r="AC22" s="1985">
        <f>SUM(AC18:AC21)</f>
        <v>35</v>
      </c>
      <c r="AD22" s="1985">
        <v>60</v>
      </c>
      <c r="AE22" s="1985">
        <v>33</v>
      </c>
      <c r="AF22" s="1985">
        <v>36</v>
      </c>
      <c r="AG22" s="1985">
        <v>25</v>
      </c>
      <c r="AH22" s="1985">
        <v>24</v>
      </c>
      <c r="AI22" s="1985">
        <v>35</v>
      </c>
      <c r="AJ22" s="1985">
        <v>25</v>
      </c>
      <c r="AK22" s="1985">
        <v>18</v>
      </c>
      <c r="AL22" s="1985">
        <v>21</v>
      </c>
      <c r="AM22" s="1985">
        <v>6</v>
      </c>
      <c r="AN22" s="1985">
        <v>2</v>
      </c>
      <c r="AO22" s="1985">
        <f>SUM($AO$18:$AO$21)</f>
        <v>34</v>
      </c>
      <c r="AP22" s="1985">
        <f t="shared" ref="AP22:AZ22" si="6">SUM(AP18:AP21)</f>
        <v>17</v>
      </c>
      <c r="AQ22" s="1985">
        <f t="shared" si="6"/>
        <v>40</v>
      </c>
      <c r="AR22" s="1985">
        <f t="shared" si="6"/>
        <v>44</v>
      </c>
      <c r="AS22" s="1985">
        <f t="shared" si="6"/>
        <v>22</v>
      </c>
      <c r="AT22" s="1985">
        <f t="shared" si="6"/>
        <v>28</v>
      </c>
      <c r="AU22" s="1985">
        <f t="shared" si="6"/>
        <v>41</v>
      </c>
      <c r="AV22" s="1985">
        <f t="shared" si="6"/>
        <v>54</v>
      </c>
      <c r="AW22" s="1985">
        <f t="shared" si="6"/>
        <v>70</v>
      </c>
      <c r="AX22" s="1984">
        <f t="shared" si="6"/>
        <v>39</v>
      </c>
      <c r="AY22" s="1984">
        <f t="shared" si="6"/>
        <v>39</v>
      </c>
      <c r="AZ22" s="1984">
        <f t="shared" si="6"/>
        <v>58</v>
      </c>
      <c r="BA22" s="1984">
        <f t="shared" ref="BA22:BB22" si="7">SUM(BA18:BA21)</f>
        <v>20</v>
      </c>
      <c r="BB22" s="1984">
        <f t="shared" si="7"/>
        <v>22</v>
      </c>
      <c r="BC22" s="1984">
        <f t="shared" ref="BC22:BD22" si="8">SUM(BC18:BC21)</f>
        <v>18</v>
      </c>
      <c r="BD22" s="1984">
        <f t="shared" si="8"/>
        <v>20</v>
      </c>
      <c r="BE22" s="1984">
        <f t="shared" ref="BE22:BJ22" si="9">SUM(BE18:BE21)</f>
        <v>29</v>
      </c>
      <c r="BF22" s="1984">
        <f t="shared" si="9"/>
        <v>0</v>
      </c>
      <c r="BG22" s="1984">
        <f t="shared" si="9"/>
        <v>0</v>
      </c>
      <c r="BH22" s="1984">
        <f t="shared" si="9"/>
        <v>0</v>
      </c>
      <c r="BI22" s="1984">
        <f t="shared" si="9"/>
        <v>0</v>
      </c>
      <c r="BJ22" s="1984">
        <f t="shared" si="9"/>
        <v>0</v>
      </c>
      <c r="BK22" s="993">
        <f>Plan!$BO$37</f>
        <v>25</v>
      </c>
      <c r="BL22" s="994"/>
    </row>
    <row r="23" spans="2:64" s="797" customFormat="1" ht="13.5" customHeight="1">
      <c r="B23" s="795"/>
      <c r="C23" s="997" t="s">
        <v>288</v>
      </c>
      <c r="D23" s="793">
        <f>IFERROR(D22/Plan!C37,"")</f>
        <v>1.5259259259259259</v>
      </c>
      <c r="E23" s="793"/>
      <c r="F23" s="793">
        <f>IF(Plan!E37&lt;&gt;0,F22/Plan!E37,"")</f>
        <v>0.6</v>
      </c>
      <c r="G23" s="793" t="str">
        <f>IF(Plan!F37&lt;&gt;0,G22/Plan!F37,"")</f>
        <v/>
      </c>
      <c r="H23" s="794">
        <f>IF(Plan!G37&lt;&gt;0,H22/Plan!G37,"")</f>
        <v>0</v>
      </c>
      <c r="I23" s="794">
        <f>IF(Plan!H37&lt;&gt;0,I22/Plan!H37,"")</f>
        <v>1</v>
      </c>
      <c r="J23" s="794">
        <f>IF(Plan!I37&lt;&gt;0,J22/Plan!I37,"")</f>
        <v>0.4</v>
      </c>
      <c r="K23" s="794">
        <f>IF(Plan!J37&lt;&gt;0,K22/Plan!J37,"")</f>
        <v>0.3</v>
      </c>
      <c r="L23" s="794">
        <f>IF(Plan!K37&lt;&gt;0,L22/Plan!K37,"")</f>
        <v>0.7</v>
      </c>
      <c r="M23" s="815">
        <f>IF(Plan!L37&lt;&gt;0,M22/Plan!L37,"")</f>
        <v>0.7</v>
      </c>
      <c r="N23" s="815">
        <f>IF(Plan!M37&lt;&gt;0,N22/Plan!M37,"")</f>
        <v>0.9</v>
      </c>
      <c r="O23" s="815">
        <f>IF(Plan!N37&lt;&gt;0,O22/Plan!N37,"")</f>
        <v>1</v>
      </c>
      <c r="P23" s="815" t="str">
        <f>IF(Plan!O37&lt;&gt;0,P22/Plan!O37,"")</f>
        <v/>
      </c>
      <c r="Q23" s="815" t="str">
        <f>IF(Plan!P37&lt;&gt;0,Q22/Plan!P37,"")</f>
        <v/>
      </c>
      <c r="R23" s="815">
        <f>IF(Plan!Q37&lt;&gt;0,R22/Plan!Q37,"")</f>
        <v>0</v>
      </c>
      <c r="S23" s="815" t="str">
        <f>IF(Plan!R37&lt;&gt;0,S22/Plan!R37,"")</f>
        <v/>
      </c>
      <c r="T23" s="815" t="str">
        <f>IF(Plan!S37&lt;&gt;0,T22/Plan!S37,"")</f>
        <v/>
      </c>
      <c r="U23" s="815">
        <f>IF(Plan!T37&lt;&gt;0,U22/Plan!T37,"")</f>
        <v>2.2999999999999998</v>
      </c>
      <c r="V23" s="815">
        <f>IF(Plan!U37&lt;&gt;0,V22/Plan!U37,"")</f>
        <v>1.7333333333333334</v>
      </c>
      <c r="W23" s="815">
        <f>IF(Plan!V37&lt;&gt;0,W22/Plan!V37,"")</f>
        <v>1.6666666666666667</v>
      </c>
      <c r="X23" s="815">
        <f>IF(Plan!W37&lt;&gt;0,X22/Plan!W37,"")</f>
        <v>1.3333333333333333</v>
      </c>
      <c r="Y23" s="815">
        <f>IF(Plan!X37&lt;&gt;0,Y22/Plan!X37,"")</f>
        <v>1.4</v>
      </c>
      <c r="Z23" s="815" t="str">
        <f>IF(Plan!Y37&lt;&gt;0,Z22/Plan!Y37,"")</f>
        <v/>
      </c>
      <c r="AA23" s="815" t="str">
        <f>IF(Plan!Z37&lt;&gt;0,AA22/Plan!Z37,"")</f>
        <v/>
      </c>
      <c r="AB23" s="815" t="str">
        <f>IF(Plan!AA37&lt;&gt;0,AB22/Plan!AA37,"")</f>
        <v/>
      </c>
      <c r="AC23" s="815" t="str">
        <f>IF(Plan!AB37&lt;&gt;0,AC22/Plan!AB37,"")</f>
        <v/>
      </c>
      <c r="AD23" s="815"/>
      <c r="AE23" s="815"/>
      <c r="AF23" s="815"/>
      <c r="AG23" s="815"/>
      <c r="AH23" s="815"/>
      <c r="AI23" s="815"/>
      <c r="AJ23" s="815"/>
      <c r="AK23" s="815"/>
      <c r="AL23" s="815"/>
      <c r="AM23" s="815"/>
      <c r="AN23" s="815"/>
      <c r="AO23" s="815"/>
      <c r="AP23" s="794"/>
      <c r="AQ23" s="794"/>
      <c r="AR23" s="794"/>
      <c r="AS23" s="794"/>
      <c r="AT23" s="794"/>
      <c r="AU23" s="794"/>
      <c r="AV23" s="794"/>
      <c r="AW23" s="794"/>
      <c r="AX23" s="794"/>
      <c r="AY23" s="794"/>
      <c r="AZ23" s="794"/>
      <c r="BA23" s="794"/>
      <c r="BB23" s="794"/>
      <c r="BC23" s="794"/>
      <c r="BD23" s="794"/>
      <c r="BE23" s="794"/>
      <c r="BF23" s="794"/>
      <c r="BG23" s="794"/>
      <c r="BH23" s="794"/>
      <c r="BI23" s="794"/>
      <c r="BJ23" s="794"/>
      <c r="BK23" s="866"/>
      <c r="BL23" s="796"/>
    </row>
    <row r="24" spans="2:64" s="983" customFormat="1" ht="13.5" customHeight="1">
      <c r="B24" s="984"/>
      <c r="C24" s="1008"/>
      <c r="D24" s="986"/>
      <c r="E24" s="986"/>
      <c r="F24" s="986"/>
      <c r="G24" s="986"/>
      <c r="H24" s="986"/>
      <c r="I24" s="986"/>
      <c r="J24" s="986"/>
      <c r="K24" s="982"/>
      <c r="L24" s="982"/>
      <c r="M24" s="982"/>
      <c r="N24" s="982"/>
      <c r="O24" s="982"/>
      <c r="P24" s="982"/>
      <c r="Q24" s="982"/>
      <c r="R24" s="982"/>
      <c r="S24" s="982"/>
      <c r="T24" s="982"/>
      <c r="U24" s="982"/>
      <c r="V24" s="982"/>
      <c r="W24" s="982"/>
      <c r="X24" s="982"/>
      <c r="Y24" s="982"/>
      <c r="Z24" s="982"/>
      <c r="AA24" s="982"/>
      <c r="AB24" s="982"/>
      <c r="AC24" s="987"/>
      <c r="AD24" s="987"/>
      <c r="AE24" s="987"/>
      <c r="AF24" s="987"/>
      <c r="AG24" s="987"/>
      <c r="AH24" s="987"/>
      <c r="AI24" s="987"/>
      <c r="AJ24" s="987"/>
      <c r="AK24" s="987"/>
      <c r="AL24" s="987"/>
      <c r="AM24" s="987"/>
      <c r="AN24" s="987"/>
      <c r="AO24" s="987"/>
      <c r="AP24" s="982"/>
      <c r="AQ24" s="982"/>
      <c r="AR24" s="982"/>
      <c r="AS24" s="982"/>
      <c r="AT24" s="982"/>
      <c r="AU24" s="982"/>
      <c r="AV24" s="982"/>
      <c r="AW24" s="982"/>
      <c r="AX24" s="982"/>
      <c r="AY24" s="982"/>
      <c r="AZ24" s="982"/>
      <c r="BA24" s="982"/>
      <c r="BB24" s="982"/>
      <c r="BC24" s="982"/>
      <c r="BD24" s="982"/>
      <c r="BE24" s="982"/>
      <c r="BF24" s="982"/>
      <c r="BG24" s="982"/>
      <c r="BH24" s="982"/>
      <c r="BI24" s="982"/>
      <c r="BJ24" s="982"/>
      <c r="BK24" s="1732">
        <f>BK5</f>
        <v>42947</v>
      </c>
      <c r="BL24" s="989"/>
    </row>
    <row r="25" spans="2:64" s="983" customFormat="1" ht="24.75" customHeight="1">
      <c r="B25" s="984"/>
      <c r="C25" s="1009" t="s">
        <v>148</v>
      </c>
      <c r="D25" s="1010" t="str">
        <f>D6</f>
        <v>YTD'17</v>
      </c>
      <c r="E25" s="1004"/>
      <c r="F25" s="1005" t="s">
        <v>98</v>
      </c>
      <c r="G25" s="1005" t="s">
        <v>34</v>
      </c>
      <c r="H25" s="1006" t="s">
        <v>35</v>
      </c>
      <c r="I25" s="1006" t="s">
        <v>36</v>
      </c>
      <c r="J25" s="1006" t="s">
        <v>37</v>
      </c>
      <c r="K25" s="1007" t="s">
        <v>266</v>
      </c>
      <c r="L25" s="1007" t="s">
        <v>291</v>
      </c>
      <c r="M25" s="1007" t="s">
        <v>40</v>
      </c>
      <c r="N25" s="1007" t="s">
        <v>41</v>
      </c>
      <c r="O25" s="1007" t="s">
        <v>42</v>
      </c>
      <c r="P25" s="1007" t="str">
        <f t="shared" ref="P25:U25" si="10">P6</f>
        <v>Nov</v>
      </c>
      <c r="Q25" s="1007" t="str">
        <f t="shared" si="10"/>
        <v>Dec</v>
      </c>
      <c r="R25" s="1007" t="str">
        <f t="shared" si="10"/>
        <v>Jan'14</v>
      </c>
      <c r="S25" s="1007" t="str">
        <f t="shared" si="10"/>
        <v>Feb'14</v>
      </c>
      <c r="T25" s="1007" t="str">
        <f t="shared" si="10"/>
        <v>Mar'14</v>
      </c>
      <c r="U25" s="1007" t="str">
        <f t="shared" si="10"/>
        <v>Apr'14</v>
      </c>
      <c r="V25" s="1007" t="str">
        <f>V6</f>
        <v>May'14</v>
      </c>
      <c r="W25" s="1007" t="str">
        <f>W6</f>
        <v>Jun'14</v>
      </c>
      <c r="X25" s="1007" t="s">
        <v>795</v>
      </c>
      <c r="Y25" s="1007" t="str">
        <f>Y16</f>
        <v>Aug'14</v>
      </c>
      <c r="Z25" s="1007" t="s">
        <v>860</v>
      </c>
      <c r="AA25" s="1007" t="s">
        <v>899</v>
      </c>
      <c r="AB25" s="1007" t="s">
        <v>948</v>
      </c>
      <c r="AC25" s="1073" t="s">
        <v>1013</v>
      </c>
      <c r="AD25" s="1073" t="str">
        <f>AD16</f>
        <v>Apr-15</v>
      </c>
      <c r="AE25" s="1073" t="str">
        <f t="shared" ref="AE25:AX25" si="11">AE16</f>
        <v>May-15</v>
      </c>
      <c r="AF25" s="1771">
        <f t="shared" si="11"/>
        <v>42185</v>
      </c>
      <c r="AG25" s="1771">
        <f t="shared" si="11"/>
        <v>42216</v>
      </c>
      <c r="AH25" s="1771">
        <f t="shared" si="11"/>
        <v>42247</v>
      </c>
      <c r="AI25" s="1771">
        <f t="shared" si="11"/>
        <v>42277</v>
      </c>
      <c r="AJ25" s="1771">
        <f t="shared" si="11"/>
        <v>42308</v>
      </c>
      <c r="AK25" s="1771">
        <f t="shared" si="11"/>
        <v>42338</v>
      </c>
      <c r="AL25" s="1771">
        <f t="shared" si="11"/>
        <v>42369</v>
      </c>
      <c r="AM25" s="1771">
        <f t="shared" si="11"/>
        <v>42400</v>
      </c>
      <c r="AN25" s="1771">
        <f t="shared" si="11"/>
        <v>42429</v>
      </c>
      <c r="AO25" s="1771">
        <f t="shared" si="11"/>
        <v>42460</v>
      </c>
      <c r="AP25" s="1771">
        <f t="shared" si="11"/>
        <v>42490</v>
      </c>
      <c r="AQ25" s="1771">
        <f t="shared" si="11"/>
        <v>42521</v>
      </c>
      <c r="AR25" s="1771">
        <f t="shared" si="11"/>
        <v>42551</v>
      </c>
      <c r="AS25" s="1771">
        <f t="shared" si="11"/>
        <v>42582</v>
      </c>
      <c r="AT25" s="1771">
        <f t="shared" si="11"/>
        <v>42613</v>
      </c>
      <c r="AU25" s="1771">
        <f t="shared" si="11"/>
        <v>42643</v>
      </c>
      <c r="AV25" s="1771">
        <f t="shared" si="11"/>
        <v>42674</v>
      </c>
      <c r="AW25" s="1771">
        <f>AW16</f>
        <v>42704</v>
      </c>
      <c r="AX25" s="1771">
        <f t="shared" si="11"/>
        <v>42735</v>
      </c>
      <c r="AY25" s="1771">
        <v>42766</v>
      </c>
      <c r="AZ25" s="1771">
        <v>42794</v>
      </c>
      <c r="BA25" s="1771">
        <v>42825</v>
      </c>
      <c r="BB25" s="1771">
        <v>42855</v>
      </c>
      <c r="BC25" s="1771">
        <v>42886</v>
      </c>
      <c r="BD25" s="1771">
        <v>42916</v>
      </c>
      <c r="BE25" s="1771">
        <v>42947</v>
      </c>
      <c r="BF25" s="1771">
        <v>42978</v>
      </c>
      <c r="BG25" s="1771">
        <v>43008</v>
      </c>
      <c r="BH25" s="1771">
        <v>43039</v>
      </c>
      <c r="BI25" s="1771">
        <v>43069</v>
      </c>
      <c r="BJ25" s="1771">
        <v>43100</v>
      </c>
      <c r="BK25" s="1689" t="str">
        <f>BK16</f>
        <v>Target</v>
      </c>
      <c r="BL25" s="989"/>
    </row>
    <row r="26" spans="2:64" s="983" customFormat="1" ht="13.5" customHeight="1">
      <c r="B26" s="984"/>
      <c r="C26" s="1011" t="s">
        <v>252</v>
      </c>
      <c r="D26" s="2053">
        <f>HCM!C63</f>
        <v>621</v>
      </c>
      <c r="E26" s="2053"/>
      <c r="F26" s="2053">
        <f>HCM!S58</f>
        <v>19</v>
      </c>
      <c r="G26" s="2053">
        <f>HCM!T58</f>
        <v>17</v>
      </c>
      <c r="H26" s="2053">
        <f>HCM!U58</f>
        <v>17</v>
      </c>
      <c r="I26" s="2053">
        <f>HCM!V58</f>
        <v>39</v>
      </c>
      <c r="J26" s="2053">
        <f>HCM!W58</f>
        <v>45</v>
      </c>
      <c r="K26" s="2056">
        <f>HCM!X58</f>
        <v>44</v>
      </c>
      <c r="L26" s="2056">
        <f>HCM!Y58</f>
        <v>42</v>
      </c>
      <c r="M26" s="2056">
        <f>HCM!Z58</f>
        <v>47</v>
      </c>
      <c r="N26" s="2056">
        <f>HCM!AA58</f>
        <v>52</v>
      </c>
      <c r="O26" s="2056">
        <f>HCM!AB58</f>
        <v>54</v>
      </c>
      <c r="P26" s="2056">
        <f>HCM!AC58</f>
        <v>59</v>
      </c>
      <c r="Q26" s="2056">
        <f>HCM!AD58</f>
        <v>73</v>
      </c>
      <c r="R26" s="2056">
        <f>HCM!AE58</f>
        <v>72</v>
      </c>
      <c r="S26" s="2056">
        <f>HCM!AF58</f>
        <v>67</v>
      </c>
      <c r="T26" s="2056">
        <f>HCM!AG58</f>
        <v>71</v>
      </c>
      <c r="U26" s="2056">
        <f>HCM!AH58</f>
        <v>92</v>
      </c>
      <c r="V26" s="2056">
        <f>HCM!AI58</f>
        <v>112</v>
      </c>
      <c r="W26" s="2056">
        <f>HCM!AJ58</f>
        <v>140</v>
      </c>
      <c r="X26" s="2056">
        <f>HCM!AK58</f>
        <v>153</v>
      </c>
      <c r="Y26" s="2056">
        <f>HCM!AL58</f>
        <v>170</v>
      </c>
      <c r="Z26" s="2056">
        <f>HCM!AM58</f>
        <v>185</v>
      </c>
      <c r="AA26" s="2056">
        <f>HCM!AN58</f>
        <v>191</v>
      </c>
      <c r="AB26" s="2056">
        <f>HCM!AO58</f>
        <v>214</v>
      </c>
      <c r="AC26" s="2056">
        <f>HCM!AP58</f>
        <v>252</v>
      </c>
      <c r="AD26" s="2056">
        <v>431</v>
      </c>
      <c r="AE26" s="2056">
        <v>456</v>
      </c>
      <c r="AF26" s="2056">
        <v>457</v>
      </c>
      <c r="AG26" s="2056">
        <v>463</v>
      </c>
      <c r="AH26" s="2056">
        <v>465</v>
      </c>
      <c r="AI26" s="2056">
        <v>477</v>
      </c>
      <c r="AJ26" s="2056">
        <v>497</v>
      </c>
      <c r="AK26" s="2056">
        <v>502</v>
      </c>
      <c r="AL26" s="2056">
        <v>496</v>
      </c>
      <c r="AM26" s="2056">
        <v>499</v>
      </c>
      <c r="AN26" s="2056">
        <v>484</v>
      </c>
      <c r="AO26" s="2056">
        <f>HCM!BE58</f>
        <v>523</v>
      </c>
      <c r="AP26" s="2056">
        <f>HCM!BF58</f>
        <v>547</v>
      </c>
      <c r="AQ26" s="2056">
        <f>HCM!BG58</f>
        <v>570</v>
      </c>
      <c r="AR26" s="2056">
        <f>HCM!BH58</f>
        <v>565</v>
      </c>
      <c r="AS26" s="2056">
        <f>HCM!BI58</f>
        <v>533</v>
      </c>
      <c r="AT26" s="2056">
        <f>HCM!BJ58</f>
        <v>556</v>
      </c>
      <c r="AU26" s="2056">
        <f>HCM!BK58</f>
        <v>560</v>
      </c>
      <c r="AV26" s="2056">
        <f>HCM!BL58</f>
        <v>585</v>
      </c>
      <c r="AW26" s="2056">
        <f>HCM!BM58</f>
        <v>621</v>
      </c>
      <c r="AX26" s="2056">
        <f>HCM!BN58</f>
        <v>631</v>
      </c>
      <c r="AY26" s="2056">
        <f>HCM!BO58</f>
        <v>639</v>
      </c>
      <c r="AZ26" s="2056">
        <f>HCM!BP58</f>
        <v>697</v>
      </c>
      <c r="BA26" s="2056">
        <f>HCM!BQ58</f>
        <v>717</v>
      </c>
      <c r="BB26" s="2056">
        <f>HCM!BR58</f>
        <v>677</v>
      </c>
      <c r="BC26" s="2056">
        <f>HCM!BS58</f>
        <v>680</v>
      </c>
      <c r="BD26" s="2056">
        <f>HCM!BT58</f>
        <v>658</v>
      </c>
      <c r="BE26" s="2056">
        <f>HCM!BU58</f>
        <v>621</v>
      </c>
      <c r="BF26" s="2056">
        <f>HCM!BV58</f>
        <v>0</v>
      </c>
      <c r="BG26" s="2056">
        <f>HCM!BW58</f>
        <v>0</v>
      </c>
      <c r="BH26" s="2056">
        <f>HCM!BX58</f>
        <v>0</v>
      </c>
      <c r="BI26" s="2056">
        <f>HCM!BY58</f>
        <v>0</v>
      </c>
      <c r="BJ26" s="2056">
        <f>HCM!BZ58</f>
        <v>0</v>
      </c>
      <c r="BK26" s="988"/>
      <c r="BL26" s="1012"/>
    </row>
    <row r="27" spans="2:64" s="983" customFormat="1" ht="13.5" customHeight="1">
      <c r="B27" s="984"/>
      <c r="C27" s="1011" t="s">
        <v>141</v>
      </c>
      <c r="D27" s="2053">
        <f>HCM!C59</f>
        <v>157.28571428571428</v>
      </c>
      <c r="E27" s="2053"/>
      <c r="F27" s="2053">
        <f>HCM!S59</f>
        <v>5</v>
      </c>
      <c r="G27" s="2053">
        <f>HCM!T59</f>
        <v>1</v>
      </c>
      <c r="H27" s="2053">
        <f>HCM!U59</f>
        <v>9</v>
      </c>
      <c r="I27" s="2053">
        <f>HCM!V59</f>
        <v>17</v>
      </c>
      <c r="J27" s="2053">
        <f>HCM!W59</f>
        <v>20</v>
      </c>
      <c r="K27" s="2056">
        <f>HCM!X59</f>
        <v>12</v>
      </c>
      <c r="L27" s="2056">
        <f>HCM!Y59</f>
        <v>13</v>
      </c>
      <c r="M27" s="2056">
        <f>HCM!Z59</f>
        <v>15</v>
      </c>
      <c r="N27" s="2056">
        <f>HCM!AA59</f>
        <v>22</v>
      </c>
      <c r="O27" s="2056">
        <f>HCM!AB59</f>
        <v>25</v>
      </c>
      <c r="P27" s="2056">
        <f>HCM!AC59</f>
        <v>16</v>
      </c>
      <c r="Q27" s="2056">
        <f>HCM!AD59</f>
        <v>26</v>
      </c>
      <c r="R27" s="2056">
        <f>HCM!AE59</f>
        <v>10</v>
      </c>
      <c r="S27" s="2056">
        <f>HCM!AF59</f>
        <v>15</v>
      </c>
      <c r="T27" s="2056">
        <f>HCM!AG59</f>
        <v>22</v>
      </c>
      <c r="U27" s="2056">
        <f>HCM!AH59</f>
        <v>48</v>
      </c>
      <c r="V27" s="2056">
        <f>HCM!AI59</f>
        <v>58</v>
      </c>
      <c r="W27" s="2056">
        <f>HCM!AJ59</f>
        <v>62</v>
      </c>
      <c r="X27" s="2056">
        <f>HCM!AK59</f>
        <v>84</v>
      </c>
      <c r="Y27" s="2056">
        <f>HCM!AL59</f>
        <v>77</v>
      </c>
      <c r="Z27" s="2056">
        <f>HCM!AM59</f>
        <v>69</v>
      </c>
      <c r="AA27" s="2056">
        <f>HCM!AN59</f>
        <v>56</v>
      </c>
      <c r="AB27" s="2056">
        <f>HCM!AO59</f>
        <v>85</v>
      </c>
      <c r="AC27" s="2056">
        <f>HCM!AP59</f>
        <v>108</v>
      </c>
      <c r="AD27" s="2056">
        <v>158</v>
      </c>
      <c r="AE27" s="2056">
        <v>126</v>
      </c>
      <c r="AF27" s="2056">
        <v>149</v>
      </c>
      <c r="AG27" s="2056">
        <v>140</v>
      </c>
      <c r="AH27" s="2056">
        <v>151</v>
      </c>
      <c r="AI27" s="2056">
        <v>123</v>
      </c>
      <c r="AJ27" s="2056">
        <v>108</v>
      </c>
      <c r="AK27" s="2056">
        <v>166</v>
      </c>
      <c r="AL27" s="2056">
        <v>147</v>
      </c>
      <c r="AM27" s="2056">
        <v>54</v>
      </c>
      <c r="AN27" s="2056">
        <v>48</v>
      </c>
      <c r="AO27" s="2056">
        <f>HCM!BE59</f>
        <v>154</v>
      </c>
      <c r="AP27" s="2056">
        <f>HCM!BF59</f>
        <v>117</v>
      </c>
      <c r="AQ27" s="2056">
        <f>HCM!BG59</f>
        <v>109</v>
      </c>
      <c r="AR27" s="2056">
        <f>HCM!BH59</f>
        <v>155</v>
      </c>
      <c r="AS27" s="2056">
        <f>HCM!BI59</f>
        <v>113</v>
      </c>
      <c r="AT27" s="2056">
        <f>HCM!BJ59</f>
        <v>110</v>
      </c>
      <c r="AU27" s="2056">
        <f>HCM!BK59</f>
        <v>162</v>
      </c>
      <c r="AV27" s="2056">
        <f>HCM!BL59</f>
        <v>149</v>
      </c>
      <c r="AW27" s="2056">
        <f>HCM!BM59</f>
        <v>182</v>
      </c>
      <c r="AX27" s="2056">
        <f>HCM!BN59</f>
        <v>183</v>
      </c>
      <c r="AY27" s="2056">
        <f>HCM!BO59</f>
        <v>108</v>
      </c>
      <c r="AZ27" s="2056">
        <f>HCM!BP59</f>
        <v>170</v>
      </c>
      <c r="BA27" s="2056">
        <f>HCM!BQ59</f>
        <v>180</v>
      </c>
      <c r="BB27" s="2056">
        <f>HCM!BR59</f>
        <v>155</v>
      </c>
      <c r="BC27" s="2056">
        <f>HCM!BS59</f>
        <v>154</v>
      </c>
      <c r="BD27" s="2056">
        <f>HCM!BT59</f>
        <v>185</v>
      </c>
      <c r="BE27" s="2056">
        <f>HCM!BU59</f>
        <v>149</v>
      </c>
      <c r="BF27" s="2056">
        <f>HCM!BV59</f>
        <v>0</v>
      </c>
      <c r="BG27" s="2056">
        <f>HCM!BW59</f>
        <v>0</v>
      </c>
      <c r="BH27" s="2056">
        <f>HCM!BX59</f>
        <v>0</v>
      </c>
      <c r="BI27" s="2056">
        <f>HCM!BY59</f>
        <v>0</v>
      </c>
      <c r="BJ27" s="2056">
        <f>HCM!BZ59</f>
        <v>0</v>
      </c>
      <c r="BK27" s="988"/>
      <c r="BL27" s="989"/>
    </row>
    <row r="28" spans="2:64" s="983" customFormat="1" ht="13.5" customHeight="1">
      <c r="B28" s="984"/>
      <c r="C28" s="1011" t="s">
        <v>230</v>
      </c>
      <c r="D28" s="256">
        <f>HCM!C60</f>
        <v>0.23435357076710223</v>
      </c>
      <c r="E28" s="256"/>
      <c r="F28" s="2063">
        <f>HCM!S60</f>
        <v>0.26315789473684209</v>
      </c>
      <c r="G28" s="2063">
        <f>HCM!T60</f>
        <v>5.8823529411764705E-2</v>
      </c>
      <c r="H28" s="2063">
        <f>HCM!U60</f>
        <v>0.52941176470588236</v>
      </c>
      <c r="I28" s="2063">
        <f>HCM!V60</f>
        <v>0.4358974358974359</v>
      </c>
      <c r="J28" s="2063">
        <f>HCM!W60</f>
        <v>0.44444444444444442</v>
      </c>
      <c r="K28" s="2064">
        <f>HCM!X60</f>
        <v>0.27272727272727271</v>
      </c>
      <c r="L28" s="2064">
        <f>HCM!Y60</f>
        <v>0.30952380952380953</v>
      </c>
      <c r="M28" s="2064">
        <f>HCM!Z60</f>
        <v>0.31914893617021278</v>
      </c>
      <c r="N28" s="2064">
        <f>HCM!AA60</f>
        <v>0.42307692307692307</v>
      </c>
      <c r="O28" s="2064">
        <f>HCM!AB60</f>
        <v>0.46296296296296297</v>
      </c>
      <c r="P28" s="2064">
        <f>HCM!AC60</f>
        <v>0.2711864406779661</v>
      </c>
      <c r="Q28" s="2064">
        <f>HCM!AD60</f>
        <v>0.35616438356164382</v>
      </c>
      <c r="R28" s="2064">
        <f>HCM!AE60</f>
        <v>0.1388888888888889</v>
      </c>
      <c r="S28" s="2064">
        <f>HCM!AF60</f>
        <v>0.22388059701492538</v>
      </c>
      <c r="T28" s="2064">
        <f>HCM!AG60</f>
        <v>0.30985915492957744</v>
      </c>
      <c r="U28" s="2064">
        <f>HCM!AH60</f>
        <v>0.52173913043478259</v>
      </c>
      <c r="V28" s="2064">
        <f>HCM!AI60</f>
        <v>0.5178571428571429</v>
      </c>
      <c r="W28" s="2064">
        <f>HCM!AJ60</f>
        <v>0.44285714285714284</v>
      </c>
      <c r="X28" s="2064">
        <f>HCM!AK60</f>
        <v>0.5490196078431373</v>
      </c>
      <c r="Y28" s="2064">
        <f>HCM!AL60</f>
        <v>0.45294117647058824</v>
      </c>
      <c r="Z28" s="2064">
        <f>HCM!AM60</f>
        <v>0.37297297297297299</v>
      </c>
      <c r="AA28" s="2064">
        <f>HCM!AN60</f>
        <v>0.29319371727748689</v>
      </c>
      <c r="AB28" s="2064">
        <f>HCM!AO60</f>
        <v>0.39719626168224298</v>
      </c>
      <c r="AC28" s="2064">
        <f>HCM!AP60</f>
        <v>0.42857142857142855</v>
      </c>
      <c r="AD28" s="2064">
        <v>0.36658932714617171</v>
      </c>
      <c r="AE28" s="2064">
        <v>0.27631578947368424</v>
      </c>
      <c r="AF28" s="2064">
        <v>0.32603938730853393</v>
      </c>
      <c r="AG28" s="2064">
        <v>0.30237580993520519</v>
      </c>
      <c r="AH28" s="2064">
        <v>0.3247311827956989</v>
      </c>
      <c r="AI28" s="2064">
        <v>0.25786163522012578</v>
      </c>
      <c r="AJ28" s="2064">
        <v>0.21730382293762576</v>
      </c>
      <c r="AK28" s="2064">
        <v>0.33067729083665337</v>
      </c>
      <c r="AL28" s="2064">
        <v>0.2963709677419355</v>
      </c>
      <c r="AM28" s="2064">
        <v>0.10821643286573146</v>
      </c>
      <c r="AN28" s="2064">
        <v>9.9173553719008267E-2</v>
      </c>
      <c r="AO28" s="2064">
        <f>HCM!BE60</f>
        <v>0.29445506692160611</v>
      </c>
      <c r="AP28" s="2064">
        <f>HCM!BF60</f>
        <v>0.21389396709323583</v>
      </c>
      <c r="AQ28" s="2064">
        <f>HCM!BG60</f>
        <v>0.19122807017543861</v>
      </c>
      <c r="AR28" s="2064">
        <f>HCM!BH60</f>
        <v>0.27433628318584069</v>
      </c>
      <c r="AS28" s="2064">
        <f>HCM!BI60</f>
        <v>0.21200750469043153</v>
      </c>
      <c r="AT28" s="2064">
        <f>HCM!BJ60</f>
        <v>0.19784172661870503</v>
      </c>
      <c r="AU28" s="2064">
        <f>HCM!BK60</f>
        <v>0.28928571428571431</v>
      </c>
      <c r="AV28" s="2064">
        <f>HCM!BL60</f>
        <v>0.25470085470085468</v>
      </c>
      <c r="AW28" s="2064">
        <f>HCM!BM60</f>
        <v>0.29307568438003223</v>
      </c>
      <c r="AX28" s="2064">
        <f>HCM!BN60</f>
        <v>0.2900158478605388</v>
      </c>
      <c r="AY28" s="2064">
        <f>HCM!BO60</f>
        <v>0.16901408450704225</v>
      </c>
      <c r="AZ28" s="2064">
        <f>HCM!BP60</f>
        <v>0.24390243902439024</v>
      </c>
      <c r="BA28" s="2064">
        <f>HCM!BQ60</f>
        <v>0.2510460251046025</v>
      </c>
      <c r="BB28" s="2064">
        <f>HCM!BR60</f>
        <v>0.22895125553914328</v>
      </c>
      <c r="BC28" s="2064">
        <f>HCM!BS60</f>
        <v>0.22647058823529412</v>
      </c>
      <c r="BD28" s="2064">
        <f>HCM!BT60</f>
        <v>0.28115501519756841</v>
      </c>
      <c r="BE28" s="2064">
        <f>HCM!BU60</f>
        <v>0.23993558776167473</v>
      </c>
      <c r="BF28" s="2064">
        <f>HCM!BV60</f>
        <v>0</v>
      </c>
      <c r="BG28" s="2064">
        <f>HCM!BW60</f>
        <v>0</v>
      </c>
      <c r="BH28" s="2064">
        <f>HCM!BX60</f>
        <v>0</v>
      </c>
      <c r="BI28" s="2064">
        <f>HCM!BY60</f>
        <v>0</v>
      </c>
      <c r="BJ28" s="2064">
        <f>HCM!BZ60</f>
        <v>0</v>
      </c>
      <c r="BK28" s="866"/>
      <c r="BL28" s="989"/>
    </row>
    <row r="29" spans="2:64" s="983" customFormat="1" ht="13.5" customHeight="1">
      <c r="B29" s="984"/>
      <c r="C29" s="200" t="s">
        <v>231</v>
      </c>
      <c r="D29" s="2065">
        <f>HCM!C61</f>
        <v>1.8896464874134746</v>
      </c>
      <c r="E29" s="2065"/>
      <c r="F29" s="2065">
        <f>HCM!S61</f>
        <v>1.6</v>
      </c>
      <c r="G29" s="2065">
        <f>HCM!T61</f>
        <v>1</v>
      </c>
      <c r="H29" s="2065">
        <f>HCM!U61</f>
        <v>2.1111111111111112</v>
      </c>
      <c r="I29" s="2065">
        <f>HCM!V61</f>
        <v>1.588235294117647</v>
      </c>
      <c r="J29" s="2065">
        <f>HCM!W61</f>
        <v>1.75</v>
      </c>
      <c r="K29" s="2066">
        <f>HCM!X61</f>
        <v>2</v>
      </c>
      <c r="L29" s="2066">
        <f>HCM!Y61</f>
        <v>1.3076923076923077</v>
      </c>
      <c r="M29" s="2066">
        <f>HCM!Z61</f>
        <v>1.5333333333333334</v>
      </c>
      <c r="N29" s="2066">
        <f>HCM!AA61</f>
        <v>1.7272727272727273</v>
      </c>
      <c r="O29" s="2066">
        <f>HCM!AB61</f>
        <v>1.1599999999999999</v>
      </c>
      <c r="P29" s="2066">
        <f>HCM!AC61</f>
        <v>1.625</v>
      </c>
      <c r="Q29" s="2066">
        <f>HCM!AD61</f>
        <v>1.4615384615384615</v>
      </c>
      <c r="R29" s="2066">
        <f>HCM!AE61</f>
        <v>1.6</v>
      </c>
      <c r="S29" s="2066">
        <f>HCM!AF61</f>
        <v>1.3333333333333333</v>
      </c>
      <c r="T29" s="2066">
        <f>HCM!AG61</f>
        <v>1.8181818181818181</v>
      </c>
      <c r="U29" s="2066">
        <f>HCM!AH61</f>
        <v>1.7083333333333333</v>
      </c>
      <c r="V29" s="2066">
        <f>HCM!AI61</f>
        <v>1.7586206896551724</v>
      </c>
      <c r="W29" s="2066">
        <f>HCM!AJ61</f>
        <v>1.6935483870967742</v>
      </c>
      <c r="X29" s="2066">
        <f>HCM!AK61</f>
        <v>1</v>
      </c>
      <c r="Y29" s="2066">
        <f>HCM!AL61</f>
        <v>1.7922077922077921</v>
      </c>
      <c r="Z29" s="2066">
        <f>HCM!AM61</f>
        <v>1.7391304347826086</v>
      </c>
      <c r="AA29" s="2066">
        <f>HCM!AN61</f>
        <v>1.3392857142857142</v>
      </c>
      <c r="AB29" s="2066">
        <f>HCM!AO61</f>
        <v>1.8588235294117648</v>
      </c>
      <c r="AC29" s="2066">
        <f>HCM!AP61</f>
        <v>1.7407407407407407</v>
      </c>
      <c r="AD29" s="2066">
        <v>1.5632911392405062</v>
      </c>
      <c r="AE29" s="2066">
        <v>1.4841269841269842</v>
      </c>
      <c r="AF29" s="2066">
        <v>1.476510067114094</v>
      </c>
      <c r="AG29" s="2066">
        <v>1.4714285714285715</v>
      </c>
      <c r="AH29" s="2066">
        <v>1.3509933774834437</v>
      </c>
      <c r="AI29" s="2066">
        <v>1.5447154471544715</v>
      </c>
      <c r="AJ29" s="2066">
        <v>1.4814814814814814</v>
      </c>
      <c r="AK29" s="2066">
        <v>1.7771084337349397</v>
      </c>
      <c r="AL29" s="2066">
        <v>1.6258503401360545</v>
      </c>
      <c r="AM29" s="2066">
        <v>1.2222222222222223</v>
      </c>
      <c r="AN29" s="2066">
        <v>1.4791666666666667</v>
      </c>
      <c r="AO29" s="2066">
        <f>HCM!BE61</f>
        <v>1.8636363636363635</v>
      </c>
      <c r="AP29" s="2066">
        <f>HCM!BF61</f>
        <v>1.6153846153846154</v>
      </c>
      <c r="AQ29" s="2066">
        <f>HCM!BG61</f>
        <v>1.5871559633027523</v>
      </c>
      <c r="AR29" s="2066">
        <f>HCM!BH61</f>
        <v>1.7483870967741935</v>
      </c>
      <c r="AS29" s="2066">
        <f>HCM!BI61</f>
        <v>1.9823008849557522</v>
      </c>
      <c r="AT29" s="2066">
        <f>HCM!BJ61</f>
        <v>1.9181818181818182</v>
      </c>
      <c r="AU29" s="2066">
        <f>HCM!BK61</f>
        <v>1.7839506172839505</v>
      </c>
      <c r="AV29" s="2066">
        <f>HCM!BL61</f>
        <v>1.6979865771812082</v>
      </c>
      <c r="AW29" s="2066">
        <f>HCM!BM61</f>
        <v>1.6868131868131868</v>
      </c>
      <c r="AX29" s="2066">
        <f>HCM!BN61</f>
        <v>1.8797814207650274</v>
      </c>
      <c r="AY29" s="2066">
        <f>HCM!BO61</f>
        <v>1.3888888888888888</v>
      </c>
      <c r="AZ29" s="2066">
        <f>HCM!BP61</f>
        <v>1.9</v>
      </c>
      <c r="BA29" s="2066">
        <f>HCM!BQ61</f>
        <v>1.8222222222222222</v>
      </c>
      <c r="BB29" s="2066">
        <f>HCM!BR61</f>
        <v>1.7548387096774194</v>
      </c>
      <c r="BC29" s="2066">
        <f>HCM!BS61</f>
        <v>2.168831168831169</v>
      </c>
      <c r="BD29" s="2066">
        <f>HCM!BT61</f>
        <v>2.118918918918919</v>
      </c>
      <c r="BE29" s="2066">
        <f>HCM!BU61</f>
        <v>2.0738255033557045</v>
      </c>
      <c r="BF29" s="2066" t="str">
        <f>HCM!BV61</f>
        <v>-</v>
      </c>
      <c r="BG29" s="2066" t="str">
        <f>HCM!BW61</f>
        <v>-</v>
      </c>
      <c r="BH29" s="2066" t="str">
        <f>HCM!BX61</f>
        <v>-</v>
      </c>
      <c r="BI29" s="2066" t="str">
        <f>HCM!BY61</f>
        <v>-</v>
      </c>
      <c r="BJ29" s="2066" t="str">
        <f>HCM!BZ61</f>
        <v>-</v>
      </c>
      <c r="BK29" s="867"/>
      <c r="BL29" s="989"/>
    </row>
    <row r="30" spans="2:64" s="990" customFormat="1" ht="13.5" customHeight="1">
      <c r="B30" s="991"/>
      <c r="C30" s="259" t="s">
        <v>147</v>
      </c>
      <c r="D30" s="2054">
        <f>HCM!C49</f>
        <v>2108</v>
      </c>
      <c r="E30" s="2054"/>
      <c r="F30" s="2054">
        <f>HCM!S49</f>
        <v>8</v>
      </c>
      <c r="G30" s="2054">
        <f>HCM!T49</f>
        <v>1</v>
      </c>
      <c r="H30" s="2054">
        <f>HCM!U49</f>
        <v>19</v>
      </c>
      <c r="I30" s="2054">
        <f>HCM!V49</f>
        <v>27</v>
      </c>
      <c r="J30" s="2054">
        <f>HCM!W49</f>
        <v>35</v>
      </c>
      <c r="K30" s="2055">
        <f>HCM!X49</f>
        <v>24</v>
      </c>
      <c r="L30" s="2055">
        <f>HCM!Y49</f>
        <v>17</v>
      </c>
      <c r="M30" s="2055">
        <f>HCM!Z49</f>
        <v>23</v>
      </c>
      <c r="N30" s="2055">
        <f>HCM!AA49</f>
        <v>38</v>
      </c>
      <c r="O30" s="2055">
        <f>HCM!AB49</f>
        <v>29</v>
      </c>
      <c r="P30" s="2055">
        <f>HCM!AC49</f>
        <v>26</v>
      </c>
      <c r="Q30" s="2055">
        <f>HCM!AD49</f>
        <v>38</v>
      </c>
      <c r="R30" s="2055">
        <f>HCM!AE49</f>
        <v>16</v>
      </c>
      <c r="S30" s="2055">
        <f>HCM!AF49</f>
        <v>20</v>
      </c>
      <c r="T30" s="2055">
        <f>HCM!AG49</f>
        <v>40</v>
      </c>
      <c r="U30" s="2055">
        <f>HCM!AH49</f>
        <v>82</v>
      </c>
      <c r="V30" s="2055">
        <f>HCM!AI49</f>
        <v>102</v>
      </c>
      <c r="W30" s="2055">
        <f>HCM!AJ49</f>
        <v>105</v>
      </c>
      <c r="X30" s="2055">
        <f>HCM!AK49</f>
        <v>84</v>
      </c>
      <c r="Y30" s="2055">
        <f>HCM!AL49</f>
        <v>138</v>
      </c>
      <c r="Z30" s="2055">
        <f>HCM!AM49</f>
        <v>120</v>
      </c>
      <c r="AA30" s="2055">
        <f>HCM!AN49</f>
        <v>75</v>
      </c>
      <c r="AB30" s="2055">
        <f>HCM!AO49</f>
        <v>158</v>
      </c>
      <c r="AC30" s="2055">
        <f>HCM!AP49</f>
        <v>188</v>
      </c>
      <c r="AD30" s="2055">
        <v>247</v>
      </c>
      <c r="AE30" s="2055">
        <v>187</v>
      </c>
      <c r="AF30" s="2055">
        <v>220</v>
      </c>
      <c r="AG30" s="2055">
        <v>206</v>
      </c>
      <c r="AH30" s="2055">
        <v>204</v>
      </c>
      <c r="AI30" s="2055">
        <v>190</v>
      </c>
      <c r="AJ30" s="2055">
        <v>160</v>
      </c>
      <c r="AK30" s="2055">
        <v>295</v>
      </c>
      <c r="AL30" s="2055">
        <v>239</v>
      </c>
      <c r="AM30" s="2055">
        <v>66</v>
      </c>
      <c r="AN30" s="2055">
        <v>71</v>
      </c>
      <c r="AO30" s="2055">
        <f>HCM!BE49</f>
        <v>287</v>
      </c>
      <c r="AP30" s="2055">
        <f>HCM!BF49</f>
        <v>189</v>
      </c>
      <c r="AQ30" s="2055">
        <f>HCM!BG49</f>
        <v>173</v>
      </c>
      <c r="AR30" s="2055">
        <f>HCM!BH49</f>
        <v>271</v>
      </c>
      <c r="AS30" s="2055">
        <f>HCM!BI49</f>
        <v>224</v>
      </c>
      <c r="AT30" s="2055">
        <f>HCM!BJ49</f>
        <v>211</v>
      </c>
      <c r="AU30" s="2055">
        <f>HCM!BK49</f>
        <v>289</v>
      </c>
      <c r="AV30" s="2055">
        <f>HCM!BL49</f>
        <v>253</v>
      </c>
      <c r="AW30" s="2055">
        <f>HCM!BM49</f>
        <v>307</v>
      </c>
      <c r="AX30" s="2055">
        <f>HCM!BN49</f>
        <v>344</v>
      </c>
      <c r="AY30" s="2055">
        <f>HCM!BO49</f>
        <v>150</v>
      </c>
      <c r="AZ30" s="2055">
        <f>HCM!BP49</f>
        <v>323</v>
      </c>
      <c r="BA30" s="2055">
        <f>HCM!BQ49</f>
        <v>328</v>
      </c>
      <c r="BB30" s="2055">
        <f>HCM!BR49</f>
        <v>272</v>
      </c>
      <c r="BC30" s="2055">
        <f>HCM!BS49</f>
        <v>334</v>
      </c>
      <c r="BD30" s="2055">
        <f>HCM!BT49</f>
        <v>392</v>
      </c>
      <c r="BE30" s="2055">
        <f>HCM!BU49</f>
        <v>309</v>
      </c>
      <c r="BF30" s="2055">
        <f>HCM!BV49</f>
        <v>0</v>
      </c>
      <c r="BG30" s="2055">
        <f>HCM!BW49</f>
        <v>0</v>
      </c>
      <c r="BH30" s="2055">
        <f>HCM!BX49</f>
        <v>0</v>
      </c>
      <c r="BI30" s="2055">
        <f>HCM!BY49</f>
        <v>0</v>
      </c>
      <c r="BJ30" s="2055">
        <f>HCM!BZ49</f>
        <v>0</v>
      </c>
      <c r="BK30" s="2067">
        <f>Plan!$BO$36</f>
        <v>432.3556021146382</v>
      </c>
      <c r="BL30" s="994"/>
    </row>
    <row r="31" spans="2:64" s="1013" customFormat="1" ht="13.5" customHeight="1">
      <c r="B31" s="1014"/>
      <c r="C31" s="997" t="s">
        <v>289</v>
      </c>
      <c r="D31" s="793">
        <f>D30/Plan!C36</f>
        <v>0.93726021472355858</v>
      </c>
      <c r="E31" s="793"/>
      <c r="F31" s="793">
        <f>F30/Plan!E36</f>
        <v>0.53333333333333333</v>
      </c>
      <c r="G31" s="793">
        <f>G30/Plan!F36</f>
        <v>0.1</v>
      </c>
      <c r="H31" s="794">
        <f>H30/Plan!G36</f>
        <v>0.95</v>
      </c>
      <c r="I31" s="794">
        <f>I30/Plan!H36</f>
        <v>0.9</v>
      </c>
      <c r="J31" s="794">
        <f>J30/Plan!I36</f>
        <v>0.875</v>
      </c>
      <c r="K31" s="794">
        <f>K30/Plan!J36</f>
        <v>0.48</v>
      </c>
      <c r="L31" s="794">
        <f>L30/Plan!K36</f>
        <v>0.28333333333333333</v>
      </c>
      <c r="M31" s="815">
        <f>M30/Plan!L36</f>
        <v>0.46</v>
      </c>
      <c r="N31" s="815">
        <f>N30/Plan!M36</f>
        <v>0.76</v>
      </c>
      <c r="O31" s="815">
        <f>O30/Plan!N36</f>
        <v>0.44615384615384618</v>
      </c>
      <c r="P31" s="815">
        <f>P30/Plan!O36</f>
        <v>0.43333333333333335</v>
      </c>
      <c r="Q31" s="815">
        <f>Q30/Plan!P36</f>
        <v>0.6333333333333333</v>
      </c>
      <c r="R31" s="815">
        <f>R30/Plan!Q36</f>
        <v>0.45714285714285713</v>
      </c>
      <c r="S31" s="815">
        <f>S30/Plan!R36</f>
        <v>0.66666666666666663</v>
      </c>
      <c r="T31" s="815">
        <f>T30/Plan!S36</f>
        <v>0.66666666666666663</v>
      </c>
      <c r="U31" s="815">
        <f>U30/Plan!T36</f>
        <v>0.86315789473684212</v>
      </c>
      <c r="V31" s="815">
        <f>V30/Plan!U36</f>
        <v>1.0736842105263158</v>
      </c>
      <c r="W31" s="815">
        <f>W30/Plan!V36</f>
        <v>1.1052631578947369</v>
      </c>
      <c r="X31" s="815">
        <f>X30/Plan!W36</f>
        <v>0.88421052631578945</v>
      </c>
      <c r="Y31" s="815">
        <f>Y30/Plan!X36</f>
        <v>1.4526315789473685</v>
      </c>
      <c r="Z31" s="815">
        <f>Z30/Plan!Y36</f>
        <v>1.263157894736842</v>
      </c>
      <c r="AA31" s="815">
        <f>AA30/Plan!Z36</f>
        <v>0.78947368421052633</v>
      </c>
      <c r="AB31" s="815">
        <f>AB30/Plan!AA36</f>
        <v>1.6631578947368422</v>
      </c>
      <c r="AC31" s="815">
        <f>AC30/Plan!AB36</f>
        <v>1.9789473684210526</v>
      </c>
      <c r="AD31" s="815">
        <v>0.83164983164983164</v>
      </c>
      <c r="AE31" s="815">
        <v>0.62962962962962965</v>
      </c>
      <c r="AF31" s="815">
        <v>0.7407407407407407</v>
      </c>
      <c r="AG31" s="815">
        <v>0.69360269360269355</v>
      </c>
      <c r="AH31" s="815">
        <v>0.68686868686868685</v>
      </c>
      <c r="AI31" s="815">
        <v>0.63973063973063971</v>
      </c>
      <c r="AJ31" s="815">
        <v>0.53872053872053871</v>
      </c>
      <c r="AK31" s="815">
        <v>0.76424870466321249</v>
      </c>
      <c r="AL31" s="815">
        <v>0.61917098445595853</v>
      </c>
      <c r="AM31" s="815">
        <v>0.39285714285714285</v>
      </c>
      <c r="AN31" s="815">
        <v>1.2241379310344827</v>
      </c>
      <c r="AO31" s="815">
        <f>$AO$30/Plan!AQ36</f>
        <v>0.89408099688473519</v>
      </c>
      <c r="AP31" s="794">
        <f>AP30/Plan!AR36</f>
        <v>0.58695652173913049</v>
      </c>
      <c r="AQ31" s="794">
        <f>AQ30/Plan!AS36</f>
        <v>0.49855907780979825</v>
      </c>
      <c r="AR31" s="794">
        <f>AR30/Plan!AT36</f>
        <v>0.3702185792349727</v>
      </c>
      <c r="AS31" s="794">
        <f>AS30/Plan!AU36</f>
        <v>0.74391766770918077</v>
      </c>
      <c r="AT31" s="794">
        <f>AT30/Plan!AV36</f>
        <v>0.63642712039391158</v>
      </c>
      <c r="AU31" s="794">
        <f>AU30/Plan!AW36</f>
        <v>0.7978873476766265</v>
      </c>
      <c r="AV31" s="794">
        <f>AV30/Plan!AX36</f>
        <v>0.67536643601856894</v>
      </c>
      <c r="AW31" s="794">
        <f>AW30/Plan!AY36</f>
        <v>0.75519148916325507</v>
      </c>
      <c r="AX31" s="794">
        <f>AX30/Plan!AZ36</f>
        <v>0.78089733224545665</v>
      </c>
      <c r="AY31" s="794">
        <f>AY30/Plan!BA36</f>
        <v>0.88454678639976203</v>
      </c>
      <c r="AZ31" s="794">
        <f>AZ30/Plan!BB36</f>
        <v>1.8196126119883347</v>
      </c>
      <c r="BA31" s="794">
        <f>BA30/Plan!BC36</f>
        <v>0.7840037633783884</v>
      </c>
      <c r="BB31" s="794">
        <f>BB30/Plan!BD36</f>
        <v>0.6851937123926477</v>
      </c>
      <c r="BC31" s="794">
        <f>BC30/Plan!BE36</f>
        <v>0.69602367233306939</v>
      </c>
      <c r="BD31" s="794">
        <f>BD30/Plan!BF36</f>
        <v>0.66857123377148653</v>
      </c>
      <c r="BE31" s="794">
        <f>BE30/Plan!BG36</f>
        <v>0.71468947895827029</v>
      </c>
      <c r="BF31" s="794">
        <f>BF30/Plan!BH36</f>
        <v>0</v>
      </c>
      <c r="BG31" s="794">
        <f>BG30/Plan!BI36</f>
        <v>0</v>
      </c>
      <c r="BH31" s="794">
        <f>BH30/Plan!BJ36</f>
        <v>0</v>
      </c>
      <c r="BI31" s="794">
        <f>BI30/Plan!BK36</f>
        <v>0</v>
      </c>
      <c r="BJ31" s="794">
        <f>BJ30/Plan!BL36</f>
        <v>0</v>
      </c>
      <c r="BK31" s="866"/>
      <c r="BL31" s="1015"/>
    </row>
    <row r="32" spans="2:64" s="1016" customFormat="1" ht="13.5" customHeight="1">
      <c r="B32" s="1017"/>
      <c r="C32" s="1018"/>
      <c r="D32" s="1019"/>
      <c r="E32" s="1019"/>
      <c r="F32" s="1019"/>
      <c r="G32" s="1019"/>
      <c r="H32" s="1019"/>
      <c r="I32" s="1019"/>
      <c r="J32" s="1019"/>
      <c r="K32" s="1020"/>
      <c r="L32" s="1020"/>
      <c r="M32" s="1019"/>
      <c r="N32" s="1020"/>
      <c r="O32" s="1020"/>
      <c r="P32" s="1020"/>
      <c r="Q32" s="1020"/>
      <c r="R32" s="1020"/>
      <c r="S32" s="1020"/>
      <c r="T32" s="1020"/>
      <c r="U32" s="1020"/>
      <c r="V32" s="1020"/>
      <c r="W32" s="1020"/>
      <c r="X32" s="1020"/>
      <c r="Y32" s="1020"/>
      <c r="Z32" s="1020"/>
      <c r="AA32" s="1020"/>
      <c r="AB32" s="1020"/>
      <c r="AC32" s="1021"/>
      <c r="AD32" s="1021"/>
      <c r="AE32" s="1021"/>
      <c r="AF32" s="1021"/>
      <c r="AG32" s="1021"/>
      <c r="AH32" s="1021"/>
      <c r="AI32" s="1021"/>
      <c r="AJ32" s="1021"/>
      <c r="AK32" s="1021"/>
      <c r="AL32" s="1021"/>
      <c r="AM32" s="1021"/>
      <c r="AN32" s="1021"/>
      <c r="AO32" s="1021"/>
      <c r="AP32" s="1020"/>
      <c r="AQ32" s="1020"/>
      <c r="AR32" s="1020"/>
      <c r="AS32" s="1020"/>
      <c r="AT32" s="1020"/>
      <c r="AU32" s="1020"/>
      <c r="AV32" s="1020"/>
      <c r="AW32" s="1020"/>
      <c r="AX32" s="1020"/>
      <c r="AY32" s="1020"/>
      <c r="AZ32" s="1020"/>
      <c r="BA32" s="1020"/>
      <c r="BB32" s="1020"/>
      <c r="BC32" s="1020"/>
      <c r="BD32" s="1020"/>
      <c r="BE32" s="1020"/>
      <c r="BF32" s="1020"/>
      <c r="BG32" s="1020"/>
      <c r="BH32" s="1020"/>
      <c r="BI32" s="1020"/>
      <c r="BJ32" s="1020"/>
      <c r="BK32" s="1022"/>
      <c r="BL32" s="1023"/>
    </row>
    <row r="33" spans="2:67" s="1016" customFormat="1" ht="13.5" customHeight="1">
      <c r="D33" s="1024"/>
      <c r="E33" s="1025"/>
      <c r="F33" s="1024"/>
      <c r="G33" s="1024"/>
      <c r="H33" s="1024"/>
      <c r="I33" s="1024"/>
      <c r="J33" s="1024"/>
      <c r="K33" s="1026"/>
      <c r="L33" s="1026"/>
      <c r="M33" s="1024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7"/>
      <c r="AD33" s="1027"/>
      <c r="AE33" s="1027"/>
      <c r="AF33" s="1027"/>
      <c r="AG33" s="1027"/>
      <c r="AH33" s="1027"/>
      <c r="AI33" s="1027"/>
      <c r="AJ33" s="1027"/>
      <c r="AK33" s="1027"/>
      <c r="AL33" s="1027"/>
      <c r="AM33" s="1027"/>
      <c r="AN33" s="1027"/>
      <c r="AO33" s="1027"/>
      <c r="AP33" s="1809"/>
      <c r="AQ33" s="1809"/>
      <c r="AR33" s="1809"/>
      <c r="AS33" s="1809"/>
      <c r="AT33" s="1809"/>
      <c r="AU33" s="1809"/>
      <c r="AV33" s="1809"/>
      <c r="AW33" s="1809"/>
      <c r="AX33" s="1809"/>
      <c r="AY33" s="1809"/>
      <c r="AZ33" s="1809"/>
      <c r="BA33" s="1809"/>
      <c r="BB33" s="1809"/>
      <c r="BC33" s="1809"/>
      <c r="BD33" s="1809"/>
      <c r="BE33" s="1809"/>
      <c r="BF33" s="1809"/>
      <c r="BG33" s="1809"/>
      <c r="BH33" s="1809"/>
      <c r="BI33" s="1809"/>
      <c r="BJ33" s="1809"/>
      <c r="BK33" s="1028"/>
    </row>
    <row r="34" spans="2:67" s="1016" customFormat="1" ht="19.5" customHeight="1">
      <c r="B34" s="1029" t="s">
        <v>459</v>
      </c>
      <c r="C34" s="1030"/>
      <c r="D34" s="1031"/>
      <c r="E34" s="1031"/>
      <c r="F34" s="1031"/>
      <c r="G34" s="1031"/>
      <c r="H34" s="1032"/>
      <c r="I34" s="1032"/>
      <c r="J34" s="1032"/>
      <c r="K34" s="1032"/>
      <c r="L34" s="1032"/>
      <c r="M34" s="1032"/>
      <c r="N34" s="1033"/>
      <c r="O34" s="1033"/>
      <c r="P34" s="1033"/>
      <c r="Q34" s="1033"/>
      <c r="R34" s="1033"/>
      <c r="S34" s="1033"/>
      <c r="T34" s="1033"/>
      <c r="U34" s="1033"/>
      <c r="V34" s="1033"/>
      <c r="W34" s="1033"/>
      <c r="X34" s="1033"/>
      <c r="Y34" s="1033"/>
      <c r="Z34" s="1033"/>
      <c r="AA34" s="1033"/>
      <c r="AB34" s="1033"/>
      <c r="AC34" s="1034"/>
      <c r="AD34" s="1034"/>
      <c r="AE34" s="1034"/>
      <c r="AF34" s="1034"/>
      <c r="AG34" s="1034"/>
      <c r="AH34" s="1034"/>
      <c r="AI34" s="1034"/>
      <c r="AJ34" s="1034"/>
      <c r="AK34" s="1034"/>
      <c r="AL34" s="1034"/>
      <c r="AM34" s="1034"/>
      <c r="AN34" s="1034"/>
      <c r="AO34" s="1034"/>
      <c r="AP34" s="1033"/>
      <c r="AQ34" s="1033"/>
      <c r="AR34" s="1033"/>
      <c r="AS34" s="1033"/>
      <c r="AT34" s="1033"/>
      <c r="AU34" s="1033"/>
      <c r="AV34" s="1033"/>
      <c r="AW34" s="1033"/>
      <c r="AX34" s="1033"/>
      <c r="AY34" s="1033"/>
      <c r="AZ34" s="1033"/>
      <c r="BA34" s="1033"/>
      <c r="BB34" s="1033"/>
      <c r="BC34" s="1033"/>
      <c r="BD34" s="1033"/>
      <c r="BE34" s="1033"/>
      <c r="BF34" s="1033"/>
      <c r="BG34" s="1033"/>
      <c r="BH34" s="1033"/>
      <c r="BI34" s="1033"/>
      <c r="BJ34" s="1033"/>
      <c r="BK34" s="1733">
        <f>BK5</f>
        <v>42947</v>
      </c>
      <c r="BL34" s="1035"/>
    </row>
    <row r="35" spans="2:67" s="983" customFormat="1" ht="21" customHeight="1">
      <c r="B35" s="1036"/>
      <c r="C35" s="1037" t="s">
        <v>88</v>
      </c>
      <c r="D35" s="1038" t="str">
        <f>D6</f>
        <v>YTD'17</v>
      </c>
      <c r="E35" s="1039"/>
      <c r="F35" s="1038" t="s">
        <v>98</v>
      </c>
      <c r="G35" s="1038" t="s">
        <v>34</v>
      </c>
      <c r="H35" s="1040" t="s">
        <v>35</v>
      </c>
      <c r="I35" s="1040" t="s">
        <v>36</v>
      </c>
      <c r="J35" s="1040" t="s">
        <v>37</v>
      </c>
      <c r="K35" s="1041" t="s">
        <v>266</v>
      </c>
      <c r="L35" s="1041" t="s">
        <v>291</v>
      </c>
      <c r="M35" s="1040" t="s">
        <v>40</v>
      </c>
      <c r="N35" s="1041" t="s">
        <v>41</v>
      </c>
      <c r="O35" s="1041" t="s">
        <v>42</v>
      </c>
      <c r="P35" s="1041" t="str">
        <f t="shared" ref="P35:U35" si="12">P6</f>
        <v>Nov</v>
      </c>
      <c r="Q35" s="1041" t="str">
        <f t="shared" si="12"/>
        <v>Dec</v>
      </c>
      <c r="R35" s="1041" t="str">
        <f t="shared" si="12"/>
        <v>Jan'14</v>
      </c>
      <c r="S35" s="1041" t="str">
        <f t="shared" si="12"/>
        <v>Feb'14</v>
      </c>
      <c r="T35" s="1041" t="str">
        <f t="shared" si="12"/>
        <v>Mar'14</v>
      </c>
      <c r="U35" s="1041" t="str">
        <f t="shared" si="12"/>
        <v>Apr'14</v>
      </c>
      <c r="V35" s="1041" t="str">
        <f>V6</f>
        <v>May'14</v>
      </c>
      <c r="W35" s="1041" t="str">
        <f>W6</f>
        <v>Jun'14</v>
      </c>
      <c r="X35" s="1041" t="s">
        <v>795</v>
      </c>
      <c r="Y35" s="1041" t="str">
        <f>Y6</f>
        <v>Aug'14</v>
      </c>
      <c r="Z35" s="1041" t="s">
        <v>860</v>
      </c>
      <c r="AA35" s="1041" t="s">
        <v>899</v>
      </c>
      <c r="AB35" s="1041" t="s">
        <v>948</v>
      </c>
      <c r="AC35" s="1073" t="s">
        <v>1013</v>
      </c>
      <c r="AD35" s="1073" t="str">
        <f>AD25</f>
        <v>Apr-15</v>
      </c>
      <c r="AE35" s="1073" t="str">
        <f t="shared" ref="AE35:AX35" si="13">AE25</f>
        <v>May-15</v>
      </c>
      <c r="AF35" s="1771">
        <f t="shared" si="13"/>
        <v>42185</v>
      </c>
      <c r="AG35" s="1771">
        <f t="shared" si="13"/>
        <v>42216</v>
      </c>
      <c r="AH35" s="1771">
        <f t="shared" si="13"/>
        <v>42247</v>
      </c>
      <c r="AI35" s="1771">
        <f t="shared" si="13"/>
        <v>42277</v>
      </c>
      <c r="AJ35" s="1771">
        <f t="shared" si="13"/>
        <v>42308</v>
      </c>
      <c r="AK35" s="1771">
        <f t="shared" si="13"/>
        <v>42338</v>
      </c>
      <c r="AL35" s="1771">
        <f t="shared" si="13"/>
        <v>42369</v>
      </c>
      <c r="AM35" s="1771">
        <f t="shared" si="13"/>
        <v>42400</v>
      </c>
      <c r="AN35" s="1771">
        <f t="shared" si="13"/>
        <v>42429</v>
      </c>
      <c r="AO35" s="1771">
        <f t="shared" si="13"/>
        <v>42460</v>
      </c>
      <c r="AP35" s="1771">
        <f t="shared" si="13"/>
        <v>42490</v>
      </c>
      <c r="AQ35" s="1771">
        <f t="shared" si="13"/>
        <v>42521</v>
      </c>
      <c r="AR35" s="1771">
        <f t="shared" si="13"/>
        <v>42551</v>
      </c>
      <c r="AS35" s="1771">
        <f t="shared" si="13"/>
        <v>42582</v>
      </c>
      <c r="AT35" s="1771">
        <f t="shared" si="13"/>
        <v>42613</v>
      </c>
      <c r="AU35" s="1771">
        <f t="shared" si="13"/>
        <v>42643</v>
      </c>
      <c r="AV35" s="1771">
        <f t="shared" si="13"/>
        <v>42674</v>
      </c>
      <c r="AW35" s="1771">
        <f>AW25</f>
        <v>42704</v>
      </c>
      <c r="AX35" s="1771">
        <f t="shared" si="13"/>
        <v>42735</v>
      </c>
      <c r="AY35" s="1771">
        <v>42766</v>
      </c>
      <c r="AZ35" s="1771">
        <v>42794</v>
      </c>
      <c r="BA35" s="1771">
        <v>42825</v>
      </c>
      <c r="BB35" s="1771">
        <v>42855</v>
      </c>
      <c r="BC35" s="1771">
        <v>42886</v>
      </c>
      <c r="BD35" s="1771">
        <v>42916</v>
      </c>
      <c r="BE35" s="1771">
        <v>42947</v>
      </c>
      <c r="BF35" s="1771">
        <v>42978</v>
      </c>
      <c r="BG35" s="1771">
        <v>43008</v>
      </c>
      <c r="BH35" s="1771">
        <v>43039</v>
      </c>
      <c r="BI35" s="1771">
        <v>43069</v>
      </c>
      <c r="BJ35" s="1771">
        <v>43100</v>
      </c>
      <c r="BK35" s="1689" t="str">
        <f>BK6</f>
        <v>Target</v>
      </c>
      <c r="BL35" s="1042"/>
    </row>
    <row r="36" spans="2:67" s="983" customFormat="1" ht="13.5" customHeight="1">
      <c r="B36" s="984"/>
      <c r="C36" s="985" t="s">
        <v>223</v>
      </c>
      <c r="D36" s="1926">
        <f t="shared" ref="D36:D42" si="14">INDEX($AY36:$BK36,1,MATCH($C$2,$AY$35:$BJ$35,0))</f>
        <v>4273</v>
      </c>
      <c r="E36" s="1926"/>
      <c r="F36" s="1926"/>
      <c r="G36" s="1926"/>
      <c r="H36" s="1926">
        <f>HN!U39</f>
        <v>15</v>
      </c>
      <c r="I36" s="1926">
        <f>HN!V39</f>
        <v>54</v>
      </c>
      <c r="J36" s="1926">
        <f>HN!W39</f>
        <v>96</v>
      </c>
      <c r="K36" s="2059">
        <f>HN!X39</f>
        <v>138</v>
      </c>
      <c r="L36" s="2059">
        <f>HN!Y39</f>
        <v>165</v>
      </c>
      <c r="M36" s="1926">
        <f>HN!Z39</f>
        <v>188</v>
      </c>
      <c r="N36" s="2059">
        <f>HN!AA39</f>
        <v>227</v>
      </c>
      <c r="O36" s="2059">
        <f>HN!AB39</f>
        <v>274</v>
      </c>
      <c r="P36" s="2059">
        <f>HN!AC39</f>
        <v>307</v>
      </c>
      <c r="Q36" s="2059">
        <f>HN!AD39</f>
        <v>411</v>
      </c>
      <c r="R36" s="2059">
        <f>HN!AE39</f>
        <v>386</v>
      </c>
      <c r="S36" s="2059">
        <f>HN!AF39</f>
        <v>347</v>
      </c>
      <c r="T36" s="2059">
        <f>HN!AG39</f>
        <v>304</v>
      </c>
      <c r="U36" s="2059">
        <f>HN!AH39</f>
        <v>350</v>
      </c>
      <c r="V36" s="2059">
        <f>HN!AI39</f>
        <v>376</v>
      </c>
      <c r="W36" s="2059">
        <f>HN!AJ39</f>
        <v>385</v>
      </c>
      <c r="X36" s="2059">
        <f>HN!AK39</f>
        <v>392</v>
      </c>
      <c r="Y36" s="2059">
        <f>HN!AL39</f>
        <v>449</v>
      </c>
      <c r="Z36" s="2059">
        <f>HN!AM39</f>
        <v>489</v>
      </c>
      <c r="AA36" s="2059">
        <f>HN!AN39</f>
        <v>559</v>
      </c>
      <c r="AB36" s="2059">
        <f>HN!AO39</f>
        <v>642</v>
      </c>
      <c r="AC36" s="2059">
        <f>HN!AP39</f>
        <v>719</v>
      </c>
      <c r="AD36" s="2059">
        <v>1127</v>
      </c>
      <c r="AE36" s="2059">
        <v>1061</v>
      </c>
      <c r="AF36" s="2059">
        <v>1105</v>
      </c>
      <c r="AG36" s="2059">
        <v>1101</v>
      </c>
      <c r="AH36" s="2059">
        <v>1199</v>
      </c>
      <c r="AI36" s="2059">
        <v>1297</v>
      </c>
      <c r="AJ36" s="2059">
        <v>1387</v>
      </c>
      <c r="AK36" s="2059">
        <v>1621</v>
      </c>
      <c r="AL36" s="2059">
        <v>1704</v>
      </c>
      <c r="AM36" s="2059">
        <v>1716</v>
      </c>
      <c r="AN36" s="2059">
        <v>1621</v>
      </c>
      <c r="AO36" s="2059">
        <f>HN!BE39</f>
        <v>1726</v>
      </c>
      <c r="AP36" s="2059">
        <f>HN!BF39</f>
        <v>1792</v>
      </c>
      <c r="AQ36" s="2059">
        <f>HN!BG39</f>
        <v>2080</v>
      </c>
      <c r="AR36" s="2059">
        <f>HN!BH39</f>
        <v>2766</v>
      </c>
      <c r="AS36" s="2059">
        <f>HN!BI39</f>
        <v>3156</v>
      </c>
      <c r="AT36" s="2059">
        <f>HN!BJ39</f>
        <v>3577</v>
      </c>
      <c r="AU36" s="2059">
        <f>HN!BK39</f>
        <v>4038</v>
      </c>
      <c r="AV36" s="2056">
        <f>HN!BL39</f>
        <v>4438</v>
      </c>
      <c r="AW36" s="2056">
        <f>HN!BM39</f>
        <v>4438</v>
      </c>
      <c r="AX36" s="2056">
        <f>HN!BN39</f>
        <v>5348</v>
      </c>
      <c r="AY36" s="2056">
        <f>HN!BO39</f>
        <v>5455</v>
      </c>
      <c r="AZ36" s="2056">
        <f>HN!BP39</f>
        <v>3696</v>
      </c>
      <c r="BA36" s="2056">
        <f>HN!BQ39</f>
        <v>3844</v>
      </c>
      <c r="BB36" s="2056">
        <f>HN!BR39</f>
        <v>3460</v>
      </c>
      <c r="BC36" s="2056">
        <f>HN!BS39</f>
        <v>3625</v>
      </c>
      <c r="BD36" s="2056">
        <f>HN!BT39</f>
        <v>4210</v>
      </c>
      <c r="BE36" s="2056">
        <f>HN!BU39</f>
        <v>4273</v>
      </c>
      <c r="BF36" s="2056">
        <f>HN!BV39</f>
        <v>0</v>
      </c>
      <c r="BG36" s="2056">
        <f>HN!BW39</f>
        <v>0</v>
      </c>
      <c r="BH36" s="2056">
        <f>HN!BX39</f>
        <v>0</v>
      </c>
      <c r="BI36" s="2056">
        <f>HN!BY39</f>
        <v>0</v>
      </c>
      <c r="BJ36" s="2056">
        <f>HN!BZ39</f>
        <v>0</v>
      </c>
      <c r="BK36" s="988"/>
      <c r="BL36" s="989"/>
    </row>
    <row r="37" spans="2:67" s="983" customFormat="1" ht="13.5" customHeight="1">
      <c r="B37" s="984"/>
      <c r="C37" s="985" t="s">
        <v>155</v>
      </c>
      <c r="D37" s="1926">
        <f t="shared" si="14"/>
        <v>308</v>
      </c>
      <c r="E37" s="1926"/>
      <c r="F37" s="1926"/>
      <c r="G37" s="1926"/>
      <c r="H37" s="1926">
        <f>HN!U40</f>
        <v>0</v>
      </c>
      <c r="I37" s="1926">
        <f>HN!V40</f>
        <v>0</v>
      </c>
      <c r="J37" s="1926">
        <f>HN!W40</f>
        <v>0</v>
      </c>
      <c r="K37" s="2059">
        <f>HN!X40</f>
        <v>0</v>
      </c>
      <c r="L37" s="2059">
        <f>HN!Y40</f>
        <v>3</v>
      </c>
      <c r="M37" s="1926">
        <f>HN!Z40</f>
        <v>5</v>
      </c>
      <c r="N37" s="2059">
        <f>HN!AA40</f>
        <v>6</v>
      </c>
      <c r="O37" s="2059">
        <f>HN!AB40</f>
        <v>8</v>
      </c>
      <c r="P37" s="2059">
        <f>HN!AC40</f>
        <v>11</v>
      </c>
      <c r="Q37" s="2059">
        <f>HN!AD40</f>
        <v>12</v>
      </c>
      <c r="R37" s="2059">
        <f>HN!AE40</f>
        <v>24</v>
      </c>
      <c r="S37" s="2059">
        <f>HN!AF40</f>
        <v>27</v>
      </c>
      <c r="T37" s="2059">
        <f>HN!AG40</f>
        <v>28</v>
      </c>
      <c r="U37" s="2059">
        <f>HN!AH40</f>
        <v>22</v>
      </c>
      <c r="V37" s="2059">
        <f>HN!AI40</f>
        <v>23</v>
      </c>
      <c r="W37" s="2059">
        <f>HN!AJ40</f>
        <v>20</v>
      </c>
      <c r="X37" s="2059">
        <f>HN!AK40</f>
        <v>19</v>
      </c>
      <c r="Y37" s="2059">
        <f>HN!AL40</f>
        <v>21</v>
      </c>
      <c r="Z37" s="2059">
        <f>HN!AM40</f>
        <v>25</v>
      </c>
      <c r="AA37" s="2059">
        <f>HN!AN40</f>
        <v>28</v>
      </c>
      <c r="AB37" s="2059">
        <f>HN!AO40</f>
        <v>33</v>
      </c>
      <c r="AC37" s="2059">
        <f>HN!AP40</f>
        <v>44</v>
      </c>
      <c r="AD37" s="2059">
        <v>63</v>
      </c>
      <c r="AE37" s="2059">
        <v>62</v>
      </c>
      <c r="AF37" s="2059">
        <v>49</v>
      </c>
      <c r="AG37" s="2059">
        <v>43</v>
      </c>
      <c r="AH37" s="2059">
        <v>37</v>
      </c>
      <c r="AI37" s="2059">
        <v>39</v>
      </c>
      <c r="AJ37" s="2059">
        <v>47</v>
      </c>
      <c r="AK37" s="2059">
        <v>55</v>
      </c>
      <c r="AL37" s="2059">
        <v>58</v>
      </c>
      <c r="AM37" s="2059">
        <v>68</v>
      </c>
      <c r="AN37" s="2059">
        <v>78</v>
      </c>
      <c r="AO37" s="2059">
        <f>HN!BE40</f>
        <v>87</v>
      </c>
      <c r="AP37" s="2059">
        <f>HN!BF40</f>
        <v>110</v>
      </c>
      <c r="AQ37" s="2059">
        <f>HN!BG40</f>
        <v>114</v>
      </c>
      <c r="AR37" s="2059">
        <f>HN!BH40</f>
        <v>115</v>
      </c>
      <c r="AS37" s="2059">
        <f>HN!BI40</f>
        <v>127</v>
      </c>
      <c r="AT37" s="2059">
        <f>HN!BJ40</f>
        <v>147</v>
      </c>
      <c r="AU37" s="2059">
        <f>HN!BK40</f>
        <v>178</v>
      </c>
      <c r="AV37" s="2056">
        <f>HN!BL40</f>
        <v>194</v>
      </c>
      <c r="AW37" s="2056">
        <f>HN!BM40</f>
        <v>194</v>
      </c>
      <c r="AX37" s="2056">
        <f>HN!BN40</f>
        <v>237</v>
      </c>
      <c r="AY37" s="2056">
        <f>HN!BO40</f>
        <v>253</v>
      </c>
      <c r="AZ37" s="2056">
        <f>HN!BP40</f>
        <v>272</v>
      </c>
      <c r="BA37" s="2056">
        <f>HN!BQ40</f>
        <v>287</v>
      </c>
      <c r="BB37" s="2056">
        <f>HN!BR40</f>
        <v>295</v>
      </c>
      <c r="BC37" s="2056">
        <f>HN!BS40</f>
        <v>313</v>
      </c>
      <c r="BD37" s="2056">
        <f>HN!BT40</f>
        <v>324</v>
      </c>
      <c r="BE37" s="2056">
        <f>HN!BU40</f>
        <v>308</v>
      </c>
      <c r="BF37" s="2056">
        <f>HN!BV40</f>
        <v>0</v>
      </c>
      <c r="BG37" s="2056">
        <f>HN!BW40</f>
        <v>0</v>
      </c>
      <c r="BH37" s="2056">
        <f>HN!BX40</f>
        <v>0</v>
      </c>
      <c r="BI37" s="2056">
        <f>HN!BY40</f>
        <v>0</v>
      </c>
      <c r="BJ37" s="2056">
        <f>HN!BZ40</f>
        <v>0</v>
      </c>
      <c r="BK37" s="988"/>
      <c r="BL37" s="989"/>
    </row>
    <row r="38" spans="2:67" s="983" customFormat="1" ht="13.5" customHeight="1">
      <c r="B38" s="984"/>
      <c r="C38" s="985" t="s">
        <v>156</v>
      </c>
      <c r="D38" s="1926">
        <f t="shared" si="14"/>
        <v>541</v>
      </c>
      <c r="E38" s="1926"/>
      <c r="F38" s="1926"/>
      <c r="G38" s="1926"/>
      <c r="H38" s="1926">
        <f>HN!U41</f>
        <v>7</v>
      </c>
      <c r="I38" s="1926">
        <f>HN!V41</f>
        <v>25</v>
      </c>
      <c r="J38" s="1926">
        <f>HN!W41</f>
        <v>35</v>
      </c>
      <c r="K38" s="2059">
        <f>HN!X41</f>
        <v>42</v>
      </c>
      <c r="L38" s="2059">
        <f>HN!Y41</f>
        <v>41</v>
      </c>
      <c r="M38" s="1926">
        <f>HN!Z41</f>
        <v>44</v>
      </c>
      <c r="N38" s="2059">
        <f>HN!AA41</f>
        <v>50</v>
      </c>
      <c r="O38" s="2059">
        <f>HN!AB41</f>
        <v>41</v>
      </c>
      <c r="P38" s="2059">
        <f>HN!AC41</f>
        <v>42</v>
      </c>
      <c r="Q38" s="2059">
        <f>HN!AD41</f>
        <v>41</v>
      </c>
      <c r="R38" s="2059">
        <f>HN!AE41</f>
        <v>40</v>
      </c>
      <c r="S38" s="2059">
        <f>HN!AF41</f>
        <v>37</v>
      </c>
      <c r="T38" s="2059">
        <f>HN!AG41</f>
        <v>34</v>
      </c>
      <c r="U38" s="2059">
        <f>HN!AH41</f>
        <v>46</v>
      </c>
      <c r="V38" s="2059">
        <f>HN!AI41</f>
        <v>55</v>
      </c>
      <c r="W38" s="2059">
        <f>HN!AJ41</f>
        <v>74</v>
      </c>
      <c r="X38" s="2059">
        <f>HN!AK41</f>
        <v>67</v>
      </c>
      <c r="Y38" s="2059">
        <f>HN!AL41</f>
        <v>72</v>
      </c>
      <c r="Z38" s="2059">
        <f>HN!AM41</f>
        <v>88</v>
      </c>
      <c r="AA38" s="2059">
        <f>HN!AN41</f>
        <v>95</v>
      </c>
      <c r="AB38" s="2059">
        <f>HN!AO41</f>
        <v>116</v>
      </c>
      <c r="AC38" s="2059">
        <f>HN!AP41</f>
        <v>140</v>
      </c>
      <c r="AD38" s="2059">
        <v>202</v>
      </c>
      <c r="AE38" s="2059">
        <v>214</v>
      </c>
      <c r="AF38" s="2059">
        <v>208</v>
      </c>
      <c r="AG38" s="2059">
        <v>213</v>
      </c>
      <c r="AH38" s="2059">
        <v>211</v>
      </c>
      <c r="AI38" s="2059">
        <v>253</v>
      </c>
      <c r="AJ38" s="2059">
        <v>272</v>
      </c>
      <c r="AK38" s="2059">
        <v>289</v>
      </c>
      <c r="AL38" s="2059">
        <v>288</v>
      </c>
      <c r="AM38" s="2059">
        <v>290</v>
      </c>
      <c r="AN38" s="2059">
        <v>284</v>
      </c>
      <c r="AO38" s="2059">
        <f>HN!BE41</f>
        <v>293</v>
      </c>
      <c r="AP38" s="2059">
        <f>HN!BF41</f>
        <v>311</v>
      </c>
      <c r="AQ38" s="2059">
        <f>HN!BG41</f>
        <v>348</v>
      </c>
      <c r="AR38" s="2059">
        <f>HN!BH41</f>
        <v>429</v>
      </c>
      <c r="AS38" s="2059">
        <f>HN!BI41</f>
        <v>444</v>
      </c>
      <c r="AT38" s="2059">
        <f>HN!BJ41</f>
        <v>494</v>
      </c>
      <c r="AU38" s="2059">
        <f>HN!BK41</f>
        <v>568</v>
      </c>
      <c r="AV38" s="2056">
        <f>HN!BL41</f>
        <v>640</v>
      </c>
      <c r="AW38" s="2056">
        <f>HN!BM41</f>
        <v>640</v>
      </c>
      <c r="AX38" s="2056">
        <f>HN!BN41</f>
        <v>738</v>
      </c>
      <c r="AY38" s="2056">
        <f>HN!BO41</f>
        <v>722</v>
      </c>
      <c r="AZ38" s="2056">
        <f>HN!BP41</f>
        <v>749</v>
      </c>
      <c r="BA38" s="2056">
        <f>HN!BQ41</f>
        <v>729</v>
      </c>
      <c r="BB38" s="2056">
        <f>HN!BR41</f>
        <v>602</v>
      </c>
      <c r="BC38" s="2056">
        <f>HN!BS41</f>
        <v>630</v>
      </c>
      <c r="BD38" s="2056">
        <f>HN!BT41</f>
        <v>634</v>
      </c>
      <c r="BE38" s="2056">
        <f>HN!BU41</f>
        <v>541</v>
      </c>
      <c r="BF38" s="2056">
        <f>HN!BV41</f>
        <v>0</v>
      </c>
      <c r="BG38" s="2056">
        <f>HN!BW41</f>
        <v>0</v>
      </c>
      <c r="BH38" s="2056">
        <f>HN!BX41</f>
        <v>0</v>
      </c>
      <c r="BI38" s="2056">
        <f>HN!BY41</f>
        <v>0</v>
      </c>
      <c r="BJ38" s="2056">
        <f>HN!BZ41</f>
        <v>0</v>
      </c>
      <c r="BK38" s="988"/>
      <c r="BL38" s="989"/>
    </row>
    <row r="39" spans="2:67" s="983" customFormat="1" ht="13.5" customHeight="1">
      <c r="B39" s="984"/>
      <c r="C39" s="985" t="s">
        <v>157</v>
      </c>
      <c r="D39" s="1926">
        <f t="shared" si="14"/>
        <v>216</v>
      </c>
      <c r="E39" s="1926"/>
      <c r="F39" s="1926"/>
      <c r="G39" s="1926"/>
      <c r="H39" s="1926">
        <f>HN!U42</f>
        <v>3</v>
      </c>
      <c r="I39" s="1926">
        <f>HN!V42</f>
        <v>7</v>
      </c>
      <c r="J39" s="1926">
        <f>HN!W42</f>
        <v>11</v>
      </c>
      <c r="K39" s="2059">
        <f>HN!X42</f>
        <v>14</v>
      </c>
      <c r="L39" s="2059">
        <f>HN!Y42</f>
        <v>14</v>
      </c>
      <c r="M39" s="1926">
        <f>HN!Z42</f>
        <v>13</v>
      </c>
      <c r="N39" s="2059">
        <f>HN!AA42</f>
        <v>13</v>
      </c>
      <c r="O39" s="2059">
        <f>HN!AB42</f>
        <v>10</v>
      </c>
      <c r="P39" s="2059">
        <f>HN!AC42</f>
        <v>11</v>
      </c>
      <c r="Q39" s="2059">
        <f>HN!AD42</f>
        <v>9</v>
      </c>
      <c r="R39" s="2059">
        <f>HN!AE42</f>
        <v>10</v>
      </c>
      <c r="S39" s="2059">
        <f>HN!AF42</f>
        <v>9</v>
      </c>
      <c r="T39" s="2059">
        <f>HN!AG42</f>
        <v>10</v>
      </c>
      <c r="U39" s="2059">
        <f>HN!AH42</f>
        <v>18</v>
      </c>
      <c r="V39" s="2059">
        <f>HN!AI42</f>
        <v>20</v>
      </c>
      <c r="W39" s="2059">
        <f>HN!AJ42</f>
        <v>23</v>
      </c>
      <c r="X39" s="2059">
        <f>HN!AK42</f>
        <v>23</v>
      </c>
      <c r="Y39" s="2059">
        <f>HN!AL42</f>
        <v>28</v>
      </c>
      <c r="Z39" s="2059">
        <f>HN!AM42</f>
        <v>30</v>
      </c>
      <c r="AA39" s="2059">
        <f>HN!AN42</f>
        <v>32</v>
      </c>
      <c r="AB39" s="2059">
        <f>HN!AO42</f>
        <v>42</v>
      </c>
      <c r="AC39" s="2059">
        <f>HN!AP42</f>
        <v>46</v>
      </c>
      <c r="AD39" s="2059">
        <v>70</v>
      </c>
      <c r="AE39" s="2059">
        <v>80</v>
      </c>
      <c r="AF39" s="2059">
        <v>81</v>
      </c>
      <c r="AG39" s="2059">
        <v>82</v>
      </c>
      <c r="AH39" s="2059">
        <v>80</v>
      </c>
      <c r="AI39" s="2059">
        <v>94</v>
      </c>
      <c r="AJ39" s="2059">
        <v>97</v>
      </c>
      <c r="AK39" s="2059">
        <v>95</v>
      </c>
      <c r="AL39" s="2059">
        <v>93</v>
      </c>
      <c r="AM39" s="2059">
        <v>94</v>
      </c>
      <c r="AN39" s="2059">
        <v>96</v>
      </c>
      <c r="AO39" s="2059">
        <f>HN!BE42</f>
        <v>99</v>
      </c>
      <c r="AP39" s="2059">
        <f>HN!BF42</f>
        <v>114</v>
      </c>
      <c r="AQ39" s="2059">
        <f>HN!BG42</f>
        <v>131</v>
      </c>
      <c r="AR39" s="2059">
        <f>HN!BH42</f>
        <v>147</v>
      </c>
      <c r="AS39" s="2059">
        <f>HN!BI42</f>
        <v>156</v>
      </c>
      <c r="AT39" s="2059">
        <f>HN!BJ42</f>
        <v>172</v>
      </c>
      <c r="AU39" s="2059">
        <f>HN!BK42</f>
        <v>197</v>
      </c>
      <c r="AV39" s="2056">
        <f>HN!BL42</f>
        <v>210</v>
      </c>
      <c r="AW39" s="2056">
        <f>HN!BM42</f>
        <v>210</v>
      </c>
      <c r="AX39" s="2056">
        <f>HN!BN42</f>
        <v>251</v>
      </c>
      <c r="AY39" s="2056">
        <f>HN!BO42</f>
        <v>255</v>
      </c>
      <c r="AZ39" s="2056">
        <f>HN!BP42</f>
        <v>259</v>
      </c>
      <c r="BA39" s="2056">
        <f>HN!BQ42</f>
        <v>249</v>
      </c>
      <c r="BB39" s="2056">
        <f>HN!BR42</f>
        <v>238</v>
      </c>
      <c r="BC39" s="2056">
        <f>HN!BS42</f>
        <v>241</v>
      </c>
      <c r="BD39" s="2056">
        <f>HN!BT42</f>
        <v>225</v>
      </c>
      <c r="BE39" s="2056">
        <f>HN!BU42</f>
        <v>216</v>
      </c>
      <c r="BF39" s="2056">
        <f>HN!BV42</f>
        <v>0</v>
      </c>
      <c r="BG39" s="2056">
        <f>HN!BW42</f>
        <v>0</v>
      </c>
      <c r="BH39" s="2056">
        <f>HN!BX42</f>
        <v>0</v>
      </c>
      <c r="BI39" s="2056">
        <f>HN!BY42</f>
        <v>0</v>
      </c>
      <c r="BJ39" s="2056">
        <f>HN!BZ42</f>
        <v>0</v>
      </c>
      <c r="BK39" s="988"/>
      <c r="BL39" s="989"/>
    </row>
    <row r="40" spans="2:67" s="990" customFormat="1" ht="13.5" customHeight="1">
      <c r="B40" s="984"/>
      <c r="C40" s="985" t="s">
        <v>158</v>
      </c>
      <c r="D40" s="1926">
        <f t="shared" si="14"/>
        <v>74</v>
      </c>
      <c r="E40" s="1926"/>
      <c r="F40" s="1926"/>
      <c r="G40" s="1926"/>
      <c r="H40" s="1926">
        <f>HN!U43</f>
        <v>1</v>
      </c>
      <c r="I40" s="1926">
        <f>HN!V43</f>
        <v>7</v>
      </c>
      <c r="J40" s="1926">
        <f>HN!W43</f>
        <v>8</v>
      </c>
      <c r="K40" s="2059">
        <f>HN!X43</f>
        <v>8</v>
      </c>
      <c r="L40" s="2059">
        <f>HN!Y43</f>
        <v>8</v>
      </c>
      <c r="M40" s="1926">
        <f>HN!Z43</f>
        <v>9</v>
      </c>
      <c r="N40" s="2059">
        <f>HN!AA43</f>
        <v>9</v>
      </c>
      <c r="O40" s="2059">
        <f>HN!AB43</f>
        <v>10</v>
      </c>
      <c r="P40" s="2059">
        <f>HN!AC43</f>
        <v>11</v>
      </c>
      <c r="Q40" s="2059">
        <f>HN!AD43</f>
        <v>11</v>
      </c>
      <c r="R40" s="2059">
        <f>HN!AE43</f>
        <v>11</v>
      </c>
      <c r="S40" s="2059">
        <f>HN!AF43</f>
        <v>11</v>
      </c>
      <c r="T40" s="2059">
        <f>HN!AG43</f>
        <v>12</v>
      </c>
      <c r="U40" s="2059">
        <f>HN!AH43</f>
        <v>11</v>
      </c>
      <c r="V40" s="2059">
        <f>HN!AI43</f>
        <v>15</v>
      </c>
      <c r="W40" s="2059">
        <f>HN!AJ43</f>
        <v>15</v>
      </c>
      <c r="X40" s="2059">
        <f>HN!AK43</f>
        <v>15</v>
      </c>
      <c r="Y40" s="2059">
        <f>HN!AL43</f>
        <v>16</v>
      </c>
      <c r="Z40" s="2059">
        <f>HN!AM43</f>
        <v>16</v>
      </c>
      <c r="AA40" s="2059">
        <f>HN!AN43</f>
        <v>16</v>
      </c>
      <c r="AB40" s="2059">
        <f>HN!AO43</f>
        <v>21</v>
      </c>
      <c r="AC40" s="2059">
        <f>HN!AP43</f>
        <v>24</v>
      </c>
      <c r="AD40" s="2059">
        <v>31</v>
      </c>
      <c r="AE40" s="2059">
        <v>30</v>
      </c>
      <c r="AF40" s="2059">
        <v>29</v>
      </c>
      <c r="AG40" s="2059">
        <v>29</v>
      </c>
      <c r="AH40" s="2059">
        <v>26</v>
      </c>
      <c r="AI40" s="2059">
        <v>28</v>
      </c>
      <c r="AJ40" s="2059">
        <v>29</v>
      </c>
      <c r="AK40" s="2059">
        <v>28</v>
      </c>
      <c r="AL40" s="2059">
        <v>28</v>
      </c>
      <c r="AM40" s="2059">
        <v>30</v>
      </c>
      <c r="AN40" s="2059">
        <v>29</v>
      </c>
      <c r="AO40" s="2059">
        <f>HN!BE43</f>
        <v>29</v>
      </c>
      <c r="AP40" s="2059">
        <f>HN!BF43</f>
        <v>31</v>
      </c>
      <c r="AQ40" s="2059">
        <f>HN!BG43</f>
        <v>33</v>
      </c>
      <c r="AR40" s="2059">
        <f>HN!BH43</f>
        <v>36</v>
      </c>
      <c r="AS40" s="2059">
        <f>HN!BI43</f>
        <v>39</v>
      </c>
      <c r="AT40" s="2059">
        <f>HN!BJ43</f>
        <v>42</v>
      </c>
      <c r="AU40" s="2059">
        <f>HN!BK43</f>
        <v>57</v>
      </c>
      <c r="AV40" s="2056">
        <f>HN!BL43</f>
        <v>67</v>
      </c>
      <c r="AW40" s="2056">
        <f>HN!BM43</f>
        <v>67</v>
      </c>
      <c r="AX40" s="2056">
        <f>HN!BN43</f>
        <v>73</v>
      </c>
      <c r="AY40" s="2056">
        <f>HN!BO43</f>
        <v>74</v>
      </c>
      <c r="AZ40" s="2056">
        <f>HN!BP43</f>
        <v>83</v>
      </c>
      <c r="BA40" s="2056">
        <f>HN!BQ43</f>
        <v>82</v>
      </c>
      <c r="BB40" s="2056">
        <f>HN!BR43</f>
        <v>82</v>
      </c>
      <c r="BC40" s="2056">
        <f>HN!BS43</f>
        <v>81</v>
      </c>
      <c r="BD40" s="2056">
        <f>HN!BT43</f>
        <v>80</v>
      </c>
      <c r="BE40" s="2056">
        <f>HN!BU43</f>
        <v>74</v>
      </c>
      <c r="BF40" s="2056">
        <f>HN!BV43</f>
        <v>0</v>
      </c>
      <c r="BG40" s="2056">
        <f>HN!BW43</f>
        <v>0</v>
      </c>
      <c r="BH40" s="2056">
        <f>HN!BX43</f>
        <v>0</v>
      </c>
      <c r="BI40" s="2056">
        <f>HN!BY43</f>
        <v>0</v>
      </c>
      <c r="BJ40" s="2056">
        <f>HN!BZ43</f>
        <v>0</v>
      </c>
      <c r="BK40" s="988"/>
      <c r="BL40" s="989"/>
      <c r="BO40" s="983"/>
    </row>
    <row r="41" spans="2:67" s="990" customFormat="1" ht="13.5" customHeight="1">
      <c r="B41" s="984"/>
      <c r="C41" s="985" t="s">
        <v>739</v>
      </c>
      <c r="D41" s="1926">
        <f t="shared" si="14"/>
        <v>41</v>
      </c>
      <c r="E41" s="1926"/>
      <c r="F41" s="1926"/>
      <c r="G41" s="1926"/>
      <c r="H41" s="1926"/>
      <c r="I41" s="1926"/>
      <c r="J41" s="1926"/>
      <c r="K41" s="2059"/>
      <c r="L41" s="2059"/>
      <c r="M41" s="1926"/>
      <c r="N41" s="2059"/>
      <c r="O41" s="2059"/>
      <c r="P41" s="2059"/>
      <c r="Q41" s="2059"/>
      <c r="R41" s="2059"/>
      <c r="S41" s="2059"/>
      <c r="T41" s="2059"/>
      <c r="U41" s="2059"/>
      <c r="V41" s="2059"/>
      <c r="W41" s="2059">
        <f>HN!AJ44</f>
        <v>2</v>
      </c>
      <c r="X41" s="2059">
        <f>HN!AK44</f>
        <v>2</v>
      </c>
      <c r="Y41" s="2059">
        <f>HN!AL44</f>
        <v>3</v>
      </c>
      <c r="Z41" s="2059">
        <f>HN!AM44</f>
        <v>4</v>
      </c>
      <c r="AA41" s="2059">
        <f>HN!AN44</f>
        <v>5</v>
      </c>
      <c r="AB41" s="2059">
        <f>HN!AO44</f>
        <v>6</v>
      </c>
      <c r="AC41" s="2059">
        <f>HN!AP44</f>
        <v>6</v>
      </c>
      <c r="AD41" s="2059">
        <v>10</v>
      </c>
      <c r="AE41" s="2059">
        <v>12</v>
      </c>
      <c r="AF41" s="2059">
        <v>13</v>
      </c>
      <c r="AG41" s="2059">
        <v>17</v>
      </c>
      <c r="AH41" s="2059">
        <v>19</v>
      </c>
      <c r="AI41" s="2059">
        <v>21</v>
      </c>
      <c r="AJ41" s="2059">
        <v>20</v>
      </c>
      <c r="AK41" s="2059">
        <v>20</v>
      </c>
      <c r="AL41" s="2059">
        <v>21</v>
      </c>
      <c r="AM41" s="2059">
        <v>21</v>
      </c>
      <c r="AN41" s="2059">
        <v>22</v>
      </c>
      <c r="AO41" s="2059">
        <f>HN!BE44</f>
        <v>25</v>
      </c>
      <c r="AP41" s="2059">
        <f>HN!BF44</f>
        <v>27</v>
      </c>
      <c r="AQ41" s="2059">
        <f>HN!BG44</f>
        <v>27</v>
      </c>
      <c r="AR41" s="2059">
        <f>HN!BH44</f>
        <v>33</v>
      </c>
      <c r="AS41" s="2059">
        <f>HN!BI44</f>
        <v>35</v>
      </c>
      <c r="AT41" s="2059">
        <f>HN!BJ44</f>
        <v>38</v>
      </c>
      <c r="AU41" s="2059">
        <f>HN!BK44</f>
        <v>44</v>
      </c>
      <c r="AV41" s="2056">
        <f>HN!BL44</f>
        <v>47</v>
      </c>
      <c r="AW41" s="2056">
        <f>HN!BM44</f>
        <v>47</v>
      </c>
      <c r="AX41" s="2056">
        <f>HN!BN44</f>
        <v>54</v>
      </c>
      <c r="AY41" s="2056">
        <f>HN!BO44</f>
        <v>51</v>
      </c>
      <c r="AZ41" s="2056">
        <f>HN!BP44</f>
        <v>53</v>
      </c>
      <c r="BA41" s="2056">
        <f>HN!BQ44</f>
        <v>52</v>
      </c>
      <c r="BB41" s="2056">
        <f>HN!BR44</f>
        <v>53</v>
      </c>
      <c r="BC41" s="2056">
        <f>HN!BS44</f>
        <v>54</v>
      </c>
      <c r="BD41" s="2056">
        <f>HN!BT44</f>
        <v>51</v>
      </c>
      <c r="BE41" s="2056">
        <f>HN!BU44</f>
        <v>41</v>
      </c>
      <c r="BF41" s="2056">
        <f>HN!BV44</f>
        <v>0</v>
      </c>
      <c r="BG41" s="2056">
        <f>HN!BW44</f>
        <v>0</v>
      </c>
      <c r="BH41" s="2056">
        <f>HN!BX44</f>
        <v>0</v>
      </c>
      <c r="BI41" s="2056">
        <f>HN!BY44</f>
        <v>0</v>
      </c>
      <c r="BJ41" s="2056">
        <f>HN!BZ44</f>
        <v>0</v>
      </c>
      <c r="BK41" s="988"/>
      <c r="BL41" s="989"/>
      <c r="BO41" s="983"/>
    </row>
    <row r="42" spans="2:67" s="983" customFormat="1" ht="13.5" customHeight="1">
      <c r="B42" s="991"/>
      <c r="C42" s="1043" t="s">
        <v>138</v>
      </c>
      <c r="D42" s="2060">
        <f t="shared" si="14"/>
        <v>5453</v>
      </c>
      <c r="E42" s="2061"/>
      <c r="F42" s="2061"/>
      <c r="G42" s="2061"/>
      <c r="H42" s="2061">
        <f>HN!U46</f>
        <v>26</v>
      </c>
      <c r="I42" s="2061">
        <f>HN!V46</f>
        <v>93</v>
      </c>
      <c r="J42" s="2061">
        <f>HN!W46</f>
        <v>150</v>
      </c>
      <c r="K42" s="2062">
        <f>HN!X46</f>
        <v>202</v>
      </c>
      <c r="L42" s="2062">
        <f>HN!Y46</f>
        <v>231</v>
      </c>
      <c r="M42" s="2061">
        <f>HN!Z46</f>
        <v>259</v>
      </c>
      <c r="N42" s="2062">
        <f>HN!AA46</f>
        <v>305</v>
      </c>
      <c r="O42" s="2062">
        <f>HN!AB46</f>
        <v>343</v>
      </c>
      <c r="P42" s="2062">
        <f>HN!AC46</f>
        <v>382</v>
      </c>
      <c r="Q42" s="2062">
        <f>HN!AD46</f>
        <v>484</v>
      </c>
      <c r="R42" s="2062">
        <f>HN!AE46</f>
        <v>471</v>
      </c>
      <c r="S42" s="2062">
        <f>HN!AF46</f>
        <v>431</v>
      </c>
      <c r="T42" s="2062">
        <f>HN!AG46</f>
        <v>388</v>
      </c>
      <c r="U42" s="2062">
        <f>HN!AH46</f>
        <v>447</v>
      </c>
      <c r="V42" s="2062">
        <f>HN!AI46</f>
        <v>489</v>
      </c>
      <c r="W42" s="2062">
        <f>HN!AJ46</f>
        <v>519</v>
      </c>
      <c r="X42" s="2062">
        <f>HN!AK46</f>
        <v>518</v>
      </c>
      <c r="Y42" s="2062">
        <f>HN!AL46</f>
        <v>589</v>
      </c>
      <c r="Z42" s="2062">
        <f>HN!AM46</f>
        <v>652</v>
      </c>
      <c r="AA42" s="2062">
        <f>HN!AN46</f>
        <v>735</v>
      </c>
      <c r="AB42" s="2062">
        <f>HN!AO46</f>
        <v>860</v>
      </c>
      <c r="AC42" s="2062">
        <f>HN!AP46</f>
        <v>979</v>
      </c>
      <c r="AD42" s="2062">
        <v>1503</v>
      </c>
      <c r="AE42" s="2062">
        <v>1459</v>
      </c>
      <c r="AF42" s="2062">
        <v>1485</v>
      </c>
      <c r="AG42" s="2062">
        <v>1485</v>
      </c>
      <c r="AH42" s="2062">
        <v>1572</v>
      </c>
      <c r="AI42" s="2062">
        <v>1732</v>
      </c>
      <c r="AJ42" s="2062">
        <v>1852</v>
      </c>
      <c r="AK42" s="2062">
        <v>2108</v>
      </c>
      <c r="AL42" s="2062">
        <v>2192</v>
      </c>
      <c r="AM42" s="2062">
        <v>2219</v>
      </c>
      <c r="AN42" s="2062">
        <v>2130</v>
      </c>
      <c r="AO42" s="2062">
        <f>HN!BE46</f>
        <v>2259</v>
      </c>
      <c r="AP42" s="2062">
        <f>HN!BF46</f>
        <v>2385</v>
      </c>
      <c r="AQ42" s="2062">
        <f>HN!BG46</f>
        <v>2733</v>
      </c>
      <c r="AR42" s="2062">
        <f>HN!BH46</f>
        <v>3526</v>
      </c>
      <c r="AS42" s="2062">
        <f>HN!BI46</f>
        <v>3957</v>
      </c>
      <c r="AT42" s="2062">
        <f>HN!BJ46</f>
        <v>4470</v>
      </c>
      <c r="AU42" s="2062">
        <f>HN!BK46</f>
        <v>5082</v>
      </c>
      <c r="AV42" s="2055">
        <f>HN!BL46</f>
        <v>5596</v>
      </c>
      <c r="AW42" s="2055">
        <f>HN!BM46</f>
        <v>5596</v>
      </c>
      <c r="AX42" s="2055">
        <f>HN!BN46</f>
        <v>6701</v>
      </c>
      <c r="AY42" s="2055">
        <f>HN!BO46</f>
        <v>6810</v>
      </c>
      <c r="AZ42" s="2055">
        <f>HN!BP46</f>
        <v>5112</v>
      </c>
      <c r="BA42" s="2055">
        <f>HN!BQ46</f>
        <v>5243</v>
      </c>
      <c r="BB42" s="2055">
        <f>HN!BR46</f>
        <v>4730</v>
      </c>
      <c r="BC42" s="2055">
        <f>HN!BS46</f>
        <v>4944</v>
      </c>
      <c r="BD42" s="2055">
        <f>HN!BT46</f>
        <v>5524</v>
      </c>
      <c r="BE42" s="2055">
        <f>HN!BU46</f>
        <v>5453</v>
      </c>
      <c r="BF42" s="2055">
        <f>HN!BV46</f>
        <v>0</v>
      </c>
      <c r="BG42" s="2055">
        <f>HN!BW46</f>
        <v>0</v>
      </c>
      <c r="BH42" s="2055">
        <f>HN!BX46</f>
        <v>0</v>
      </c>
      <c r="BI42" s="2055">
        <f>HN!BY46</f>
        <v>0</v>
      </c>
      <c r="BJ42" s="2055">
        <f>HN!BZ46</f>
        <v>0</v>
      </c>
      <c r="BK42" s="1969">
        <f>IF(Plan!BO51=0,"",Plan!$BO$51)</f>
        <v>6918.5275745881127</v>
      </c>
      <c r="BL42" s="1044"/>
      <c r="BN42" s="897"/>
    </row>
    <row r="43" spans="2:67" s="1045" customFormat="1" ht="13.5" customHeight="1">
      <c r="B43" s="1046"/>
      <c r="C43" s="997" t="s">
        <v>287</v>
      </c>
      <c r="D43" s="1964">
        <f>+D42/Plan!C51</f>
        <v>0.78817348651308061</v>
      </c>
      <c r="E43" s="1965"/>
      <c r="F43" s="1965"/>
      <c r="G43" s="1965"/>
      <c r="H43" s="1965"/>
      <c r="I43" s="1965"/>
      <c r="J43" s="1965"/>
      <c r="K43" s="1965"/>
      <c r="L43" s="1966"/>
      <c r="M43" s="1967">
        <f>IF(Plan!L51&lt;&gt;0,M42/Plan!L51,"")</f>
        <v>0.86333333333333329</v>
      </c>
      <c r="N43" s="1967">
        <f>IF(Plan!M51&lt;&gt;0,N42/Plan!M51,"")</f>
        <v>0.89181286549707606</v>
      </c>
      <c r="O43" s="1967">
        <f>IF(Plan!N51&lt;&gt;0,O42/Plan!N51,"")</f>
        <v>0.92953929539295388</v>
      </c>
      <c r="P43" s="1967">
        <f>IF(Plan!O51&lt;&gt;0,P42/Plan!O51,"")</f>
        <v>0.92718446601941751</v>
      </c>
      <c r="Q43" s="1967">
        <f>IF(Plan!P51&lt;&gt;0,Q42/Plan!P51,"")</f>
        <v>1.0590809628008753</v>
      </c>
      <c r="R43" s="1967">
        <f>IF(Plan!Q51&lt;&gt;0,R42/Plan!Q51,"")</f>
        <v>1.319327731092437</v>
      </c>
      <c r="S43" s="1967">
        <f>IF(Plan!R51&lt;&gt;0,S42/Plan!R51,"")</f>
        <v>1.2209631728045325</v>
      </c>
      <c r="T43" s="1967">
        <f>IF(Plan!S51&lt;&gt;0,T42/Plan!S51,"")</f>
        <v>1.0237467018469657</v>
      </c>
      <c r="U43" s="1967">
        <f>IF(Plan!T51&lt;&gt;0,U42/Plan!T51,"")</f>
        <v>0.99333333333333329</v>
      </c>
      <c r="V43" s="1967">
        <f>IF(Plan!U51&lt;&gt;0,V42/Plan!U51,"")</f>
        <v>0.92438563327032142</v>
      </c>
      <c r="W43" s="1967">
        <f>IF(Plan!V51&lt;&gt;0,W42/Plan!V51,"")</f>
        <v>0.86069651741293529</v>
      </c>
      <c r="X43" s="1967">
        <f>IF(Plan!W51&lt;&gt;0,X42/Plan!W51,"")</f>
        <v>0.77777777777777779</v>
      </c>
      <c r="Y43" s="1967">
        <f>IF(Plan!X51&lt;&gt;0,Y42/Plan!X51,"")</f>
        <v>0.82262569832402233</v>
      </c>
      <c r="Z43" s="1967">
        <f>IF(Plan!Y51&lt;&gt;0,Z42/Plan!Y51,"")</f>
        <v>0.86817576564580556</v>
      </c>
      <c r="AA43" s="1967">
        <f>IF(Plan!Z51&lt;&gt;0,AA42/Plan!Z51,"")</f>
        <v>0.94110115236875802</v>
      </c>
      <c r="AB43" s="1967">
        <f>IF(Plan!AA51&lt;&gt;0,AB42/Plan!AA51,"")</f>
        <v>1.0630407911001236</v>
      </c>
      <c r="AC43" s="1967">
        <f>IF(Plan!AB51&lt;&gt;0,AC42/Plan!AB51,"")</f>
        <v>1.1738609112709832</v>
      </c>
      <c r="AD43" s="1967">
        <v>1.0459290187891441</v>
      </c>
      <c r="AE43" s="1967">
        <v>0.88263762855414396</v>
      </c>
      <c r="AF43" s="1967">
        <v>0.81414473684210531</v>
      </c>
      <c r="AG43" s="1967">
        <v>0.71600771456123435</v>
      </c>
      <c r="AH43" s="1967">
        <v>0.68407310704960833</v>
      </c>
      <c r="AI43" s="1967">
        <v>0.69670152855993561</v>
      </c>
      <c r="AJ43" s="1967">
        <v>0.67640613586559528</v>
      </c>
      <c r="AK43" s="1967">
        <v>0.70714525327071454</v>
      </c>
      <c r="AL43" s="1967">
        <v>0.70143999999999995</v>
      </c>
      <c r="AM43" s="1967">
        <v>1.0113947128532361</v>
      </c>
      <c r="AN43" s="1967">
        <v>1.0123574144486691</v>
      </c>
      <c r="AO43" s="1967">
        <f>IF(Plan!AQ51&lt;&gt;0,$AO$42/Plan!AQ51,"")</f>
        <v>1.0263516583371195</v>
      </c>
      <c r="AP43" s="1968">
        <f>IF(Plan!AR51&lt;&gt;0,AP42/Plan!AR51,"")</f>
        <v>1.0289042277825713</v>
      </c>
      <c r="AQ43" s="1968">
        <f>IF(Plan!AS51&lt;&gt;0,AQ42/Plan!AS51,"")</f>
        <v>1.0642523364485981</v>
      </c>
      <c r="AR43" s="1968">
        <f>IF(Plan!AT51&lt;&gt;0,AR42/Plan!AT51,"")</f>
        <v>1.178082191780822</v>
      </c>
      <c r="AS43" s="1968">
        <f>IF(Plan!AU51&lt;&gt;0,AS42/Plan!AU51,"")</f>
        <v>1.0335075312845627</v>
      </c>
      <c r="AT43" s="1968">
        <f>IF(Plan!AV51&lt;&gt;0,AT42/Plan!AV51,"")</f>
        <v>1.0770072020649804</v>
      </c>
      <c r="AU43" s="1968">
        <f>IF(Plan!AW51&lt;&gt;0,AU42/Plan!AW51,"")</f>
        <v>1.1296871740504062</v>
      </c>
      <c r="AV43" s="794">
        <f>IF(Plan!AX51&lt;&gt;0,AV42/Plan!AX51,"")</f>
        <v>1.1720139441504791</v>
      </c>
      <c r="AW43" s="794">
        <f>IF(Plan!AY51&lt;&gt;0,AW42/Plan!AY51,"")</f>
        <v>1.0860622034328096</v>
      </c>
      <c r="AX43" s="794">
        <f>IF(Plan!AZ51&lt;&gt;0,AX42/Plan!AZ51,"")</f>
        <v>1.220797933501121</v>
      </c>
      <c r="AY43" s="794">
        <f>IF(Plan!BA51&lt;&gt;0,AY42/Plan!BA51,"")</f>
        <v>1.1576206559263968</v>
      </c>
      <c r="AZ43" s="794">
        <f>IF(Plan!BB51&lt;&gt;0,AZ42/Plan!BB51,"")</f>
        <v>0.90995160597069857</v>
      </c>
      <c r="BA43" s="794">
        <f>IF(Plan!BC51&lt;&gt;0,BA42/Plan!BC51,"")</f>
        <v>0.91832042783248002</v>
      </c>
      <c r="BB43" s="794">
        <f>IF(Plan!BD51&lt;&gt;0,BB42/Plan!BD51,"")</f>
        <v>0.81055080235565702</v>
      </c>
      <c r="BC43" s="794">
        <f>IF(Plan!BE51&lt;&gt;0,BC42/Plan!BE51,"")</f>
        <v>0.80121148034551892</v>
      </c>
      <c r="BD43" s="794">
        <f>IF(Plan!BF51&lt;&gt;0,BD42/Plan!BF51,"")</f>
        <v>0.82208985626878583</v>
      </c>
      <c r="BE43" s="794">
        <f>IF(Plan!BG51&lt;&gt;0,BE42/Plan!BG51,"")</f>
        <v>0.78817348651308061</v>
      </c>
      <c r="BF43" s="794">
        <f>IF(Plan!BH51&lt;&gt;0,BF42/Plan!BH51,"")</f>
        <v>0</v>
      </c>
      <c r="BG43" s="794">
        <f>IF(Plan!BI51&lt;&gt;0,BG42/Plan!BI51,"")</f>
        <v>0</v>
      </c>
      <c r="BH43" s="794">
        <f>IF(Plan!BJ51&lt;&gt;0,BH42/Plan!BJ51,"")</f>
        <v>0</v>
      </c>
      <c r="BI43" s="794">
        <f>IF(Plan!BK51&lt;&gt;0,BI42/Plan!BK51,"")</f>
        <v>0</v>
      </c>
      <c r="BJ43" s="794">
        <f>IF(Plan!BL51&lt;&gt;0,BJ42/Plan!BL51,"")</f>
        <v>0</v>
      </c>
      <c r="BK43" s="866"/>
      <c r="BL43" s="1049"/>
    </row>
    <row r="44" spans="2:67" s="983" customFormat="1" ht="18" customHeight="1">
      <c r="B44" s="984"/>
      <c r="C44" s="1050"/>
      <c r="D44" s="1001"/>
      <c r="E44" s="1001"/>
      <c r="F44" s="1001"/>
      <c r="G44" s="1001"/>
      <c r="H44" s="1047"/>
      <c r="I44" s="1047"/>
      <c r="J44" s="1047"/>
      <c r="K44" s="1047"/>
      <c r="L44" s="1047"/>
      <c r="M44" s="1047"/>
      <c r="N44" s="1001"/>
      <c r="O44" s="1001"/>
      <c r="P44" s="1001"/>
      <c r="Q44" s="1001"/>
      <c r="R44" s="1001"/>
      <c r="S44" s="1001"/>
      <c r="T44" s="1001"/>
      <c r="U44" s="1001"/>
      <c r="V44" s="1001"/>
      <c r="W44" s="1001"/>
      <c r="X44" s="1001"/>
      <c r="Y44" s="1001"/>
      <c r="Z44" s="1001"/>
      <c r="AA44" s="1001"/>
      <c r="AB44" s="1001"/>
      <c r="AC44" s="987"/>
      <c r="AD44" s="987"/>
      <c r="AE44" s="987"/>
      <c r="AF44" s="987"/>
      <c r="AG44" s="987"/>
      <c r="AH44" s="987"/>
      <c r="AI44" s="987"/>
      <c r="AJ44" s="987"/>
      <c r="AK44" s="987"/>
      <c r="AL44" s="987"/>
      <c r="AM44" s="987"/>
      <c r="AN44" s="987"/>
      <c r="AO44" s="987"/>
      <c r="AP44" s="982"/>
      <c r="AQ44" s="982"/>
      <c r="AR44" s="982"/>
      <c r="AS44" s="982"/>
      <c r="AT44" s="982"/>
      <c r="AU44" s="982"/>
      <c r="AV44" s="982"/>
      <c r="AW44" s="982"/>
      <c r="AX44" s="982"/>
      <c r="AY44" s="982"/>
      <c r="AZ44" s="982"/>
      <c r="BA44" s="982"/>
      <c r="BB44" s="982"/>
      <c r="BC44" s="982"/>
      <c r="BD44" s="982"/>
      <c r="BE44" s="982"/>
      <c r="BF44" s="982"/>
      <c r="BG44" s="982"/>
      <c r="BH44" s="982"/>
      <c r="BI44" s="982"/>
      <c r="BJ44" s="982"/>
      <c r="BK44" s="1731">
        <f>BK5</f>
        <v>42947</v>
      </c>
      <c r="BL44" s="989"/>
    </row>
    <row r="45" spans="2:67" s="983" customFormat="1" ht="20.25" customHeight="1">
      <c r="B45" s="984"/>
      <c r="C45" s="1009" t="s">
        <v>232</v>
      </c>
      <c r="D45" s="1051" t="str">
        <f>D6</f>
        <v>YTD'17</v>
      </c>
      <c r="E45" s="1039"/>
      <c r="F45" s="1051" t="s">
        <v>98</v>
      </c>
      <c r="G45" s="1051" t="s">
        <v>34</v>
      </c>
      <c r="H45" s="1052" t="s">
        <v>35</v>
      </c>
      <c r="I45" s="1052" t="s">
        <v>36</v>
      </c>
      <c r="J45" s="1052" t="s">
        <v>37</v>
      </c>
      <c r="K45" s="1053" t="s">
        <v>266</v>
      </c>
      <c r="L45" s="1053" t="s">
        <v>291</v>
      </c>
      <c r="M45" s="1052" t="s">
        <v>40</v>
      </c>
      <c r="N45" s="1053" t="s">
        <v>41</v>
      </c>
      <c r="O45" s="1053" t="s">
        <v>42</v>
      </c>
      <c r="P45" s="1053" t="str">
        <f t="shared" ref="P45:U45" si="15">P6</f>
        <v>Nov</v>
      </c>
      <c r="Q45" s="1053" t="str">
        <f t="shared" si="15"/>
        <v>Dec</v>
      </c>
      <c r="R45" s="1053" t="str">
        <f t="shared" si="15"/>
        <v>Jan'14</v>
      </c>
      <c r="S45" s="1053" t="str">
        <f t="shared" si="15"/>
        <v>Feb'14</v>
      </c>
      <c r="T45" s="1053" t="str">
        <f t="shared" si="15"/>
        <v>Mar'14</v>
      </c>
      <c r="U45" s="1053" t="str">
        <f t="shared" si="15"/>
        <v>Apr'14</v>
      </c>
      <c r="V45" s="1053" t="str">
        <f>V6</f>
        <v>May'14</v>
      </c>
      <c r="W45" s="1053" t="str">
        <f>W6</f>
        <v>Jun'14</v>
      </c>
      <c r="X45" s="1053" t="s">
        <v>795</v>
      </c>
      <c r="Y45" s="1053" t="str">
        <f>Y16</f>
        <v>Aug'14</v>
      </c>
      <c r="Z45" s="1053" t="s">
        <v>860</v>
      </c>
      <c r="AA45" s="1053" t="s">
        <v>899</v>
      </c>
      <c r="AB45" s="1053" t="s">
        <v>948</v>
      </c>
      <c r="AC45" s="1073" t="s">
        <v>1013</v>
      </c>
      <c r="AD45" s="1073" t="str">
        <f>AD35</f>
        <v>Apr-15</v>
      </c>
      <c r="AE45" s="1073" t="str">
        <f t="shared" ref="AE45:AX45" si="16">AE35</f>
        <v>May-15</v>
      </c>
      <c r="AF45" s="1771">
        <f t="shared" si="16"/>
        <v>42185</v>
      </c>
      <c r="AG45" s="1771">
        <f t="shared" si="16"/>
        <v>42216</v>
      </c>
      <c r="AH45" s="1771">
        <f t="shared" si="16"/>
        <v>42247</v>
      </c>
      <c r="AI45" s="1771">
        <f t="shared" si="16"/>
        <v>42277</v>
      </c>
      <c r="AJ45" s="1771">
        <f t="shared" si="16"/>
        <v>42308</v>
      </c>
      <c r="AK45" s="1771">
        <f t="shared" si="16"/>
        <v>42338</v>
      </c>
      <c r="AL45" s="1771">
        <f t="shared" si="16"/>
        <v>42369</v>
      </c>
      <c r="AM45" s="1771">
        <f t="shared" si="16"/>
        <v>42400</v>
      </c>
      <c r="AN45" s="1771">
        <f t="shared" si="16"/>
        <v>42429</v>
      </c>
      <c r="AO45" s="1771">
        <f t="shared" si="16"/>
        <v>42460</v>
      </c>
      <c r="AP45" s="1771">
        <f t="shared" si="16"/>
        <v>42490</v>
      </c>
      <c r="AQ45" s="1771">
        <f t="shared" si="16"/>
        <v>42521</v>
      </c>
      <c r="AR45" s="1771">
        <f t="shared" si="16"/>
        <v>42551</v>
      </c>
      <c r="AS45" s="1771">
        <f t="shared" si="16"/>
        <v>42582</v>
      </c>
      <c r="AT45" s="1771">
        <f t="shared" si="16"/>
        <v>42613</v>
      </c>
      <c r="AU45" s="1771">
        <f t="shared" si="16"/>
        <v>42643</v>
      </c>
      <c r="AV45" s="1771">
        <f t="shared" si="16"/>
        <v>42674</v>
      </c>
      <c r="AW45" s="1771">
        <f>AW35</f>
        <v>42704</v>
      </c>
      <c r="AX45" s="1771">
        <f t="shared" si="16"/>
        <v>42735</v>
      </c>
      <c r="AY45" s="1771">
        <v>42766</v>
      </c>
      <c r="AZ45" s="1771">
        <v>42794</v>
      </c>
      <c r="BA45" s="1771">
        <v>42825</v>
      </c>
      <c r="BB45" s="1771">
        <v>42855</v>
      </c>
      <c r="BC45" s="1771">
        <v>42886</v>
      </c>
      <c r="BD45" s="1771">
        <v>42916</v>
      </c>
      <c r="BE45" s="1771">
        <v>42947</v>
      </c>
      <c r="BF45" s="1771">
        <v>42978</v>
      </c>
      <c r="BG45" s="1771">
        <v>43008</v>
      </c>
      <c r="BH45" s="1771">
        <v>43039</v>
      </c>
      <c r="BI45" s="1771">
        <v>43069</v>
      </c>
      <c r="BJ45" s="1771">
        <v>43100</v>
      </c>
      <c r="BK45" s="1688" t="str">
        <f>BK35</f>
        <v>Target</v>
      </c>
      <c r="BL45" s="989"/>
    </row>
    <row r="46" spans="2:67" s="983" customFormat="1" ht="13.5" customHeight="1">
      <c r="B46" s="984"/>
      <c r="C46" s="985" t="s">
        <v>155</v>
      </c>
      <c r="D46" s="2053">
        <f>HN!C50</f>
        <v>3</v>
      </c>
      <c r="E46" s="2053"/>
      <c r="F46" s="2053"/>
      <c r="G46" s="2053"/>
      <c r="H46" s="2053"/>
      <c r="I46" s="2053"/>
      <c r="J46" s="2053"/>
      <c r="K46" s="2056"/>
      <c r="L46" s="2056"/>
      <c r="M46" s="2053"/>
      <c r="N46" s="2056"/>
      <c r="O46" s="2056"/>
      <c r="P46" s="2056"/>
      <c r="Q46" s="2056"/>
      <c r="R46" s="2056"/>
      <c r="S46" s="2056"/>
      <c r="T46" s="2056"/>
      <c r="U46" s="2056"/>
      <c r="V46" s="2056"/>
      <c r="W46" s="2056"/>
      <c r="X46" s="2056"/>
      <c r="Y46" s="2056"/>
      <c r="Z46" s="2056"/>
      <c r="AA46" s="2056"/>
      <c r="AB46" s="2056">
        <f>HN!AO50</f>
        <v>5</v>
      </c>
      <c r="AC46" s="2056">
        <f>HN!AP50</f>
        <v>3</v>
      </c>
      <c r="AD46" s="2056">
        <v>1</v>
      </c>
      <c r="AE46" s="2056">
        <v>1</v>
      </c>
      <c r="AF46" s="2056">
        <v>0</v>
      </c>
      <c r="AG46" s="2056">
        <v>0</v>
      </c>
      <c r="AH46" s="2056">
        <v>0</v>
      </c>
      <c r="AI46" s="2056">
        <v>0</v>
      </c>
      <c r="AJ46" s="2056">
        <v>0</v>
      </c>
      <c r="AK46" s="2056">
        <v>0</v>
      </c>
      <c r="AL46" s="2056">
        <v>0</v>
      </c>
      <c r="AM46" s="2056">
        <v>0</v>
      </c>
      <c r="AN46" s="2056">
        <v>0</v>
      </c>
      <c r="AO46" s="2056">
        <f>HN!BE50</f>
        <v>0</v>
      </c>
      <c r="AP46" s="2056">
        <f>HN!BF50</f>
        <v>0</v>
      </c>
      <c r="AQ46" s="2056">
        <f>HN!BG50</f>
        <v>0</v>
      </c>
      <c r="AR46" s="2056">
        <f>HN!BH50</f>
        <v>0</v>
      </c>
      <c r="AS46" s="2056">
        <f>HN!BI50</f>
        <v>0</v>
      </c>
      <c r="AT46" s="2056">
        <f>HN!BJ50</f>
        <v>0</v>
      </c>
      <c r="AU46" s="2056">
        <f>HN!BK50</f>
        <v>0</v>
      </c>
      <c r="AV46" s="2056">
        <f>HN!BL50</f>
        <v>0</v>
      </c>
      <c r="AW46" s="2056">
        <f>HN!BM50</f>
        <v>0</v>
      </c>
      <c r="AX46" s="2056">
        <f>HN!BN50</f>
        <v>0</v>
      </c>
      <c r="AY46" s="2056">
        <f>HN!BO50</f>
        <v>0</v>
      </c>
      <c r="AZ46" s="2056">
        <f>HN!BP50</f>
        <v>1</v>
      </c>
      <c r="BA46" s="2056">
        <f>HN!BQ50</f>
        <v>0</v>
      </c>
      <c r="BB46" s="2056">
        <f>HN!BR50</f>
        <v>0</v>
      </c>
      <c r="BC46" s="2056">
        <f>HN!BS50</f>
        <v>0</v>
      </c>
      <c r="BD46" s="2056">
        <f>HN!BT50</f>
        <v>2</v>
      </c>
      <c r="BE46" s="2056">
        <f>HN!BU50</f>
        <v>0</v>
      </c>
      <c r="BF46" s="2056">
        <f>HN!BV50</f>
        <v>0</v>
      </c>
      <c r="BG46" s="2056">
        <f>HN!BW50</f>
        <v>0</v>
      </c>
      <c r="BH46" s="2056">
        <f>HN!BX50</f>
        <v>0</v>
      </c>
      <c r="BI46" s="2056">
        <f>HN!BY50</f>
        <v>0</v>
      </c>
      <c r="BJ46" s="2056">
        <f>HN!BZ50</f>
        <v>0</v>
      </c>
      <c r="BK46" s="988"/>
      <c r="BL46" s="989"/>
    </row>
    <row r="47" spans="2:67" s="983" customFormat="1" ht="13.5" customHeight="1">
      <c r="B47" s="984"/>
      <c r="C47" s="985" t="s">
        <v>156</v>
      </c>
      <c r="D47" s="2053">
        <f>HN!C51</f>
        <v>206</v>
      </c>
      <c r="E47" s="2053"/>
      <c r="F47" s="2053"/>
      <c r="G47" s="2053"/>
      <c r="H47" s="2053">
        <f>HN!U51</f>
        <v>7</v>
      </c>
      <c r="I47" s="2053">
        <f>HN!V51</f>
        <v>18</v>
      </c>
      <c r="J47" s="2053">
        <f>HN!W51</f>
        <v>10</v>
      </c>
      <c r="K47" s="2056">
        <f>HN!X51</f>
        <v>7</v>
      </c>
      <c r="L47" s="2056">
        <f>HN!Y51</f>
        <v>1</v>
      </c>
      <c r="M47" s="2053">
        <f>HN!Z51</f>
        <v>3</v>
      </c>
      <c r="N47" s="2056">
        <f>HN!AA51</f>
        <v>6</v>
      </c>
      <c r="O47" s="2056">
        <f>HN!AB51</f>
        <v>1</v>
      </c>
      <c r="P47" s="2056">
        <f>HN!AC51</f>
        <v>5</v>
      </c>
      <c r="Q47" s="2056">
        <f>HN!AD51</f>
        <v>2</v>
      </c>
      <c r="R47" s="2056">
        <f>HN!AE51</f>
        <v>3</v>
      </c>
      <c r="S47" s="2056">
        <f>HN!AF51</f>
        <v>0</v>
      </c>
      <c r="T47" s="2056">
        <f>HN!AG51</f>
        <v>2</v>
      </c>
      <c r="U47" s="2056">
        <f>HN!AH51</f>
        <v>12</v>
      </c>
      <c r="V47" s="2056">
        <f>HN!AI51</f>
        <v>14</v>
      </c>
      <c r="W47" s="2056">
        <f>HN!AJ51</f>
        <v>22</v>
      </c>
      <c r="X47" s="2056">
        <f>HN!AK51</f>
        <v>4</v>
      </c>
      <c r="Y47" s="2056">
        <f>HN!AL51</f>
        <v>9</v>
      </c>
      <c r="Z47" s="2056">
        <f>HN!AM51</f>
        <v>13</v>
      </c>
      <c r="AA47" s="2056">
        <f>HN!AN51</f>
        <v>8</v>
      </c>
      <c r="AB47" s="2056">
        <f>HN!AO51</f>
        <v>27</v>
      </c>
      <c r="AC47" s="2056">
        <f>HN!AP51</f>
        <v>20</v>
      </c>
      <c r="AD47" s="2056">
        <v>33</v>
      </c>
      <c r="AE47" s="2056">
        <v>23</v>
      </c>
      <c r="AF47" s="2056">
        <v>28</v>
      </c>
      <c r="AG47" s="2056">
        <v>25</v>
      </c>
      <c r="AH47" s="2056">
        <v>31</v>
      </c>
      <c r="AI47" s="2056">
        <v>48</v>
      </c>
      <c r="AJ47" s="2056">
        <v>28</v>
      </c>
      <c r="AK47" s="2056">
        <v>40</v>
      </c>
      <c r="AL47" s="2056">
        <v>24</v>
      </c>
      <c r="AM47" s="2056">
        <v>7</v>
      </c>
      <c r="AN47" s="2056">
        <v>5</v>
      </c>
      <c r="AO47" s="2056">
        <f>HN!BE51</f>
        <v>22</v>
      </c>
      <c r="AP47" s="2056">
        <f>HN!BF51</f>
        <v>36</v>
      </c>
      <c r="AQ47" s="2056">
        <f>HN!BG51</f>
        <v>67</v>
      </c>
      <c r="AR47" s="2056">
        <f>HN!BH51</f>
        <v>102</v>
      </c>
      <c r="AS47" s="2056">
        <f>HN!BI51</f>
        <v>62</v>
      </c>
      <c r="AT47" s="2056">
        <f>HN!BJ51</f>
        <v>61</v>
      </c>
      <c r="AU47" s="2056">
        <f>HN!BK51</f>
        <v>98</v>
      </c>
      <c r="AV47" s="2056">
        <f>HN!BL51</f>
        <v>90</v>
      </c>
      <c r="AW47" s="2056">
        <f>HN!BM51</f>
        <v>90</v>
      </c>
      <c r="AX47" s="2056">
        <f>HN!BN51</f>
        <v>84</v>
      </c>
      <c r="AY47" s="2056">
        <f>HN!BO51</f>
        <v>30</v>
      </c>
      <c r="AZ47" s="2056">
        <f>HN!BP51</f>
        <v>48</v>
      </c>
      <c r="BA47" s="2056">
        <f>HN!BQ51</f>
        <v>27</v>
      </c>
      <c r="BB47" s="2056">
        <f>HN!BR51</f>
        <v>27</v>
      </c>
      <c r="BC47" s="2056">
        <f>HN!BS51</f>
        <v>23</v>
      </c>
      <c r="BD47" s="2056">
        <f>HN!BT51</f>
        <v>28</v>
      </c>
      <c r="BE47" s="2056">
        <f>HN!BU51</f>
        <v>23</v>
      </c>
      <c r="BF47" s="2056">
        <f>HN!BV51</f>
        <v>0</v>
      </c>
      <c r="BG47" s="2056">
        <f>HN!BW51</f>
        <v>0</v>
      </c>
      <c r="BH47" s="2056">
        <f>HN!BX51</f>
        <v>0</v>
      </c>
      <c r="BI47" s="2056">
        <f>HN!BY51</f>
        <v>0</v>
      </c>
      <c r="BJ47" s="2056">
        <f>HN!BZ51</f>
        <v>0</v>
      </c>
      <c r="BK47" s="988"/>
      <c r="BL47" s="989"/>
    </row>
    <row r="48" spans="2:67" s="983" customFormat="1" ht="13.5" customHeight="1">
      <c r="B48" s="984"/>
      <c r="C48" s="985" t="s">
        <v>157</v>
      </c>
      <c r="D48" s="2053">
        <f>HN!C52</f>
        <v>51</v>
      </c>
      <c r="E48" s="2053"/>
      <c r="F48" s="2053"/>
      <c r="G48" s="2053"/>
      <c r="H48" s="2053">
        <f>HN!U52</f>
        <v>3</v>
      </c>
      <c r="I48" s="2053">
        <f>HN!V52</f>
        <v>4</v>
      </c>
      <c r="J48" s="2053">
        <f>HN!W52</f>
        <v>4</v>
      </c>
      <c r="K48" s="2056">
        <f>HN!X52</f>
        <v>3</v>
      </c>
      <c r="L48" s="2056">
        <f>HN!Y52</f>
        <v>0</v>
      </c>
      <c r="M48" s="2053">
        <f>HN!Z52</f>
        <v>0</v>
      </c>
      <c r="N48" s="2056">
        <f>HN!AA52</f>
        <v>2</v>
      </c>
      <c r="O48" s="2056">
        <f>HN!AB52</f>
        <v>1</v>
      </c>
      <c r="P48" s="2056">
        <f>HN!AC52</f>
        <v>1</v>
      </c>
      <c r="Q48" s="2056">
        <f>HN!AD52</f>
        <v>0</v>
      </c>
      <c r="R48" s="2056">
        <f>HN!AE52</f>
        <v>1</v>
      </c>
      <c r="S48" s="2056">
        <f>HN!AF52</f>
        <v>0</v>
      </c>
      <c r="T48" s="2056">
        <f>HN!AG52</f>
        <v>1</v>
      </c>
      <c r="U48" s="2056">
        <f>HN!AH52</f>
        <v>5</v>
      </c>
      <c r="V48" s="2056">
        <f>HN!AI52</f>
        <v>4</v>
      </c>
      <c r="W48" s="2056">
        <f>HN!AJ52</f>
        <v>4</v>
      </c>
      <c r="X48" s="2056">
        <f>HN!AK52</f>
        <v>1</v>
      </c>
      <c r="Y48" s="2056">
        <f>HN!AL52</f>
        <v>6</v>
      </c>
      <c r="Z48" s="2056">
        <f>HN!AM52</f>
        <v>2</v>
      </c>
      <c r="AA48" s="2056">
        <f>HN!AN52</f>
        <v>2</v>
      </c>
      <c r="AB48" s="2056">
        <f>HN!AO52</f>
        <v>9</v>
      </c>
      <c r="AC48" s="2056">
        <f>HN!AP52</f>
        <v>4</v>
      </c>
      <c r="AD48" s="2056">
        <v>11</v>
      </c>
      <c r="AE48" s="2056">
        <v>8</v>
      </c>
      <c r="AF48" s="2056">
        <v>10</v>
      </c>
      <c r="AG48" s="2056">
        <v>8</v>
      </c>
      <c r="AH48" s="2056">
        <v>6</v>
      </c>
      <c r="AI48" s="2056">
        <v>14</v>
      </c>
      <c r="AJ48" s="2056">
        <v>3</v>
      </c>
      <c r="AK48" s="2056">
        <v>7</v>
      </c>
      <c r="AL48" s="2056">
        <v>6</v>
      </c>
      <c r="AM48" s="2056">
        <v>1</v>
      </c>
      <c r="AN48" s="2056">
        <v>1</v>
      </c>
      <c r="AO48" s="2056">
        <f>HN!BE52</f>
        <v>7</v>
      </c>
      <c r="AP48" s="2056">
        <f>HN!BF52</f>
        <v>16</v>
      </c>
      <c r="AQ48" s="2056">
        <f>HN!BG52</f>
        <v>16</v>
      </c>
      <c r="AR48" s="2056">
        <f>HN!BH52</f>
        <v>22</v>
      </c>
      <c r="AS48" s="2056">
        <f>HN!BI52</f>
        <v>13</v>
      </c>
      <c r="AT48" s="2056">
        <f>HN!BJ52</f>
        <v>14</v>
      </c>
      <c r="AU48" s="2056">
        <f>HN!BK52</f>
        <v>31</v>
      </c>
      <c r="AV48" s="2056">
        <f>HN!BL52</f>
        <v>18</v>
      </c>
      <c r="AW48" s="2056">
        <f>HN!BM52</f>
        <v>18</v>
      </c>
      <c r="AX48" s="2056">
        <f>HN!BN52</f>
        <v>22</v>
      </c>
      <c r="AY48" s="2056">
        <f>HN!BO52</f>
        <v>8</v>
      </c>
      <c r="AZ48" s="2056">
        <f>HN!BP52</f>
        <v>15</v>
      </c>
      <c r="BA48" s="2056">
        <f>HN!BQ52</f>
        <v>10</v>
      </c>
      <c r="BB48" s="2056">
        <f>HN!BR52</f>
        <v>4</v>
      </c>
      <c r="BC48" s="2056">
        <f>HN!BS52</f>
        <v>8</v>
      </c>
      <c r="BD48" s="2056">
        <f>HN!BT52</f>
        <v>2</v>
      </c>
      <c r="BE48" s="2056">
        <f>HN!BU52</f>
        <v>4</v>
      </c>
      <c r="BF48" s="2056">
        <f>HN!BV52</f>
        <v>0</v>
      </c>
      <c r="BG48" s="2056">
        <f>HN!BW52</f>
        <v>0</v>
      </c>
      <c r="BH48" s="2056">
        <f>HN!BX52</f>
        <v>0</v>
      </c>
      <c r="BI48" s="2056">
        <f>HN!BY52</f>
        <v>0</v>
      </c>
      <c r="BJ48" s="2056">
        <f>HN!BZ52</f>
        <v>0</v>
      </c>
      <c r="BK48" s="988"/>
      <c r="BL48" s="989"/>
    </row>
    <row r="49" spans="2:64" s="990" customFormat="1" ht="13.5" customHeight="1">
      <c r="B49" s="984"/>
      <c r="C49" s="985" t="s">
        <v>158</v>
      </c>
      <c r="D49" s="2053">
        <f>HN!C53</f>
        <v>20</v>
      </c>
      <c r="E49" s="2057"/>
      <c r="F49" s="2053"/>
      <c r="G49" s="2053"/>
      <c r="H49" s="2053">
        <f>HN!U53</f>
        <v>1</v>
      </c>
      <c r="I49" s="2053">
        <f>HN!V53</f>
        <v>6</v>
      </c>
      <c r="J49" s="2053">
        <f>HN!W53</f>
        <v>1</v>
      </c>
      <c r="K49" s="2056">
        <f>HN!X53</f>
        <v>0</v>
      </c>
      <c r="L49" s="2056">
        <f>HN!Y53</f>
        <v>0</v>
      </c>
      <c r="M49" s="2053">
        <f>HN!Z53</f>
        <v>1</v>
      </c>
      <c r="N49" s="2056">
        <f>HN!AA53</f>
        <v>0</v>
      </c>
      <c r="O49" s="2056">
        <f>HN!AB53</f>
        <v>1</v>
      </c>
      <c r="P49" s="2056">
        <f>HN!AC53</f>
        <v>1</v>
      </c>
      <c r="Q49" s="2056">
        <f>HN!AD53</f>
        <v>0</v>
      </c>
      <c r="R49" s="2056">
        <f>HN!AE53</f>
        <v>0</v>
      </c>
      <c r="S49" s="2056">
        <f>HN!AF53</f>
        <v>0</v>
      </c>
      <c r="T49" s="2056">
        <f>HN!AG53</f>
        <v>1</v>
      </c>
      <c r="U49" s="2056">
        <f>HN!AH53</f>
        <v>2</v>
      </c>
      <c r="V49" s="2056">
        <f>HN!AI53</f>
        <v>5</v>
      </c>
      <c r="W49" s="2056">
        <f>HN!AJ53</f>
        <v>2</v>
      </c>
      <c r="X49" s="2056">
        <f>HN!AK53</f>
        <v>1</v>
      </c>
      <c r="Y49" s="2056">
        <f>HN!AL53</f>
        <v>1</v>
      </c>
      <c r="Z49" s="2056">
        <f>HN!AM53</f>
        <v>0</v>
      </c>
      <c r="AA49" s="2056">
        <f>HN!AN53</f>
        <v>1</v>
      </c>
      <c r="AB49" s="2056">
        <f>HN!AO53</f>
        <v>5</v>
      </c>
      <c r="AC49" s="2056">
        <f>HN!AP53</f>
        <v>3</v>
      </c>
      <c r="AD49" s="2056">
        <v>2</v>
      </c>
      <c r="AE49" s="2056">
        <v>1</v>
      </c>
      <c r="AF49" s="2056">
        <v>1</v>
      </c>
      <c r="AG49" s="2056">
        <v>1</v>
      </c>
      <c r="AH49" s="2056">
        <v>1</v>
      </c>
      <c r="AI49" s="2056">
        <v>3</v>
      </c>
      <c r="AJ49" s="2056">
        <v>1</v>
      </c>
      <c r="AK49" s="2056">
        <v>2</v>
      </c>
      <c r="AL49" s="2056">
        <v>1</v>
      </c>
      <c r="AM49" s="2056">
        <v>0</v>
      </c>
      <c r="AN49" s="2056">
        <v>1</v>
      </c>
      <c r="AO49" s="2056">
        <f>HN!BE53</f>
        <v>0</v>
      </c>
      <c r="AP49" s="2056">
        <f>HN!BF53</f>
        <v>2</v>
      </c>
      <c r="AQ49" s="2056">
        <f>HN!BG53</f>
        <v>5</v>
      </c>
      <c r="AR49" s="2056">
        <f>HN!BH53</f>
        <v>6</v>
      </c>
      <c r="AS49" s="2056">
        <f>HN!BI53</f>
        <v>3</v>
      </c>
      <c r="AT49" s="2056">
        <f>HN!BJ53</f>
        <v>5</v>
      </c>
      <c r="AU49" s="2056">
        <f>HN!BK53</f>
        <v>15</v>
      </c>
      <c r="AV49" s="2056">
        <f>HN!BL53</f>
        <v>10</v>
      </c>
      <c r="AW49" s="2056">
        <f>HN!BM53</f>
        <v>10</v>
      </c>
      <c r="AX49" s="2056">
        <f>HN!BN53</f>
        <v>4</v>
      </c>
      <c r="AY49" s="2056">
        <f>HN!BO53</f>
        <v>1</v>
      </c>
      <c r="AZ49" s="2056">
        <f>HN!BP53</f>
        <v>8</v>
      </c>
      <c r="BA49" s="2056">
        <f>HN!BQ53</f>
        <v>1</v>
      </c>
      <c r="BB49" s="2056">
        <f>HN!BR53</f>
        <v>1</v>
      </c>
      <c r="BC49" s="2056">
        <f>HN!BS53</f>
        <v>4</v>
      </c>
      <c r="BD49" s="2056">
        <f>HN!BT53</f>
        <v>2</v>
      </c>
      <c r="BE49" s="2056">
        <f>HN!BU53</f>
        <v>3</v>
      </c>
      <c r="BF49" s="2056">
        <f>HN!BV53</f>
        <v>0</v>
      </c>
      <c r="BG49" s="2056">
        <f>HN!BW53</f>
        <v>0</v>
      </c>
      <c r="BH49" s="2056">
        <f>HN!BX53</f>
        <v>0</v>
      </c>
      <c r="BI49" s="2056">
        <f>HN!BY53</f>
        <v>0</v>
      </c>
      <c r="BJ49" s="2056">
        <f>HN!BZ53</f>
        <v>0</v>
      </c>
      <c r="BK49" s="988"/>
      <c r="BL49" s="989"/>
    </row>
    <row r="50" spans="2:64" s="990" customFormat="1" ht="13.5" customHeight="1">
      <c r="B50" s="984"/>
      <c r="C50" s="985" t="s">
        <v>739</v>
      </c>
      <c r="D50" s="2053">
        <f>HN!C54</f>
        <v>9</v>
      </c>
      <c r="E50" s="2057"/>
      <c r="F50" s="2053"/>
      <c r="G50" s="2053"/>
      <c r="H50" s="2053"/>
      <c r="I50" s="2053"/>
      <c r="J50" s="2053"/>
      <c r="K50" s="2056"/>
      <c r="L50" s="2056"/>
      <c r="M50" s="2053"/>
      <c r="N50" s="2056"/>
      <c r="O50" s="2056"/>
      <c r="P50" s="2056"/>
      <c r="Q50" s="2056"/>
      <c r="R50" s="2056"/>
      <c r="S50" s="2056"/>
      <c r="T50" s="2056"/>
      <c r="U50" s="2056"/>
      <c r="V50" s="2056"/>
      <c r="W50" s="2056">
        <f>HN!AJ54</f>
        <v>0</v>
      </c>
      <c r="X50" s="2056">
        <f>HN!AK54</f>
        <v>0</v>
      </c>
      <c r="Y50" s="2056">
        <f>HN!AL54</f>
        <v>1</v>
      </c>
      <c r="Z50" s="2056">
        <f>HN!AM54</f>
        <v>1</v>
      </c>
      <c r="AA50" s="2056">
        <f>HN!AN54</f>
        <v>1</v>
      </c>
      <c r="AB50" s="2056">
        <f>HN!AO54</f>
        <v>1</v>
      </c>
      <c r="AC50" s="2056">
        <f>HN!AP54</f>
        <v>0</v>
      </c>
      <c r="AD50" s="2056">
        <v>2</v>
      </c>
      <c r="AE50" s="2056">
        <v>1</v>
      </c>
      <c r="AF50" s="2056">
        <v>1</v>
      </c>
      <c r="AG50" s="2056">
        <v>2</v>
      </c>
      <c r="AH50" s="2056">
        <v>1</v>
      </c>
      <c r="AI50" s="2056">
        <v>2</v>
      </c>
      <c r="AJ50" s="2056">
        <v>1</v>
      </c>
      <c r="AK50" s="2056">
        <v>0</v>
      </c>
      <c r="AL50" s="2056">
        <v>1</v>
      </c>
      <c r="AM50" s="2056">
        <v>0</v>
      </c>
      <c r="AN50" s="2056">
        <v>1</v>
      </c>
      <c r="AO50" s="2056">
        <f>HN!BE54</f>
        <v>2</v>
      </c>
      <c r="AP50" s="2056">
        <f>HN!BF54</f>
        <v>3</v>
      </c>
      <c r="AQ50" s="2056">
        <f>HN!BG54</f>
        <v>2</v>
      </c>
      <c r="AR50" s="2056">
        <f>HN!BH54</f>
        <v>6</v>
      </c>
      <c r="AS50" s="2056">
        <f>HN!BI54</f>
        <v>3</v>
      </c>
      <c r="AT50" s="2056">
        <f>HN!BJ54</f>
        <v>4</v>
      </c>
      <c r="AU50" s="2056">
        <f>HN!BK54</f>
        <v>7</v>
      </c>
      <c r="AV50" s="2056">
        <f>HN!BL54</f>
        <v>4</v>
      </c>
      <c r="AW50" s="2056">
        <f>HN!BM54</f>
        <v>4</v>
      </c>
      <c r="AX50" s="2056">
        <f>HN!BN54</f>
        <v>4</v>
      </c>
      <c r="AY50" s="2056">
        <f>HN!BO54</f>
        <v>0</v>
      </c>
      <c r="AZ50" s="2056">
        <f>HN!BP54</f>
        <v>2</v>
      </c>
      <c r="BA50" s="2056">
        <f>HN!BQ54</f>
        <v>0</v>
      </c>
      <c r="BB50" s="2056">
        <f>HN!BR54</f>
        <v>3</v>
      </c>
      <c r="BC50" s="2056">
        <f>HN!BS54</f>
        <v>1</v>
      </c>
      <c r="BD50" s="2056">
        <f>HN!BT54</f>
        <v>1</v>
      </c>
      <c r="BE50" s="2056">
        <f>HN!BU54</f>
        <v>2</v>
      </c>
      <c r="BF50" s="2056">
        <f>HN!BV54</f>
        <v>0</v>
      </c>
      <c r="BG50" s="2056">
        <f>HN!BW54</f>
        <v>0</v>
      </c>
      <c r="BH50" s="2056">
        <f>HN!BX54</f>
        <v>0</v>
      </c>
      <c r="BI50" s="2056">
        <f>HN!BY54</f>
        <v>0</v>
      </c>
      <c r="BJ50" s="2056">
        <f>HN!BZ54</f>
        <v>0</v>
      </c>
      <c r="BK50" s="988"/>
      <c r="BL50" s="989"/>
    </row>
    <row r="51" spans="2:64" s="983" customFormat="1" ht="13.5" customHeight="1">
      <c r="B51" s="991"/>
      <c r="C51" s="992" t="s">
        <v>146</v>
      </c>
      <c r="D51" s="2055">
        <f>SUM(D47:D50)</f>
        <v>286</v>
      </c>
      <c r="E51" s="2054"/>
      <c r="F51" s="2054"/>
      <c r="G51" s="2054"/>
      <c r="H51" s="2054">
        <f t="shared" ref="H51:M51" si="17">SUM(H47:H49)</f>
        <v>11</v>
      </c>
      <c r="I51" s="2054">
        <f t="shared" si="17"/>
        <v>28</v>
      </c>
      <c r="J51" s="2054">
        <f t="shared" si="17"/>
        <v>15</v>
      </c>
      <c r="K51" s="2055">
        <f t="shared" si="17"/>
        <v>10</v>
      </c>
      <c r="L51" s="2055">
        <f t="shared" si="17"/>
        <v>1</v>
      </c>
      <c r="M51" s="2054">
        <f t="shared" si="17"/>
        <v>4</v>
      </c>
      <c r="N51" s="2055">
        <f t="shared" ref="N51:V51" si="18">SUM(N47:N49)</f>
        <v>8</v>
      </c>
      <c r="O51" s="2055">
        <f t="shared" si="18"/>
        <v>3</v>
      </c>
      <c r="P51" s="2055">
        <f t="shared" si="18"/>
        <v>7</v>
      </c>
      <c r="Q51" s="2055">
        <f t="shared" si="18"/>
        <v>2</v>
      </c>
      <c r="R51" s="2055">
        <f t="shared" si="18"/>
        <v>4</v>
      </c>
      <c r="S51" s="2055">
        <f t="shared" si="18"/>
        <v>0</v>
      </c>
      <c r="T51" s="2055">
        <f t="shared" si="18"/>
        <v>4</v>
      </c>
      <c r="U51" s="2055">
        <f t="shared" si="18"/>
        <v>19</v>
      </c>
      <c r="V51" s="2055">
        <f t="shared" si="18"/>
        <v>23</v>
      </c>
      <c r="W51" s="2055">
        <f>SUM(W47:W50)</f>
        <v>28</v>
      </c>
      <c r="X51" s="2055">
        <f>SUM(X47:X50)</f>
        <v>6</v>
      </c>
      <c r="Y51" s="2055">
        <f>SUM(Y47:Y50)</f>
        <v>17</v>
      </c>
      <c r="Z51" s="2055">
        <f>SUM(Z47:Z50)</f>
        <v>16</v>
      </c>
      <c r="AA51" s="2055">
        <f>SUM(AA47:AA50)</f>
        <v>12</v>
      </c>
      <c r="AB51" s="2055">
        <f>SUM(AB46:AB50)</f>
        <v>47</v>
      </c>
      <c r="AC51" s="2055">
        <f>SUM(AC47:AC50)</f>
        <v>27</v>
      </c>
      <c r="AD51" s="2055">
        <v>48</v>
      </c>
      <c r="AE51" s="2055">
        <v>33</v>
      </c>
      <c r="AF51" s="2055">
        <v>40</v>
      </c>
      <c r="AG51" s="2055">
        <v>36</v>
      </c>
      <c r="AH51" s="2055">
        <v>39</v>
      </c>
      <c r="AI51" s="2055">
        <v>67</v>
      </c>
      <c r="AJ51" s="2055">
        <v>33</v>
      </c>
      <c r="AK51" s="2055">
        <v>49</v>
      </c>
      <c r="AL51" s="2055">
        <v>32</v>
      </c>
      <c r="AM51" s="2055">
        <v>8</v>
      </c>
      <c r="AN51" s="2055">
        <v>8</v>
      </c>
      <c r="AO51" s="2058">
        <f>SUM($AO$47:$AO$50)</f>
        <v>31</v>
      </c>
      <c r="AP51" s="2055">
        <f>SUM(AP47:AP50)</f>
        <v>57</v>
      </c>
      <c r="AQ51" s="2055">
        <f t="shared" ref="AQ51:AW51" si="19">SUM(AQ47:AQ50)</f>
        <v>90</v>
      </c>
      <c r="AR51" s="2055">
        <f t="shared" si="19"/>
        <v>136</v>
      </c>
      <c r="AS51" s="2055">
        <f t="shared" si="19"/>
        <v>81</v>
      </c>
      <c r="AT51" s="2055">
        <f t="shared" si="19"/>
        <v>84</v>
      </c>
      <c r="AU51" s="2055">
        <f t="shared" si="19"/>
        <v>151</v>
      </c>
      <c r="AV51" s="2055">
        <f t="shared" si="19"/>
        <v>122</v>
      </c>
      <c r="AW51" s="2055">
        <f t="shared" si="19"/>
        <v>122</v>
      </c>
      <c r="AX51" s="2055">
        <f>SUM(AX47:AX50)</f>
        <v>114</v>
      </c>
      <c r="AY51" s="2055">
        <f>SUM(AY47:AY50)</f>
        <v>39</v>
      </c>
      <c r="AZ51" s="2055">
        <f>SUM(AZ46:AZ50)</f>
        <v>74</v>
      </c>
      <c r="BA51" s="2055">
        <f>SUM(BA46:BA50)</f>
        <v>38</v>
      </c>
      <c r="BB51" s="2055">
        <f>SUM(BB46:BB50)</f>
        <v>35</v>
      </c>
      <c r="BC51" s="2055">
        <f>SUM(BC46:BC50)</f>
        <v>36</v>
      </c>
      <c r="BD51" s="2055">
        <f>SUM(BD46:BD50)</f>
        <v>35</v>
      </c>
      <c r="BE51" s="2055">
        <f t="shared" ref="BE51:BJ51" si="20">SUM(BE46:BE50)</f>
        <v>32</v>
      </c>
      <c r="BF51" s="2055">
        <f t="shared" si="20"/>
        <v>0</v>
      </c>
      <c r="BG51" s="2055">
        <f t="shared" si="20"/>
        <v>0</v>
      </c>
      <c r="BH51" s="2055">
        <f t="shared" si="20"/>
        <v>0</v>
      </c>
      <c r="BI51" s="2055">
        <f t="shared" si="20"/>
        <v>0</v>
      </c>
      <c r="BJ51" s="2055">
        <f t="shared" si="20"/>
        <v>0</v>
      </c>
      <c r="BK51" s="993">
        <f>Plan!$BO$60</f>
        <v>30</v>
      </c>
      <c r="BL51" s="994"/>
    </row>
    <row r="52" spans="2:64" s="1045" customFormat="1" ht="13.5" customHeight="1">
      <c r="B52" s="1046"/>
      <c r="C52" s="997" t="s">
        <v>288</v>
      </c>
      <c r="D52" s="793">
        <f>IFERROR(+D51/Plan!C60,"")</f>
        <v>1.7875000000000001</v>
      </c>
      <c r="E52" s="1054"/>
      <c r="F52" s="1054"/>
      <c r="G52" s="1054"/>
      <c r="H52" s="1054"/>
      <c r="I52" s="1054"/>
      <c r="J52" s="1054"/>
      <c r="K52" s="1048"/>
      <c r="L52" s="1048"/>
      <c r="M52" s="815">
        <f>IF(Plan!L60&lt;&gt;0,M51/Plan!L60,"")</f>
        <v>0.8</v>
      </c>
      <c r="N52" s="815" t="str">
        <f>IF(Plan!M60&lt;&gt;0,N51/Plan!M60,"")</f>
        <v/>
      </c>
      <c r="O52" s="815" t="str">
        <f>IF(Plan!N60&lt;&gt;0,O51/Plan!N60,"")</f>
        <v/>
      </c>
      <c r="P52" s="815">
        <f>IF(Plan!O60&lt;&gt;0,P51/Plan!O60,"")</f>
        <v>2.3333333333333335</v>
      </c>
      <c r="Q52" s="815">
        <f>IF(Plan!P60&lt;&gt;0,Q51/Plan!P60,"")</f>
        <v>0.4</v>
      </c>
      <c r="R52" s="815">
        <f>IF(Plan!Q60&lt;&gt;0,R51/Plan!Q60,"")</f>
        <v>0.5</v>
      </c>
      <c r="S52" s="815" t="str">
        <f>IF(Plan!R60&lt;&gt;0,S51/Plan!R60,"")</f>
        <v/>
      </c>
      <c r="T52" s="815" t="str">
        <f>IF(Plan!S60&lt;&gt;0,T51/Plan!S60,"")</f>
        <v/>
      </c>
      <c r="U52" s="815">
        <f>IF(Plan!T60&lt;&gt;0,U51/Plan!T60,"")</f>
        <v>1.9</v>
      </c>
      <c r="V52" s="815">
        <f>IF(Plan!U60&lt;&gt;0,V51/Plan!U60,"")</f>
        <v>1.5333333333333334</v>
      </c>
      <c r="W52" s="815">
        <f>IF(Plan!V60&lt;&gt;0,W51/Plan!V60,"")</f>
        <v>1.8666666666666667</v>
      </c>
      <c r="X52" s="815">
        <f>IF(Plan!W60&lt;&gt;0,X51/Plan!W60,"")</f>
        <v>0.4</v>
      </c>
      <c r="Y52" s="815">
        <f>IF(Plan!X60&lt;&gt;0,Y51/Plan!X60,"")</f>
        <v>1.7</v>
      </c>
      <c r="Z52" s="815" t="str">
        <f>IF(Plan!Y60&lt;&gt;0,Z51/Plan!Y60,"")</f>
        <v/>
      </c>
      <c r="AA52" s="815" t="str">
        <f>IF(Plan!Z60&lt;&gt;0,AA51/Plan!Z60,"")</f>
        <v/>
      </c>
      <c r="AB52" s="815"/>
      <c r="AC52" s="815"/>
      <c r="AD52" s="815"/>
      <c r="AE52" s="815"/>
      <c r="AF52" s="815"/>
      <c r="AG52" s="815"/>
      <c r="AH52" s="815"/>
      <c r="AI52" s="815"/>
      <c r="AJ52" s="815"/>
      <c r="AK52" s="815"/>
      <c r="AL52" s="815"/>
      <c r="AM52" s="815"/>
      <c r="AN52" s="815"/>
      <c r="AO52" s="815"/>
      <c r="AP52" s="794"/>
      <c r="AQ52" s="794"/>
      <c r="AR52" s="794"/>
      <c r="AS52" s="794"/>
      <c r="AT52" s="794"/>
      <c r="AU52" s="794"/>
      <c r="AV52" s="794"/>
      <c r="AW52" s="794"/>
      <c r="AX52" s="794"/>
      <c r="AY52" s="794"/>
      <c r="AZ52" s="794"/>
      <c r="BA52" s="794"/>
      <c r="BB52" s="794"/>
      <c r="BC52" s="794"/>
      <c r="BD52" s="794"/>
      <c r="BE52" s="794"/>
      <c r="BF52" s="794"/>
      <c r="BG52" s="794"/>
      <c r="BH52" s="794"/>
      <c r="BI52" s="794"/>
      <c r="BJ52" s="794"/>
      <c r="BK52" s="866"/>
      <c r="BL52" s="1049"/>
    </row>
    <row r="53" spans="2:64" s="983" customFormat="1" ht="13.5" customHeight="1">
      <c r="B53" s="984"/>
      <c r="C53" s="1008"/>
      <c r="D53" s="986"/>
      <c r="E53" s="986"/>
      <c r="F53" s="986"/>
      <c r="G53" s="986"/>
      <c r="H53" s="986"/>
      <c r="I53" s="986"/>
      <c r="J53" s="986"/>
      <c r="K53" s="982"/>
      <c r="L53" s="982"/>
      <c r="M53" s="986"/>
      <c r="N53" s="982"/>
      <c r="O53" s="982"/>
      <c r="P53" s="982"/>
      <c r="Q53" s="982"/>
      <c r="R53" s="982"/>
      <c r="S53" s="982"/>
      <c r="T53" s="982"/>
      <c r="U53" s="982"/>
      <c r="V53" s="982"/>
      <c r="W53" s="982"/>
      <c r="X53" s="982"/>
      <c r="Y53" s="982"/>
      <c r="Z53" s="982"/>
      <c r="AA53" s="982"/>
      <c r="AB53" s="982"/>
      <c r="AC53" s="987"/>
      <c r="AD53" s="987"/>
      <c r="AE53" s="987"/>
      <c r="AF53" s="987"/>
      <c r="AG53" s="987"/>
      <c r="AH53" s="987"/>
      <c r="AI53" s="987"/>
      <c r="AJ53" s="987"/>
      <c r="AK53" s="987"/>
      <c r="AL53" s="987"/>
      <c r="AM53" s="987"/>
      <c r="AN53" s="987"/>
      <c r="AO53" s="987"/>
      <c r="AP53" s="982"/>
      <c r="AQ53" s="982"/>
      <c r="AR53" s="982"/>
      <c r="AS53" s="982"/>
      <c r="AT53" s="982"/>
      <c r="AU53" s="982"/>
      <c r="AV53" s="982"/>
      <c r="AW53" s="982"/>
      <c r="AX53" s="982"/>
      <c r="AY53" s="982"/>
      <c r="AZ53" s="982"/>
      <c r="BA53" s="982"/>
      <c r="BB53" s="982"/>
      <c r="BC53" s="982"/>
      <c r="BD53" s="982"/>
      <c r="BE53" s="982"/>
      <c r="BF53" s="982"/>
      <c r="BG53" s="982"/>
      <c r="BH53" s="982"/>
      <c r="BI53" s="982"/>
      <c r="BJ53" s="982"/>
      <c r="BK53" s="1731">
        <f>BK5</f>
        <v>42947</v>
      </c>
      <c r="BL53" s="989"/>
    </row>
    <row r="54" spans="2:64" s="983" customFormat="1" ht="24" customHeight="1">
      <c r="B54" s="984"/>
      <c r="C54" s="1009" t="s">
        <v>148</v>
      </c>
      <c r="D54" s="1051" t="str">
        <f>D6</f>
        <v>YTD'17</v>
      </c>
      <c r="E54" s="1039"/>
      <c r="F54" s="1051" t="s">
        <v>98</v>
      </c>
      <c r="G54" s="1051" t="s">
        <v>34</v>
      </c>
      <c r="H54" s="1052" t="s">
        <v>35</v>
      </c>
      <c r="I54" s="1052" t="s">
        <v>36</v>
      </c>
      <c r="J54" s="1052" t="s">
        <v>37</v>
      </c>
      <c r="K54" s="1053" t="s">
        <v>266</v>
      </c>
      <c r="L54" s="1053" t="s">
        <v>291</v>
      </c>
      <c r="M54" s="1052" t="s">
        <v>40</v>
      </c>
      <c r="N54" s="1053" t="s">
        <v>41</v>
      </c>
      <c r="O54" s="1053" t="s">
        <v>42</v>
      </c>
      <c r="P54" s="1053" t="str">
        <f t="shared" ref="P54:U54" si="21">P6</f>
        <v>Nov</v>
      </c>
      <c r="Q54" s="1053" t="str">
        <f t="shared" si="21"/>
        <v>Dec</v>
      </c>
      <c r="R54" s="1053" t="str">
        <f t="shared" si="21"/>
        <v>Jan'14</v>
      </c>
      <c r="S54" s="1053" t="str">
        <f t="shared" si="21"/>
        <v>Feb'14</v>
      </c>
      <c r="T54" s="1053" t="str">
        <f t="shared" si="21"/>
        <v>Mar'14</v>
      </c>
      <c r="U54" s="1053" t="str">
        <f t="shared" si="21"/>
        <v>Apr'14</v>
      </c>
      <c r="V54" s="1053" t="str">
        <f>V6</f>
        <v>May'14</v>
      </c>
      <c r="W54" s="1053" t="str">
        <f>W6</f>
        <v>Jun'14</v>
      </c>
      <c r="X54" s="1053" t="s">
        <v>795</v>
      </c>
      <c r="Y54" s="1053" t="str">
        <f>Y16</f>
        <v>Aug'14</v>
      </c>
      <c r="Z54" s="1053" t="s">
        <v>860</v>
      </c>
      <c r="AA54" s="1053" t="s">
        <v>899</v>
      </c>
      <c r="AB54" s="1053" t="s">
        <v>948</v>
      </c>
      <c r="AC54" s="1073" t="s">
        <v>1013</v>
      </c>
      <c r="AD54" s="1073" t="str">
        <f>AD45</f>
        <v>Apr-15</v>
      </c>
      <c r="AE54" s="1073" t="str">
        <f t="shared" ref="AE54:AX54" si="22">AE45</f>
        <v>May-15</v>
      </c>
      <c r="AF54" s="1771">
        <f t="shared" si="22"/>
        <v>42185</v>
      </c>
      <c r="AG54" s="1771">
        <f t="shared" si="22"/>
        <v>42216</v>
      </c>
      <c r="AH54" s="1771">
        <f t="shared" si="22"/>
        <v>42247</v>
      </c>
      <c r="AI54" s="1771">
        <f t="shared" si="22"/>
        <v>42277</v>
      </c>
      <c r="AJ54" s="1771">
        <f t="shared" si="22"/>
        <v>42308</v>
      </c>
      <c r="AK54" s="1771">
        <f t="shared" si="22"/>
        <v>42338</v>
      </c>
      <c r="AL54" s="1771">
        <f t="shared" si="22"/>
        <v>42369</v>
      </c>
      <c r="AM54" s="1771">
        <f t="shared" si="22"/>
        <v>42400</v>
      </c>
      <c r="AN54" s="1771">
        <f t="shared" si="22"/>
        <v>42429</v>
      </c>
      <c r="AO54" s="1771">
        <f t="shared" si="22"/>
        <v>42460</v>
      </c>
      <c r="AP54" s="1771">
        <f t="shared" si="22"/>
        <v>42490</v>
      </c>
      <c r="AQ54" s="1771">
        <f t="shared" si="22"/>
        <v>42521</v>
      </c>
      <c r="AR54" s="1771">
        <f t="shared" si="22"/>
        <v>42551</v>
      </c>
      <c r="AS54" s="1771">
        <f t="shared" si="22"/>
        <v>42582</v>
      </c>
      <c r="AT54" s="1771">
        <f t="shared" si="22"/>
        <v>42613</v>
      </c>
      <c r="AU54" s="1771">
        <f t="shared" si="22"/>
        <v>42643</v>
      </c>
      <c r="AV54" s="1771">
        <f t="shared" si="22"/>
        <v>42674</v>
      </c>
      <c r="AW54" s="1771">
        <f>AW45</f>
        <v>42704</v>
      </c>
      <c r="AX54" s="1771">
        <f t="shared" si="22"/>
        <v>42735</v>
      </c>
      <c r="AY54" s="1771">
        <v>42766</v>
      </c>
      <c r="AZ54" s="1771">
        <v>42794</v>
      </c>
      <c r="BA54" s="1771">
        <v>42825</v>
      </c>
      <c r="BB54" s="1771">
        <v>42855</v>
      </c>
      <c r="BC54" s="1771">
        <v>42886</v>
      </c>
      <c r="BD54" s="1771">
        <v>42916</v>
      </c>
      <c r="BE54" s="1771">
        <v>42947</v>
      </c>
      <c r="BF54" s="1771">
        <v>42978</v>
      </c>
      <c r="BG54" s="1771">
        <v>43008</v>
      </c>
      <c r="BH54" s="1771">
        <v>43039</v>
      </c>
      <c r="BI54" s="1771">
        <v>43069</v>
      </c>
      <c r="BJ54" s="1771">
        <v>43100</v>
      </c>
      <c r="BK54" s="1689" t="str">
        <f>BK45</f>
        <v>Target</v>
      </c>
      <c r="BL54" s="989"/>
    </row>
    <row r="55" spans="2:64" s="983" customFormat="1" ht="13.5" customHeight="1">
      <c r="B55" s="984"/>
      <c r="C55" s="1011" t="s">
        <v>252</v>
      </c>
      <c r="D55" s="2053">
        <f>HN!C63</f>
        <v>1180</v>
      </c>
      <c r="E55" s="2053"/>
      <c r="F55" s="2053"/>
      <c r="G55" s="2053"/>
      <c r="H55" s="2053">
        <f>HN!U58</f>
        <v>11</v>
      </c>
      <c r="I55" s="2053">
        <f>HN!V58</f>
        <v>39</v>
      </c>
      <c r="J55" s="2053">
        <f>HN!W58</f>
        <v>54</v>
      </c>
      <c r="K55" s="2056">
        <f>HN!X58</f>
        <v>64</v>
      </c>
      <c r="L55" s="2056">
        <f>HN!Y58</f>
        <v>66</v>
      </c>
      <c r="M55" s="2056">
        <f>HN!Z58</f>
        <v>71</v>
      </c>
      <c r="N55" s="2056">
        <f>HN!AA58</f>
        <v>78</v>
      </c>
      <c r="O55" s="2056">
        <f>HN!AB58</f>
        <v>69</v>
      </c>
      <c r="P55" s="2056">
        <f>HN!AC58</f>
        <v>75</v>
      </c>
      <c r="Q55" s="2056">
        <f>HN!AD58</f>
        <v>73</v>
      </c>
      <c r="R55" s="2056">
        <f>HN!AE58</f>
        <v>85</v>
      </c>
      <c r="S55" s="2056">
        <f>HN!AF58</f>
        <v>84</v>
      </c>
      <c r="T55" s="2056">
        <f>HN!AG58</f>
        <v>84</v>
      </c>
      <c r="U55" s="2056">
        <f>HN!AH58</f>
        <v>97</v>
      </c>
      <c r="V55" s="2056">
        <f>HN!AI58</f>
        <v>113</v>
      </c>
      <c r="W55" s="2056">
        <f>HN!AJ58</f>
        <v>134</v>
      </c>
      <c r="X55" s="2056">
        <f>HN!AK58</f>
        <v>126</v>
      </c>
      <c r="Y55" s="2056">
        <f>HN!AL58</f>
        <v>140</v>
      </c>
      <c r="Z55" s="2056">
        <f>HN!AM58</f>
        <v>163</v>
      </c>
      <c r="AA55" s="2056">
        <f>HN!AN58</f>
        <v>176</v>
      </c>
      <c r="AB55" s="2056">
        <f>HN!AO58</f>
        <v>218</v>
      </c>
      <c r="AC55" s="2056">
        <f>HN!AP58</f>
        <v>260</v>
      </c>
      <c r="AD55" s="2056">
        <v>376</v>
      </c>
      <c r="AE55" s="2056">
        <v>398</v>
      </c>
      <c r="AF55" s="2056">
        <v>380</v>
      </c>
      <c r="AG55" s="2056">
        <v>384</v>
      </c>
      <c r="AH55" s="2056">
        <v>373</v>
      </c>
      <c r="AI55" s="2056">
        <v>435</v>
      </c>
      <c r="AJ55" s="2056">
        <v>465</v>
      </c>
      <c r="AK55" s="2056">
        <v>487</v>
      </c>
      <c r="AL55" s="2056">
        <v>488</v>
      </c>
      <c r="AM55" s="2056">
        <v>503</v>
      </c>
      <c r="AN55" s="2056">
        <v>509</v>
      </c>
      <c r="AO55" s="2056">
        <f>HN!BE58</f>
        <v>533</v>
      </c>
      <c r="AP55" s="2056">
        <f>HN!BF58</f>
        <v>593</v>
      </c>
      <c r="AQ55" s="2056">
        <f>HN!BG58</f>
        <v>653</v>
      </c>
      <c r="AR55" s="2056">
        <f>HN!BH58</f>
        <v>760</v>
      </c>
      <c r="AS55" s="2056">
        <f>HN!BI58</f>
        <v>801</v>
      </c>
      <c r="AT55" s="2056">
        <f>HN!BJ58</f>
        <v>893</v>
      </c>
      <c r="AU55" s="2056">
        <f>HN!BK58</f>
        <v>1044</v>
      </c>
      <c r="AV55" s="2056">
        <f>HN!BL58</f>
        <v>1158</v>
      </c>
      <c r="AW55" s="2056">
        <f>HN!BM58</f>
        <v>1158</v>
      </c>
      <c r="AX55" s="2056">
        <f>HN!BN58</f>
        <v>1353</v>
      </c>
      <c r="AY55" s="2056">
        <f>HN!BO58</f>
        <v>1355</v>
      </c>
      <c r="AZ55" s="2056">
        <f>HN!BP58</f>
        <v>1416</v>
      </c>
      <c r="BA55" s="2056">
        <f>HN!BQ58</f>
        <v>1399</v>
      </c>
      <c r="BB55" s="2056">
        <f>HN!BR58</f>
        <v>1270</v>
      </c>
      <c r="BC55" s="2056">
        <f>HN!BS58</f>
        <v>1319</v>
      </c>
      <c r="BD55" s="2056">
        <f>HN!BT58</f>
        <v>1314</v>
      </c>
      <c r="BE55" s="2056">
        <f>HN!BU58</f>
        <v>1180</v>
      </c>
      <c r="BF55" s="2056">
        <f>HN!BV58</f>
        <v>0</v>
      </c>
      <c r="BG55" s="2056">
        <f>HN!BW58</f>
        <v>0</v>
      </c>
      <c r="BH55" s="2056">
        <f>HN!BX58</f>
        <v>0</v>
      </c>
      <c r="BI55" s="2056">
        <f>HN!BY58</f>
        <v>0</v>
      </c>
      <c r="BJ55" s="2056">
        <f>HN!BZ58</f>
        <v>0</v>
      </c>
      <c r="BK55" s="988"/>
      <c r="BL55" s="989"/>
    </row>
    <row r="56" spans="2:64" s="983" customFormat="1" ht="13.5" customHeight="1">
      <c r="B56" s="984"/>
      <c r="C56" s="1011" t="s">
        <v>141</v>
      </c>
      <c r="D56" s="2053">
        <f>HN!C59</f>
        <v>2383</v>
      </c>
      <c r="E56" s="2053"/>
      <c r="F56" s="2053"/>
      <c r="G56" s="2053"/>
      <c r="H56" s="2053">
        <f>HN!U59</f>
        <v>7</v>
      </c>
      <c r="I56" s="2053">
        <f>HN!V59</f>
        <v>21</v>
      </c>
      <c r="J56" s="2053">
        <f>HN!W59</f>
        <v>25</v>
      </c>
      <c r="K56" s="2056">
        <f>HN!X59</f>
        <v>25</v>
      </c>
      <c r="L56" s="2056">
        <f>HN!Y59</f>
        <v>26</v>
      </c>
      <c r="M56" s="2056">
        <f>HN!Z59</f>
        <v>25</v>
      </c>
      <c r="N56" s="2056">
        <f>HN!AA59</f>
        <v>25</v>
      </c>
      <c r="O56" s="2056">
        <f>HN!AB59</f>
        <v>31</v>
      </c>
      <c r="P56" s="2056">
        <f>HN!AC59</f>
        <v>32</v>
      </c>
      <c r="Q56" s="2056">
        <f>HN!AD59</f>
        <v>34</v>
      </c>
      <c r="R56" s="2056">
        <f>HN!AE59</f>
        <v>21</v>
      </c>
      <c r="S56" s="2056">
        <f>HN!AF59</f>
        <v>15</v>
      </c>
      <c r="T56" s="2056">
        <f>HN!AG59</f>
        <v>18</v>
      </c>
      <c r="U56" s="2056">
        <f>HN!AH59</f>
        <v>38</v>
      </c>
      <c r="V56" s="2056">
        <f>HN!AI59</f>
        <v>40</v>
      </c>
      <c r="W56" s="2056">
        <f>HN!AJ59</f>
        <v>66</v>
      </c>
      <c r="X56" s="2056">
        <f>HN!AK59</f>
        <v>62</v>
      </c>
      <c r="Y56" s="2056">
        <f>HN!AL59</f>
        <v>63</v>
      </c>
      <c r="Z56" s="2056">
        <f>HN!AM59</f>
        <v>71</v>
      </c>
      <c r="AA56" s="2056">
        <f>HN!AN59</f>
        <v>59</v>
      </c>
      <c r="AB56" s="2056">
        <f>HN!AO59</f>
        <v>91</v>
      </c>
      <c r="AC56" s="2056">
        <f>HN!AP59</f>
        <v>97</v>
      </c>
      <c r="AD56" s="2056">
        <v>129</v>
      </c>
      <c r="AE56" s="2056">
        <v>134</v>
      </c>
      <c r="AF56" s="2056">
        <v>130</v>
      </c>
      <c r="AG56" s="2056">
        <v>142</v>
      </c>
      <c r="AH56" s="2056">
        <v>131</v>
      </c>
      <c r="AI56" s="2056">
        <v>170</v>
      </c>
      <c r="AJ56" s="2056">
        <v>157</v>
      </c>
      <c r="AK56" s="2056">
        <v>221</v>
      </c>
      <c r="AL56" s="2056">
        <v>182</v>
      </c>
      <c r="AM56" s="2056">
        <v>91</v>
      </c>
      <c r="AN56" s="2056">
        <v>75</v>
      </c>
      <c r="AO56" s="2056">
        <f>HN!BE59</f>
        <v>184</v>
      </c>
      <c r="AP56" s="2056">
        <f>HN!BF59</f>
        <v>149</v>
      </c>
      <c r="AQ56" s="2056">
        <f>HN!BG59</f>
        <v>224</v>
      </c>
      <c r="AR56" s="2056">
        <f>HN!BH59</f>
        <v>338</v>
      </c>
      <c r="AS56" s="2056">
        <f>HN!BI59</f>
        <v>253</v>
      </c>
      <c r="AT56" s="2056">
        <f>HN!BJ59</f>
        <v>282</v>
      </c>
      <c r="AU56" s="2056">
        <f>HN!BK59</f>
        <v>435</v>
      </c>
      <c r="AV56" s="2056">
        <f>HN!BL59</f>
        <v>421</v>
      </c>
      <c r="AW56" s="2056">
        <f>HN!BM59</f>
        <v>456</v>
      </c>
      <c r="AX56" s="2056">
        <f>HN!BN59</f>
        <v>532</v>
      </c>
      <c r="AY56" s="2056">
        <f>HN!BO59</f>
        <v>206</v>
      </c>
      <c r="AZ56" s="2056">
        <f>HN!BP59</f>
        <v>343</v>
      </c>
      <c r="BA56" s="2056">
        <f>HN!BQ59</f>
        <v>397</v>
      </c>
      <c r="BB56" s="2056">
        <f>HN!BR59</f>
        <v>325</v>
      </c>
      <c r="BC56" s="2056">
        <f>HN!BS59</f>
        <v>300</v>
      </c>
      <c r="BD56" s="2056">
        <f>HN!BT59</f>
        <v>490</v>
      </c>
      <c r="BE56" s="2056">
        <f>HN!BU59</f>
        <v>322</v>
      </c>
      <c r="BF56" s="2056">
        <f>HN!BV59</f>
        <v>0</v>
      </c>
      <c r="BG56" s="2056">
        <f>HN!BW59</f>
        <v>0</v>
      </c>
      <c r="BH56" s="2056">
        <f>HN!BX59</f>
        <v>0</v>
      </c>
      <c r="BI56" s="2056">
        <f>HN!BY59</f>
        <v>0</v>
      </c>
      <c r="BJ56" s="2056">
        <f>HN!BZ59</f>
        <v>0</v>
      </c>
      <c r="BK56" s="988"/>
      <c r="BL56" s="989"/>
    </row>
    <row r="57" spans="2:64" s="983" customFormat="1" ht="16.5" customHeight="1">
      <c r="B57" s="984"/>
      <c r="C57" s="1011" t="s">
        <v>140</v>
      </c>
      <c r="D57" s="258">
        <f>HN!C60</f>
        <v>0.25753809575272885</v>
      </c>
      <c r="E57" s="986"/>
      <c r="F57" s="986"/>
      <c r="G57" s="986"/>
      <c r="H57" s="258">
        <f>HN!U60</f>
        <v>0.63636363636363635</v>
      </c>
      <c r="I57" s="258">
        <f>HN!V60</f>
        <v>0.53846153846153844</v>
      </c>
      <c r="J57" s="258">
        <f>HN!W60</f>
        <v>0.46296296296296297</v>
      </c>
      <c r="K57" s="375">
        <f>HN!X60</f>
        <v>0.390625</v>
      </c>
      <c r="L57" s="375">
        <f>HN!Y60</f>
        <v>0.39393939393939392</v>
      </c>
      <c r="M57" s="375">
        <f>HN!Z60</f>
        <v>0.352112676056338</v>
      </c>
      <c r="N57" s="375">
        <f>HN!AA60</f>
        <v>0.32051282051282054</v>
      </c>
      <c r="O57" s="375">
        <f>HN!AB60</f>
        <v>0.44927536231884058</v>
      </c>
      <c r="P57" s="375">
        <f>HN!AC60</f>
        <v>0.42666666666666669</v>
      </c>
      <c r="Q57" s="375">
        <f>HN!AD60</f>
        <v>0.46575342465753422</v>
      </c>
      <c r="R57" s="375">
        <f>HN!AE60</f>
        <v>0.24705882352941178</v>
      </c>
      <c r="S57" s="375">
        <f>HN!AF60</f>
        <v>0.17857142857142858</v>
      </c>
      <c r="T57" s="375">
        <f>HN!AG60</f>
        <v>0.21428571428571427</v>
      </c>
      <c r="U57" s="375">
        <f>HN!AH60</f>
        <v>0.39175257731958762</v>
      </c>
      <c r="V57" s="375">
        <f>HN!AI60</f>
        <v>0.35398230088495575</v>
      </c>
      <c r="W57" s="375">
        <f>HN!AJ60</f>
        <v>0.4925373134328358</v>
      </c>
      <c r="X57" s="375">
        <f>HN!AK60</f>
        <v>0.49206349206349204</v>
      </c>
      <c r="Y57" s="375">
        <f>HN!AL60</f>
        <v>0.45</v>
      </c>
      <c r="Z57" s="375">
        <f>HN!AM60</f>
        <v>0.43558282208588955</v>
      </c>
      <c r="AA57" s="375">
        <f>HN!AN60</f>
        <v>0.33522727272727271</v>
      </c>
      <c r="AB57" s="375">
        <f>HN!AO60</f>
        <v>0.41743119266055045</v>
      </c>
      <c r="AC57" s="375">
        <f>HN!AP60</f>
        <v>0.37307692307692308</v>
      </c>
      <c r="AD57" s="375">
        <v>0.34308510638297873</v>
      </c>
      <c r="AE57" s="375">
        <v>0.33668341708542715</v>
      </c>
      <c r="AF57" s="375">
        <v>0.34210526315789475</v>
      </c>
      <c r="AG57" s="375">
        <v>0.36979166666666669</v>
      </c>
      <c r="AH57" s="375">
        <v>0.3512064343163539</v>
      </c>
      <c r="AI57" s="375">
        <v>0.39080459770114945</v>
      </c>
      <c r="AJ57" s="375">
        <v>0.33763440860215055</v>
      </c>
      <c r="AK57" s="375">
        <v>0.4537987679671458</v>
      </c>
      <c r="AL57" s="375">
        <v>0.37295081967213117</v>
      </c>
      <c r="AM57" s="375">
        <v>0.18091451292246521</v>
      </c>
      <c r="AN57" s="375">
        <v>0.14734774066797643</v>
      </c>
      <c r="AO57" s="375">
        <f>HN!BE60</f>
        <v>0.34521575984990621</v>
      </c>
      <c r="AP57" s="375">
        <f>HN!BF60</f>
        <v>0.25126475548060706</v>
      </c>
      <c r="AQ57" s="375">
        <f>HN!BG60</f>
        <v>0.34303215926493108</v>
      </c>
      <c r="AR57" s="375">
        <f>HN!BH60</f>
        <v>0.44473684210526315</v>
      </c>
      <c r="AS57" s="375">
        <f>HN!BI60</f>
        <v>0.31585518102372034</v>
      </c>
      <c r="AT57" s="375">
        <f>HN!BJ60</f>
        <v>0.31578947368421051</v>
      </c>
      <c r="AU57" s="375">
        <f>HN!BK60</f>
        <v>0.41666666666666669</v>
      </c>
      <c r="AV57" s="375">
        <f>HN!BL60</f>
        <v>0.36355785837651122</v>
      </c>
      <c r="AW57" s="375">
        <f>HN!BM60</f>
        <v>0.39378238341968913</v>
      </c>
      <c r="AX57" s="375">
        <f>HN!BN60</f>
        <v>0.39320029563932002</v>
      </c>
      <c r="AY57" s="375">
        <f>HN!BO60</f>
        <v>0.15202952029520295</v>
      </c>
      <c r="AZ57" s="375">
        <f>HN!BP60</f>
        <v>0.2422316384180791</v>
      </c>
      <c r="BA57" s="375">
        <f>HN!BQ60</f>
        <v>0.28377412437455324</v>
      </c>
      <c r="BB57" s="375">
        <f>HN!BR60</f>
        <v>0.25590551181102361</v>
      </c>
      <c r="BC57" s="375">
        <f>HN!BS60</f>
        <v>0.22744503411675512</v>
      </c>
      <c r="BD57" s="375">
        <f>HN!BT60</f>
        <v>0.37290715372907152</v>
      </c>
      <c r="BE57" s="375">
        <f>HN!BU60</f>
        <v>0.27288135593220336</v>
      </c>
      <c r="BF57" s="375">
        <f>HN!BV60</f>
        <v>0</v>
      </c>
      <c r="BG57" s="375">
        <f>HN!BW60</f>
        <v>0</v>
      </c>
      <c r="BH57" s="375">
        <f>HN!BX60</f>
        <v>0</v>
      </c>
      <c r="BI57" s="375">
        <f>HN!BY60</f>
        <v>0</v>
      </c>
      <c r="BJ57" s="375">
        <f>HN!BZ60</f>
        <v>0</v>
      </c>
      <c r="BK57" s="866"/>
      <c r="BL57" s="989"/>
    </row>
    <row r="58" spans="2:64" s="1055" customFormat="1" ht="13.5" customHeight="1">
      <c r="B58" s="984"/>
      <c r="C58" s="296" t="s">
        <v>142</v>
      </c>
      <c r="D58" s="257">
        <f>HN!C61</f>
        <v>2.0919009651699541</v>
      </c>
      <c r="E58" s="986"/>
      <c r="F58" s="986"/>
      <c r="G58" s="986"/>
      <c r="H58" s="257">
        <f>HN!U61</f>
        <v>2.1428571428571428</v>
      </c>
      <c r="I58" s="257">
        <f>HN!V61</f>
        <v>1.8571428571428572</v>
      </c>
      <c r="J58" s="257">
        <f>HN!W61</f>
        <v>1.68</v>
      </c>
      <c r="K58" s="358">
        <f>HN!X61</f>
        <v>1.72</v>
      </c>
      <c r="L58" s="358">
        <f>HN!Y61</f>
        <v>1.3461538461538463</v>
      </c>
      <c r="M58" s="358">
        <f>HN!Z61</f>
        <v>1.8</v>
      </c>
      <c r="N58" s="358">
        <f>HN!AA61</f>
        <v>2.3199999999999998</v>
      </c>
      <c r="O58" s="358">
        <f>HN!AB61</f>
        <v>1.967741935483871</v>
      </c>
      <c r="P58" s="358">
        <f>HN!AC61</f>
        <v>1.78125</v>
      </c>
      <c r="Q58" s="358">
        <f>HN!AD61</f>
        <v>3.0588235294117645</v>
      </c>
      <c r="R58" s="358">
        <f>HN!AE61</f>
        <v>1.4761904761904763</v>
      </c>
      <c r="S58" s="358">
        <f>HN!AF61</f>
        <v>1.7333333333333334</v>
      </c>
      <c r="T58" s="358">
        <f>HN!AG61</f>
        <v>1.5555555555555556</v>
      </c>
      <c r="U58" s="358">
        <f>HN!AH61</f>
        <v>1.4736842105263157</v>
      </c>
      <c r="V58" s="358">
        <f>HN!AI61</f>
        <v>1.875</v>
      </c>
      <c r="W58" s="358">
        <f>HN!AJ61</f>
        <v>1.9848484848484849</v>
      </c>
      <c r="X58" s="358">
        <f>HN!AK61</f>
        <v>1.2258064516129032</v>
      </c>
      <c r="Y58" s="358">
        <f>HN!AL61</f>
        <v>1.5873015873015872</v>
      </c>
      <c r="Z58" s="358">
        <f>HN!AM61</f>
        <v>1.7464788732394365</v>
      </c>
      <c r="AA58" s="358">
        <f>HN!AN61</f>
        <v>1.7966101694915255</v>
      </c>
      <c r="AB58" s="358">
        <f>HN!AO61</f>
        <v>1.7252747252747254</v>
      </c>
      <c r="AC58" s="358">
        <f>HN!AP61</f>
        <v>1.4948453608247423</v>
      </c>
      <c r="AD58" s="358">
        <v>1.7829457364341086</v>
      </c>
      <c r="AE58" s="358">
        <v>1.6194029850746268</v>
      </c>
      <c r="AF58" s="358">
        <v>1.6076923076923078</v>
      </c>
      <c r="AG58" s="358">
        <v>1.6901408450704225</v>
      </c>
      <c r="AH58" s="358">
        <v>1.717557251908397</v>
      </c>
      <c r="AI58" s="358">
        <v>1.6647058823529413</v>
      </c>
      <c r="AJ58" s="358">
        <v>1.5668789808917198</v>
      </c>
      <c r="AK58" s="358">
        <v>2.0226244343891402</v>
      </c>
      <c r="AL58" s="358">
        <v>1.7472527472527473</v>
      </c>
      <c r="AM58" s="358">
        <v>1.3846153846153846</v>
      </c>
      <c r="AN58" s="358">
        <v>1.5333333333333334</v>
      </c>
      <c r="AO58" s="358">
        <f>HN!BE61</f>
        <v>1.8097826086956521</v>
      </c>
      <c r="AP58" s="358">
        <f>HN!BF61</f>
        <v>1.8926174496644295</v>
      </c>
      <c r="AQ58" s="358">
        <f>HN!BG61</f>
        <v>1.9910714285714286</v>
      </c>
      <c r="AR58" s="358">
        <f>HN!BH61</f>
        <v>2.5118343195266273</v>
      </c>
      <c r="AS58" s="358">
        <f>HN!BI61</f>
        <v>2.3794466403162056</v>
      </c>
      <c r="AT58" s="358">
        <f>HN!BJ61</f>
        <v>2.6170212765957448</v>
      </c>
      <c r="AU58" s="358">
        <f>HN!BK61</f>
        <v>1.825287356321839</v>
      </c>
      <c r="AV58" s="358">
        <f>HN!BL61</f>
        <v>1.8076009501187649</v>
      </c>
      <c r="AW58" s="358">
        <f>HN!BM61</f>
        <v>1.6688596491228069</v>
      </c>
      <c r="AX58" s="358">
        <f>HN!BN61</f>
        <v>1.8984962406015038</v>
      </c>
      <c r="AY58" s="358">
        <f>HN!BO61</f>
        <v>1.3640776699029127</v>
      </c>
      <c r="AZ58" s="358">
        <f>HN!BP61</f>
        <v>1.7405247813411078</v>
      </c>
      <c r="BA58" s="358">
        <f>HN!BQ61</f>
        <v>2.0730478589420653</v>
      </c>
      <c r="BB58" s="358">
        <f>HN!BR61</f>
        <v>1.9476923076923076</v>
      </c>
      <c r="BC58" s="358">
        <f>HN!BS61</f>
        <v>1.8833333333333333</v>
      </c>
      <c r="BD58" s="358">
        <f>HN!BT61</f>
        <v>2.6367346938775511</v>
      </c>
      <c r="BE58" s="358">
        <f>HN!BU61</f>
        <v>2.4658385093167703</v>
      </c>
      <c r="BF58" s="358" t="str">
        <f>HN!BV61</f>
        <v>-</v>
      </c>
      <c r="BG58" s="358" t="str">
        <f>HN!BW61</f>
        <v>-</v>
      </c>
      <c r="BH58" s="358" t="str">
        <f>HN!BX61</f>
        <v>-</v>
      </c>
      <c r="BI58" s="358" t="str">
        <f>HN!BY61</f>
        <v>-</v>
      </c>
      <c r="BJ58" s="358" t="str">
        <f>HN!BZ61</f>
        <v>-</v>
      </c>
      <c r="BK58" s="867"/>
      <c r="BL58" s="989"/>
    </row>
    <row r="59" spans="2:64" s="1016" customFormat="1" ht="13.5" customHeight="1">
      <c r="B59" s="991"/>
      <c r="C59" s="259" t="s">
        <v>147</v>
      </c>
      <c r="D59" s="2054">
        <f>HN!C49</f>
        <v>4985</v>
      </c>
      <c r="E59" s="2054"/>
      <c r="F59" s="2054"/>
      <c r="G59" s="2054"/>
      <c r="H59" s="2054">
        <f>HN!U49</f>
        <v>15</v>
      </c>
      <c r="I59" s="2054">
        <f>HN!V49</f>
        <v>39</v>
      </c>
      <c r="J59" s="2054">
        <f>HN!W49</f>
        <v>42</v>
      </c>
      <c r="K59" s="2055">
        <f>HN!X49</f>
        <v>43</v>
      </c>
      <c r="L59" s="2055">
        <f>HN!Y49</f>
        <v>35</v>
      </c>
      <c r="M59" s="2054">
        <f>HN!Z49</f>
        <v>45</v>
      </c>
      <c r="N59" s="2055">
        <f>HN!AA49</f>
        <v>58</v>
      </c>
      <c r="O59" s="2055">
        <f>HN!AB49</f>
        <v>61</v>
      </c>
      <c r="P59" s="2055">
        <f>HN!AC49</f>
        <v>57</v>
      </c>
      <c r="Q59" s="2055">
        <f>HN!AD49</f>
        <v>104</v>
      </c>
      <c r="R59" s="2055">
        <f>HN!AE49</f>
        <v>31</v>
      </c>
      <c r="S59" s="2055">
        <f>HN!AF49</f>
        <v>26</v>
      </c>
      <c r="T59" s="2055">
        <f>HN!AG49</f>
        <v>28</v>
      </c>
      <c r="U59" s="2055">
        <f>HN!AH49</f>
        <v>56</v>
      </c>
      <c r="V59" s="2055">
        <f>HN!AI49</f>
        <v>75</v>
      </c>
      <c r="W59" s="2055">
        <f>HN!AJ49</f>
        <v>131</v>
      </c>
      <c r="X59" s="2055">
        <f>HN!AK49</f>
        <v>76</v>
      </c>
      <c r="Y59" s="2055">
        <f>HN!AL49</f>
        <v>100</v>
      </c>
      <c r="Z59" s="2055">
        <f>HN!AM49</f>
        <v>124</v>
      </c>
      <c r="AA59" s="2055">
        <f>HN!AN49</f>
        <v>106</v>
      </c>
      <c r="AB59" s="2055">
        <f>HN!AO49</f>
        <v>157</v>
      </c>
      <c r="AC59" s="2055">
        <f>HN!AP49</f>
        <v>145</v>
      </c>
      <c r="AD59" s="2055">
        <v>230</v>
      </c>
      <c r="AE59" s="2055">
        <v>217</v>
      </c>
      <c r="AF59" s="2055">
        <v>209</v>
      </c>
      <c r="AG59" s="2055">
        <v>240</v>
      </c>
      <c r="AH59" s="2055">
        <v>225</v>
      </c>
      <c r="AI59" s="2055">
        <v>283</v>
      </c>
      <c r="AJ59" s="2055">
        <v>246</v>
      </c>
      <c r="AK59" s="2055">
        <v>447</v>
      </c>
      <c r="AL59" s="2055">
        <v>318</v>
      </c>
      <c r="AM59" s="2055">
        <v>126</v>
      </c>
      <c r="AN59" s="2055">
        <v>115</v>
      </c>
      <c r="AO59" s="2055">
        <f>HN!BE49</f>
        <v>333</v>
      </c>
      <c r="AP59" s="2055">
        <f>HN!BF49</f>
        <v>282</v>
      </c>
      <c r="AQ59" s="2055">
        <f>HN!BG49</f>
        <v>446</v>
      </c>
      <c r="AR59" s="2055">
        <f>HN!BH49</f>
        <v>849</v>
      </c>
      <c r="AS59" s="2055">
        <f>HN!BI49</f>
        <v>602</v>
      </c>
      <c r="AT59" s="2055">
        <f>HN!BJ49</f>
        <v>738</v>
      </c>
      <c r="AU59" s="2055">
        <f>HN!BK49</f>
        <v>794</v>
      </c>
      <c r="AV59" s="2055">
        <f>HN!BL49</f>
        <v>761</v>
      </c>
      <c r="AW59" s="2055">
        <f>HN!BM49</f>
        <v>761</v>
      </c>
      <c r="AX59" s="2055">
        <f>HN!BN49</f>
        <v>1010</v>
      </c>
      <c r="AY59" s="2055">
        <f>HN!BO49</f>
        <v>281</v>
      </c>
      <c r="AZ59" s="2055">
        <f>HN!BP49</f>
        <v>597</v>
      </c>
      <c r="BA59" s="2055">
        <f>HN!BQ49</f>
        <v>823</v>
      </c>
      <c r="BB59" s="2055">
        <f>HN!BR49</f>
        <v>633</v>
      </c>
      <c r="BC59" s="2055">
        <f>HN!BS49</f>
        <v>565</v>
      </c>
      <c r="BD59" s="2055">
        <f>HN!BT49</f>
        <v>1292</v>
      </c>
      <c r="BE59" s="2055">
        <f>HN!BU49</f>
        <v>794</v>
      </c>
      <c r="BF59" s="2055">
        <f>HN!BV49</f>
        <v>0</v>
      </c>
      <c r="BG59" s="2055">
        <f>HN!BW49</f>
        <v>0</v>
      </c>
      <c r="BH59" s="2055">
        <f>HN!BX49</f>
        <v>0</v>
      </c>
      <c r="BI59" s="2055">
        <f>HN!BY49</f>
        <v>0</v>
      </c>
      <c r="BJ59" s="2055">
        <f>HN!BZ49</f>
        <v>0</v>
      </c>
      <c r="BK59" s="2067">
        <f>Plan!$BO$59</f>
        <v>728.46985260016652</v>
      </c>
      <c r="BL59" s="994"/>
    </row>
    <row r="60" spans="2:64" s="1013" customFormat="1" ht="13.5" customHeight="1">
      <c r="B60" s="1014"/>
      <c r="C60" s="997" t="s">
        <v>289</v>
      </c>
      <c r="D60" s="793">
        <f>+D59/Plan!C59</f>
        <v>1.1169743145651077</v>
      </c>
      <c r="E60" s="1054"/>
      <c r="F60" s="1054"/>
      <c r="G60" s="1054"/>
      <c r="H60" s="1054"/>
      <c r="I60" s="1054"/>
      <c r="J60" s="1054"/>
      <c r="K60" s="1048"/>
      <c r="L60" s="1048"/>
      <c r="M60" s="815">
        <f>IF(Plan!L59&lt;&gt;0,M59/Plan!L59,"")</f>
        <v>0.9</v>
      </c>
      <c r="N60" s="815">
        <f>IF(Plan!M59&lt;&gt;0,N59/Plan!M59,"")</f>
        <v>1.1599999999999999</v>
      </c>
      <c r="O60" s="815">
        <f>IF(Plan!N59&lt;&gt;0,O59/Plan!N59,"")</f>
        <v>1.5249999999999999</v>
      </c>
      <c r="P60" s="815">
        <f>IF(Plan!O59&lt;&gt;0,P59/Plan!O59,"")</f>
        <v>1.425</v>
      </c>
      <c r="Q60" s="815">
        <f>IF(Plan!P59&lt;&gt;0,Q59/Plan!P59,"")</f>
        <v>2.6</v>
      </c>
      <c r="R60" s="815">
        <f>IF(Plan!Q59&lt;&gt;0,R59/Plan!Q59,"")</f>
        <v>0.88571428571428568</v>
      </c>
      <c r="S60" s="815">
        <f>IF(Plan!R59&lt;&gt;0,S59/Plan!R59,"")</f>
        <v>0.8666666666666667</v>
      </c>
      <c r="T60" s="815">
        <f>IF(Plan!S59&lt;&gt;0,T59/Plan!S59,"")</f>
        <v>0.46666666666666667</v>
      </c>
      <c r="U60" s="815">
        <f>IF(Plan!T59&lt;&gt;0,U59/Plan!T59,"")</f>
        <v>0.58947368421052626</v>
      </c>
      <c r="V60" s="815">
        <f>IF(Plan!U59&lt;&gt;0,V59/Plan!U59,"")</f>
        <v>0.78947368421052633</v>
      </c>
      <c r="W60" s="815">
        <f>IF(Plan!V59&lt;&gt;0,W59/Plan!V59,"")</f>
        <v>1.3789473684210527</v>
      </c>
      <c r="X60" s="815">
        <f>IF(Plan!W59&lt;&gt;0,X59/Plan!W59,"")</f>
        <v>0.8</v>
      </c>
      <c r="Y60" s="815">
        <f>IF(Plan!X59&lt;&gt;0,Y59/Plan!X59,"")</f>
        <v>1.0526315789473684</v>
      </c>
      <c r="Z60" s="815">
        <f>IF(Plan!Y59&lt;&gt;0,Z59/Plan!Y59,"")</f>
        <v>1.3052631578947369</v>
      </c>
      <c r="AA60" s="815">
        <f>IF(Plan!Z59&lt;&gt;0,AA59/Plan!Z59,"")</f>
        <v>1.1157894736842104</v>
      </c>
      <c r="AB60" s="815">
        <f>IF(Plan!AA59&lt;&gt;0,AB59/Plan!AA59,"")</f>
        <v>1.6526315789473685</v>
      </c>
      <c r="AC60" s="815">
        <f>IF(Plan!AB59&lt;&gt;0,AC59/Plan!AB59,"")</f>
        <v>1.5263157894736843</v>
      </c>
      <c r="AD60" s="815">
        <v>0.86792452830188682</v>
      </c>
      <c r="AE60" s="815">
        <v>0.77500000000000002</v>
      </c>
      <c r="AF60" s="815">
        <v>0.7385159010600707</v>
      </c>
      <c r="AG60" s="815">
        <v>0.77170418006430863</v>
      </c>
      <c r="AH60" s="815">
        <v>0.7142857142857143</v>
      </c>
      <c r="AI60" s="815">
        <v>0.82267441860465118</v>
      </c>
      <c r="AJ60" s="815">
        <v>0.6795580110497238</v>
      </c>
      <c r="AK60" s="815">
        <v>1.2179836512261581</v>
      </c>
      <c r="AL60" s="815">
        <v>0.82383419689119175</v>
      </c>
      <c r="AM60" s="815">
        <v>0.94736842105263153</v>
      </c>
      <c r="AN60" s="815">
        <v>0.94262295081967196</v>
      </c>
      <c r="AO60" s="815">
        <f>IF(Plan!AQ59&lt;&gt;0,$AO$59/Plan!AQ59,"")</f>
        <v>1.3481781376518218</v>
      </c>
      <c r="AP60" s="815">
        <f>IF(Plan!AR59&lt;&gt;0,AP59/Plan!AR59,"")</f>
        <v>0.94314381270903014</v>
      </c>
      <c r="AQ60" s="815">
        <f>IF(Plan!AS59&lt;&gt;0,AQ59/Plan!AS59,"")</f>
        <v>1.4768211920529801</v>
      </c>
      <c r="AR60" s="815">
        <f>IF(Plan!AT59&lt;&gt;0,AR59/Plan!AT59,"")</f>
        <v>1.0481481481481481</v>
      </c>
      <c r="AS60" s="815">
        <f>IF(Plan!AU59&lt;&gt;0,AS59/Plan!AU59,"")</f>
        <v>1.0946262578655803</v>
      </c>
      <c r="AT60" s="815">
        <f>IF(Plan!AV59&lt;&gt;0,AT59/Plan!AV59,"")</f>
        <v>1.1762255684302509</v>
      </c>
      <c r="AU60" s="815">
        <f>IF(Plan!AW59&lt;&gt;0,AU59/Plan!AW59,"")</f>
        <v>1.1124368091864261</v>
      </c>
      <c r="AV60" s="815">
        <f>IF(Plan!AX59&lt;&gt;0,AV59/Plan!AX59,"")</f>
        <v>1.1439099551133904</v>
      </c>
      <c r="AW60" s="815">
        <f>IF(Plan!AY59&lt;&gt;0,AW59/Plan!AY59,"")</f>
        <v>1.0631162359803676</v>
      </c>
      <c r="AX60" s="815">
        <f>IF(Plan!AZ59&lt;&gt;0,AX59/Plan!AZ59,"")</f>
        <v>1.3152961988297784</v>
      </c>
      <c r="AY60" s="815">
        <f>IF(Plan!BA59&lt;&gt;0,AY59/Plan!BA59,"")</f>
        <v>1.1998047903640343</v>
      </c>
      <c r="AZ60" s="815">
        <f>IF(Plan!BB59&lt;&gt;0,AZ59/Plan!BB59,"")</f>
        <v>2.4502707327289199</v>
      </c>
      <c r="BA60" s="815">
        <f>IF(Plan!BC59&lt;&gt;0,BA59/Plan!BC59,"")</f>
        <v>1.2061171894188485</v>
      </c>
      <c r="BB60" s="815">
        <f>IF(Plan!BD59&lt;&gt;0,BB59/Plan!BD59,"")</f>
        <v>0.94648058144859615</v>
      </c>
      <c r="BC60" s="815">
        <f>IF(Plan!BE59&lt;&gt;0,BC59/Plan!BE59,"")</f>
        <v>0.68807545346022181</v>
      </c>
      <c r="BD60" s="815">
        <f>IF(Plan!BF59&lt;&gt;0,BD59/Plan!BF59,"")</f>
        <v>1.1914981559475353</v>
      </c>
      <c r="BE60" s="815">
        <f>IF(Plan!BG59&lt;&gt;0,BE59/Plan!BG59,"")</f>
        <v>1.0899558810374008</v>
      </c>
      <c r="BF60" s="815">
        <f>IF(Plan!BH59&lt;&gt;0,BF59/Plan!BH59,"")</f>
        <v>0</v>
      </c>
      <c r="BG60" s="815">
        <f>IF(Plan!BI59&lt;&gt;0,BG59/Plan!BI59,"")</f>
        <v>0</v>
      </c>
      <c r="BH60" s="815">
        <f>IF(Plan!BJ59&lt;&gt;0,BH59/Plan!BJ59,"")</f>
        <v>0</v>
      </c>
      <c r="BI60" s="815">
        <f>IF(Plan!BK59&lt;&gt;0,BI59/Plan!BK59,"")</f>
        <v>0</v>
      </c>
      <c r="BJ60" s="815">
        <f>IF(Plan!BL59&lt;&gt;0,BJ59/Plan!BL59,"")</f>
        <v>0</v>
      </c>
      <c r="BK60" s="988"/>
      <c r="BL60" s="1015"/>
    </row>
    <row r="61" spans="2:64" s="1016" customFormat="1" ht="13.5" customHeight="1">
      <c r="B61" s="1017"/>
      <c r="C61" s="1018"/>
      <c r="D61" s="1019"/>
      <c r="E61" s="1019"/>
      <c r="F61" s="1019"/>
      <c r="G61" s="1019"/>
      <c r="H61" s="1019"/>
      <c r="I61" s="1019"/>
      <c r="J61" s="1019"/>
      <c r="K61" s="1020"/>
      <c r="L61" s="1020"/>
      <c r="M61" s="1019"/>
      <c r="N61" s="1019"/>
      <c r="O61" s="1019"/>
      <c r="P61" s="1019"/>
      <c r="Q61" s="1019"/>
      <c r="R61" s="1019"/>
      <c r="S61" s="1019"/>
      <c r="T61" s="1019"/>
      <c r="U61" s="1019"/>
      <c r="V61" s="1019"/>
      <c r="W61" s="1019"/>
      <c r="X61" s="1019"/>
      <c r="Y61" s="1019"/>
      <c r="Z61" s="1019"/>
      <c r="AA61" s="1019"/>
      <c r="AB61" s="1019"/>
      <c r="AC61" s="1021"/>
      <c r="AD61" s="1021"/>
      <c r="AE61" s="1021"/>
      <c r="AF61" s="1021"/>
      <c r="AG61" s="1021"/>
      <c r="AH61" s="1021"/>
      <c r="AI61" s="1021"/>
      <c r="AJ61" s="1021"/>
      <c r="AK61" s="1021"/>
      <c r="AL61" s="1021"/>
      <c r="AM61" s="1021"/>
      <c r="AN61" s="1021"/>
      <c r="AO61" s="1021"/>
      <c r="AP61" s="1020"/>
      <c r="AQ61" s="1020"/>
      <c r="AR61" s="1020"/>
      <c r="AS61" s="1020"/>
      <c r="AT61" s="1020"/>
      <c r="AU61" s="1020"/>
      <c r="AV61" s="1020"/>
      <c r="AW61" s="1020"/>
      <c r="AX61" s="1020"/>
      <c r="AY61" s="1020"/>
      <c r="AZ61" s="1020"/>
      <c r="BA61" s="1020"/>
      <c r="BB61" s="1020"/>
      <c r="BC61" s="1020"/>
      <c r="BD61" s="1020"/>
      <c r="BE61" s="1020"/>
      <c r="BF61" s="1020"/>
      <c r="BG61" s="1020"/>
      <c r="BH61" s="1020"/>
      <c r="BI61" s="1020"/>
      <c r="BJ61" s="1020"/>
      <c r="BK61" s="1022"/>
      <c r="BL61" s="1023"/>
    </row>
  </sheetData>
  <conditionalFormatting sqref="AF6:BJ6">
    <cfRule type="expression" dxfId="132" priority="53">
      <formula>AF6=$C$2</formula>
    </cfRule>
  </conditionalFormatting>
  <conditionalFormatting sqref="AF25:AX25">
    <cfRule type="expression" dxfId="131" priority="37">
      <formula>AF25=$C$2</formula>
    </cfRule>
  </conditionalFormatting>
  <conditionalFormatting sqref="AF16:AX16">
    <cfRule type="expression" dxfId="130" priority="40">
      <formula>AF16=$C$2</formula>
    </cfRule>
  </conditionalFormatting>
  <conditionalFormatting sqref="AF35:AX35">
    <cfRule type="expression" dxfId="129" priority="34">
      <formula>AF35=$C$2</formula>
    </cfRule>
  </conditionalFormatting>
  <conditionalFormatting sqref="AF45:AX45">
    <cfRule type="expression" dxfId="128" priority="31">
      <formula>AF45=$C$2</formula>
    </cfRule>
  </conditionalFormatting>
  <conditionalFormatting sqref="AF54:AX54">
    <cfRule type="expression" dxfId="127" priority="28">
      <formula>AF54=$C$2</formula>
    </cfRule>
  </conditionalFormatting>
  <conditionalFormatting sqref="AY16:BJ16">
    <cfRule type="expression" dxfId="126" priority="23">
      <formula>AY16=$C$2</formula>
    </cfRule>
  </conditionalFormatting>
  <conditionalFormatting sqref="AY25:BJ25">
    <cfRule type="expression" dxfId="125" priority="18">
      <formula>AY25=$C$2</formula>
    </cfRule>
  </conditionalFormatting>
  <conditionalFormatting sqref="AY35:BJ35">
    <cfRule type="expression" dxfId="124" priority="13">
      <formula>AY35=$C$2</formula>
    </cfRule>
  </conditionalFormatting>
  <conditionalFormatting sqref="AY45:BJ45">
    <cfRule type="expression" dxfId="123" priority="8">
      <formula>AY45=$C$2</formula>
    </cfRule>
  </conditionalFormatting>
  <conditionalFormatting sqref="AY54:BJ54">
    <cfRule type="expression" dxfId="122" priority="3">
      <formula>AY54=$C$2</formula>
    </cfRule>
  </conditionalFormatting>
  <hyperlinks>
    <hyperlink ref="J1" location="Cover!A1" display="Back to cover page"/>
    <hyperlink ref="E1" location="Cover!A1" display="Back to cover page"/>
  </hyperlinks>
  <pageMargins left="0.72" right="0.7" top="0.46" bottom="0.36" header="0.3" footer="0.17"/>
  <pageSetup paperSize="9" scale="86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84AD8791-2D53-47BF-93A0-CD8BAEF302BF}">
            <xm:f>U$5='1.0 Production (GVL)'!$B$2</xm:f>
            <x14:dxf>
              <font>
                <color rgb="FFFF0000"/>
              </font>
            </x14:dxf>
          </x14:cfRule>
          <xm:sqref>AF25:AX25 AF16:AX16 AF35:AX35 AF45:AX45 AF54:AX54 AF6:AY6 BA6 BC6 BE6 BG6 BI6</xm:sqref>
        </x14:conditionalFormatting>
        <x14:conditionalFormatting xmlns:xm="http://schemas.microsoft.com/office/excel/2006/main">
          <x14:cfRule type="expression" priority="44122" id="{84AD8791-2D53-47BF-93A0-CD8BAEF302BF}">
            <xm:f>AL$5='1.0 Production (GVL)'!$B$2</xm:f>
            <x14:dxf>
              <font>
                <color rgb="FFFF0000"/>
              </font>
            </x14:dxf>
          </x14:cfRule>
          <xm:sqref>AX16 AX25 AX35 AX45 AX54 AX6:BJ6</xm:sqref>
        </x14:conditionalFormatting>
        <x14:conditionalFormatting xmlns:xm="http://schemas.microsoft.com/office/excel/2006/main">
          <x14:cfRule type="expression" priority="49694" id="{84AD8791-2D53-47BF-93A0-CD8BAEF302BF}">
            <xm:f>AM$5='1.0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6" id="{67B9C4E5-0DED-4A29-A0D8-47A489F7F166}">
            <xm:f>AO$5='1.0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2" id="{B7276870-F91D-443B-AE54-A7A26AC53FA9}">
            <xm:f>AN$5='1.0 Production (GVL)'!$B$2</xm:f>
            <x14:dxf>
              <font>
                <color rgb="FFFF0000"/>
              </font>
            </x14:dxf>
          </x14:cfRule>
          <xm:sqref>AY16 BA16 BC16 BE16 BG16 BI16</xm:sqref>
        </x14:conditionalFormatting>
        <x14:conditionalFormatting xmlns:xm="http://schemas.microsoft.com/office/excel/2006/main">
          <x14:cfRule type="expression" priority="24" id="{13725B28-8105-46AF-ADCA-C6D866F2FD1F}">
            <xm:f>AM$5='1.0 Production (GVL)'!$B$2</xm:f>
            <x14:dxf>
              <font>
                <color rgb="FFFF0000"/>
              </font>
            </x14:dxf>
          </x14:cfRule>
          <xm:sqref>AY16:BJ16</xm:sqref>
        </x14:conditionalFormatting>
        <x14:conditionalFormatting xmlns:xm="http://schemas.microsoft.com/office/excel/2006/main">
          <x14:cfRule type="expression" priority="25" id="{8492D069-F8AB-4B4A-BD33-DB3EEFD96138}">
            <xm:f>AM$5='1.0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21" id="{8C212BB2-3D68-4A08-9533-ADDC204EB7CB}">
            <xm:f>AO$5='1.0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17" id="{EB71BA94-F81F-4AB7-A6FE-1EC127C7AC00}">
            <xm:f>AN$5='1.0 Production (GVL)'!$B$2</xm:f>
            <x14:dxf>
              <font>
                <color rgb="FFFF0000"/>
              </font>
            </x14:dxf>
          </x14:cfRule>
          <xm:sqref>AY25 BA25 BC25 BE25 BG25 BI25</xm:sqref>
        </x14:conditionalFormatting>
        <x14:conditionalFormatting xmlns:xm="http://schemas.microsoft.com/office/excel/2006/main">
          <x14:cfRule type="expression" priority="19" id="{F9BAD645-F2BB-4B9F-8A78-4B4DCBDAAD19}">
            <xm:f>AM$5='1.0 Production (GVL)'!$B$2</xm:f>
            <x14:dxf>
              <font>
                <color rgb="FFFF0000"/>
              </font>
            </x14:dxf>
          </x14:cfRule>
          <xm:sqref>AY25:BJ25</xm:sqref>
        </x14:conditionalFormatting>
        <x14:conditionalFormatting xmlns:xm="http://schemas.microsoft.com/office/excel/2006/main">
          <x14:cfRule type="expression" priority="20" id="{7A4806FE-DFE4-4124-9411-E1F8689ABB13}">
            <xm:f>AM$5='1.0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6" id="{CFF1F15D-7302-4E74-ADE4-9FD0C5A423EE}">
            <xm:f>AO$5='1.0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2" id="{FDE5B84E-B215-49A3-9F64-7BC579EE3C10}">
            <xm:f>AN$5='1.0 Production (GVL)'!$B$2</xm:f>
            <x14:dxf>
              <font>
                <color rgb="FFFF0000"/>
              </font>
            </x14:dxf>
          </x14:cfRule>
          <xm:sqref>AY35 BA35 BC35 BE35 BG35 BI35</xm:sqref>
        </x14:conditionalFormatting>
        <x14:conditionalFormatting xmlns:xm="http://schemas.microsoft.com/office/excel/2006/main">
          <x14:cfRule type="expression" priority="14" id="{F041F409-A25E-4639-B853-D1069847FF96}">
            <xm:f>AM$5='1.0 Production (GVL)'!$B$2</xm:f>
            <x14:dxf>
              <font>
                <color rgb="FFFF0000"/>
              </font>
            </x14:dxf>
          </x14:cfRule>
          <xm:sqref>AY35:BJ35</xm:sqref>
        </x14:conditionalFormatting>
        <x14:conditionalFormatting xmlns:xm="http://schemas.microsoft.com/office/excel/2006/main">
          <x14:cfRule type="expression" priority="15" id="{9D8B61F3-B246-45D1-A103-99935B7DDB4F}">
            <xm:f>AM$5='1.0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11" id="{18AC36BC-67CC-4F05-A314-47FFA2F46B4F}">
            <xm:f>AO$5='1.0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7" id="{87D2FA56-10B9-4C6E-9045-E7B40BF38717}">
            <xm:f>AN$5='1.0 Production (GVL)'!$B$2</xm:f>
            <x14:dxf>
              <font>
                <color rgb="FFFF0000"/>
              </font>
            </x14:dxf>
          </x14:cfRule>
          <xm:sqref>AY45 BA45 BC45 BE45 BG45 BI45</xm:sqref>
        </x14:conditionalFormatting>
        <x14:conditionalFormatting xmlns:xm="http://schemas.microsoft.com/office/excel/2006/main">
          <x14:cfRule type="expression" priority="9" id="{64730D46-9316-4E30-898F-F3106DF1920A}">
            <xm:f>AM$5='1.0 Production (GVL)'!$B$2</xm:f>
            <x14:dxf>
              <font>
                <color rgb="FFFF0000"/>
              </font>
            </x14:dxf>
          </x14:cfRule>
          <xm:sqref>AY45:BJ45</xm:sqref>
        </x14:conditionalFormatting>
        <x14:conditionalFormatting xmlns:xm="http://schemas.microsoft.com/office/excel/2006/main">
          <x14:cfRule type="expression" priority="10" id="{7DA4BE36-A239-40A8-BCD6-9680A0910B2C}">
            <xm:f>AM$5='1.0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6" id="{62F8CF0E-7EEC-4532-9A24-E5B3B4989C14}">
            <xm:f>AO$5='1.0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2" id="{3A7ED2EB-C918-4530-B47D-840B1FB45E2F}">
            <xm:f>AN$5='1.0 Production (GVL)'!$B$2</xm:f>
            <x14:dxf>
              <font>
                <color rgb="FFFF0000"/>
              </font>
            </x14:dxf>
          </x14:cfRule>
          <xm:sqref>AY54 BA54 BC54 BE54 BG54 BI54</xm:sqref>
        </x14:conditionalFormatting>
        <x14:conditionalFormatting xmlns:xm="http://schemas.microsoft.com/office/excel/2006/main">
          <x14:cfRule type="expression" priority="4" id="{7533FF74-8859-4CFA-8BCC-8C6DF0293264}">
            <xm:f>AM$5='1.0 Production (GVL)'!$B$2</xm:f>
            <x14:dxf>
              <font>
                <color rgb="FFFF0000"/>
              </font>
            </x14:dxf>
          </x14:cfRule>
          <xm:sqref>AY54:BJ54</xm:sqref>
        </x14:conditionalFormatting>
        <x14:conditionalFormatting xmlns:xm="http://schemas.microsoft.com/office/excel/2006/main">
          <x14:cfRule type="expression" priority="5" id="{57ECDE0D-FEE4-43BB-863F-01D23C56C441}">
            <xm:f>AM$5='1.0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  <x14:conditionalFormatting xmlns:xm="http://schemas.microsoft.com/office/excel/2006/main">
          <x14:cfRule type="expression" priority="1" id="{91BFB9EA-D870-4862-9920-4CDE82F2560D}">
            <xm:f>AO$5='1.0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  <pageSetUpPr fitToPage="1"/>
  </sheetPr>
  <dimension ref="A1:T138"/>
  <sheetViews>
    <sheetView showGridLines="0" topLeftCell="B1" zoomScale="85" zoomScaleNormal="85" workbookViewId="0">
      <selection activeCell="E7" sqref="E7"/>
    </sheetView>
  </sheetViews>
  <sheetFormatPr defaultRowHeight="12.75"/>
  <cols>
    <col min="1" max="1" width="4.5703125" customWidth="1"/>
    <col min="2" max="2" width="13.140625" customWidth="1"/>
    <col min="3" max="3" width="35.42578125" bestFit="1" customWidth="1"/>
    <col min="4" max="4" width="29.28515625" bestFit="1" customWidth="1"/>
    <col min="5" max="5" width="9.140625" customWidth="1"/>
    <col min="6" max="6" width="8.140625" bestFit="1" customWidth="1"/>
    <col min="7" max="7" width="8.7109375" customWidth="1"/>
    <col min="8" max="8" width="7.85546875" customWidth="1"/>
    <col min="9" max="9" width="8.28515625" customWidth="1"/>
    <col min="10" max="10" width="8.140625" customWidth="1"/>
    <col min="11" max="11" width="8.7109375" customWidth="1"/>
    <col min="12" max="12" width="9" customWidth="1"/>
    <col min="13" max="13" width="8.42578125" customWidth="1"/>
    <col min="14" max="16" width="8.42578125" style="2" customWidth="1"/>
  </cols>
  <sheetData>
    <row r="1" spans="1:20">
      <c r="A1" s="1" t="s">
        <v>126</v>
      </c>
      <c r="J1" s="3" t="s">
        <v>0</v>
      </c>
      <c r="N1" s="3"/>
    </row>
    <row r="2" spans="1:20">
      <c r="A2" s="64"/>
      <c r="B2" s="1623">
        <f>'2.1 MP by Region'!C2</f>
        <v>42947</v>
      </c>
      <c r="C2" s="5"/>
    </row>
    <row r="3" spans="1:20" ht="6" customHeight="1"/>
    <row r="4" spans="1:20" ht="11.25" customHeight="1">
      <c r="A4" s="6"/>
      <c r="B4" s="380"/>
      <c r="C4" s="38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20">
      <c r="A5" s="1"/>
      <c r="B5" s="1"/>
      <c r="N5"/>
      <c r="O5"/>
      <c r="P5"/>
    </row>
    <row r="6" spans="1:20" s="44" customFormat="1" ht="13.15" customHeight="1">
      <c r="B6" s="134" t="s">
        <v>115</v>
      </c>
      <c r="C6" s="135"/>
      <c r="D6" s="135"/>
      <c r="E6" s="825" t="s">
        <v>4377</v>
      </c>
      <c r="F6" s="384"/>
      <c r="G6" s="384"/>
      <c r="H6" s="384"/>
      <c r="I6" s="825" t="s">
        <v>4256</v>
      </c>
      <c r="J6" s="384"/>
      <c r="K6" s="384"/>
      <c r="L6" s="384"/>
      <c r="M6" s="825" t="s">
        <v>4248</v>
      </c>
      <c r="N6" s="384"/>
      <c r="O6" s="384"/>
      <c r="P6" s="384"/>
      <c r="Q6" s="825" t="s">
        <v>4376</v>
      </c>
      <c r="R6" s="384"/>
      <c r="S6" s="384"/>
      <c r="T6" s="384"/>
    </row>
    <row r="7" spans="1:20" s="43" customFormat="1" ht="54.75" customHeight="1">
      <c r="B7" s="254" t="s">
        <v>15</v>
      </c>
      <c r="C7" s="277" t="s">
        <v>16</v>
      </c>
      <c r="D7" s="277" t="s">
        <v>20</v>
      </c>
      <c r="E7" s="826" t="s">
        <v>133</v>
      </c>
      <c r="F7" s="381" t="s">
        <v>429</v>
      </c>
      <c r="G7" s="382" t="s">
        <v>430</v>
      </c>
      <c r="H7" s="829" t="s">
        <v>431</v>
      </c>
      <c r="I7" s="826" t="s">
        <v>133</v>
      </c>
      <c r="J7" s="381" t="s">
        <v>429</v>
      </c>
      <c r="K7" s="382" t="s">
        <v>430</v>
      </c>
      <c r="L7" s="829" t="s">
        <v>431</v>
      </c>
      <c r="M7" s="826" t="s">
        <v>133</v>
      </c>
      <c r="N7" s="381" t="s">
        <v>429</v>
      </c>
      <c r="O7" s="382" t="s">
        <v>430</v>
      </c>
      <c r="P7" s="829" t="s">
        <v>431</v>
      </c>
      <c r="Q7" s="826" t="s">
        <v>133</v>
      </c>
      <c r="R7" s="381" t="s">
        <v>429</v>
      </c>
      <c r="S7" s="382" t="s">
        <v>430</v>
      </c>
      <c r="T7" s="829" t="s">
        <v>431</v>
      </c>
    </row>
    <row r="8" spans="1:20" s="306" customFormat="1" ht="17.25" customHeight="1">
      <c r="B8" s="307" t="s">
        <v>1166</v>
      </c>
      <c r="C8" s="308"/>
      <c r="D8" s="308"/>
      <c r="E8" s="2356"/>
      <c r="I8" s="2137"/>
      <c r="J8" s="2138"/>
      <c r="K8" s="2138"/>
      <c r="L8" s="2139"/>
      <c r="M8" s="632"/>
      <c r="N8" s="314"/>
      <c r="O8" s="314"/>
      <c r="P8" s="830"/>
      <c r="Q8" s="632"/>
      <c r="R8" s="314"/>
      <c r="S8" s="314"/>
      <c r="T8" s="830"/>
    </row>
    <row r="9" spans="1:20" s="42" customFormat="1">
      <c r="B9" s="1873"/>
      <c r="C9" s="1876" t="s">
        <v>4058</v>
      </c>
      <c r="D9" s="1876" t="s">
        <v>4063</v>
      </c>
      <c r="E9" s="2358">
        <v>1</v>
      </c>
      <c r="F9" s="2141">
        <v>0</v>
      </c>
      <c r="G9" s="2141">
        <v>0</v>
      </c>
      <c r="H9" s="2141">
        <v>0</v>
      </c>
      <c r="I9" s="2359">
        <v>2</v>
      </c>
      <c r="J9" s="2141">
        <v>1</v>
      </c>
      <c r="K9" s="2141">
        <v>0</v>
      </c>
      <c r="L9" s="2141">
        <v>0</v>
      </c>
      <c r="M9" s="2360">
        <v>1</v>
      </c>
      <c r="N9" s="2141">
        <v>1</v>
      </c>
      <c r="O9" s="2141">
        <v>0</v>
      </c>
      <c r="P9" s="2141">
        <v>0</v>
      </c>
      <c r="Q9" s="2360">
        <v>4</v>
      </c>
      <c r="R9" s="2141">
        <v>3</v>
      </c>
      <c r="S9" s="2141">
        <v>3</v>
      </c>
      <c r="T9" s="2141">
        <v>2</v>
      </c>
    </row>
    <row r="10" spans="1:20" s="42" customFormat="1">
      <c r="B10" s="1873"/>
      <c r="C10" s="1876" t="s">
        <v>1563</v>
      </c>
      <c r="D10" s="1876" t="s">
        <v>1564</v>
      </c>
      <c r="E10" s="2358">
        <v>3</v>
      </c>
      <c r="F10" s="2141">
        <v>1</v>
      </c>
      <c r="G10" s="2141">
        <v>0</v>
      </c>
      <c r="H10" s="2141">
        <v>0</v>
      </c>
      <c r="I10" s="2359">
        <v>7</v>
      </c>
      <c r="J10" s="2141">
        <v>4</v>
      </c>
      <c r="K10" s="2141">
        <v>1</v>
      </c>
      <c r="L10" s="2141">
        <v>0</v>
      </c>
      <c r="M10" s="2360">
        <v>10</v>
      </c>
      <c r="N10" s="2141">
        <v>4</v>
      </c>
      <c r="O10" s="2141">
        <v>2</v>
      </c>
      <c r="P10" s="2141">
        <v>2</v>
      </c>
      <c r="Q10" s="2360">
        <v>4</v>
      </c>
      <c r="R10" s="2141">
        <v>2</v>
      </c>
      <c r="S10" s="2141">
        <v>1</v>
      </c>
      <c r="T10" s="2141">
        <v>0</v>
      </c>
    </row>
    <row r="11" spans="1:20" s="42" customFormat="1">
      <c r="B11" s="1873"/>
      <c r="C11" s="1876" t="s">
        <v>4304</v>
      </c>
      <c r="D11" s="1876" t="s">
        <v>4352</v>
      </c>
      <c r="E11" s="2358">
        <v>6</v>
      </c>
      <c r="F11" s="2141">
        <v>0</v>
      </c>
      <c r="G11" s="2141">
        <v>0</v>
      </c>
      <c r="H11" s="2141">
        <v>0</v>
      </c>
      <c r="I11" s="2359">
        <v>11</v>
      </c>
      <c r="J11" s="2141">
        <v>6</v>
      </c>
      <c r="K11" s="2141">
        <v>1</v>
      </c>
      <c r="L11" s="2141">
        <v>0</v>
      </c>
      <c r="M11" s="2360">
        <v>8</v>
      </c>
      <c r="N11" s="2141">
        <v>0</v>
      </c>
      <c r="O11" s="2141">
        <v>1</v>
      </c>
      <c r="P11" s="2141">
        <v>2</v>
      </c>
      <c r="Q11" s="2360">
        <v>7</v>
      </c>
      <c r="R11" s="2141">
        <v>3</v>
      </c>
      <c r="S11" s="2141">
        <v>0</v>
      </c>
      <c r="T11" s="2141">
        <v>0</v>
      </c>
    </row>
    <row r="12" spans="1:20" s="42" customFormat="1">
      <c r="B12" s="1873"/>
      <c r="C12" s="1876" t="s">
        <v>4305</v>
      </c>
      <c r="D12" s="1876" t="s">
        <v>4352</v>
      </c>
      <c r="E12" s="2358">
        <v>7</v>
      </c>
      <c r="F12" s="2141">
        <v>5</v>
      </c>
      <c r="G12" s="2141">
        <v>0</v>
      </c>
      <c r="H12" s="2141">
        <v>0</v>
      </c>
      <c r="I12" s="2359">
        <v>8</v>
      </c>
      <c r="J12" s="2141">
        <v>2</v>
      </c>
      <c r="K12" s="2141">
        <v>1</v>
      </c>
      <c r="L12" s="2141">
        <v>0</v>
      </c>
      <c r="M12" s="2360">
        <v>4</v>
      </c>
      <c r="N12" s="2141">
        <v>3</v>
      </c>
      <c r="O12" s="2141">
        <v>1</v>
      </c>
      <c r="P12" s="2141">
        <v>1</v>
      </c>
      <c r="Q12" s="2360"/>
      <c r="R12" s="2141"/>
      <c r="S12" s="2141"/>
      <c r="T12" s="2141"/>
    </row>
    <row r="13" spans="1:20" s="42" customFormat="1">
      <c r="B13" s="1873"/>
      <c r="C13" s="1876" t="s">
        <v>1099</v>
      </c>
      <c r="D13" s="1876" t="s">
        <v>1286</v>
      </c>
      <c r="E13" s="2358">
        <v>2</v>
      </c>
      <c r="F13" s="2141">
        <v>1</v>
      </c>
      <c r="G13" s="2141">
        <v>0</v>
      </c>
      <c r="H13" s="2141">
        <v>0</v>
      </c>
      <c r="I13" s="2359">
        <v>1</v>
      </c>
      <c r="J13" s="2141">
        <v>1</v>
      </c>
      <c r="K13" s="2141">
        <v>0</v>
      </c>
      <c r="L13" s="2141">
        <v>0</v>
      </c>
      <c r="M13" s="2360">
        <v>3</v>
      </c>
      <c r="N13" s="2141">
        <v>1</v>
      </c>
      <c r="O13" s="2141">
        <v>0</v>
      </c>
      <c r="P13" s="2141">
        <v>0</v>
      </c>
      <c r="Q13" s="2360">
        <v>3</v>
      </c>
      <c r="R13" s="2141">
        <v>1</v>
      </c>
      <c r="S13" s="2141">
        <v>2</v>
      </c>
      <c r="T13" s="2141">
        <v>1</v>
      </c>
    </row>
    <row r="14" spans="1:20" s="42" customFormat="1">
      <c r="B14" s="1873"/>
      <c r="C14" s="1876" t="s">
        <v>4353</v>
      </c>
      <c r="D14" s="1876" t="s">
        <v>4354</v>
      </c>
      <c r="E14" s="2358">
        <v>4</v>
      </c>
      <c r="F14" s="2141">
        <v>3</v>
      </c>
      <c r="G14" s="2141">
        <v>0</v>
      </c>
      <c r="H14" s="2141">
        <v>0</v>
      </c>
      <c r="I14" s="2359"/>
      <c r="J14" s="2141"/>
      <c r="K14" s="2141"/>
      <c r="L14" s="2141"/>
      <c r="M14" s="2360"/>
      <c r="N14" s="2141"/>
      <c r="O14" s="2141"/>
      <c r="P14" s="2141"/>
      <c r="Q14" s="2360"/>
      <c r="R14" s="2141"/>
      <c r="S14" s="2141"/>
      <c r="T14" s="2141"/>
    </row>
    <row r="15" spans="1:20" s="42" customFormat="1">
      <c r="B15" s="1873"/>
      <c r="C15" s="1876" t="s">
        <v>4051</v>
      </c>
      <c r="D15" s="1876" t="s">
        <v>4052</v>
      </c>
      <c r="E15" s="2358">
        <v>28</v>
      </c>
      <c r="F15" s="2141">
        <v>6</v>
      </c>
      <c r="G15" s="2141">
        <v>0</v>
      </c>
      <c r="H15" s="2141">
        <v>0</v>
      </c>
      <c r="I15" s="2359">
        <v>19</v>
      </c>
      <c r="J15" s="2141">
        <v>6</v>
      </c>
      <c r="K15" s="2141">
        <v>1</v>
      </c>
      <c r="L15" s="2141">
        <v>0</v>
      </c>
      <c r="M15" s="2360">
        <v>14</v>
      </c>
      <c r="N15" s="2141">
        <v>7</v>
      </c>
      <c r="O15" s="2141">
        <v>2</v>
      </c>
      <c r="P15" s="2141">
        <v>1</v>
      </c>
      <c r="Q15" s="2360">
        <v>13</v>
      </c>
      <c r="R15" s="2141">
        <v>9</v>
      </c>
      <c r="S15" s="2141">
        <v>2</v>
      </c>
      <c r="T15" s="2141">
        <v>1</v>
      </c>
    </row>
    <row r="16" spans="1:20" s="42" customFormat="1">
      <c r="B16" s="1873"/>
      <c r="C16" s="1876" t="s">
        <v>4138</v>
      </c>
      <c r="D16" s="1876" t="s">
        <v>4141</v>
      </c>
      <c r="E16" s="2358"/>
      <c r="F16" s="2141"/>
      <c r="G16" s="2141"/>
      <c r="H16" s="2141"/>
      <c r="I16" s="2359">
        <v>3</v>
      </c>
      <c r="J16" s="2141">
        <v>0</v>
      </c>
      <c r="K16" s="2141">
        <v>0</v>
      </c>
      <c r="L16" s="2141">
        <v>0</v>
      </c>
      <c r="M16" s="2360"/>
      <c r="N16" s="2141"/>
      <c r="O16" s="2141"/>
      <c r="P16" s="2141"/>
      <c r="Q16" s="2360"/>
      <c r="R16" s="2141"/>
      <c r="S16" s="2141"/>
      <c r="T16" s="2141"/>
    </row>
    <row r="17" spans="2:20" s="42" customFormat="1">
      <c r="B17" s="1873"/>
      <c r="C17" s="1876" t="s">
        <v>4056</v>
      </c>
      <c r="D17" s="1876" t="s">
        <v>4042</v>
      </c>
      <c r="E17" s="2358">
        <v>6</v>
      </c>
      <c r="F17" s="2141">
        <v>1</v>
      </c>
      <c r="G17" s="2141">
        <v>0</v>
      </c>
      <c r="H17" s="2141">
        <v>0</v>
      </c>
      <c r="I17" s="2359">
        <v>13</v>
      </c>
      <c r="J17" s="2141">
        <v>4</v>
      </c>
      <c r="K17" s="2141">
        <v>0</v>
      </c>
      <c r="L17" s="2141">
        <v>0</v>
      </c>
      <c r="M17" s="2360">
        <v>6</v>
      </c>
      <c r="N17" s="2141">
        <v>5</v>
      </c>
      <c r="O17" s="2141">
        <v>1</v>
      </c>
      <c r="P17" s="2141">
        <v>0</v>
      </c>
      <c r="Q17" s="2360">
        <v>8</v>
      </c>
      <c r="R17" s="2141">
        <v>6</v>
      </c>
      <c r="S17" s="2141">
        <v>1</v>
      </c>
      <c r="T17" s="2141">
        <v>2</v>
      </c>
    </row>
    <row r="18" spans="2:20" s="42" customFormat="1">
      <c r="B18" s="1873"/>
      <c r="C18" s="1876" t="s">
        <v>2900</v>
      </c>
      <c r="D18" s="1876" t="s">
        <v>4354</v>
      </c>
      <c r="E18" s="2358">
        <v>4</v>
      </c>
      <c r="F18" s="2141">
        <v>2</v>
      </c>
      <c r="G18" s="2141">
        <v>0</v>
      </c>
      <c r="H18" s="2141">
        <v>0</v>
      </c>
      <c r="I18" s="2359"/>
      <c r="J18" s="2141"/>
      <c r="K18" s="2141"/>
      <c r="L18" s="2141"/>
      <c r="M18" s="2360"/>
      <c r="N18" s="2141"/>
      <c r="O18" s="2141"/>
      <c r="P18" s="2141"/>
      <c r="Q18" s="2360">
        <v>4</v>
      </c>
      <c r="R18" s="2141">
        <v>3</v>
      </c>
      <c r="S18" s="2141">
        <v>0</v>
      </c>
      <c r="T18" s="2141">
        <v>0</v>
      </c>
    </row>
    <row r="19" spans="2:20" s="42" customFormat="1">
      <c r="B19" s="1873"/>
      <c r="C19" s="1876" t="s">
        <v>2046</v>
      </c>
      <c r="D19" s="1876" t="s">
        <v>2054</v>
      </c>
      <c r="E19" s="2358">
        <v>21</v>
      </c>
      <c r="F19" s="2141">
        <v>6</v>
      </c>
      <c r="G19" s="2141">
        <v>0</v>
      </c>
      <c r="H19" s="2141">
        <v>0</v>
      </c>
      <c r="I19" s="2359">
        <v>30</v>
      </c>
      <c r="J19" s="2141">
        <v>15</v>
      </c>
      <c r="K19" s="2141">
        <v>4</v>
      </c>
      <c r="L19" s="2141">
        <v>0</v>
      </c>
      <c r="M19" s="2360">
        <v>20</v>
      </c>
      <c r="N19" s="2141">
        <v>6</v>
      </c>
      <c r="O19" s="2141">
        <v>1</v>
      </c>
      <c r="P19" s="2141">
        <v>2</v>
      </c>
      <c r="Q19" s="2360">
        <v>18</v>
      </c>
      <c r="R19" s="2141">
        <v>13</v>
      </c>
      <c r="S19" s="2141">
        <v>3</v>
      </c>
      <c r="T19" s="2141">
        <v>1</v>
      </c>
    </row>
    <row r="20" spans="2:20" s="42" customFormat="1">
      <c r="B20" s="1873"/>
      <c r="C20" s="1876" t="s">
        <v>4176</v>
      </c>
      <c r="D20" s="1876" t="s">
        <v>4178</v>
      </c>
      <c r="E20" s="2358">
        <v>9</v>
      </c>
      <c r="F20" s="2141">
        <v>3</v>
      </c>
      <c r="G20" s="2141">
        <v>0</v>
      </c>
      <c r="H20" s="2141">
        <v>0</v>
      </c>
      <c r="I20" s="2359">
        <v>5</v>
      </c>
      <c r="J20" s="2141">
        <v>0</v>
      </c>
      <c r="K20" s="2141">
        <v>0</v>
      </c>
      <c r="L20" s="2141">
        <v>0</v>
      </c>
      <c r="M20" s="2360">
        <v>12</v>
      </c>
      <c r="N20" s="2141">
        <v>4</v>
      </c>
      <c r="O20" s="2141">
        <v>1</v>
      </c>
      <c r="P20" s="2141">
        <v>1</v>
      </c>
      <c r="Q20" s="2360">
        <v>11</v>
      </c>
      <c r="R20" s="2141">
        <v>4</v>
      </c>
      <c r="S20" s="2141">
        <v>0</v>
      </c>
      <c r="T20" s="2141">
        <v>0</v>
      </c>
    </row>
    <row r="21" spans="2:20" s="42" customFormat="1">
      <c r="B21" s="1873"/>
      <c r="C21" s="1876" t="s">
        <v>4355</v>
      </c>
      <c r="D21" s="1876" t="s">
        <v>4356</v>
      </c>
      <c r="E21" s="2358">
        <v>7</v>
      </c>
      <c r="F21" s="2141">
        <v>1</v>
      </c>
      <c r="G21" s="2141">
        <v>0</v>
      </c>
      <c r="H21" s="2141">
        <v>0</v>
      </c>
      <c r="I21" s="2359"/>
      <c r="J21" s="2141"/>
      <c r="K21" s="2141"/>
      <c r="L21" s="2141"/>
      <c r="M21" s="2360"/>
      <c r="N21" s="2141"/>
      <c r="O21" s="2141"/>
      <c r="P21" s="2141"/>
      <c r="Q21" s="2360"/>
      <c r="R21" s="2141"/>
      <c r="S21" s="2141"/>
      <c r="T21" s="2141"/>
    </row>
    <row r="22" spans="2:20" s="42" customFormat="1">
      <c r="B22" s="1873"/>
      <c r="C22" s="1876" t="s">
        <v>4357</v>
      </c>
      <c r="D22" s="1876" t="s">
        <v>4358</v>
      </c>
      <c r="E22" s="2358">
        <v>1</v>
      </c>
      <c r="F22" s="2141">
        <v>0</v>
      </c>
      <c r="G22" s="2141">
        <v>0</v>
      </c>
      <c r="H22" s="2141">
        <v>0</v>
      </c>
      <c r="I22" s="2359"/>
      <c r="J22" s="2141"/>
      <c r="K22" s="2141"/>
      <c r="L22" s="2141"/>
      <c r="M22" s="2360"/>
      <c r="N22" s="2141"/>
      <c r="O22" s="2141"/>
      <c r="P22" s="2141"/>
      <c r="Q22" s="2360"/>
      <c r="R22" s="2141"/>
      <c r="S22" s="2141"/>
      <c r="T22" s="2141"/>
    </row>
    <row r="23" spans="2:20" s="42" customFormat="1">
      <c r="B23" s="1873"/>
      <c r="C23" s="1876" t="s">
        <v>4054</v>
      </c>
      <c r="D23" s="1876" t="s">
        <v>4354</v>
      </c>
      <c r="E23" s="2358">
        <v>2</v>
      </c>
      <c r="F23" s="2141">
        <v>0</v>
      </c>
      <c r="G23" s="2141">
        <v>0</v>
      </c>
      <c r="H23" s="2141">
        <v>0</v>
      </c>
      <c r="I23" s="2359">
        <v>17</v>
      </c>
      <c r="J23" s="2141">
        <v>13</v>
      </c>
      <c r="K23" s="2141">
        <v>3</v>
      </c>
      <c r="L23" s="2141">
        <v>0</v>
      </c>
      <c r="M23" s="2360">
        <v>24</v>
      </c>
      <c r="N23" s="2141">
        <v>14</v>
      </c>
      <c r="O23" s="2141">
        <v>6</v>
      </c>
      <c r="P23" s="2141">
        <v>2</v>
      </c>
      <c r="Q23" s="2360"/>
      <c r="R23" s="2141"/>
      <c r="S23" s="2141"/>
      <c r="T23" s="2141"/>
    </row>
    <row r="24" spans="2:20" s="42" customFormat="1">
      <c r="B24" s="1873"/>
      <c r="C24" s="1876" t="s">
        <v>4066</v>
      </c>
      <c r="D24" s="1876" t="s">
        <v>4359</v>
      </c>
      <c r="E24" s="2358">
        <v>19</v>
      </c>
      <c r="F24" s="2141">
        <v>14</v>
      </c>
      <c r="G24" s="2141">
        <v>0</v>
      </c>
      <c r="H24" s="2141">
        <v>0</v>
      </c>
      <c r="I24" s="2359">
        <v>11</v>
      </c>
      <c r="J24" s="2141">
        <v>2</v>
      </c>
      <c r="K24" s="2141">
        <v>0</v>
      </c>
      <c r="L24" s="2141">
        <v>0</v>
      </c>
      <c r="M24" s="2360">
        <v>1</v>
      </c>
      <c r="N24" s="2141">
        <v>0</v>
      </c>
      <c r="O24" s="2141">
        <v>0</v>
      </c>
      <c r="P24" s="2141">
        <v>0</v>
      </c>
      <c r="Q24" s="2360">
        <v>16</v>
      </c>
      <c r="R24" s="2141">
        <v>3</v>
      </c>
      <c r="S24" s="2141">
        <v>0</v>
      </c>
      <c r="T24" s="2141">
        <v>0</v>
      </c>
    </row>
    <row r="25" spans="2:20" s="42" customFormat="1">
      <c r="B25" s="1873"/>
      <c r="C25" s="1876" t="s">
        <v>4306</v>
      </c>
      <c r="D25" s="1876" t="s">
        <v>904</v>
      </c>
      <c r="E25" s="2358">
        <v>11</v>
      </c>
      <c r="F25" s="2141">
        <v>5</v>
      </c>
      <c r="G25" s="2141">
        <v>0</v>
      </c>
      <c r="H25" s="2141">
        <v>0</v>
      </c>
      <c r="I25" s="2359">
        <v>3</v>
      </c>
      <c r="J25" s="2141">
        <v>3</v>
      </c>
      <c r="K25" s="2141">
        <v>0</v>
      </c>
      <c r="L25" s="2141">
        <v>0</v>
      </c>
      <c r="M25" s="2360">
        <v>5</v>
      </c>
      <c r="N25" s="2141">
        <v>1</v>
      </c>
      <c r="O25" s="2141">
        <v>1</v>
      </c>
      <c r="P25" s="2141">
        <v>1</v>
      </c>
      <c r="Q25" s="2360">
        <v>4</v>
      </c>
      <c r="R25" s="2141">
        <v>1</v>
      </c>
      <c r="S25" s="2141">
        <v>1</v>
      </c>
      <c r="T25" s="2141">
        <v>0</v>
      </c>
    </row>
    <row r="26" spans="2:20" s="42" customFormat="1">
      <c r="B26" s="1873"/>
      <c r="C26" s="1876" t="s">
        <v>4067</v>
      </c>
      <c r="D26" s="1876" t="s">
        <v>4360</v>
      </c>
      <c r="E26" s="2358">
        <v>41</v>
      </c>
      <c r="F26" s="2141">
        <v>17</v>
      </c>
      <c r="G26" s="2141">
        <v>0</v>
      </c>
      <c r="H26" s="2141">
        <v>0</v>
      </c>
      <c r="I26" s="2359">
        <v>28</v>
      </c>
      <c r="J26" s="2141">
        <v>15</v>
      </c>
      <c r="K26" s="2141">
        <v>8</v>
      </c>
      <c r="L26" s="2141">
        <v>0</v>
      </c>
      <c r="M26" s="2360">
        <v>33</v>
      </c>
      <c r="N26" s="2141">
        <v>14</v>
      </c>
      <c r="O26" s="2141">
        <v>9</v>
      </c>
      <c r="P26" s="2141">
        <v>10</v>
      </c>
      <c r="Q26" s="2360">
        <v>16</v>
      </c>
      <c r="R26" s="2141">
        <v>7</v>
      </c>
      <c r="S26" s="2141">
        <v>2</v>
      </c>
      <c r="T26" s="2141">
        <v>2</v>
      </c>
    </row>
    <row r="27" spans="2:20" s="42" customFormat="1">
      <c r="B27" s="1873"/>
      <c r="C27" s="1876" t="s">
        <v>4068</v>
      </c>
      <c r="D27" s="1876" t="s">
        <v>4177</v>
      </c>
      <c r="E27" s="2358">
        <v>21</v>
      </c>
      <c r="F27" s="2141">
        <v>10</v>
      </c>
      <c r="G27" s="2141">
        <v>0</v>
      </c>
      <c r="H27" s="2141">
        <v>0</v>
      </c>
      <c r="I27" s="2359">
        <v>46</v>
      </c>
      <c r="J27" s="2141">
        <v>23</v>
      </c>
      <c r="K27" s="2141">
        <v>6</v>
      </c>
      <c r="L27" s="2141">
        <v>0</v>
      </c>
      <c r="M27" s="2360">
        <v>39</v>
      </c>
      <c r="N27" s="2141">
        <v>22</v>
      </c>
      <c r="O27" s="2141">
        <v>12</v>
      </c>
      <c r="P27" s="2141">
        <v>6</v>
      </c>
      <c r="Q27" s="2360">
        <v>46</v>
      </c>
      <c r="R27" s="2141">
        <v>22</v>
      </c>
      <c r="S27" s="2141">
        <v>8</v>
      </c>
      <c r="T27" s="2141">
        <v>7</v>
      </c>
    </row>
    <row r="28" spans="2:20" s="42" customFormat="1">
      <c r="B28" s="1873"/>
      <c r="C28" s="1876" t="s">
        <v>4347</v>
      </c>
      <c r="D28" s="1876" t="s">
        <v>644</v>
      </c>
      <c r="E28" s="2358">
        <v>32</v>
      </c>
      <c r="F28" s="2141">
        <v>32</v>
      </c>
      <c r="G28" s="2141">
        <v>0</v>
      </c>
      <c r="H28" s="2141">
        <v>0</v>
      </c>
      <c r="I28" s="2359">
        <v>61</v>
      </c>
      <c r="J28" s="2141">
        <v>61</v>
      </c>
      <c r="K28" s="2141">
        <v>2</v>
      </c>
      <c r="L28" s="2141">
        <v>0</v>
      </c>
      <c r="M28" s="2360">
        <v>28</v>
      </c>
      <c r="N28" s="2141">
        <v>28</v>
      </c>
      <c r="O28" s="2141">
        <v>1</v>
      </c>
      <c r="P28" s="2141">
        <v>1</v>
      </c>
      <c r="Q28" s="2360">
        <v>2</v>
      </c>
      <c r="R28" s="2141">
        <v>2</v>
      </c>
      <c r="S28" s="2141">
        <v>2</v>
      </c>
      <c r="T28" s="2141">
        <v>2</v>
      </c>
    </row>
    <row r="29" spans="2:20" s="42" customFormat="1">
      <c r="B29" s="1873"/>
      <c r="C29" s="1876" t="s">
        <v>4348</v>
      </c>
      <c r="D29" s="1876" t="s">
        <v>901</v>
      </c>
      <c r="E29" s="2358">
        <v>3</v>
      </c>
      <c r="F29" s="2141">
        <v>2</v>
      </c>
      <c r="G29" s="2141">
        <v>0</v>
      </c>
      <c r="H29" s="2141">
        <v>0</v>
      </c>
      <c r="I29" s="2359">
        <v>1</v>
      </c>
      <c r="J29" s="2141">
        <v>1</v>
      </c>
      <c r="K29" s="2141">
        <v>0</v>
      </c>
      <c r="L29" s="2141">
        <v>0</v>
      </c>
      <c r="M29" s="2360">
        <v>25</v>
      </c>
      <c r="N29" s="2141">
        <v>20</v>
      </c>
      <c r="O29" s="2141">
        <v>3</v>
      </c>
      <c r="P29" s="2141">
        <v>1</v>
      </c>
      <c r="Q29" s="2360">
        <v>3</v>
      </c>
      <c r="R29" s="2141">
        <v>2</v>
      </c>
      <c r="S29" s="2141">
        <v>2</v>
      </c>
      <c r="T29" s="2141">
        <v>2</v>
      </c>
    </row>
    <row r="30" spans="2:20" s="42" customFormat="1">
      <c r="B30" s="1873"/>
      <c r="C30" s="1876" t="s">
        <v>4349</v>
      </c>
      <c r="D30" s="1876" t="s">
        <v>4361</v>
      </c>
      <c r="E30" s="2358">
        <v>3</v>
      </c>
      <c r="F30" s="2141">
        <v>1</v>
      </c>
      <c r="G30" s="2141">
        <v>0</v>
      </c>
      <c r="H30" s="2141">
        <v>0</v>
      </c>
      <c r="I30" s="2359">
        <v>12</v>
      </c>
      <c r="J30" s="2141">
        <v>6</v>
      </c>
      <c r="K30" s="2141">
        <v>0</v>
      </c>
      <c r="L30" s="2141">
        <v>0</v>
      </c>
      <c r="M30" s="2360">
        <v>4</v>
      </c>
      <c r="N30" s="2141">
        <v>1</v>
      </c>
      <c r="O30" s="2141">
        <v>1</v>
      </c>
      <c r="P30" s="2141">
        <v>0</v>
      </c>
      <c r="Q30" s="2360">
        <v>2</v>
      </c>
      <c r="R30" s="2141">
        <v>1</v>
      </c>
      <c r="S30" s="2141">
        <v>2</v>
      </c>
      <c r="T30" s="2141">
        <v>1</v>
      </c>
    </row>
    <row r="31" spans="2:20" s="42" customFormat="1">
      <c r="B31" s="1873"/>
      <c r="C31" s="1876" t="s">
        <v>4069</v>
      </c>
      <c r="D31" s="1876" t="s">
        <v>1014</v>
      </c>
      <c r="E31" s="2358">
        <v>6</v>
      </c>
      <c r="F31" s="2141">
        <v>3</v>
      </c>
      <c r="G31" s="2141">
        <v>0</v>
      </c>
      <c r="H31" s="2141">
        <v>0</v>
      </c>
      <c r="I31" s="2359">
        <v>9</v>
      </c>
      <c r="J31" s="2141">
        <v>6</v>
      </c>
      <c r="K31" s="2141">
        <v>1</v>
      </c>
      <c r="L31" s="2141">
        <v>0</v>
      </c>
      <c r="M31" s="2360">
        <v>5</v>
      </c>
      <c r="N31" s="2141">
        <v>1</v>
      </c>
      <c r="O31" s="2141">
        <v>2</v>
      </c>
      <c r="P31" s="2141">
        <v>0</v>
      </c>
      <c r="Q31" s="2360">
        <v>1</v>
      </c>
      <c r="R31" s="2141">
        <v>1</v>
      </c>
      <c r="S31" s="2141">
        <v>1</v>
      </c>
      <c r="T31" s="2141">
        <v>0</v>
      </c>
    </row>
    <row r="32" spans="2:20" s="42" customFormat="1">
      <c r="B32" s="1873"/>
      <c r="C32" s="1879" t="s">
        <v>4050</v>
      </c>
      <c r="D32" s="1879" t="s">
        <v>4354</v>
      </c>
      <c r="E32" s="2358">
        <v>4</v>
      </c>
      <c r="F32" s="2141">
        <v>2</v>
      </c>
      <c r="G32" s="2141">
        <v>0</v>
      </c>
      <c r="H32" s="2141">
        <v>0</v>
      </c>
      <c r="I32" s="2359"/>
      <c r="J32" s="2141"/>
      <c r="K32" s="2141"/>
      <c r="L32" s="2141"/>
      <c r="M32" s="2360">
        <v>2</v>
      </c>
      <c r="N32" s="2141">
        <v>0</v>
      </c>
      <c r="O32" s="2141">
        <v>0</v>
      </c>
      <c r="P32" s="2141">
        <v>0</v>
      </c>
      <c r="Q32" s="2360">
        <v>6</v>
      </c>
      <c r="R32" s="2141">
        <v>3</v>
      </c>
      <c r="S32" s="2141">
        <v>1</v>
      </c>
      <c r="T32" s="2141">
        <v>1</v>
      </c>
    </row>
    <row r="33" spans="2:20" s="42" customFormat="1">
      <c r="B33" s="1873"/>
      <c r="C33" s="1876" t="s">
        <v>4175</v>
      </c>
      <c r="D33" s="1876" t="s">
        <v>4177</v>
      </c>
      <c r="E33" s="2358">
        <v>20</v>
      </c>
      <c r="F33" s="2141">
        <v>11</v>
      </c>
      <c r="G33" s="2141">
        <v>0</v>
      </c>
      <c r="H33" s="2141">
        <v>0</v>
      </c>
      <c r="I33" s="2359">
        <v>24</v>
      </c>
      <c r="J33" s="2141">
        <v>12</v>
      </c>
      <c r="K33" s="2141">
        <v>2</v>
      </c>
      <c r="L33" s="2141">
        <v>0</v>
      </c>
      <c r="M33" s="2360">
        <v>17</v>
      </c>
      <c r="N33" s="2141">
        <v>10</v>
      </c>
      <c r="O33" s="2141">
        <v>5</v>
      </c>
      <c r="P33" s="2141">
        <v>2</v>
      </c>
      <c r="Q33" s="2360">
        <v>9</v>
      </c>
      <c r="R33" s="2141">
        <v>4</v>
      </c>
      <c r="S33" s="2141">
        <v>1</v>
      </c>
      <c r="T33" s="2141">
        <v>1</v>
      </c>
    </row>
    <row r="34" spans="2:20" s="42" customFormat="1">
      <c r="B34" s="1873"/>
      <c r="C34" s="1876" t="s">
        <v>4307</v>
      </c>
      <c r="D34" s="1876" t="s">
        <v>4362</v>
      </c>
      <c r="E34" s="2358">
        <v>4</v>
      </c>
      <c r="F34" s="2141">
        <v>1</v>
      </c>
      <c r="G34" s="2141">
        <v>0</v>
      </c>
      <c r="H34" s="2141">
        <v>0</v>
      </c>
      <c r="I34" s="2359">
        <v>9</v>
      </c>
      <c r="J34" s="2141">
        <v>4</v>
      </c>
      <c r="K34" s="2141">
        <v>2</v>
      </c>
      <c r="L34" s="2141">
        <v>0</v>
      </c>
      <c r="M34" s="2360">
        <v>4</v>
      </c>
      <c r="N34" s="2141">
        <v>2</v>
      </c>
      <c r="O34" s="2141">
        <v>1</v>
      </c>
      <c r="P34" s="2141">
        <v>1</v>
      </c>
      <c r="Q34" s="2360">
        <v>10</v>
      </c>
      <c r="R34" s="2141">
        <v>4</v>
      </c>
      <c r="S34" s="2141">
        <v>0</v>
      </c>
      <c r="T34" s="2141">
        <v>1</v>
      </c>
    </row>
    <row r="35" spans="2:20" s="42" customFormat="1">
      <c r="B35" s="1873"/>
      <c r="C35" s="1876" t="s">
        <v>4346</v>
      </c>
      <c r="D35" s="1876" t="s">
        <v>4363</v>
      </c>
      <c r="E35" s="2358"/>
      <c r="F35" s="2141"/>
      <c r="G35" s="2141"/>
      <c r="H35" s="2141"/>
      <c r="I35" s="2359">
        <v>10</v>
      </c>
      <c r="J35" s="2141">
        <v>3</v>
      </c>
      <c r="K35" s="2141">
        <v>1</v>
      </c>
      <c r="L35" s="2141">
        <v>0</v>
      </c>
      <c r="M35" s="2360">
        <v>18</v>
      </c>
      <c r="N35" s="2141">
        <v>5</v>
      </c>
      <c r="O35" s="2141">
        <v>2</v>
      </c>
      <c r="P35" s="2141">
        <v>2</v>
      </c>
      <c r="Q35" s="2360">
        <v>3</v>
      </c>
      <c r="R35" s="2141">
        <v>2</v>
      </c>
      <c r="S35" s="2141">
        <v>0</v>
      </c>
      <c r="T35" s="2141">
        <v>1</v>
      </c>
    </row>
    <row r="36" spans="2:20" s="42" customFormat="1">
      <c r="B36" s="1873"/>
      <c r="C36" s="1876" t="s">
        <v>4350</v>
      </c>
      <c r="D36" s="1876" t="s">
        <v>4364</v>
      </c>
      <c r="E36" s="2358">
        <v>3</v>
      </c>
      <c r="F36" s="2141">
        <v>1</v>
      </c>
      <c r="G36" s="2141">
        <v>0</v>
      </c>
      <c r="H36" s="2141">
        <v>0</v>
      </c>
      <c r="I36" s="2359"/>
      <c r="J36" s="2141"/>
      <c r="K36" s="2141"/>
      <c r="L36" s="2141"/>
      <c r="M36" s="2360"/>
      <c r="N36" s="2141"/>
      <c r="O36" s="2141"/>
      <c r="P36" s="2141"/>
      <c r="Q36" s="2360"/>
      <c r="R36" s="2141"/>
      <c r="S36" s="2141"/>
      <c r="T36" s="2141"/>
    </row>
    <row r="37" spans="2:20" s="42" customFormat="1">
      <c r="B37" s="1873"/>
      <c r="C37" s="1876" t="s">
        <v>902</v>
      </c>
      <c r="D37" s="1876" t="s">
        <v>1014</v>
      </c>
      <c r="E37" s="2358">
        <v>1</v>
      </c>
      <c r="F37" s="2141">
        <v>1</v>
      </c>
      <c r="G37" s="2141">
        <v>0</v>
      </c>
      <c r="H37" s="2141">
        <v>0</v>
      </c>
      <c r="I37" s="2359">
        <v>1</v>
      </c>
      <c r="J37" s="2141">
        <v>1</v>
      </c>
      <c r="K37" s="2141">
        <v>0</v>
      </c>
      <c r="L37" s="2141">
        <v>0</v>
      </c>
      <c r="M37" s="2360"/>
      <c r="N37" s="2141"/>
      <c r="O37" s="2141"/>
      <c r="P37" s="2141"/>
      <c r="Q37" s="2360">
        <v>6</v>
      </c>
      <c r="R37" s="2141">
        <v>2</v>
      </c>
      <c r="S37" s="2141">
        <v>0</v>
      </c>
      <c r="T37" s="2141">
        <v>0</v>
      </c>
    </row>
    <row r="38" spans="2:20" s="42" customFormat="1">
      <c r="B38" s="1873"/>
      <c r="C38" s="1876" t="s">
        <v>4044</v>
      </c>
      <c r="D38" s="1876" t="s">
        <v>4045</v>
      </c>
      <c r="E38" s="2358">
        <v>17</v>
      </c>
      <c r="F38" s="2141">
        <v>9</v>
      </c>
      <c r="G38" s="2141">
        <v>0</v>
      </c>
      <c r="H38" s="2141">
        <v>0</v>
      </c>
      <c r="I38" s="2359">
        <v>13</v>
      </c>
      <c r="J38" s="2141">
        <v>4</v>
      </c>
      <c r="K38" s="2141">
        <v>0</v>
      </c>
      <c r="L38" s="2141">
        <v>0</v>
      </c>
      <c r="M38" s="2360">
        <v>10</v>
      </c>
      <c r="N38" s="2141">
        <v>9</v>
      </c>
      <c r="O38" s="2141">
        <v>1</v>
      </c>
      <c r="P38" s="2141">
        <v>0</v>
      </c>
      <c r="Q38" s="2360">
        <v>12</v>
      </c>
      <c r="R38" s="2141">
        <v>5</v>
      </c>
      <c r="S38" s="2141">
        <v>3</v>
      </c>
      <c r="T38" s="2141">
        <v>0</v>
      </c>
    </row>
    <row r="39" spans="2:20" s="42" customFormat="1">
      <c r="B39" s="1873"/>
      <c r="C39" s="1877" t="s">
        <v>4137</v>
      </c>
      <c r="D39" s="1877" t="s">
        <v>4045</v>
      </c>
      <c r="E39" s="2358">
        <v>1</v>
      </c>
      <c r="F39" s="2141">
        <v>0</v>
      </c>
      <c r="G39" s="2141">
        <v>0</v>
      </c>
      <c r="H39" s="2141">
        <v>0</v>
      </c>
      <c r="I39" s="2359">
        <v>1</v>
      </c>
      <c r="J39" s="2141">
        <v>0</v>
      </c>
      <c r="K39" s="2141">
        <v>0</v>
      </c>
      <c r="L39" s="2141">
        <v>0</v>
      </c>
      <c r="M39" s="2360">
        <v>4</v>
      </c>
      <c r="N39" s="2141">
        <v>3</v>
      </c>
      <c r="O39" s="2141">
        <v>0</v>
      </c>
      <c r="P39" s="2141">
        <v>0</v>
      </c>
      <c r="Q39" s="2360">
        <v>5</v>
      </c>
      <c r="R39" s="2141">
        <v>3</v>
      </c>
      <c r="S39" s="2141">
        <v>5</v>
      </c>
      <c r="T39" s="2141">
        <v>0</v>
      </c>
    </row>
    <row r="40" spans="2:20" s="42" customFormat="1">
      <c r="B40" s="1873"/>
      <c r="C40" s="1878" t="s">
        <v>91</v>
      </c>
      <c r="D40" s="1878" t="s">
        <v>194</v>
      </c>
      <c r="E40" s="2358"/>
      <c r="F40" s="2141"/>
      <c r="G40" s="2141"/>
      <c r="H40" s="2141"/>
      <c r="I40" s="2359">
        <v>2</v>
      </c>
      <c r="J40" s="2141">
        <v>0</v>
      </c>
      <c r="K40" s="2141">
        <v>0</v>
      </c>
      <c r="L40" s="2141">
        <v>0</v>
      </c>
      <c r="M40" s="2360">
        <v>1</v>
      </c>
      <c r="N40" s="2141">
        <v>0</v>
      </c>
      <c r="O40" s="2141">
        <v>0</v>
      </c>
      <c r="P40" s="2141">
        <v>0</v>
      </c>
      <c r="Q40" s="2360">
        <v>2</v>
      </c>
      <c r="R40" s="2141">
        <v>1</v>
      </c>
      <c r="S40" s="2141">
        <v>0</v>
      </c>
      <c r="T40" s="2141">
        <v>0</v>
      </c>
    </row>
    <row r="41" spans="2:20" s="42" customFormat="1">
      <c r="B41" s="1873"/>
      <c r="C41" s="1877" t="s">
        <v>903</v>
      </c>
      <c r="D41" s="1877" t="s">
        <v>904</v>
      </c>
      <c r="E41" s="2358"/>
      <c r="F41" s="2141"/>
      <c r="G41" s="2141"/>
      <c r="H41" s="2141"/>
      <c r="I41" s="2359"/>
      <c r="J41" s="2141"/>
      <c r="K41" s="2141"/>
      <c r="L41" s="2141"/>
      <c r="M41" s="2360"/>
      <c r="N41" s="2141"/>
      <c r="O41" s="2141"/>
      <c r="P41" s="2141"/>
      <c r="Q41" s="2360">
        <v>1</v>
      </c>
      <c r="R41" s="2141">
        <v>0</v>
      </c>
      <c r="S41" s="2141">
        <v>0</v>
      </c>
      <c r="T41" s="2141">
        <v>0</v>
      </c>
    </row>
    <row r="42" spans="2:20" s="42" customFormat="1">
      <c r="B42" s="1873"/>
      <c r="C42" s="1877" t="s">
        <v>4308</v>
      </c>
      <c r="D42" s="1877" t="s">
        <v>4365</v>
      </c>
      <c r="E42" s="2358">
        <v>1</v>
      </c>
      <c r="F42" s="2141">
        <v>0</v>
      </c>
      <c r="G42" s="2141">
        <v>0</v>
      </c>
      <c r="H42" s="2141">
        <v>0</v>
      </c>
      <c r="I42" s="2359">
        <v>6</v>
      </c>
      <c r="J42" s="2141">
        <v>4</v>
      </c>
      <c r="K42" s="2141">
        <v>0</v>
      </c>
      <c r="L42" s="2141">
        <v>0</v>
      </c>
      <c r="M42" s="2360">
        <v>7</v>
      </c>
      <c r="N42" s="2141">
        <v>4</v>
      </c>
      <c r="O42" s="2141">
        <v>1</v>
      </c>
      <c r="P42" s="2141">
        <v>1</v>
      </c>
      <c r="Q42" s="2360">
        <v>10</v>
      </c>
      <c r="R42" s="2141">
        <v>8</v>
      </c>
      <c r="S42" s="2141">
        <v>2</v>
      </c>
      <c r="T42" s="2141">
        <v>2</v>
      </c>
    </row>
    <row r="43" spans="2:20" s="42" customFormat="1">
      <c r="B43" s="1873"/>
      <c r="C43" s="1876" t="s">
        <v>47</v>
      </c>
      <c r="D43" s="1876" t="s">
        <v>17</v>
      </c>
      <c r="E43" s="2358"/>
      <c r="F43" s="2141"/>
      <c r="G43" s="2141"/>
      <c r="H43" s="2141"/>
      <c r="I43" s="2359">
        <v>1</v>
      </c>
      <c r="J43" s="2141">
        <v>0</v>
      </c>
      <c r="K43" s="2141">
        <v>1</v>
      </c>
      <c r="L43" s="2141">
        <v>0</v>
      </c>
      <c r="M43" s="2360">
        <v>1</v>
      </c>
      <c r="N43" s="2141">
        <v>0</v>
      </c>
      <c r="O43" s="2141">
        <v>0</v>
      </c>
      <c r="P43" s="2141">
        <v>0</v>
      </c>
      <c r="Q43" s="2360"/>
      <c r="R43" s="2141"/>
      <c r="S43" s="2141"/>
      <c r="T43" s="2141"/>
    </row>
    <row r="44" spans="2:20" s="42" customFormat="1">
      <c r="B44" s="1873"/>
      <c r="C44" s="1876" t="s">
        <v>4174</v>
      </c>
      <c r="D44" s="1876" t="s">
        <v>4047</v>
      </c>
      <c r="E44" s="2358">
        <v>10</v>
      </c>
      <c r="F44" s="2141">
        <v>7</v>
      </c>
      <c r="G44" s="2141">
        <v>0</v>
      </c>
      <c r="H44" s="2141">
        <v>0</v>
      </c>
      <c r="I44" s="2359">
        <v>5</v>
      </c>
      <c r="J44" s="2141">
        <v>3</v>
      </c>
      <c r="K44" s="2141">
        <v>0</v>
      </c>
      <c r="L44" s="2141">
        <v>0</v>
      </c>
      <c r="M44" s="2360">
        <v>10</v>
      </c>
      <c r="N44" s="2141">
        <v>7</v>
      </c>
      <c r="O44" s="2141">
        <v>1</v>
      </c>
      <c r="P44" s="2141">
        <v>1</v>
      </c>
      <c r="Q44" s="2360">
        <v>15</v>
      </c>
      <c r="R44" s="2141">
        <v>6</v>
      </c>
      <c r="S44" s="2141">
        <v>3</v>
      </c>
      <c r="T44" s="2141">
        <v>3</v>
      </c>
    </row>
    <row r="45" spans="2:20" s="42" customFormat="1">
      <c r="B45" s="1873"/>
      <c r="C45" s="1876" t="s">
        <v>4048</v>
      </c>
      <c r="D45" s="1876" t="s">
        <v>4042</v>
      </c>
      <c r="E45" s="2358">
        <v>3</v>
      </c>
      <c r="F45" s="2141">
        <v>2</v>
      </c>
      <c r="G45" s="2141">
        <v>0</v>
      </c>
      <c r="H45" s="2141">
        <v>0</v>
      </c>
      <c r="I45" s="2359">
        <v>9</v>
      </c>
      <c r="J45" s="2141">
        <v>2</v>
      </c>
      <c r="K45" s="2141">
        <v>0</v>
      </c>
      <c r="L45" s="2141">
        <v>0</v>
      </c>
      <c r="M45" s="2360"/>
      <c r="N45" s="2141"/>
      <c r="O45" s="2141"/>
      <c r="P45" s="2141"/>
      <c r="Q45" s="2360"/>
      <c r="R45" s="2141"/>
      <c r="S45" s="2141"/>
      <c r="T45" s="2141"/>
    </row>
    <row r="46" spans="2:20" s="42" customFormat="1">
      <c r="B46" s="1873"/>
      <c r="C46" s="1877" t="s">
        <v>2659</v>
      </c>
      <c r="D46" s="1877" t="s">
        <v>2706</v>
      </c>
      <c r="E46" s="2358">
        <v>1</v>
      </c>
      <c r="F46" s="2141">
        <v>0</v>
      </c>
      <c r="G46" s="2141">
        <v>0</v>
      </c>
      <c r="H46" s="2141">
        <v>0</v>
      </c>
      <c r="I46" s="2359">
        <v>1</v>
      </c>
      <c r="J46" s="2141">
        <v>0</v>
      </c>
      <c r="K46" s="2141">
        <v>0</v>
      </c>
      <c r="L46" s="2141">
        <v>0</v>
      </c>
      <c r="M46" s="2360">
        <v>2</v>
      </c>
      <c r="N46" s="2141">
        <v>0</v>
      </c>
      <c r="O46" s="2141">
        <v>0</v>
      </c>
      <c r="P46" s="2141">
        <v>0</v>
      </c>
      <c r="Q46" s="2360">
        <v>2</v>
      </c>
      <c r="R46" s="2141">
        <v>0</v>
      </c>
      <c r="S46" s="2141">
        <v>0</v>
      </c>
      <c r="T46" s="2141">
        <v>0</v>
      </c>
    </row>
    <row r="47" spans="2:20" s="42" customFormat="1">
      <c r="B47" s="1873"/>
      <c r="C47" s="1877" t="s">
        <v>4139</v>
      </c>
      <c r="D47" s="1877" t="s">
        <v>4141</v>
      </c>
      <c r="E47" s="2358"/>
      <c r="F47" s="2141"/>
      <c r="G47" s="2141"/>
      <c r="H47" s="2141"/>
      <c r="I47" s="2359">
        <v>2</v>
      </c>
      <c r="J47" s="2141">
        <v>1</v>
      </c>
      <c r="K47" s="2141">
        <v>0</v>
      </c>
      <c r="L47" s="2141">
        <v>0</v>
      </c>
      <c r="M47" s="2360"/>
      <c r="N47" s="2141"/>
      <c r="O47" s="2141"/>
      <c r="P47" s="2141"/>
      <c r="Q47" s="2360"/>
      <c r="R47" s="2141"/>
      <c r="S47" s="2141"/>
      <c r="T47" s="2141"/>
    </row>
    <row r="48" spans="2:20" s="42" customFormat="1">
      <c r="B48" s="1873"/>
      <c r="C48" s="1877" t="s">
        <v>4309</v>
      </c>
      <c r="D48" s="1877" t="s">
        <v>4140</v>
      </c>
      <c r="E48" s="2358">
        <v>7</v>
      </c>
      <c r="F48" s="2141">
        <v>6</v>
      </c>
      <c r="G48" s="2141">
        <v>0</v>
      </c>
      <c r="H48" s="2141">
        <v>0</v>
      </c>
      <c r="I48" s="2359">
        <v>14</v>
      </c>
      <c r="J48" s="2141">
        <v>10</v>
      </c>
      <c r="K48" s="2141">
        <v>3</v>
      </c>
      <c r="L48" s="2141">
        <v>0</v>
      </c>
      <c r="M48" s="2360">
        <v>9</v>
      </c>
      <c r="N48" s="2141">
        <v>2</v>
      </c>
      <c r="O48" s="2141">
        <v>2</v>
      </c>
      <c r="P48" s="2141">
        <v>0</v>
      </c>
      <c r="Q48" s="2360">
        <v>14</v>
      </c>
      <c r="R48" s="2141">
        <v>9</v>
      </c>
      <c r="S48" s="2141">
        <v>3</v>
      </c>
      <c r="T48" s="2141">
        <v>2</v>
      </c>
    </row>
    <row r="49" spans="2:20" s="42" customFormat="1" hidden="1">
      <c r="B49" s="1873"/>
      <c r="C49" s="1877"/>
      <c r="D49" s="1877"/>
      <c r="E49" s="2357"/>
      <c r="I49" s="2140"/>
      <c r="J49" s="2141"/>
      <c r="K49" s="2141"/>
      <c r="L49" s="2141"/>
      <c r="M49" s="1880"/>
      <c r="N49" s="2141"/>
      <c r="O49" s="2141"/>
      <c r="P49" s="2141"/>
      <c r="Q49" s="1880"/>
      <c r="R49" s="2141"/>
      <c r="S49" s="2141"/>
      <c r="T49" s="2141"/>
    </row>
    <row r="50" spans="2:20" s="42" customFormat="1" hidden="1">
      <c r="B50" s="1873"/>
      <c r="C50" s="1877"/>
      <c r="D50" s="1877"/>
      <c r="E50" s="2357"/>
      <c r="I50" s="2140"/>
      <c r="J50" s="2141"/>
      <c r="K50" s="2141"/>
      <c r="L50" s="2141"/>
      <c r="M50" s="1880"/>
      <c r="N50" s="2141"/>
      <c r="O50" s="2141"/>
      <c r="P50" s="2141"/>
      <c r="Q50" s="1880"/>
      <c r="R50" s="2141"/>
      <c r="S50" s="2141"/>
      <c r="T50" s="2141"/>
    </row>
    <row r="51" spans="2:20" s="42" customFormat="1" hidden="1">
      <c r="B51" s="1873"/>
      <c r="C51" s="1877"/>
      <c r="D51" s="1877"/>
      <c r="E51" s="2357"/>
      <c r="I51" s="2140"/>
      <c r="J51" s="2141"/>
      <c r="K51" s="2141"/>
      <c r="L51" s="2141"/>
      <c r="M51" s="1880"/>
      <c r="N51" s="2141"/>
      <c r="O51" s="2141"/>
      <c r="P51" s="2141"/>
      <c r="Q51" s="1880"/>
      <c r="R51" s="2141"/>
      <c r="S51" s="2141"/>
      <c r="T51" s="2141"/>
    </row>
    <row r="52" spans="2:20" s="42" customFormat="1" hidden="1">
      <c r="B52" s="1873"/>
      <c r="C52" s="1877"/>
      <c r="D52" s="1877"/>
      <c r="E52" s="2357"/>
      <c r="I52" s="2143"/>
      <c r="J52" s="2141"/>
      <c r="K52" s="2141"/>
      <c r="L52" s="2141"/>
      <c r="M52" s="1880"/>
      <c r="N52" s="2141"/>
      <c r="O52" s="2141"/>
      <c r="P52" s="2141"/>
      <c r="Q52" s="1880"/>
      <c r="R52" s="2141"/>
      <c r="S52" s="2141"/>
      <c r="T52" s="2141"/>
    </row>
    <row r="53" spans="2:20" s="42" customFormat="1" hidden="1">
      <c r="B53" s="1873"/>
      <c r="C53" s="1988"/>
      <c r="D53" s="1876"/>
      <c r="E53" s="2357"/>
      <c r="I53" s="2143"/>
      <c r="J53" s="2141"/>
      <c r="K53" s="2141"/>
      <c r="L53" s="2141"/>
      <c r="M53" s="1880"/>
      <c r="N53" s="2141"/>
      <c r="O53" s="2141"/>
      <c r="P53" s="2141"/>
      <c r="Q53" s="1880"/>
      <c r="R53" s="2141"/>
      <c r="S53" s="2141"/>
      <c r="T53" s="2141"/>
    </row>
    <row r="54" spans="2:20" s="42" customFormat="1" hidden="1">
      <c r="B54" s="1873"/>
      <c r="C54" s="1874"/>
      <c r="D54" s="1875"/>
      <c r="E54" s="2357"/>
      <c r="I54" s="2144"/>
      <c r="J54" s="2141"/>
      <c r="K54" s="2141"/>
      <c r="L54" s="2141"/>
      <c r="M54" s="1885"/>
      <c r="N54" s="2141"/>
      <c r="O54" s="2141"/>
      <c r="P54" s="2141"/>
      <c r="Q54" s="1885"/>
      <c r="R54" s="2141"/>
      <c r="S54" s="2141"/>
      <c r="T54" s="2141"/>
    </row>
    <row r="55" spans="2:20" s="42" customFormat="1" hidden="1">
      <c r="B55" s="1873"/>
      <c r="C55" s="1874"/>
      <c r="D55" s="1875"/>
      <c r="E55" s="2357"/>
      <c r="I55" s="2144"/>
      <c r="J55" s="2141"/>
      <c r="K55" s="2141"/>
      <c r="L55" s="2141"/>
      <c r="M55" s="1885"/>
      <c r="N55" s="2141"/>
      <c r="O55" s="2141"/>
      <c r="P55" s="2141"/>
      <c r="Q55" s="1885"/>
      <c r="R55" s="2141"/>
      <c r="S55" s="2141"/>
      <c r="T55" s="2141"/>
    </row>
    <row r="56" spans="2:20" s="42" customFormat="1" hidden="1">
      <c r="B56" s="1873"/>
      <c r="C56" s="1874"/>
      <c r="D56" s="1875"/>
      <c r="E56" s="2357"/>
      <c r="I56" s="2145"/>
      <c r="J56" s="2141"/>
      <c r="K56" s="2141"/>
      <c r="L56" s="2141"/>
      <c r="M56" s="2193"/>
      <c r="N56" s="2141"/>
      <c r="O56" s="2141"/>
      <c r="P56" s="2141"/>
      <c r="Q56" s="2193"/>
      <c r="R56" s="2141"/>
      <c r="S56" s="2141"/>
      <c r="T56" s="2141"/>
    </row>
    <row r="57" spans="2:20" s="42" customFormat="1" ht="13.5">
      <c r="B57" s="313"/>
      <c r="C57" s="270"/>
      <c r="D57" s="614" t="s">
        <v>1168</v>
      </c>
      <c r="E57" s="2194">
        <f>SUM(E9:E56)</f>
        <v>309</v>
      </c>
      <c r="F57" s="2141">
        <f>SUM(F9:F56)</f>
        <v>153</v>
      </c>
      <c r="G57" s="2141">
        <f t="shared" ref="G57:H57" si="0">SUM(G9:G56)</f>
        <v>0</v>
      </c>
      <c r="H57" s="2141">
        <f t="shared" si="0"/>
        <v>0</v>
      </c>
      <c r="I57" s="2194">
        <f t="shared" ref="I57:P57" si="1">SUM(I9:I56)</f>
        <v>385</v>
      </c>
      <c r="J57" s="2141">
        <f t="shared" si="1"/>
        <v>213</v>
      </c>
      <c r="K57" s="2141">
        <f t="shared" si="1"/>
        <v>37</v>
      </c>
      <c r="L57" s="2141">
        <f t="shared" si="1"/>
        <v>0</v>
      </c>
      <c r="M57" s="2195">
        <f t="shared" si="1"/>
        <v>327</v>
      </c>
      <c r="N57" s="2141">
        <f t="shared" si="1"/>
        <v>174</v>
      </c>
      <c r="O57" s="2141">
        <f t="shared" si="1"/>
        <v>57</v>
      </c>
      <c r="P57" s="2141">
        <f t="shared" si="1"/>
        <v>37</v>
      </c>
      <c r="Q57" s="2196">
        <f t="shared" ref="Q57:T57" si="2">SUM(Q9:Q56)</f>
        <v>257</v>
      </c>
      <c r="R57" s="2141">
        <f t="shared" si="2"/>
        <v>130</v>
      </c>
      <c r="S57" s="2141">
        <f t="shared" si="2"/>
        <v>48</v>
      </c>
      <c r="T57" s="2141">
        <f t="shared" si="2"/>
        <v>32</v>
      </c>
    </row>
    <row r="58" spans="2:20" s="42" customFormat="1" ht="15" customHeight="1">
      <c r="B58" s="269"/>
      <c r="C58" s="253"/>
      <c r="D58" s="540"/>
      <c r="E58" s="638" t="s">
        <v>352</v>
      </c>
      <c r="F58" s="827">
        <f>F57/E57</f>
        <v>0.49514563106796117</v>
      </c>
      <c r="G58" s="828">
        <f>G57/E57</f>
        <v>0</v>
      </c>
      <c r="H58" s="831">
        <f>H57/E57</f>
        <v>0</v>
      </c>
      <c r="I58" s="638" t="s">
        <v>352</v>
      </c>
      <c r="J58" s="827">
        <f>J57/I57</f>
        <v>0.55324675324675321</v>
      </c>
      <c r="K58" s="828">
        <f>K57/I57</f>
        <v>9.6103896103896108E-2</v>
      </c>
      <c r="L58" s="831">
        <f>L57/I57</f>
        <v>0</v>
      </c>
      <c r="M58" s="638" t="s">
        <v>352</v>
      </c>
      <c r="N58" s="827">
        <f>N57/M57</f>
        <v>0.5321100917431193</v>
      </c>
      <c r="O58" s="828">
        <f>O57/M57</f>
        <v>0.1743119266055046</v>
      </c>
      <c r="P58" s="831">
        <f>P57/M57</f>
        <v>0.11314984709480122</v>
      </c>
      <c r="Q58" s="638" t="s">
        <v>352</v>
      </c>
      <c r="R58" s="827">
        <f>R57/Q57</f>
        <v>0.50583657587548636</v>
      </c>
      <c r="S58" s="828">
        <f>S57/Q57</f>
        <v>0.1867704280155642</v>
      </c>
      <c r="T58" s="831">
        <f>T57/Q57</f>
        <v>0.1245136186770428</v>
      </c>
    </row>
    <row r="59" spans="2:20" s="156" customFormat="1" ht="7.9" customHeight="1">
      <c r="B59" s="315"/>
      <c r="C59" s="316"/>
      <c r="D59" s="317"/>
      <c r="E59" s="2357"/>
      <c r="I59" s="916"/>
      <c r="J59" s="916"/>
      <c r="K59" s="916"/>
      <c r="L59" s="916"/>
      <c r="M59" s="318"/>
      <c r="N59" s="319"/>
      <c r="O59" s="319"/>
      <c r="P59" s="319"/>
      <c r="Q59" s="318"/>
      <c r="R59" s="319"/>
      <c r="S59" s="319"/>
      <c r="T59" s="319"/>
    </row>
    <row r="60" spans="2:20" s="303" customFormat="1" ht="18.75" customHeight="1">
      <c r="B60" s="304" t="s">
        <v>1167</v>
      </c>
      <c r="C60" s="305"/>
      <c r="D60" s="305"/>
      <c r="E60" s="2357"/>
      <c r="I60" s="832"/>
      <c r="J60" s="526"/>
      <c r="K60" s="312"/>
      <c r="L60" s="833"/>
      <c r="M60" s="2146"/>
      <c r="N60" s="526"/>
      <c r="O60" s="312"/>
      <c r="P60" s="833"/>
      <c r="Q60" s="832"/>
      <c r="R60" s="526"/>
      <c r="S60" s="312"/>
      <c r="T60" s="833"/>
    </row>
    <row r="61" spans="2:20" s="42" customFormat="1">
      <c r="B61" s="1873"/>
      <c r="C61" s="1876" t="s">
        <v>1100</v>
      </c>
      <c r="D61" s="1876" t="s">
        <v>4070</v>
      </c>
      <c r="E61" s="2140">
        <v>12</v>
      </c>
      <c r="F61" s="2141">
        <v>8</v>
      </c>
      <c r="G61" s="2141">
        <v>0</v>
      </c>
      <c r="H61" s="2142">
        <v>0</v>
      </c>
      <c r="I61" s="2140">
        <v>27</v>
      </c>
      <c r="J61" s="2141">
        <v>17</v>
      </c>
      <c r="K61" s="2141">
        <v>3</v>
      </c>
      <c r="L61" s="2142">
        <v>0</v>
      </c>
      <c r="M61" s="1880">
        <v>8</v>
      </c>
      <c r="N61" s="1881">
        <v>3</v>
      </c>
      <c r="O61" s="1882">
        <v>0</v>
      </c>
      <c r="P61" s="1883">
        <v>1</v>
      </c>
      <c r="Q61" s="1880">
        <v>24</v>
      </c>
      <c r="R61" s="1881">
        <v>15</v>
      </c>
      <c r="S61" s="1882">
        <v>2</v>
      </c>
      <c r="T61" s="1883">
        <v>0</v>
      </c>
    </row>
    <row r="62" spans="2:20" s="303" customFormat="1" ht="14.25" customHeight="1">
      <c r="B62" s="1873"/>
      <c r="C62" s="1877" t="s">
        <v>3520</v>
      </c>
      <c r="D62" s="1877" t="s">
        <v>3521</v>
      </c>
      <c r="E62" s="2140">
        <v>3</v>
      </c>
      <c r="F62" s="2141">
        <v>1</v>
      </c>
      <c r="G62" s="2141">
        <v>0</v>
      </c>
      <c r="H62" s="2142">
        <v>0</v>
      </c>
      <c r="I62" s="2140">
        <v>7</v>
      </c>
      <c r="J62" s="2141">
        <v>3</v>
      </c>
      <c r="K62" s="2141">
        <v>0</v>
      </c>
      <c r="L62" s="2142">
        <v>0</v>
      </c>
      <c r="M62" s="1880">
        <v>10</v>
      </c>
      <c r="N62" s="1886">
        <v>6</v>
      </c>
      <c r="O62" s="1887">
        <v>1</v>
      </c>
      <c r="P62" s="1888">
        <v>1</v>
      </c>
      <c r="Q62" s="1880">
        <v>8</v>
      </c>
      <c r="R62" s="1886">
        <v>5</v>
      </c>
      <c r="S62" s="1887">
        <v>0</v>
      </c>
      <c r="T62" s="1888">
        <v>0</v>
      </c>
    </row>
    <row r="63" spans="2:20" s="303" customFormat="1" ht="14.25" customHeight="1">
      <c r="B63" s="1873"/>
      <c r="C63" s="1877" t="s">
        <v>4366</v>
      </c>
      <c r="D63" s="1877" t="s">
        <v>190</v>
      </c>
      <c r="E63" s="2140">
        <v>16</v>
      </c>
      <c r="F63" s="2141">
        <v>9</v>
      </c>
      <c r="G63" s="2141">
        <v>0</v>
      </c>
      <c r="H63" s="2142">
        <v>0</v>
      </c>
      <c r="I63" s="2140">
        <v>4</v>
      </c>
      <c r="J63" s="2141">
        <v>1</v>
      </c>
      <c r="K63" s="2141">
        <v>0</v>
      </c>
      <c r="L63" s="2142">
        <v>0</v>
      </c>
      <c r="M63" s="1880">
        <v>3</v>
      </c>
      <c r="N63" s="1886">
        <v>1</v>
      </c>
      <c r="O63" s="1887">
        <v>0</v>
      </c>
      <c r="P63" s="1888">
        <v>0</v>
      </c>
      <c r="Q63" s="1880">
        <v>4</v>
      </c>
      <c r="R63" s="1886">
        <v>3</v>
      </c>
      <c r="S63" s="1887">
        <v>4</v>
      </c>
      <c r="T63" s="1888">
        <v>0</v>
      </c>
    </row>
    <row r="64" spans="2:20" s="303" customFormat="1" ht="14.25" customHeight="1">
      <c r="B64" s="1873"/>
      <c r="C64" s="1877" t="s">
        <v>4310</v>
      </c>
      <c r="D64" s="1877" t="s">
        <v>4367</v>
      </c>
      <c r="E64" s="2140">
        <v>27</v>
      </c>
      <c r="F64" s="2141">
        <v>19</v>
      </c>
      <c r="G64" s="2141">
        <v>0</v>
      </c>
      <c r="H64" s="2142">
        <v>0</v>
      </c>
      <c r="I64" s="2140">
        <v>52</v>
      </c>
      <c r="J64" s="2141">
        <v>27</v>
      </c>
      <c r="K64" s="2141">
        <v>2</v>
      </c>
      <c r="L64" s="2142">
        <v>0</v>
      </c>
      <c r="M64" s="1880">
        <v>18</v>
      </c>
      <c r="N64" s="1886">
        <v>8</v>
      </c>
      <c r="O64" s="1887">
        <v>4</v>
      </c>
      <c r="P64" s="1888">
        <v>2</v>
      </c>
      <c r="Q64" s="1880">
        <v>22</v>
      </c>
      <c r="R64" s="1886">
        <v>15</v>
      </c>
      <c r="S64" s="1887">
        <v>1</v>
      </c>
      <c r="T64" s="1888">
        <v>1</v>
      </c>
    </row>
    <row r="65" spans="2:20" s="303" customFormat="1" ht="14.25" customHeight="1">
      <c r="B65" s="1873"/>
      <c r="C65" s="1877" t="s">
        <v>4311</v>
      </c>
      <c r="D65" s="1877" t="s">
        <v>3519</v>
      </c>
      <c r="E65" s="2140">
        <v>26</v>
      </c>
      <c r="F65" s="2141">
        <v>12</v>
      </c>
      <c r="G65" s="2141">
        <v>0</v>
      </c>
      <c r="H65" s="2142">
        <v>0</v>
      </c>
      <c r="I65" s="2140">
        <v>13</v>
      </c>
      <c r="J65" s="2141">
        <v>9</v>
      </c>
      <c r="K65" s="2141">
        <v>2</v>
      </c>
      <c r="L65" s="2142">
        <v>0</v>
      </c>
      <c r="M65" s="1880">
        <v>7</v>
      </c>
      <c r="N65" s="1886">
        <v>1</v>
      </c>
      <c r="O65" s="1887">
        <v>0</v>
      </c>
      <c r="P65" s="1888">
        <v>0</v>
      </c>
      <c r="Q65" s="1880">
        <v>1</v>
      </c>
      <c r="R65" s="1886">
        <v>1</v>
      </c>
      <c r="S65" s="1887">
        <v>0</v>
      </c>
      <c r="T65" s="1888">
        <v>0</v>
      </c>
    </row>
    <row r="66" spans="2:20" s="303" customFormat="1" ht="14.25" customHeight="1">
      <c r="B66" s="1873"/>
      <c r="C66" s="1878" t="s">
        <v>4055</v>
      </c>
      <c r="D66" s="1878" t="s">
        <v>1028</v>
      </c>
      <c r="E66" s="2140">
        <v>13</v>
      </c>
      <c r="F66" s="2141">
        <v>6</v>
      </c>
      <c r="G66" s="2141">
        <v>0</v>
      </c>
      <c r="H66" s="2142">
        <v>0</v>
      </c>
      <c r="I66" s="2140">
        <v>28</v>
      </c>
      <c r="J66" s="2141">
        <v>7</v>
      </c>
      <c r="K66" s="2141">
        <v>5</v>
      </c>
      <c r="L66" s="2142">
        <v>0</v>
      </c>
      <c r="M66" s="1880">
        <v>21</v>
      </c>
      <c r="N66" s="1886">
        <v>19</v>
      </c>
      <c r="O66" s="1887">
        <v>2</v>
      </c>
      <c r="P66" s="1888">
        <v>0</v>
      </c>
      <c r="Q66" s="1880">
        <v>8</v>
      </c>
      <c r="R66" s="1886">
        <v>7</v>
      </c>
      <c r="S66" s="1887">
        <v>2</v>
      </c>
      <c r="T66" s="1888">
        <v>1</v>
      </c>
    </row>
    <row r="67" spans="2:20" s="303" customFormat="1" ht="14.25" customHeight="1">
      <c r="B67" s="1873"/>
      <c r="C67" s="1878" t="s">
        <v>4312</v>
      </c>
      <c r="D67" s="1878" t="s">
        <v>1287</v>
      </c>
      <c r="E67" s="2140">
        <v>15</v>
      </c>
      <c r="F67" s="2141">
        <v>10</v>
      </c>
      <c r="G67" s="2141">
        <v>0</v>
      </c>
      <c r="H67" s="2142">
        <v>0</v>
      </c>
      <c r="I67" s="2140">
        <v>64</v>
      </c>
      <c r="J67" s="2141">
        <v>29</v>
      </c>
      <c r="K67" s="2141">
        <v>2</v>
      </c>
      <c r="L67" s="2142">
        <v>0</v>
      </c>
      <c r="M67" s="1880">
        <v>30</v>
      </c>
      <c r="N67" s="1886">
        <v>16</v>
      </c>
      <c r="O67" s="1887">
        <v>6</v>
      </c>
      <c r="P67" s="1888">
        <v>4</v>
      </c>
      <c r="Q67" s="1880">
        <v>25</v>
      </c>
      <c r="R67" s="1886">
        <v>10</v>
      </c>
      <c r="S67" s="1887">
        <v>4</v>
      </c>
      <c r="T67" s="1888">
        <v>4</v>
      </c>
    </row>
    <row r="68" spans="2:20" s="303" customFormat="1" ht="14.25" customHeight="1">
      <c r="B68" s="1873"/>
      <c r="C68" s="1878" t="s">
        <v>4313</v>
      </c>
      <c r="D68" s="1878" t="s">
        <v>4059</v>
      </c>
      <c r="E68" s="2140">
        <v>11</v>
      </c>
      <c r="F68" s="2141">
        <v>0</v>
      </c>
      <c r="G68" s="2141">
        <v>0</v>
      </c>
      <c r="H68" s="2142">
        <v>0</v>
      </c>
      <c r="I68" s="2140">
        <v>15</v>
      </c>
      <c r="J68" s="2141">
        <v>7</v>
      </c>
      <c r="K68" s="2141">
        <v>1</v>
      </c>
      <c r="L68" s="2142">
        <v>0</v>
      </c>
      <c r="M68" s="1880">
        <v>4</v>
      </c>
      <c r="N68" s="1886">
        <v>0</v>
      </c>
      <c r="O68" s="1887">
        <v>1</v>
      </c>
      <c r="P68" s="1888">
        <v>1</v>
      </c>
      <c r="Q68" s="1880">
        <v>8</v>
      </c>
      <c r="R68" s="1886">
        <v>5</v>
      </c>
      <c r="S68" s="1887">
        <v>2</v>
      </c>
      <c r="T68" s="1888">
        <v>0</v>
      </c>
    </row>
    <row r="69" spans="2:20" s="303" customFormat="1" ht="14.25" customHeight="1">
      <c r="B69" s="1873"/>
      <c r="C69" s="1878" t="s">
        <v>4172</v>
      </c>
      <c r="D69" s="1878" t="s">
        <v>4038</v>
      </c>
      <c r="E69" s="2140">
        <v>39</v>
      </c>
      <c r="F69" s="2141">
        <v>18</v>
      </c>
      <c r="G69" s="2141">
        <v>0</v>
      </c>
      <c r="H69" s="2142">
        <v>0</v>
      </c>
      <c r="I69" s="2140">
        <v>72</v>
      </c>
      <c r="J69" s="2141">
        <v>36</v>
      </c>
      <c r="K69" s="2141">
        <v>7</v>
      </c>
      <c r="L69" s="2142">
        <v>0</v>
      </c>
      <c r="M69" s="1880">
        <v>11</v>
      </c>
      <c r="N69" s="1886">
        <v>4</v>
      </c>
      <c r="O69" s="1887">
        <v>2</v>
      </c>
      <c r="P69" s="1888">
        <v>1</v>
      </c>
      <c r="Q69" s="1880">
        <v>45</v>
      </c>
      <c r="R69" s="1886">
        <v>15</v>
      </c>
      <c r="S69" s="1887">
        <v>1</v>
      </c>
      <c r="T69" s="1888">
        <v>3</v>
      </c>
    </row>
    <row r="70" spans="2:20" s="303" customFormat="1" ht="14.25" customHeight="1">
      <c r="B70" s="1873"/>
      <c r="C70" s="1878" t="s">
        <v>4314</v>
      </c>
      <c r="D70" s="1878" t="s">
        <v>4039</v>
      </c>
      <c r="E70" s="2140">
        <v>27</v>
      </c>
      <c r="F70" s="2141">
        <v>16</v>
      </c>
      <c r="G70" s="2141">
        <v>0</v>
      </c>
      <c r="H70" s="2142">
        <v>0</v>
      </c>
      <c r="I70" s="2140">
        <v>48</v>
      </c>
      <c r="J70" s="2141">
        <v>27</v>
      </c>
      <c r="K70" s="2141">
        <v>6</v>
      </c>
      <c r="L70" s="2142">
        <v>0</v>
      </c>
      <c r="M70" s="1880">
        <v>15</v>
      </c>
      <c r="N70" s="1886">
        <v>8</v>
      </c>
      <c r="O70" s="1887">
        <v>3</v>
      </c>
      <c r="P70" s="1888">
        <v>3</v>
      </c>
      <c r="Q70" s="1880">
        <v>55</v>
      </c>
      <c r="R70" s="1886">
        <v>25</v>
      </c>
      <c r="S70" s="1887">
        <v>6</v>
      </c>
      <c r="T70" s="1888">
        <v>3</v>
      </c>
    </row>
    <row r="71" spans="2:20" s="303" customFormat="1" ht="14.25" customHeight="1">
      <c r="B71" s="1873"/>
      <c r="C71" s="1878" t="s">
        <v>4368</v>
      </c>
      <c r="D71" s="1878" t="s">
        <v>188</v>
      </c>
      <c r="E71" s="2140">
        <v>19</v>
      </c>
      <c r="F71" s="2141">
        <v>1</v>
      </c>
      <c r="G71" s="2141">
        <v>0</v>
      </c>
      <c r="H71" s="2142">
        <v>0</v>
      </c>
      <c r="I71" s="2140"/>
      <c r="J71" s="2141"/>
      <c r="K71" s="2141"/>
      <c r="L71" s="2142"/>
      <c r="M71" s="1880"/>
      <c r="N71" s="1886"/>
      <c r="O71" s="1887"/>
      <c r="P71" s="1888"/>
      <c r="Q71" s="1880"/>
      <c r="R71" s="1886"/>
      <c r="S71" s="1887"/>
      <c r="T71" s="1888"/>
    </row>
    <row r="72" spans="2:20" s="303" customFormat="1" ht="14.25" customHeight="1">
      <c r="B72" s="1873"/>
      <c r="C72" s="1878" t="s">
        <v>4315</v>
      </c>
      <c r="D72" s="1878" t="s">
        <v>4369</v>
      </c>
      <c r="E72" s="2140">
        <v>4</v>
      </c>
      <c r="F72" s="2141">
        <v>1</v>
      </c>
      <c r="G72" s="2141">
        <v>0</v>
      </c>
      <c r="H72" s="2142">
        <v>0</v>
      </c>
      <c r="I72" s="2140">
        <v>15</v>
      </c>
      <c r="J72" s="2141">
        <v>8</v>
      </c>
      <c r="K72" s="2141">
        <v>0</v>
      </c>
      <c r="L72" s="2142">
        <v>0</v>
      </c>
      <c r="M72" s="1880">
        <v>18</v>
      </c>
      <c r="N72" s="1886">
        <v>11</v>
      </c>
      <c r="O72" s="1887">
        <v>2</v>
      </c>
      <c r="P72" s="1888">
        <v>0</v>
      </c>
      <c r="Q72" s="1880">
        <v>10</v>
      </c>
      <c r="R72" s="1886">
        <v>7</v>
      </c>
      <c r="S72" s="1887">
        <v>2</v>
      </c>
      <c r="T72" s="1888">
        <v>1</v>
      </c>
    </row>
    <row r="73" spans="2:20" s="303" customFormat="1" ht="14.25" customHeight="1">
      <c r="B73" s="1873"/>
      <c r="C73" s="1878" t="s">
        <v>4026</v>
      </c>
      <c r="D73" s="1878" t="s">
        <v>1943</v>
      </c>
      <c r="E73" s="2140">
        <v>17</v>
      </c>
      <c r="F73" s="2141">
        <v>11</v>
      </c>
      <c r="G73" s="2141">
        <v>0</v>
      </c>
      <c r="H73" s="2142">
        <v>0</v>
      </c>
      <c r="I73" s="2140">
        <v>23</v>
      </c>
      <c r="J73" s="2141">
        <v>15</v>
      </c>
      <c r="K73" s="2141">
        <v>4</v>
      </c>
      <c r="L73" s="2142">
        <v>0</v>
      </c>
      <c r="M73" s="1880">
        <v>21</v>
      </c>
      <c r="N73" s="1886">
        <v>12</v>
      </c>
      <c r="O73" s="1887">
        <v>4</v>
      </c>
      <c r="P73" s="1888">
        <v>7</v>
      </c>
      <c r="Q73" s="1880">
        <v>18</v>
      </c>
      <c r="R73" s="1886">
        <v>9</v>
      </c>
      <c r="S73" s="1887">
        <v>2</v>
      </c>
      <c r="T73" s="1888">
        <v>0</v>
      </c>
    </row>
    <row r="74" spans="2:20" s="303" customFormat="1" ht="14.25" customHeight="1">
      <c r="B74" s="1873"/>
      <c r="C74" s="1877" t="s">
        <v>4064</v>
      </c>
      <c r="D74" s="1877" t="s">
        <v>4037</v>
      </c>
      <c r="E74" s="2140">
        <v>110</v>
      </c>
      <c r="F74" s="2141">
        <v>40</v>
      </c>
      <c r="G74" s="2141">
        <v>0</v>
      </c>
      <c r="H74" s="2142">
        <v>0</v>
      </c>
      <c r="I74" s="2140">
        <v>176</v>
      </c>
      <c r="J74" s="2141">
        <v>99</v>
      </c>
      <c r="K74" s="2141">
        <v>8</v>
      </c>
      <c r="L74" s="2142">
        <v>0</v>
      </c>
      <c r="M74" s="1880">
        <v>80</v>
      </c>
      <c r="N74" s="1886">
        <v>26</v>
      </c>
      <c r="O74" s="1887">
        <v>5</v>
      </c>
      <c r="P74" s="1888">
        <v>6</v>
      </c>
      <c r="Q74" s="1880">
        <v>48</v>
      </c>
      <c r="R74" s="1886">
        <v>33</v>
      </c>
      <c r="S74" s="1887">
        <v>5</v>
      </c>
      <c r="T74" s="1888">
        <v>4</v>
      </c>
    </row>
    <row r="75" spans="2:20" s="42" customFormat="1">
      <c r="B75" s="1873"/>
      <c r="C75" s="1877" t="s">
        <v>4057</v>
      </c>
      <c r="D75" s="1877" t="s">
        <v>4367</v>
      </c>
      <c r="E75" s="2140">
        <v>26</v>
      </c>
      <c r="F75" s="2141">
        <v>12</v>
      </c>
      <c r="G75" s="2141">
        <v>0</v>
      </c>
      <c r="H75" s="2142">
        <v>0</v>
      </c>
      <c r="I75" s="2140">
        <v>67</v>
      </c>
      <c r="J75" s="2141">
        <v>50</v>
      </c>
      <c r="K75" s="2141">
        <v>6</v>
      </c>
      <c r="L75" s="2142">
        <v>0</v>
      </c>
      <c r="M75" s="1880">
        <v>15</v>
      </c>
      <c r="N75" s="1881">
        <v>5</v>
      </c>
      <c r="O75" s="1889">
        <v>2</v>
      </c>
      <c r="P75" s="1884">
        <v>0</v>
      </c>
      <c r="Q75" s="1880">
        <v>39</v>
      </c>
      <c r="R75" s="1881">
        <v>17</v>
      </c>
      <c r="S75" s="1889">
        <v>4</v>
      </c>
      <c r="T75" s="1884">
        <v>5</v>
      </c>
    </row>
    <row r="76" spans="2:20" s="42" customFormat="1">
      <c r="B76" s="1873"/>
      <c r="C76" s="1876" t="s">
        <v>4316</v>
      </c>
      <c r="D76" s="1876" t="s">
        <v>188</v>
      </c>
      <c r="E76" s="2140">
        <v>15</v>
      </c>
      <c r="F76" s="2141">
        <v>6</v>
      </c>
      <c r="G76" s="2141">
        <v>0</v>
      </c>
      <c r="H76" s="2142">
        <v>0</v>
      </c>
      <c r="I76" s="2140">
        <v>20</v>
      </c>
      <c r="J76" s="2141">
        <v>4</v>
      </c>
      <c r="K76" s="2141">
        <v>1</v>
      </c>
      <c r="L76" s="2142">
        <v>0</v>
      </c>
      <c r="M76" s="1880">
        <v>18</v>
      </c>
      <c r="N76" s="1881">
        <v>15</v>
      </c>
      <c r="O76" s="1889">
        <v>3</v>
      </c>
      <c r="P76" s="1884">
        <v>2</v>
      </c>
      <c r="Q76" s="1880">
        <v>9</v>
      </c>
      <c r="R76" s="1881">
        <v>4</v>
      </c>
      <c r="S76" s="1889">
        <v>3</v>
      </c>
      <c r="T76" s="1884">
        <v>1</v>
      </c>
    </row>
    <row r="77" spans="2:20" s="42" customFormat="1">
      <c r="B77" s="1873"/>
      <c r="C77" s="1879" t="s">
        <v>4046</v>
      </c>
      <c r="D77" s="1879" t="s">
        <v>4370</v>
      </c>
      <c r="E77" s="2140">
        <v>10</v>
      </c>
      <c r="F77" s="2141">
        <v>6</v>
      </c>
      <c r="G77" s="2141">
        <v>0</v>
      </c>
      <c r="H77" s="2142">
        <v>0</v>
      </c>
      <c r="I77" s="2140">
        <v>13</v>
      </c>
      <c r="J77" s="2141">
        <v>10</v>
      </c>
      <c r="K77" s="2141">
        <v>3</v>
      </c>
      <c r="L77" s="2142">
        <v>0</v>
      </c>
      <c r="M77" s="1880">
        <v>4</v>
      </c>
      <c r="N77" s="1881">
        <v>4</v>
      </c>
      <c r="O77" s="1889">
        <v>0</v>
      </c>
      <c r="P77" s="1884">
        <v>0</v>
      </c>
      <c r="Q77" s="1880">
        <v>11</v>
      </c>
      <c r="R77" s="1881">
        <v>6</v>
      </c>
      <c r="S77" s="1889">
        <v>1</v>
      </c>
      <c r="T77" s="1884">
        <v>0</v>
      </c>
    </row>
    <row r="78" spans="2:20" s="303" customFormat="1" ht="14.25" customHeight="1">
      <c r="B78" s="1873"/>
      <c r="C78" s="1877" t="s">
        <v>4027</v>
      </c>
      <c r="D78" s="1877" t="s">
        <v>1573</v>
      </c>
      <c r="E78" s="2140">
        <v>23</v>
      </c>
      <c r="F78" s="2141">
        <v>16</v>
      </c>
      <c r="G78" s="2141">
        <v>0</v>
      </c>
      <c r="H78" s="2142">
        <v>0</v>
      </c>
      <c r="I78" s="2140">
        <v>94</v>
      </c>
      <c r="J78" s="2141">
        <v>62</v>
      </c>
      <c r="K78" s="2141">
        <v>10</v>
      </c>
      <c r="L78" s="2142">
        <v>0</v>
      </c>
      <c r="M78" s="1880">
        <v>17</v>
      </c>
      <c r="N78" s="1886">
        <v>10</v>
      </c>
      <c r="O78" s="1887">
        <v>3</v>
      </c>
      <c r="P78" s="1888">
        <v>2</v>
      </c>
      <c r="Q78" s="1880">
        <v>18</v>
      </c>
      <c r="R78" s="1886">
        <v>12</v>
      </c>
      <c r="S78" s="1887">
        <v>4</v>
      </c>
      <c r="T78" s="1888">
        <v>2</v>
      </c>
    </row>
    <row r="79" spans="2:20" s="303" customFormat="1" ht="14.25" customHeight="1">
      <c r="B79" s="1873"/>
      <c r="C79" s="1878" t="s">
        <v>4317</v>
      </c>
      <c r="D79" s="1878" t="s">
        <v>4371</v>
      </c>
      <c r="E79" s="2140">
        <v>65</v>
      </c>
      <c r="F79" s="2141">
        <v>34</v>
      </c>
      <c r="G79" s="2141">
        <v>0</v>
      </c>
      <c r="H79" s="2142">
        <v>0</v>
      </c>
      <c r="I79" s="2140">
        <v>41</v>
      </c>
      <c r="J79" s="2141">
        <v>18</v>
      </c>
      <c r="K79" s="2141">
        <v>2</v>
      </c>
      <c r="L79" s="2142">
        <v>0</v>
      </c>
      <c r="M79" s="1880">
        <v>23</v>
      </c>
      <c r="N79" s="1886">
        <v>16</v>
      </c>
      <c r="O79" s="1887">
        <v>7</v>
      </c>
      <c r="P79" s="1888">
        <v>1</v>
      </c>
      <c r="Q79" s="1880">
        <v>8</v>
      </c>
      <c r="R79" s="1886">
        <v>5</v>
      </c>
      <c r="S79" s="1887">
        <v>2</v>
      </c>
      <c r="T79" s="1888">
        <v>1</v>
      </c>
    </row>
    <row r="80" spans="2:20" s="303" customFormat="1" ht="14.25" customHeight="1">
      <c r="B80" s="1873"/>
      <c r="C80" s="1877" t="s">
        <v>4318</v>
      </c>
      <c r="D80" s="1877" t="s">
        <v>4372</v>
      </c>
      <c r="E80" s="2140">
        <v>48</v>
      </c>
      <c r="F80" s="2141">
        <v>36</v>
      </c>
      <c r="G80" s="2141">
        <v>0</v>
      </c>
      <c r="H80" s="2142">
        <v>0</v>
      </c>
      <c r="I80" s="2140">
        <v>83</v>
      </c>
      <c r="J80" s="2141">
        <v>61</v>
      </c>
      <c r="K80" s="2141">
        <v>9</v>
      </c>
      <c r="L80" s="2142">
        <v>0</v>
      </c>
      <c r="M80" s="1880">
        <v>56</v>
      </c>
      <c r="N80" s="1886">
        <v>20</v>
      </c>
      <c r="O80" s="1887">
        <v>11</v>
      </c>
      <c r="P80" s="1888">
        <v>3</v>
      </c>
      <c r="Q80" s="1880">
        <v>20</v>
      </c>
      <c r="R80" s="1886">
        <v>14</v>
      </c>
      <c r="S80" s="1887">
        <v>2</v>
      </c>
      <c r="T80" s="1888">
        <v>7</v>
      </c>
    </row>
    <row r="81" spans="2:20" s="303" customFormat="1" ht="14.25" customHeight="1">
      <c r="B81" s="1873"/>
      <c r="C81" s="1877" t="s">
        <v>4319</v>
      </c>
      <c r="D81" s="1877" t="s">
        <v>1943</v>
      </c>
      <c r="E81" s="2140">
        <v>18</v>
      </c>
      <c r="F81" s="2141">
        <v>7</v>
      </c>
      <c r="G81" s="2141">
        <v>0</v>
      </c>
      <c r="H81" s="2142">
        <v>0</v>
      </c>
      <c r="I81" s="2140">
        <v>15</v>
      </c>
      <c r="J81" s="2141">
        <v>13</v>
      </c>
      <c r="K81" s="2141">
        <v>1</v>
      </c>
      <c r="L81" s="2142">
        <v>0</v>
      </c>
      <c r="M81" s="1880">
        <v>9</v>
      </c>
      <c r="N81" s="1886">
        <v>5</v>
      </c>
      <c r="O81" s="1887">
        <v>1</v>
      </c>
      <c r="P81" s="1888">
        <v>1</v>
      </c>
      <c r="Q81" s="1880">
        <v>13</v>
      </c>
      <c r="R81" s="1886">
        <v>6</v>
      </c>
      <c r="S81" s="1887">
        <v>0</v>
      </c>
      <c r="T81" s="1888">
        <v>0</v>
      </c>
    </row>
    <row r="82" spans="2:20" s="303" customFormat="1" ht="14.25" customHeight="1">
      <c r="B82" s="1873"/>
      <c r="C82" s="1877" t="s">
        <v>4029</v>
      </c>
      <c r="D82" s="1877" t="s">
        <v>4041</v>
      </c>
      <c r="E82" s="2140">
        <v>19</v>
      </c>
      <c r="F82" s="2141">
        <v>15</v>
      </c>
      <c r="G82" s="2141">
        <v>0</v>
      </c>
      <c r="H82" s="2142">
        <v>0</v>
      </c>
      <c r="I82" s="2140">
        <v>41</v>
      </c>
      <c r="J82" s="2141">
        <v>24</v>
      </c>
      <c r="K82" s="2141">
        <v>9</v>
      </c>
      <c r="L82" s="2142">
        <v>0</v>
      </c>
      <c r="M82" s="1880">
        <v>28</v>
      </c>
      <c r="N82" s="1886">
        <v>18</v>
      </c>
      <c r="O82" s="1887">
        <v>5</v>
      </c>
      <c r="P82" s="1888">
        <v>3</v>
      </c>
      <c r="Q82" s="1880">
        <v>38</v>
      </c>
      <c r="R82" s="1886">
        <v>23</v>
      </c>
      <c r="S82" s="1887">
        <v>10</v>
      </c>
      <c r="T82" s="1888">
        <v>8</v>
      </c>
    </row>
    <row r="83" spans="2:20" s="42" customFormat="1">
      <c r="B83" s="1873"/>
      <c r="C83" s="1877" t="s">
        <v>4030</v>
      </c>
      <c r="D83" s="1877" t="s">
        <v>4043</v>
      </c>
      <c r="E83" s="2140">
        <v>8</v>
      </c>
      <c r="F83" s="2141">
        <v>4</v>
      </c>
      <c r="G83" s="2141">
        <v>0</v>
      </c>
      <c r="H83" s="2142">
        <v>0</v>
      </c>
      <c r="I83" s="2140">
        <v>21</v>
      </c>
      <c r="J83" s="2141">
        <v>8</v>
      </c>
      <c r="K83" s="2141">
        <v>1</v>
      </c>
      <c r="L83" s="2142">
        <v>0</v>
      </c>
      <c r="M83" s="1880">
        <v>24</v>
      </c>
      <c r="N83" s="1881">
        <v>10</v>
      </c>
      <c r="O83" s="1889">
        <v>4</v>
      </c>
      <c r="P83" s="1884">
        <v>3</v>
      </c>
      <c r="Q83" s="1880">
        <v>1</v>
      </c>
      <c r="R83" s="1881">
        <v>0</v>
      </c>
      <c r="S83" s="1889">
        <v>0</v>
      </c>
      <c r="T83" s="1884">
        <v>0</v>
      </c>
    </row>
    <row r="84" spans="2:20" s="42" customFormat="1">
      <c r="B84" s="1873"/>
      <c r="C84" s="1879" t="s">
        <v>4065</v>
      </c>
      <c r="D84" s="1879" t="s">
        <v>4039</v>
      </c>
      <c r="E84" s="2140">
        <v>8</v>
      </c>
      <c r="F84" s="2141">
        <v>6</v>
      </c>
      <c r="G84" s="2141">
        <v>0</v>
      </c>
      <c r="H84" s="2142">
        <v>0</v>
      </c>
      <c r="I84" s="2140">
        <v>64</v>
      </c>
      <c r="J84" s="2141">
        <v>27</v>
      </c>
      <c r="K84" s="2141">
        <v>7</v>
      </c>
      <c r="L84" s="2142">
        <v>0</v>
      </c>
      <c r="M84" s="1880">
        <v>10</v>
      </c>
      <c r="N84" s="1881">
        <v>5</v>
      </c>
      <c r="O84" s="1889">
        <v>3</v>
      </c>
      <c r="P84" s="1884">
        <v>1</v>
      </c>
      <c r="Q84" s="1880">
        <v>28</v>
      </c>
      <c r="R84" s="1881">
        <v>14</v>
      </c>
      <c r="S84" s="1889">
        <v>3</v>
      </c>
      <c r="T84" s="1884">
        <v>1</v>
      </c>
    </row>
    <row r="85" spans="2:20" s="42" customFormat="1">
      <c r="B85" s="1873"/>
      <c r="C85" s="1879" t="s">
        <v>4031</v>
      </c>
      <c r="D85" s="1879" t="s">
        <v>4061</v>
      </c>
      <c r="E85" s="2140">
        <v>27</v>
      </c>
      <c r="F85" s="2141">
        <v>4</v>
      </c>
      <c r="G85" s="2141">
        <v>0</v>
      </c>
      <c r="H85" s="2142">
        <v>0</v>
      </c>
      <c r="I85" s="2140">
        <v>30</v>
      </c>
      <c r="J85" s="2141">
        <v>6</v>
      </c>
      <c r="K85" s="2141">
        <v>1</v>
      </c>
      <c r="L85" s="2142">
        <v>0</v>
      </c>
      <c r="M85" s="1880">
        <v>16</v>
      </c>
      <c r="N85" s="1881">
        <v>2</v>
      </c>
      <c r="O85" s="1889">
        <v>0</v>
      </c>
      <c r="P85" s="1884">
        <v>0</v>
      </c>
      <c r="Q85" s="1880">
        <v>22</v>
      </c>
      <c r="R85" s="1881">
        <v>9</v>
      </c>
      <c r="S85" s="1889">
        <v>1</v>
      </c>
      <c r="T85" s="1884">
        <v>0</v>
      </c>
    </row>
    <row r="86" spans="2:20" s="42" customFormat="1">
      <c r="B86" s="1873"/>
      <c r="C86" s="1878" t="s">
        <v>4320</v>
      </c>
      <c r="D86" s="1878" t="s">
        <v>4373</v>
      </c>
      <c r="E86" s="2140">
        <v>24</v>
      </c>
      <c r="F86" s="2141">
        <v>3</v>
      </c>
      <c r="G86" s="2141">
        <v>0</v>
      </c>
      <c r="H86" s="2142">
        <v>0</v>
      </c>
      <c r="I86" s="2140">
        <v>45</v>
      </c>
      <c r="J86" s="2141">
        <v>31</v>
      </c>
      <c r="K86" s="2141">
        <v>4</v>
      </c>
      <c r="L86" s="2142">
        <v>0</v>
      </c>
      <c r="M86" s="1880">
        <v>5</v>
      </c>
      <c r="N86" s="1881">
        <v>2</v>
      </c>
      <c r="O86" s="1889">
        <v>1</v>
      </c>
      <c r="P86" s="1884">
        <v>1</v>
      </c>
      <c r="Q86" s="1880">
        <v>3</v>
      </c>
      <c r="R86" s="1881">
        <v>1</v>
      </c>
      <c r="S86" s="1889">
        <v>0</v>
      </c>
      <c r="T86" s="1884">
        <v>0</v>
      </c>
    </row>
    <row r="87" spans="2:20" s="42" customFormat="1">
      <c r="B87" s="1873"/>
      <c r="C87" s="1877" t="s">
        <v>4032</v>
      </c>
      <c r="D87" s="1877" t="s">
        <v>4374</v>
      </c>
      <c r="E87" s="2140">
        <v>38</v>
      </c>
      <c r="F87" s="2141">
        <v>13</v>
      </c>
      <c r="G87" s="2141">
        <v>0</v>
      </c>
      <c r="H87" s="2142">
        <v>0</v>
      </c>
      <c r="I87" s="2140">
        <v>68</v>
      </c>
      <c r="J87" s="2141">
        <v>39</v>
      </c>
      <c r="K87" s="2141">
        <v>7</v>
      </c>
      <c r="L87" s="2142">
        <v>0</v>
      </c>
      <c r="M87" s="1880">
        <v>20</v>
      </c>
      <c r="N87" s="1881">
        <v>9</v>
      </c>
      <c r="O87" s="1889">
        <v>2</v>
      </c>
      <c r="P87" s="1884">
        <v>3</v>
      </c>
      <c r="Q87" s="1880">
        <v>25</v>
      </c>
      <c r="R87" s="1881">
        <v>12</v>
      </c>
      <c r="S87" s="1889">
        <v>1</v>
      </c>
      <c r="T87" s="1884">
        <v>2</v>
      </c>
    </row>
    <row r="88" spans="2:20" s="42" customFormat="1">
      <c r="B88" s="1873"/>
      <c r="C88" s="1877" t="s">
        <v>4321</v>
      </c>
      <c r="D88" s="1877" t="s">
        <v>1420</v>
      </c>
      <c r="E88" s="2140">
        <v>14</v>
      </c>
      <c r="F88" s="2141">
        <v>9</v>
      </c>
      <c r="G88" s="2141">
        <v>0</v>
      </c>
      <c r="H88" s="2142">
        <v>0</v>
      </c>
      <c r="I88" s="2140">
        <v>21</v>
      </c>
      <c r="J88" s="2141">
        <v>13</v>
      </c>
      <c r="K88" s="2141">
        <v>1</v>
      </c>
      <c r="L88" s="2142">
        <v>0</v>
      </c>
      <c r="M88" s="1880">
        <v>4</v>
      </c>
      <c r="N88" s="1881">
        <v>3</v>
      </c>
      <c r="O88" s="1889">
        <v>0</v>
      </c>
      <c r="P88" s="1884">
        <v>0</v>
      </c>
      <c r="Q88" s="1880">
        <v>12</v>
      </c>
      <c r="R88" s="1881">
        <v>9</v>
      </c>
      <c r="S88" s="1889">
        <v>2</v>
      </c>
      <c r="T88" s="1884">
        <v>1</v>
      </c>
    </row>
    <row r="89" spans="2:20" s="42" customFormat="1">
      <c r="B89" s="1873"/>
      <c r="C89" s="1878" t="s">
        <v>4322</v>
      </c>
      <c r="D89" s="1878" t="s">
        <v>4062</v>
      </c>
      <c r="E89" s="2140">
        <v>2</v>
      </c>
      <c r="F89" s="2141">
        <v>0</v>
      </c>
      <c r="G89" s="2141">
        <v>0</v>
      </c>
      <c r="H89" s="2142">
        <v>0</v>
      </c>
      <c r="I89" s="2140">
        <v>6</v>
      </c>
      <c r="J89" s="2141">
        <v>3</v>
      </c>
      <c r="K89" s="2141">
        <v>1</v>
      </c>
      <c r="L89" s="2142">
        <v>0</v>
      </c>
      <c r="M89" s="1880">
        <v>6</v>
      </c>
      <c r="N89" s="1881">
        <v>3</v>
      </c>
      <c r="O89" s="1889">
        <v>0</v>
      </c>
      <c r="P89" s="1884">
        <v>0</v>
      </c>
      <c r="Q89" s="1880">
        <v>6</v>
      </c>
      <c r="R89" s="1881">
        <v>3</v>
      </c>
      <c r="S89" s="1889">
        <v>0</v>
      </c>
      <c r="T89" s="1884">
        <v>0</v>
      </c>
    </row>
    <row r="90" spans="2:20" s="42" customFormat="1">
      <c r="B90" s="1873"/>
      <c r="C90" s="1877" t="s">
        <v>4323</v>
      </c>
      <c r="D90" s="1877" t="s">
        <v>4040</v>
      </c>
      <c r="E90" s="2140">
        <v>14</v>
      </c>
      <c r="F90" s="2141">
        <v>8</v>
      </c>
      <c r="G90" s="2141">
        <v>0</v>
      </c>
      <c r="H90" s="2142">
        <v>0</v>
      </c>
      <c r="I90" s="2140">
        <v>47</v>
      </c>
      <c r="J90" s="2141">
        <v>31</v>
      </c>
      <c r="K90" s="2141">
        <v>6</v>
      </c>
      <c r="L90" s="2142">
        <v>0</v>
      </c>
      <c r="M90" s="1880">
        <v>21</v>
      </c>
      <c r="N90" s="1881">
        <v>13</v>
      </c>
      <c r="O90" s="1889">
        <v>2</v>
      </c>
      <c r="P90" s="1884">
        <v>3</v>
      </c>
      <c r="Q90" s="1880">
        <v>18</v>
      </c>
      <c r="R90" s="1881">
        <v>14</v>
      </c>
      <c r="S90" s="1889">
        <v>5</v>
      </c>
      <c r="T90" s="1884">
        <v>0</v>
      </c>
    </row>
    <row r="91" spans="2:20" s="42" customFormat="1">
      <c r="B91" s="1873"/>
      <c r="C91" s="1877" t="s">
        <v>4324</v>
      </c>
      <c r="D91" s="1877" t="s">
        <v>4375</v>
      </c>
      <c r="E91" s="2140">
        <v>11</v>
      </c>
      <c r="F91" s="2141">
        <v>3</v>
      </c>
      <c r="G91" s="2141">
        <v>0</v>
      </c>
      <c r="H91" s="2142">
        <v>0</v>
      </c>
      <c r="I91" s="2140">
        <v>30</v>
      </c>
      <c r="J91" s="2141">
        <v>14</v>
      </c>
      <c r="K91" s="2141">
        <v>2</v>
      </c>
      <c r="L91" s="2142">
        <v>0</v>
      </c>
      <c r="M91" s="1880">
        <v>2</v>
      </c>
      <c r="N91" s="1881">
        <v>0</v>
      </c>
      <c r="O91" s="1889">
        <v>0</v>
      </c>
      <c r="P91" s="1884">
        <v>0</v>
      </c>
      <c r="Q91" s="1880">
        <v>11</v>
      </c>
      <c r="R91" s="1881">
        <v>3</v>
      </c>
      <c r="S91" s="1889">
        <v>0</v>
      </c>
      <c r="T91" s="1884">
        <v>0</v>
      </c>
    </row>
    <row r="92" spans="2:20" s="42" customFormat="1">
      <c r="B92" s="1873"/>
      <c r="C92" s="1878" t="s">
        <v>4034</v>
      </c>
      <c r="D92" s="1878" t="s">
        <v>4039</v>
      </c>
      <c r="E92" s="2140">
        <v>61</v>
      </c>
      <c r="F92" s="2141">
        <v>13</v>
      </c>
      <c r="G92" s="2141">
        <v>0</v>
      </c>
      <c r="H92" s="2142">
        <v>0</v>
      </c>
      <c r="I92" s="2140">
        <v>11</v>
      </c>
      <c r="J92" s="2141">
        <v>7</v>
      </c>
      <c r="K92" s="2141">
        <v>2</v>
      </c>
      <c r="L92" s="2142">
        <v>0</v>
      </c>
      <c r="M92" s="1880">
        <v>6</v>
      </c>
      <c r="N92" s="1881">
        <v>2</v>
      </c>
      <c r="O92" s="1889">
        <v>1</v>
      </c>
      <c r="P92" s="1884">
        <v>1</v>
      </c>
      <c r="Q92" s="1880">
        <v>20</v>
      </c>
      <c r="R92" s="1881">
        <v>6</v>
      </c>
      <c r="S92" s="1889">
        <v>0</v>
      </c>
      <c r="T92" s="1884">
        <v>1</v>
      </c>
    </row>
    <row r="93" spans="2:20" s="42" customFormat="1">
      <c r="B93" s="1873"/>
      <c r="C93" s="1877" t="s">
        <v>4325</v>
      </c>
      <c r="D93" s="1877" t="s">
        <v>800</v>
      </c>
      <c r="E93" s="2140">
        <v>21</v>
      </c>
      <c r="F93" s="2141">
        <v>5</v>
      </c>
      <c r="G93" s="2141">
        <v>0</v>
      </c>
      <c r="H93" s="2142">
        <v>0</v>
      </c>
      <c r="I93" s="2140">
        <v>8</v>
      </c>
      <c r="J93" s="2141">
        <v>6</v>
      </c>
      <c r="K93" s="2141">
        <v>1</v>
      </c>
      <c r="L93" s="2142">
        <v>0</v>
      </c>
      <c r="M93" s="1880">
        <v>11</v>
      </c>
      <c r="N93" s="1881">
        <v>9</v>
      </c>
      <c r="O93" s="1889">
        <v>1</v>
      </c>
      <c r="P93" s="1884">
        <v>1</v>
      </c>
      <c r="Q93" s="1880">
        <v>18</v>
      </c>
      <c r="R93" s="1881">
        <v>7</v>
      </c>
      <c r="S93" s="1889">
        <v>4</v>
      </c>
      <c r="T93" s="1884">
        <v>2</v>
      </c>
    </row>
    <row r="94" spans="2:20" s="42" customFormat="1">
      <c r="B94" s="1873"/>
      <c r="C94" s="1877" t="s">
        <v>177</v>
      </c>
      <c r="D94" s="1877" t="s">
        <v>4060</v>
      </c>
      <c r="E94" s="2140">
        <v>3</v>
      </c>
      <c r="F94" s="2141">
        <v>1</v>
      </c>
      <c r="G94" s="2141">
        <v>0</v>
      </c>
      <c r="H94" s="2142">
        <v>0</v>
      </c>
      <c r="I94" s="2140">
        <v>10</v>
      </c>
      <c r="J94" s="2141">
        <v>8</v>
      </c>
      <c r="K94" s="2141">
        <v>4</v>
      </c>
      <c r="L94" s="2142">
        <v>0</v>
      </c>
      <c r="M94" s="1880">
        <v>9</v>
      </c>
      <c r="N94" s="1881">
        <v>5</v>
      </c>
      <c r="O94" s="1889">
        <v>3</v>
      </c>
      <c r="P94" s="1884">
        <v>2</v>
      </c>
      <c r="Q94" s="1880">
        <v>4</v>
      </c>
      <c r="R94" s="1881">
        <v>0</v>
      </c>
      <c r="S94" s="1889">
        <v>1</v>
      </c>
      <c r="T94" s="1884">
        <v>0</v>
      </c>
    </row>
    <row r="95" spans="2:20" s="42" customFormat="1">
      <c r="B95" s="1873"/>
      <c r="C95" s="1878"/>
      <c r="D95" s="1878"/>
      <c r="E95" s="2140"/>
      <c r="F95" s="2141"/>
      <c r="G95" s="2141"/>
      <c r="H95" s="2142"/>
      <c r="I95" s="2140"/>
      <c r="J95" s="2141"/>
      <c r="K95" s="2141"/>
      <c r="L95" s="2142"/>
      <c r="M95" s="1880"/>
      <c r="N95" s="1881"/>
      <c r="O95" s="1889"/>
      <c r="P95" s="1884"/>
      <c r="Q95" s="1880"/>
      <c r="R95" s="1881"/>
      <c r="S95" s="1889"/>
      <c r="T95" s="1884"/>
    </row>
    <row r="96" spans="2:20" s="42" customFormat="1" hidden="1">
      <c r="B96" s="1873"/>
      <c r="C96" s="1878"/>
      <c r="D96" s="1878"/>
      <c r="E96" s="2140"/>
      <c r="F96" s="2141"/>
      <c r="G96" s="2141"/>
      <c r="H96" s="2142"/>
      <c r="I96" s="2140"/>
      <c r="J96" s="2141"/>
      <c r="K96" s="2141"/>
      <c r="L96" s="2142"/>
      <c r="M96" s="1880"/>
      <c r="N96" s="1881"/>
      <c r="O96" s="1889"/>
      <c r="P96" s="1884"/>
      <c r="Q96" s="1880"/>
      <c r="R96" s="1881"/>
      <c r="S96" s="1889"/>
      <c r="T96" s="1884"/>
    </row>
    <row r="97" spans="2:20" s="42" customFormat="1" hidden="1">
      <c r="B97" s="1873"/>
      <c r="C97" s="1877"/>
      <c r="D97" s="1877"/>
      <c r="E97" s="2140"/>
      <c r="F97" s="2141"/>
      <c r="G97" s="2141"/>
      <c r="H97" s="2142"/>
      <c r="I97" s="2140"/>
      <c r="J97" s="2141"/>
      <c r="K97" s="2141"/>
      <c r="L97" s="2142"/>
      <c r="M97" s="1880"/>
      <c r="N97" s="1881"/>
      <c r="O97" s="1889"/>
      <c r="P97" s="1884"/>
      <c r="Q97" s="1880"/>
      <c r="R97" s="1881"/>
      <c r="S97" s="1889"/>
      <c r="T97" s="1884"/>
    </row>
    <row r="98" spans="2:20" s="42" customFormat="1" hidden="1">
      <c r="B98" s="1873"/>
      <c r="C98" s="1877"/>
      <c r="D98" s="1877"/>
      <c r="E98" s="2140"/>
      <c r="F98" s="2141"/>
      <c r="G98" s="2141"/>
      <c r="H98" s="2142"/>
      <c r="I98" s="2140"/>
      <c r="J98" s="2141"/>
      <c r="K98" s="2141"/>
      <c r="L98" s="2142"/>
      <c r="M98" s="1880"/>
      <c r="N98" s="1881"/>
      <c r="O98" s="1889"/>
      <c r="P98" s="1884"/>
      <c r="Q98" s="1880"/>
      <c r="R98" s="1881"/>
      <c r="S98" s="1889"/>
      <c r="T98" s="1884"/>
    </row>
    <row r="99" spans="2:20" s="42" customFormat="1" hidden="1">
      <c r="B99" s="1873"/>
      <c r="C99" s="1877"/>
      <c r="D99" s="1877"/>
      <c r="E99" s="2140"/>
      <c r="F99" s="2141"/>
      <c r="G99" s="2141"/>
      <c r="H99" s="2142"/>
      <c r="I99" s="2140"/>
      <c r="J99" s="2141"/>
      <c r="K99" s="2141"/>
      <c r="L99" s="2142"/>
      <c r="M99" s="1880"/>
      <c r="N99" s="1881"/>
      <c r="O99" s="1889"/>
      <c r="P99" s="1884"/>
      <c r="Q99" s="1880"/>
      <c r="R99" s="1881"/>
      <c r="S99" s="1889"/>
      <c r="T99" s="1884"/>
    </row>
    <row r="100" spans="2:20" s="42" customFormat="1" hidden="1">
      <c r="B100" s="1873"/>
      <c r="C100" s="1877"/>
      <c r="D100" s="1877"/>
      <c r="E100" s="2140"/>
      <c r="F100" s="2141"/>
      <c r="G100" s="2141"/>
      <c r="H100" s="2142"/>
      <c r="I100" s="2140"/>
      <c r="J100" s="2141"/>
      <c r="K100" s="2141"/>
      <c r="L100" s="2142"/>
      <c r="M100" s="1880"/>
      <c r="N100" s="1881"/>
      <c r="O100" s="1889"/>
      <c r="P100" s="1884"/>
      <c r="Q100" s="1880"/>
      <c r="R100" s="1881"/>
      <c r="S100" s="1889"/>
      <c r="T100" s="1884"/>
    </row>
    <row r="101" spans="2:20" s="42" customFormat="1" ht="13.5">
      <c r="B101" s="313"/>
      <c r="C101" s="270"/>
      <c r="D101" s="614" t="s">
        <v>1169</v>
      </c>
      <c r="E101" s="1890">
        <f t="shared" ref="E101:F101" si="3">SUM(E61:E100)</f>
        <v>794</v>
      </c>
      <c r="F101" s="1891">
        <f t="shared" si="3"/>
        <v>353</v>
      </c>
      <c r="G101" s="1891"/>
      <c r="H101" s="1892"/>
      <c r="I101" s="1890">
        <f t="shared" ref="I101:T101" si="4">SUM(I61:I100)</f>
        <v>1279</v>
      </c>
      <c r="J101" s="1891">
        <f t="shared" si="4"/>
        <v>720</v>
      </c>
      <c r="K101" s="1891">
        <f t="shared" si="4"/>
        <v>118</v>
      </c>
      <c r="L101" s="1892">
        <f t="shared" si="4"/>
        <v>0</v>
      </c>
      <c r="M101" s="1890">
        <f t="shared" si="4"/>
        <v>550</v>
      </c>
      <c r="N101" s="1891">
        <f t="shared" si="4"/>
        <v>271</v>
      </c>
      <c r="O101" s="1891">
        <f t="shared" si="4"/>
        <v>79</v>
      </c>
      <c r="P101" s="1892">
        <f t="shared" si="4"/>
        <v>53</v>
      </c>
      <c r="Q101" s="1890">
        <f t="shared" si="4"/>
        <v>600</v>
      </c>
      <c r="R101" s="1891">
        <f t="shared" si="4"/>
        <v>315</v>
      </c>
      <c r="S101" s="1891">
        <f t="shared" si="4"/>
        <v>74</v>
      </c>
      <c r="T101" s="1892">
        <f t="shared" si="4"/>
        <v>48</v>
      </c>
    </row>
    <row r="102" spans="2:20" s="42" customFormat="1" ht="13.5">
      <c r="B102" s="313"/>
      <c r="C102" s="270"/>
      <c r="D102" s="270"/>
      <c r="E102" s="647" t="s">
        <v>247</v>
      </c>
      <c r="F102" s="2068">
        <f>F101/E101</f>
        <v>0.44458438287153651</v>
      </c>
      <c r="G102" s="2069"/>
      <c r="H102" s="2070"/>
      <c r="I102" s="647" t="s">
        <v>247</v>
      </c>
      <c r="J102" s="2068">
        <f>J101/I101</f>
        <v>0.56293979671618455</v>
      </c>
      <c r="K102" s="2069">
        <f>K101/I101</f>
        <v>9.2259577795152467E-2</v>
      </c>
      <c r="L102" s="2070">
        <f>L101/I101</f>
        <v>0</v>
      </c>
      <c r="M102" s="647" t="s">
        <v>247</v>
      </c>
      <c r="N102" s="2068">
        <f>N101/M101</f>
        <v>0.49272727272727274</v>
      </c>
      <c r="O102" s="2069">
        <f>O101/M101</f>
        <v>0.14363636363636365</v>
      </c>
      <c r="P102" s="2070">
        <f>P101/M101</f>
        <v>9.636363636363636E-2</v>
      </c>
      <c r="Q102" s="647" t="s">
        <v>247</v>
      </c>
      <c r="R102" s="2068">
        <f>R101/Q101</f>
        <v>0.52500000000000002</v>
      </c>
      <c r="S102" s="2069">
        <f>S101/Q101</f>
        <v>0.12333333333333334</v>
      </c>
      <c r="T102" s="2070">
        <f>T101/Q101</f>
        <v>0.08</v>
      </c>
    </row>
    <row r="103" spans="2:20" s="156" customFormat="1" ht="9" customHeight="1">
      <c r="B103" s="915"/>
      <c r="C103" s="555"/>
      <c r="D103" s="916"/>
      <c r="E103" s="916"/>
      <c r="F103" s="916"/>
      <c r="G103" s="916"/>
      <c r="H103" s="916"/>
      <c r="I103" s="916"/>
      <c r="J103" s="916"/>
      <c r="K103" s="916"/>
      <c r="L103" s="916"/>
      <c r="M103" s="640"/>
      <c r="N103" s="641"/>
      <c r="O103" s="641"/>
      <c r="P103" s="641"/>
      <c r="Q103" s="640"/>
      <c r="R103" s="641"/>
      <c r="S103" s="641"/>
      <c r="T103" s="641"/>
    </row>
    <row r="104" spans="2:20" s="42" customFormat="1" ht="16.5" customHeight="1">
      <c r="B104" s="615"/>
      <c r="C104" s="616"/>
      <c r="D104" s="648" t="s">
        <v>248</v>
      </c>
      <c r="E104" s="1890">
        <f t="shared" ref="E104:H104" si="5">E57+E101</f>
        <v>1103</v>
      </c>
      <c r="F104" s="1891">
        <f t="shared" si="5"/>
        <v>506</v>
      </c>
      <c r="G104" s="1891">
        <f t="shared" si="5"/>
        <v>0</v>
      </c>
      <c r="H104" s="1893">
        <f t="shared" si="5"/>
        <v>0</v>
      </c>
      <c r="I104" s="1890">
        <f t="shared" ref="I104:T104" si="6">I57+I101</f>
        <v>1664</v>
      </c>
      <c r="J104" s="1891">
        <f t="shared" si="6"/>
        <v>933</v>
      </c>
      <c r="K104" s="1891">
        <f t="shared" si="6"/>
        <v>155</v>
      </c>
      <c r="L104" s="1893">
        <f t="shared" si="6"/>
        <v>0</v>
      </c>
      <c r="M104" s="1890">
        <f t="shared" si="6"/>
        <v>877</v>
      </c>
      <c r="N104" s="1891">
        <f t="shared" si="6"/>
        <v>445</v>
      </c>
      <c r="O104" s="1891">
        <f t="shared" si="6"/>
        <v>136</v>
      </c>
      <c r="P104" s="1893">
        <f t="shared" si="6"/>
        <v>90</v>
      </c>
      <c r="Q104" s="1890">
        <f t="shared" si="6"/>
        <v>857</v>
      </c>
      <c r="R104" s="1891">
        <f t="shared" si="6"/>
        <v>445</v>
      </c>
      <c r="S104" s="1891">
        <f t="shared" si="6"/>
        <v>122</v>
      </c>
      <c r="T104" s="1893">
        <f t="shared" si="6"/>
        <v>80</v>
      </c>
    </row>
    <row r="105" spans="2:20" s="39" customFormat="1" ht="14.25">
      <c r="B105" s="617"/>
      <c r="C105" s="618"/>
      <c r="D105" s="649"/>
      <c r="E105" s="647" t="s">
        <v>247</v>
      </c>
      <c r="F105" s="2071">
        <f>F104/E104</f>
        <v>0.45874886672710791</v>
      </c>
      <c r="G105" s="2072">
        <f>G104/E104</f>
        <v>0</v>
      </c>
      <c r="H105" s="2073">
        <f>H104/E104</f>
        <v>0</v>
      </c>
      <c r="I105" s="647" t="s">
        <v>247</v>
      </c>
      <c r="J105" s="2071">
        <f>J104/I104</f>
        <v>0.56069711538461542</v>
      </c>
      <c r="K105" s="2072">
        <f>K104/I104</f>
        <v>9.3149038461538464E-2</v>
      </c>
      <c r="L105" s="2073">
        <f>L104/I104</f>
        <v>0</v>
      </c>
      <c r="M105" s="647" t="s">
        <v>247</v>
      </c>
      <c r="N105" s="2071">
        <f>N104/M104</f>
        <v>0.50741163055872296</v>
      </c>
      <c r="O105" s="2072">
        <f>O104/M104</f>
        <v>0.15507411630558723</v>
      </c>
      <c r="P105" s="2073">
        <f>P104/M104</f>
        <v>0.10262257696693272</v>
      </c>
      <c r="Q105" s="647" t="s">
        <v>247</v>
      </c>
      <c r="R105" s="2071">
        <f>R104/Q104</f>
        <v>0.51925320886814474</v>
      </c>
      <c r="S105" s="2072">
        <f>S104/Q104</f>
        <v>0.14235705950991831</v>
      </c>
      <c r="T105" s="2073">
        <f>T104/Q104</f>
        <v>9.3348891481913651E-2</v>
      </c>
    </row>
    <row r="106" spans="2:20" s="93" customFormat="1" ht="12.75" customHeight="1">
      <c r="B106" s="93" t="s">
        <v>124</v>
      </c>
    </row>
    <row r="107" spans="2:20" s="93" customFormat="1" ht="12.75" customHeight="1">
      <c r="B107" s="93" t="s">
        <v>476</v>
      </c>
      <c r="C107" s="93" t="s">
        <v>357</v>
      </c>
    </row>
    <row r="108" spans="2:20" ht="14.25" customHeight="1">
      <c r="B108" s="93" t="s">
        <v>477</v>
      </c>
      <c r="C108" s="619" t="s">
        <v>355</v>
      </c>
      <c r="D108" s="346"/>
      <c r="E108" s="346"/>
      <c r="F108" s="346"/>
      <c r="G108" s="346"/>
      <c r="H108" s="346"/>
      <c r="I108" s="346"/>
      <c r="J108" s="346"/>
      <c r="K108" s="346"/>
      <c r="L108" s="346"/>
      <c r="M108" s="417"/>
      <c r="N108" s="196"/>
      <c r="O108" s="196"/>
      <c r="P108" s="347"/>
    </row>
    <row r="109" spans="2:20" ht="14.25" customHeight="1">
      <c r="B109" s="93" t="s">
        <v>478</v>
      </c>
      <c r="C109" s="619" t="s">
        <v>356</v>
      </c>
      <c r="D109" s="346"/>
      <c r="E109" s="346"/>
      <c r="F109" s="346"/>
      <c r="G109" s="346"/>
      <c r="H109" s="346"/>
      <c r="I109" s="346"/>
      <c r="J109" s="346"/>
      <c r="K109" s="346"/>
      <c r="L109" s="346"/>
      <c r="M109" s="417"/>
      <c r="N109" s="196"/>
      <c r="O109" s="196"/>
      <c r="P109" s="347"/>
    </row>
    <row r="110" spans="2:20" ht="13.5">
      <c r="D110" s="346"/>
      <c r="E110" s="346"/>
      <c r="F110" s="346"/>
      <c r="G110" s="346"/>
      <c r="H110" s="346"/>
      <c r="I110" s="346"/>
      <c r="J110" s="346"/>
      <c r="K110" s="346"/>
      <c r="L110" s="346"/>
      <c r="M110" s="417"/>
      <c r="N110" s="196"/>
      <c r="O110" s="196"/>
      <c r="P110" s="347"/>
    </row>
    <row r="111" spans="2:20" hidden="1">
      <c r="B111" s="134"/>
    </row>
    <row r="112" spans="2:20" hidden="1">
      <c r="B112" s="134" t="s">
        <v>115</v>
      </c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654"/>
      <c r="N112" s="655"/>
      <c r="O112" s="655"/>
      <c r="P112" s="656"/>
    </row>
    <row r="113" spans="2:16" hidden="1">
      <c r="B113" s="254" t="s">
        <v>15</v>
      </c>
      <c r="C113" s="277" t="s">
        <v>16</v>
      </c>
      <c r="D113" s="277" t="s">
        <v>20</v>
      </c>
      <c r="E113" s="2083"/>
      <c r="F113" s="2083"/>
      <c r="G113" s="2083"/>
      <c r="H113" s="2083"/>
      <c r="I113" s="2083"/>
      <c r="J113" s="2083"/>
      <c r="K113" s="2083"/>
      <c r="L113" s="2083"/>
      <c r="M113" s="661"/>
      <c r="N113" s="662"/>
      <c r="O113" s="663"/>
      <c r="P113" s="664"/>
    </row>
    <row r="114" spans="2:16" hidden="1">
      <c r="B114" s="307" t="s">
        <v>246</v>
      </c>
      <c r="C114" s="308"/>
      <c r="D114" s="308"/>
      <c r="E114" s="308"/>
      <c r="F114" s="308"/>
      <c r="G114" s="308"/>
      <c r="H114" s="308"/>
      <c r="I114" s="308"/>
      <c r="J114" s="308"/>
      <c r="K114" s="308"/>
      <c r="L114" s="308"/>
      <c r="M114" s="632"/>
      <c r="N114" s="314"/>
      <c r="O114" s="314"/>
      <c r="P114" s="633"/>
    </row>
    <row r="115" spans="2:16" ht="13.5" hidden="1">
      <c r="B115" s="78" t="s">
        <v>244</v>
      </c>
      <c r="C115" s="99" t="s">
        <v>440</v>
      </c>
      <c r="D115" s="99" t="s">
        <v>294</v>
      </c>
      <c r="E115" s="99"/>
      <c r="F115" s="99"/>
      <c r="G115" s="99"/>
      <c r="H115" s="99"/>
      <c r="I115" s="99"/>
      <c r="J115" s="99"/>
      <c r="K115" s="99"/>
      <c r="L115" s="99"/>
      <c r="M115" s="634"/>
      <c r="N115" s="627"/>
      <c r="O115" s="302"/>
      <c r="P115" s="635"/>
    </row>
    <row r="116" spans="2:16" ht="13.5" hidden="1">
      <c r="B116" s="78" t="s">
        <v>244</v>
      </c>
      <c r="C116" s="57" t="s">
        <v>292</v>
      </c>
      <c r="D116" s="57" t="s">
        <v>293</v>
      </c>
      <c r="E116" s="57"/>
      <c r="F116" s="57"/>
      <c r="G116" s="57"/>
      <c r="H116" s="57"/>
      <c r="I116" s="57"/>
      <c r="J116" s="57"/>
      <c r="K116" s="57"/>
      <c r="L116" s="57"/>
      <c r="M116" s="636"/>
      <c r="N116" s="628"/>
      <c r="O116" s="301"/>
      <c r="P116" s="637"/>
    </row>
    <row r="117" spans="2:16" ht="13.5" hidden="1">
      <c r="B117" s="78" t="s">
        <v>244</v>
      </c>
      <c r="C117" s="57" t="s">
        <v>186</v>
      </c>
      <c r="D117" s="57" t="s">
        <v>193</v>
      </c>
      <c r="E117" s="57"/>
      <c r="F117" s="57"/>
      <c r="G117" s="57"/>
      <c r="H117" s="57"/>
      <c r="I117" s="57"/>
      <c r="J117" s="57"/>
      <c r="K117" s="57"/>
      <c r="L117" s="57"/>
      <c r="M117" s="636"/>
      <c r="N117" s="454"/>
      <c r="O117" s="301"/>
      <c r="P117" s="637"/>
    </row>
    <row r="118" spans="2:16" ht="13.5" hidden="1">
      <c r="B118" s="78" t="s">
        <v>244</v>
      </c>
      <c r="C118" s="99" t="s">
        <v>91</v>
      </c>
      <c r="D118" s="99" t="s">
        <v>92</v>
      </c>
      <c r="E118" s="99"/>
      <c r="F118" s="99"/>
      <c r="G118" s="99"/>
      <c r="H118" s="99"/>
      <c r="I118" s="99"/>
      <c r="J118" s="99"/>
      <c r="K118" s="99"/>
      <c r="L118" s="99"/>
      <c r="M118" s="634"/>
      <c r="N118" s="629"/>
      <c r="O118" s="302"/>
      <c r="P118" s="635"/>
    </row>
    <row r="119" spans="2:16" ht="13.5" hidden="1">
      <c r="B119" s="78" t="s">
        <v>244</v>
      </c>
      <c r="C119" s="99" t="s">
        <v>482</v>
      </c>
      <c r="D119" s="99" t="s">
        <v>483</v>
      </c>
      <c r="E119" s="99"/>
      <c r="F119" s="99"/>
      <c r="G119" s="99"/>
      <c r="H119" s="99"/>
      <c r="I119" s="99"/>
      <c r="J119" s="99"/>
      <c r="K119" s="99"/>
      <c r="L119" s="99"/>
      <c r="M119" s="634"/>
      <c r="N119" s="627"/>
      <c r="O119" s="302"/>
      <c r="P119" s="635"/>
    </row>
    <row r="120" spans="2:16" ht="13.5" hidden="1">
      <c r="B120" s="78" t="s">
        <v>244</v>
      </c>
      <c r="C120" s="57" t="s">
        <v>187</v>
      </c>
      <c r="D120" s="57" t="s">
        <v>194</v>
      </c>
      <c r="E120" s="57"/>
      <c r="F120" s="57"/>
      <c r="G120" s="57"/>
      <c r="H120" s="57"/>
      <c r="I120" s="57"/>
      <c r="J120" s="57"/>
      <c r="K120" s="57"/>
      <c r="L120" s="57"/>
      <c r="M120" s="636"/>
      <c r="N120" s="627"/>
      <c r="O120" s="301"/>
      <c r="P120" s="637"/>
    </row>
    <row r="121" spans="2:16" ht="13.5" hidden="1">
      <c r="B121" s="78" t="s">
        <v>244</v>
      </c>
      <c r="C121" s="57" t="s">
        <v>47</v>
      </c>
      <c r="D121" s="57" t="s">
        <v>17</v>
      </c>
      <c r="E121" s="57"/>
      <c r="F121" s="57"/>
      <c r="G121" s="57"/>
      <c r="H121" s="57"/>
      <c r="I121" s="57"/>
      <c r="J121" s="57"/>
      <c r="K121" s="57"/>
      <c r="L121" s="57"/>
      <c r="M121" s="636"/>
      <c r="N121" s="627"/>
      <c r="O121" s="301"/>
      <c r="P121" s="637"/>
    </row>
    <row r="122" spans="2:16" ht="13.5" hidden="1">
      <c r="B122" s="411"/>
      <c r="C122" s="412"/>
      <c r="D122" s="413"/>
      <c r="E122" s="413"/>
      <c r="F122" s="413"/>
      <c r="G122" s="413"/>
      <c r="H122" s="413"/>
      <c r="I122" s="413"/>
      <c r="J122" s="413"/>
      <c r="K122" s="413"/>
      <c r="L122" s="413"/>
      <c r="M122" s="665"/>
      <c r="N122" s="666"/>
      <c r="O122" s="667"/>
      <c r="P122" s="668"/>
    </row>
    <row r="123" spans="2:16" ht="13.5" hidden="1">
      <c r="B123" s="313"/>
      <c r="C123" s="270"/>
      <c r="D123" s="614" t="s">
        <v>254</v>
      </c>
      <c r="E123" s="2080"/>
      <c r="F123" s="2080"/>
      <c r="G123" s="2080"/>
      <c r="H123" s="2080"/>
      <c r="I123" s="2080"/>
      <c r="J123" s="2080"/>
      <c r="K123" s="2080"/>
      <c r="L123" s="2080"/>
      <c r="M123" s="657"/>
      <c r="N123" s="658"/>
      <c r="O123" s="659"/>
      <c r="P123" s="660"/>
    </row>
    <row r="124" spans="2:16" ht="13.5" hidden="1">
      <c r="B124" s="269"/>
      <c r="C124" s="253"/>
      <c r="D124" s="540"/>
      <c r="E124" s="2081"/>
      <c r="F124" s="2081"/>
      <c r="G124" s="2081"/>
      <c r="H124" s="2081"/>
      <c r="I124" s="2081"/>
      <c r="J124" s="2081"/>
      <c r="K124" s="2081"/>
      <c r="L124" s="2081"/>
      <c r="M124" s="638"/>
      <c r="N124" s="669"/>
      <c r="O124" s="670"/>
      <c r="P124" s="671"/>
    </row>
    <row r="125" spans="2:16" ht="13.5" hidden="1">
      <c r="B125" s="315"/>
      <c r="C125" s="316"/>
      <c r="D125" s="317"/>
      <c r="E125" s="916"/>
      <c r="F125" s="916"/>
      <c r="G125" s="916"/>
      <c r="H125" s="916"/>
      <c r="I125" s="916"/>
      <c r="J125" s="916"/>
      <c r="K125" s="916"/>
      <c r="L125" s="916"/>
      <c r="M125" s="640"/>
      <c r="N125" s="641"/>
      <c r="O125" s="641"/>
      <c r="P125" s="641"/>
    </row>
    <row r="126" spans="2:16" ht="13.5" hidden="1">
      <c r="B126" s="304" t="s">
        <v>116</v>
      </c>
      <c r="C126" s="305"/>
      <c r="D126" s="305"/>
      <c r="E126" s="2084"/>
      <c r="F126" s="2084"/>
      <c r="G126" s="2084"/>
      <c r="H126" s="2084"/>
      <c r="I126" s="2084"/>
      <c r="J126" s="2084"/>
      <c r="K126" s="2084"/>
      <c r="L126" s="2084"/>
      <c r="M126" s="642"/>
      <c r="N126" s="643"/>
      <c r="O126" s="644"/>
      <c r="P126" s="645"/>
    </row>
    <row r="127" spans="2:16" ht="13.5" hidden="1">
      <c r="B127" s="78" t="s">
        <v>113</v>
      </c>
      <c r="C127" s="57" t="s">
        <v>179</v>
      </c>
      <c r="D127" s="57" t="s">
        <v>191</v>
      </c>
      <c r="E127" s="57"/>
      <c r="F127" s="57"/>
      <c r="G127" s="57"/>
      <c r="H127" s="57"/>
      <c r="I127" s="57"/>
      <c r="J127" s="57"/>
      <c r="K127" s="57"/>
      <c r="L127" s="57"/>
      <c r="M127" s="636"/>
      <c r="N127" s="627"/>
      <c r="O127" s="454"/>
      <c r="P127" s="637"/>
    </row>
    <row r="128" spans="2:16" ht="13.5" hidden="1">
      <c r="B128" s="78" t="s">
        <v>113</v>
      </c>
      <c r="C128" s="99" t="s">
        <v>185</v>
      </c>
      <c r="D128" s="99" t="s">
        <v>190</v>
      </c>
      <c r="E128" s="99"/>
      <c r="F128" s="99"/>
      <c r="G128" s="99"/>
      <c r="H128" s="99"/>
      <c r="I128" s="99"/>
      <c r="J128" s="99"/>
      <c r="K128" s="99"/>
      <c r="L128" s="99"/>
      <c r="M128" s="636"/>
      <c r="N128" s="628"/>
      <c r="O128" s="454"/>
      <c r="P128" s="637"/>
    </row>
    <row r="129" spans="2:16" ht="13.5" hidden="1">
      <c r="B129" s="78" t="s">
        <v>113</v>
      </c>
      <c r="C129" s="57" t="s">
        <v>460</v>
      </c>
      <c r="D129" s="57" t="s">
        <v>461</v>
      </c>
      <c r="E129" s="57"/>
      <c r="F129" s="57"/>
      <c r="G129" s="57"/>
      <c r="H129" s="57"/>
      <c r="I129" s="57"/>
      <c r="J129" s="57"/>
      <c r="K129" s="57"/>
      <c r="L129" s="57"/>
      <c r="M129" s="636"/>
      <c r="N129" s="628"/>
      <c r="O129" s="454"/>
      <c r="P129" s="637"/>
    </row>
    <row r="130" spans="2:16" ht="13.5" hidden="1">
      <c r="B130" s="78" t="s">
        <v>113</v>
      </c>
      <c r="C130" s="57" t="s">
        <v>177</v>
      </c>
      <c r="D130" s="57" t="s">
        <v>189</v>
      </c>
      <c r="E130" s="57"/>
      <c r="F130" s="57"/>
      <c r="G130" s="57"/>
      <c r="H130" s="57"/>
      <c r="I130" s="57"/>
      <c r="J130" s="57"/>
      <c r="K130" s="57"/>
      <c r="L130" s="57"/>
      <c r="M130" s="636"/>
      <c r="N130" s="628"/>
      <c r="O130" s="454"/>
      <c r="P130" s="637"/>
    </row>
    <row r="131" spans="2:16" ht="13.5" hidden="1">
      <c r="B131" s="78" t="s">
        <v>113</v>
      </c>
      <c r="C131" s="57" t="s">
        <v>176</v>
      </c>
      <c r="D131" s="57" t="s">
        <v>188</v>
      </c>
      <c r="E131" s="57"/>
      <c r="F131" s="57"/>
      <c r="G131" s="57"/>
      <c r="H131" s="57"/>
      <c r="I131" s="57"/>
      <c r="J131" s="57"/>
      <c r="K131" s="57"/>
      <c r="L131" s="57"/>
      <c r="M131" s="636"/>
      <c r="N131" s="628"/>
      <c r="O131" s="454"/>
      <c r="P131" s="637"/>
    </row>
    <row r="132" spans="2:16" ht="13.5" hidden="1">
      <c r="B132" s="78" t="s">
        <v>113</v>
      </c>
      <c r="C132" s="57" t="s">
        <v>178</v>
      </c>
      <c r="D132" s="57" t="s">
        <v>192</v>
      </c>
      <c r="E132" s="99"/>
      <c r="F132" s="99"/>
      <c r="G132" s="99"/>
      <c r="H132" s="99"/>
      <c r="I132" s="99"/>
      <c r="J132" s="99"/>
      <c r="K132" s="99"/>
      <c r="L132" s="99"/>
      <c r="M132" s="634"/>
      <c r="N132" s="630"/>
      <c r="O132" s="454"/>
      <c r="P132" s="635"/>
    </row>
    <row r="133" spans="2:16" ht="13.5" hidden="1">
      <c r="B133" s="313"/>
      <c r="C133" s="270"/>
      <c r="D133" s="614" t="s">
        <v>259</v>
      </c>
      <c r="E133" s="2080"/>
      <c r="F133" s="2080"/>
      <c r="G133" s="2080"/>
      <c r="H133" s="2080"/>
      <c r="I133" s="2080"/>
      <c r="J133" s="2080"/>
      <c r="K133" s="2080"/>
      <c r="L133" s="2080"/>
      <c r="M133" s="639"/>
      <c r="N133" s="631"/>
      <c r="O133" s="320"/>
      <c r="P133" s="646"/>
    </row>
    <row r="134" spans="2:16" ht="13.5" hidden="1">
      <c r="B134" s="313"/>
      <c r="C134" s="270"/>
      <c r="D134" s="270"/>
      <c r="E134" s="270"/>
      <c r="F134" s="270"/>
      <c r="G134" s="270"/>
      <c r="H134" s="270"/>
      <c r="I134" s="270"/>
      <c r="J134" s="270"/>
      <c r="K134" s="270"/>
      <c r="L134" s="270"/>
      <c r="M134" s="647"/>
      <c r="N134" s="672"/>
      <c r="O134" s="673"/>
      <c r="P134" s="674"/>
    </row>
    <row r="135" spans="2:16" ht="13.5" hidden="1">
      <c r="B135" s="315"/>
      <c r="C135" s="316"/>
      <c r="D135" s="317"/>
      <c r="E135" s="916"/>
      <c r="F135" s="916"/>
      <c r="G135" s="916"/>
      <c r="H135" s="916"/>
      <c r="I135" s="916"/>
      <c r="J135" s="916"/>
      <c r="K135" s="916"/>
      <c r="L135" s="916"/>
      <c r="M135" s="640"/>
      <c r="N135" s="641"/>
      <c r="O135" s="641"/>
      <c r="P135" s="641"/>
    </row>
    <row r="136" spans="2:16" hidden="1">
      <c r="B136" s="615"/>
      <c r="C136" s="616"/>
      <c r="D136" s="648" t="s">
        <v>248</v>
      </c>
      <c r="E136" s="2082"/>
      <c r="F136" s="2082"/>
      <c r="G136" s="2082"/>
      <c r="H136" s="2082"/>
      <c r="I136" s="2082"/>
      <c r="J136" s="2082"/>
      <c r="K136" s="2082"/>
      <c r="L136" s="2082"/>
      <c r="M136" s="650"/>
      <c r="N136" s="651"/>
      <c r="O136" s="652"/>
      <c r="P136" s="653"/>
    </row>
    <row r="137" spans="2:16" hidden="1">
      <c r="B137" s="617"/>
      <c r="C137" s="618"/>
      <c r="D137" s="649"/>
      <c r="E137" s="2082"/>
      <c r="F137" s="2082"/>
      <c r="G137" s="2082"/>
      <c r="H137" s="2082"/>
      <c r="I137" s="2082"/>
      <c r="J137" s="2082"/>
      <c r="K137" s="2082"/>
      <c r="L137" s="2082"/>
      <c r="M137" s="638"/>
      <c r="N137" s="672"/>
      <c r="O137" s="673"/>
      <c r="P137" s="674"/>
    </row>
    <row r="138" spans="2:16" hidden="1"/>
  </sheetData>
  <sortState ref="C42:D74">
    <sortCondition ref="C42:C74"/>
  </sortState>
  <hyperlinks>
    <hyperlink ref="J1" location="Cover!A1" display="Back to cover page"/>
  </hyperlinks>
  <pageMargins left="0.17" right="0.17" top="0.24" bottom="0.17" header="0.17" footer="0.17"/>
  <pageSetup paperSize="9" scale="8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86"/>
  <sheetViews>
    <sheetView showGridLines="0" topLeftCell="D1" zoomScale="85" zoomScaleNormal="85" workbookViewId="0">
      <selection activeCell="AA6" sqref="AA6"/>
    </sheetView>
  </sheetViews>
  <sheetFormatPr defaultRowHeight="14.25" outlineLevelCol="1"/>
  <cols>
    <col min="1" max="1" width="19" style="2175" customWidth="1"/>
    <col min="2" max="2" width="14.42578125" style="2175" customWidth="1"/>
    <col min="3" max="3" width="30" style="2175" customWidth="1"/>
    <col min="4" max="4" width="27.85546875" style="2175" customWidth="1"/>
    <col min="5" max="5" width="9.140625" style="2175"/>
    <col min="6" max="6" width="14.28515625" style="2175" customWidth="1"/>
    <col min="7" max="11" width="9.140625" style="2175" hidden="1" customWidth="1" outlineLevel="1"/>
    <col min="12" max="12" width="13.5703125" style="2175" bestFit="1" customWidth="1" collapsed="1"/>
    <col min="13" max="13" width="15" style="2175" hidden="1" customWidth="1" outlineLevel="1"/>
    <col min="14" max="14" width="9.42578125" style="2175" hidden="1" customWidth="1" outlineLevel="1"/>
    <col min="15" max="15" width="9.140625" style="2175" collapsed="1"/>
    <col min="16" max="16" width="10.5703125" style="2175" customWidth="1"/>
    <col min="17" max="17" width="9.140625" style="2175" hidden="1" customWidth="1" outlineLevel="1"/>
    <col min="18" max="18" width="10.85546875" style="2175" hidden="1" customWidth="1" outlineLevel="1"/>
    <col min="19" max="19" width="10.85546875" style="2175" customWidth="1" collapsed="1"/>
    <col min="20" max="20" width="12.140625" style="2175" customWidth="1"/>
    <col min="21" max="23" width="10.42578125" style="2175" customWidth="1"/>
    <col min="24" max="24" width="12.7109375" style="2175" customWidth="1"/>
    <col min="25" max="25" width="11.140625" style="2175" customWidth="1"/>
    <col min="26" max="26" width="12" style="2175" bestFit="1" customWidth="1"/>
    <col min="27" max="27" width="10.7109375" style="2175" bestFit="1" customWidth="1"/>
    <col min="28" max="28" width="9.140625" style="2175"/>
    <col min="29" max="29" width="12.85546875" style="2175" customWidth="1"/>
    <col min="30" max="16384" width="9.140625" style="2175"/>
  </cols>
  <sheetData>
    <row r="1" spans="1:30">
      <c r="A1" s="1624"/>
      <c r="B1" s="1623">
        <f>+Cover!$G$5</f>
        <v>42947</v>
      </c>
      <c r="C1" s="31"/>
      <c r="D1" s="3" t="s">
        <v>0</v>
      </c>
      <c r="E1" s="31"/>
    </row>
    <row r="2" spans="1:30" ht="18">
      <c r="A2" s="31"/>
      <c r="B2" s="30"/>
      <c r="C2" s="288"/>
      <c r="D2" s="31"/>
      <c r="E2" s="31"/>
    </row>
    <row r="3" spans="1:30">
      <c r="A3" s="31"/>
      <c r="B3" s="38"/>
      <c r="C3" s="38"/>
      <c r="D3" s="31"/>
      <c r="E3" s="31"/>
    </row>
    <row r="4" spans="1:30" ht="15">
      <c r="A4" s="298" t="s">
        <v>211</v>
      </c>
      <c r="B4" s="38"/>
      <c r="C4" s="38"/>
      <c r="D4" s="292" t="s">
        <v>210</v>
      </c>
      <c r="E4" s="32"/>
    </row>
    <row r="5" spans="1:30" ht="15">
      <c r="E5" s="2179" t="s">
        <v>19</v>
      </c>
      <c r="F5" s="2178"/>
      <c r="G5" s="2178"/>
      <c r="H5" s="2178"/>
      <c r="I5" s="2178"/>
      <c r="J5" s="2178"/>
      <c r="K5" s="2178"/>
      <c r="L5" s="2191" t="s">
        <v>4204</v>
      </c>
      <c r="M5" s="2177"/>
      <c r="N5" s="2177"/>
      <c r="O5" s="2192" t="s">
        <v>4206</v>
      </c>
      <c r="P5" s="2176"/>
      <c r="Q5" s="2176"/>
      <c r="R5" s="2176"/>
      <c r="S5" s="2179" t="s">
        <v>4207</v>
      </c>
      <c r="T5" s="2179"/>
      <c r="U5" s="2182" t="s">
        <v>4184</v>
      </c>
      <c r="V5" s="2182"/>
      <c r="W5" s="2182"/>
      <c r="X5" s="2182"/>
      <c r="Y5" s="2182"/>
      <c r="Z5" s="2182"/>
      <c r="AA5" s="2182"/>
      <c r="AB5" s="2182"/>
      <c r="AC5" s="2182"/>
      <c r="AD5" s="2182"/>
    </row>
    <row r="6" spans="1:30">
      <c r="A6" s="2183" t="s">
        <v>15</v>
      </c>
      <c r="B6" s="2183" t="s">
        <v>4198</v>
      </c>
      <c r="C6" s="2183" t="s">
        <v>16</v>
      </c>
      <c r="D6" s="2183" t="s">
        <v>4199</v>
      </c>
      <c r="E6" s="2184" t="s">
        <v>4127</v>
      </c>
      <c r="F6" s="2185" t="s">
        <v>4128</v>
      </c>
      <c r="G6" s="2184" t="s">
        <v>4197</v>
      </c>
      <c r="H6" s="2186" t="s">
        <v>4196</v>
      </c>
      <c r="I6" s="2186" t="s">
        <v>155</v>
      </c>
      <c r="J6" s="2185" t="s">
        <v>261</v>
      </c>
      <c r="K6" s="2184" t="s">
        <v>4195</v>
      </c>
      <c r="L6" s="2184" t="s">
        <v>4132</v>
      </c>
      <c r="M6" s="2186" t="s">
        <v>4205</v>
      </c>
      <c r="N6" s="2185" t="s">
        <v>205</v>
      </c>
      <c r="O6" s="2183" t="s">
        <v>4200</v>
      </c>
      <c r="P6" s="2183" t="s">
        <v>4201</v>
      </c>
      <c r="Q6" s="2183" t="s">
        <v>4202</v>
      </c>
      <c r="R6" s="2183" t="s">
        <v>4203</v>
      </c>
      <c r="S6" s="2184" t="s">
        <v>4188</v>
      </c>
      <c r="T6" s="2185" t="s">
        <v>4189</v>
      </c>
      <c r="U6" s="2183" t="s">
        <v>4181</v>
      </c>
      <c r="V6" s="2183" t="s">
        <v>4182</v>
      </c>
      <c r="W6" s="2183" t="s">
        <v>4212</v>
      </c>
      <c r="X6" s="2364" t="s">
        <v>4233</v>
      </c>
      <c r="Y6" s="2364" t="s">
        <v>4249</v>
      </c>
      <c r="Z6" s="2378" t="s">
        <v>4257</v>
      </c>
      <c r="AA6" s="2378" t="s">
        <v>4330</v>
      </c>
      <c r="AB6" s="2378" t="s">
        <v>4351</v>
      </c>
      <c r="AC6" s="2183" t="s">
        <v>4194</v>
      </c>
      <c r="AD6" s="2183" t="s">
        <v>4185</v>
      </c>
    </row>
    <row r="7" spans="1:30" ht="15">
      <c r="A7" s="2175" t="s">
        <v>4386</v>
      </c>
      <c r="B7" s="2175" t="s">
        <v>4387</v>
      </c>
      <c r="C7" s="2175" t="s">
        <v>4388</v>
      </c>
      <c r="D7" s="2175" t="s">
        <v>4389</v>
      </c>
      <c r="E7" s="2187">
        <v>132</v>
      </c>
      <c r="F7" s="2188">
        <v>159</v>
      </c>
      <c r="G7" s="2187">
        <v>1</v>
      </c>
      <c r="H7" s="2189">
        <v>131</v>
      </c>
      <c r="I7" s="2189">
        <v>4</v>
      </c>
      <c r="J7" s="2188">
        <v>24</v>
      </c>
      <c r="K7" s="2187">
        <v>2</v>
      </c>
      <c r="L7" s="2187">
        <v>30</v>
      </c>
      <c r="M7" s="2189">
        <v>27</v>
      </c>
      <c r="N7" s="2188">
        <v>3</v>
      </c>
      <c r="O7" s="2190">
        <v>12</v>
      </c>
      <c r="P7" s="2180">
        <v>0.5</v>
      </c>
      <c r="Q7" s="2190">
        <v>1</v>
      </c>
      <c r="R7" s="2180">
        <v>0.25</v>
      </c>
      <c r="S7" s="2187">
        <v>38</v>
      </c>
      <c r="T7" s="2181">
        <v>0.2611683848797251</v>
      </c>
      <c r="U7" s="2363">
        <v>0</v>
      </c>
      <c r="V7" s="2363">
        <v>0</v>
      </c>
      <c r="W7" s="2363">
        <v>100.85199999999999</v>
      </c>
      <c r="X7" s="2427">
        <v>809.20000000000016</v>
      </c>
      <c r="Y7" s="2427">
        <v>611.02199999999971</v>
      </c>
      <c r="Z7" s="2427">
        <v>691.24599999999975</v>
      </c>
      <c r="AA7" s="2290">
        <v>978.71600000000058</v>
      </c>
      <c r="AB7" s="2221">
        <v>67</v>
      </c>
      <c r="AC7" s="2222">
        <v>14.607701492537322</v>
      </c>
      <c r="AD7" s="2289">
        <v>3191.0359999999973</v>
      </c>
    </row>
    <row r="8" spans="1:30" ht="15">
      <c r="A8" s="2175" t="s">
        <v>4386</v>
      </c>
      <c r="B8" s="2175" t="s">
        <v>4387</v>
      </c>
      <c r="C8" s="2175" t="s">
        <v>4390</v>
      </c>
      <c r="D8" s="2175" t="s">
        <v>4391</v>
      </c>
      <c r="E8" s="2187">
        <v>542</v>
      </c>
      <c r="F8" s="2188">
        <v>564</v>
      </c>
      <c r="G8" s="2187">
        <v>286</v>
      </c>
      <c r="H8" s="2189">
        <v>495</v>
      </c>
      <c r="I8" s="2189">
        <v>20</v>
      </c>
      <c r="J8" s="2188">
        <v>49</v>
      </c>
      <c r="K8" s="2187">
        <v>15</v>
      </c>
      <c r="L8" s="2187">
        <v>110</v>
      </c>
      <c r="M8" s="2189">
        <v>110</v>
      </c>
      <c r="N8" s="2188">
        <v>0</v>
      </c>
      <c r="O8" s="2190">
        <v>16</v>
      </c>
      <c r="P8" s="2180">
        <v>0.32653061224489793</v>
      </c>
      <c r="Q8" s="2190">
        <v>9</v>
      </c>
      <c r="R8" s="2180">
        <v>0.45</v>
      </c>
      <c r="S8" s="2187">
        <v>88</v>
      </c>
      <c r="T8" s="2181">
        <v>0.15913200723327306</v>
      </c>
      <c r="U8" s="2363">
        <v>901.29399999999976</v>
      </c>
      <c r="V8" s="2363">
        <v>1371.9459999999988</v>
      </c>
      <c r="W8" s="2363">
        <v>2876.9599999999991</v>
      </c>
      <c r="X8" s="2427">
        <v>2433.9950000000008</v>
      </c>
      <c r="Y8" s="2427">
        <v>1437.1189999999999</v>
      </c>
      <c r="Z8" s="2427">
        <v>2019.4959999999951</v>
      </c>
      <c r="AA8" s="2290">
        <v>1552.1430000000012</v>
      </c>
      <c r="AB8" s="2221">
        <v>116</v>
      </c>
      <c r="AC8" s="2222">
        <v>13.380543103448286</v>
      </c>
      <c r="AD8" s="2289">
        <v>12592.953000000161</v>
      </c>
    </row>
    <row r="9" spans="1:30" ht="15">
      <c r="A9" s="2175" t="s">
        <v>4386</v>
      </c>
      <c r="B9" s="2175" t="s">
        <v>4387</v>
      </c>
      <c r="C9" s="2175" t="s">
        <v>4392</v>
      </c>
      <c r="D9" s="2175" t="s">
        <v>4393</v>
      </c>
      <c r="E9" s="2187">
        <v>228</v>
      </c>
      <c r="F9" s="2188">
        <v>189</v>
      </c>
      <c r="G9" s="2187">
        <v>118</v>
      </c>
      <c r="H9" s="2189">
        <v>145</v>
      </c>
      <c r="I9" s="2189">
        <v>11</v>
      </c>
      <c r="J9" s="2188">
        <v>33</v>
      </c>
      <c r="K9" s="2187">
        <v>5</v>
      </c>
      <c r="L9" s="2187">
        <v>9</v>
      </c>
      <c r="M9" s="2189">
        <v>8</v>
      </c>
      <c r="N9" s="2188">
        <v>1</v>
      </c>
      <c r="O9" s="2190">
        <v>4</v>
      </c>
      <c r="P9" s="2180">
        <v>0.12121212121212122</v>
      </c>
      <c r="Q9" s="2190">
        <v>3</v>
      </c>
      <c r="R9" s="2180">
        <v>0.27272727272727271</v>
      </c>
      <c r="S9" s="2187">
        <v>25</v>
      </c>
      <c r="T9" s="2181">
        <v>0.11990407673860912</v>
      </c>
      <c r="U9" s="2363">
        <v>362.86300000000011</v>
      </c>
      <c r="V9" s="2363">
        <v>667.52099999999984</v>
      </c>
      <c r="W9" s="2363">
        <v>1282.8660000000004</v>
      </c>
      <c r="X9" s="2427">
        <v>1087.7729999999997</v>
      </c>
      <c r="Y9" s="2427">
        <v>664.81</v>
      </c>
      <c r="Z9" s="2427">
        <v>991.96700000000021</v>
      </c>
      <c r="AA9" s="2290">
        <v>372.82</v>
      </c>
      <c r="AB9" s="2221">
        <v>30</v>
      </c>
      <c r="AC9" s="2222">
        <v>12.427333333333333</v>
      </c>
      <c r="AD9" s="2289">
        <v>5430.6200000000108</v>
      </c>
    </row>
    <row r="10" spans="1:30" ht="15">
      <c r="A10" s="2175" t="s">
        <v>4386</v>
      </c>
      <c r="B10" s="2175" t="s">
        <v>4387</v>
      </c>
      <c r="C10" s="2175" t="s">
        <v>4394</v>
      </c>
      <c r="D10" s="2175" t="s">
        <v>4393</v>
      </c>
      <c r="E10" s="2187">
        <v>103</v>
      </c>
      <c r="F10" s="2188">
        <v>148</v>
      </c>
      <c r="G10" s="2187">
        <v>98</v>
      </c>
      <c r="H10" s="2189">
        <v>126</v>
      </c>
      <c r="I10" s="2189">
        <v>5</v>
      </c>
      <c r="J10" s="2188">
        <v>17</v>
      </c>
      <c r="K10" s="2187">
        <v>4</v>
      </c>
      <c r="L10" s="2187">
        <v>61</v>
      </c>
      <c r="M10" s="2189">
        <v>61</v>
      </c>
      <c r="N10" s="2188">
        <v>0</v>
      </c>
      <c r="O10" s="2190">
        <v>4</v>
      </c>
      <c r="P10" s="2180">
        <v>0.23529411764705882</v>
      </c>
      <c r="Q10" s="2190">
        <v>1</v>
      </c>
      <c r="R10" s="2180">
        <v>0.2</v>
      </c>
      <c r="S10" s="2187">
        <v>20</v>
      </c>
      <c r="T10" s="2181">
        <v>0.15936254980079681</v>
      </c>
      <c r="U10" s="2363">
        <v>383.71</v>
      </c>
      <c r="V10" s="2363">
        <v>394.5080000000001</v>
      </c>
      <c r="W10" s="2363">
        <v>481.85999999999979</v>
      </c>
      <c r="X10" s="2427">
        <v>389.72300000000007</v>
      </c>
      <c r="Y10" s="2427">
        <v>253.14200000000002</v>
      </c>
      <c r="Z10" s="2427">
        <v>340.40299999999996</v>
      </c>
      <c r="AA10" s="2290">
        <v>453.351</v>
      </c>
      <c r="AB10" s="2221">
        <v>38</v>
      </c>
      <c r="AC10" s="2222">
        <v>11.93028947368421</v>
      </c>
      <c r="AD10" s="2289">
        <v>2696.6969999999974</v>
      </c>
    </row>
    <row r="11" spans="1:30" ht="15">
      <c r="A11" s="2175" t="s">
        <v>4386</v>
      </c>
      <c r="B11" s="2175" t="s">
        <v>4395</v>
      </c>
      <c r="C11" s="2175" t="s">
        <v>4396</v>
      </c>
      <c r="D11" s="2175" t="s">
        <v>4397</v>
      </c>
      <c r="E11" s="2187">
        <v>309</v>
      </c>
      <c r="F11" s="2188">
        <v>262</v>
      </c>
      <c r="G11" s="2187">
        <v>294</v>
      </c>
      <c r="H11" s="2189">
        <v>215</v>
      </c>
      <c r="I11" s="2189">
        <v>7</v>
      </c>
      <c r="J11" s="2188">
        <v>40</v>
      </c>
      <c r="K11" s="2187">
        <v>3</v>
      </c>
      <c r="L11" s="2187">
        <v>23</v>
      </c>
      <c r="M11" s="2189">
        <v>23</v>
      </c>
      <c r="N11" s="2188">
        <v>0</v>
      </c>
      <c r="O11" s="2190">
        <v>10</v>
      </c>
      <c r="P11" s="2180">
        <v>0.25</v>
      </c>
      <c r="Q11" s="2190">
        <v>2</v>
      </c>
      <c r="R11" s="2180">
        <v>0.2857142857142857</v>
      </c>
      <c r="S11" s="2187">
        <v>42</v>
      </c>
      <c r="T11" s="2181">
        <v>0.14711033274956217</v>
      </c>
      <c r="U11" s="2363">
        <v>512.09199999999976</v>
      </c>
      <c r="V11" s="2363">
        <v>813.19699999999966</v>
      </c>
      <c r="W11" s="2363">
        <v>1464.6540000000007</v>
      </c>
      <c r="X11" s="2427">
        <v>1108.2750000000001</v>
      </c>
      <c r="Y11" s="2427">
        <v>634.60800000000029</v>
      </c>
      <c r="Z11" s="2427">
        <v>1553.7189999999975</v>
      </c>
      <c r="AA11" s="2290">
        <v>693.10899999999947</v>
      </c>
      <c r="AB11" s="2221">
        <v>53</v>
      </c>
      <c r="AC11" s="2222">
        <v>13.077528301886783</v>
      </c>
      <c r="AD11" s="2289">
        <v>6779.6540000000541</v>
      </c>
    </row>
    <row r="12" spans="1:30" ht="15">
      <c r="A12" s="2175" t="s">
        <v>4386</v>
      </c>
      <c r="B12" s="2175" t="s">
        <v>4395</v>
      </c>
      <c r="C12" s="2175" t="s">
        <v>4398</v>
      </c>
      <c r="D12" s="2175" t="s">
        <v>4399</v>
      </c>
      <c r="E12" s="2187">
        <v>220</v>
      </c>
      <c r="F12" s="2188">
        <v>204</v>
      </c>
      <c r="G12" s="2187">
        <v>106</v>
      </c>
      <c r="H12" s="2189">
        <v>170</v>
      </c>
      <c r="I12" s="2189">
        <v>4</v>
      </c>
      <c r="J12" s="2188">
        <v>30</v>
      </c>
      <c r="K12" s="2187">
        <v>2</v>
      </c>
      <c r="L12" s="2187">
        <v>20</v>
      </c>
      <c r="M12" s="2189">
        <v>19</v>
      </c>
      <c r="N12" s="2188">
        <v>1</v>
      </c>
      <c r="O12" s="2190">
        <v>11</v>
      </c>
      <c r="P12" s="2180">
        <v>0.36666666666666664</v>
      </c>
      <c r="Q12" s="2190">
        <v>3</v>
      </c>
      <c r="R12" s="2180">
        <v>0.75</v>
      </c>
      <c r="S12" s="2187">
        <v>45</v>
      </c>
      <c r="T12" s="2181">
        <v>0.21226415094339623</v>
      </c>
      <c r="U12" s="2363">
        <v>643.30900000000031</v>
      </c>
      <c r="V12" s="2363">
        <v>769.31400000000019</v>
      </c>
      <c r="W12" s="2363">
        <v>1065.9509999999993</v>
      </c>
      <c r="X12" s="2427">
        <v>1172.8299999999995</v>
      </c>
      <c r="Y12" s="2427">
        <v>1116.1449999999995</v>
      </c>
      <c r="Z12" s="2427">
        <v>907.3</v>
      </c>
      <c r="AA12" s="2290">
        <v>1071.6199999999999</v>
      </c>
      <c r="AB12" s="2221">
        <v>78</v>
      </c>
      <c r="AC12" s="2222">
        <v>13.738717948717948</v>
      </c>
      <c r="AD12" s="2289">
        <v>6746.469000000051</v>
      </c>
    </row>
    <row r="13" spans="1:30" ht="15">
      <c r="A13" s="2175" t="s">
        <v>4400</v>
      </c>
      <c r="B13" s="2175" t="s">
        <v>4401</v>
      </c>
      <c r="C13" s="2175" t="s">
        <v>4402</v>
      </c>
      <c r="D13" s="2175" t="s">
        <v>4403</v>
      </c>
      <c r="E13" s="2187">
        <v>207</v>
      </c>
      <c r="F13" s="2188">
        <v>210</v>
      </c>
      <c r="G13" s="2187">
        <v>64</v>
      </c>
      <c r="H13" s="2189">
        <v>179</v>
      </c>
      <c r="I13" s="2189">
        <v>2</v>
      </c>
      <c r="J13" s="2188">
        <v>29</v>
      </c>
      <c r="K13" s="2187">
        <v>1</v>
      </c>
      <c r="L13" s="2187">
        <v>44</v>
      </c>
      <c r="M13" s="2189">
        <v>39</v>
      </c>
      <c r="N13" s="2188">
        <v>5</v>
      </c>
      <c r="O13" s="2190">
        <v>16</v>
      </c>
      <c r="P13" s="2180">
        <v>0.55172413793103448</v>
      </c>
      <c r="Q13" s="2190">
        <v>0</v>
      </c>
      <c r="R13" s="2180">
        <v>0</v>
      </c>
      <c r="S13" s="2187">
        <v>47</v>
      </c>
      <c r="T13" s="2181">
        <v>0.22541966426858512</v>
      </c>
      <c r="U13" s="2363">
        <v>0</v>
      </c>
      <c r="V13" s="2363">
        <v>143.73399999999995</v>
      </c>
      <c r="W13" s="2363">
        <v>509.41600000000011</v>
      </c>
      <c r="X13" s="2427">
        <v>544.74799999999982</v>
      </c>
      <c r="Y13" s="2427">
        <v>188.44499999999996</v>
      </c>
      <c r="Z13" s="2427">
        <v>702.44199999999967</v>
      </c>
      <c r="AA13" s="2290">
        <v>753.34299999999951</v>
      </c>
      <c r="AB13" s="2221">
        <v>58</v>
      </c>
      <c r="AC13" s="2222">
        <v>12.988672413793095</v>
      </c>
      <c r="AD13" s="2289">
        <v>2842.127999999997</v>
      </c>
    </row>
    <row r="14" spans="1:30" ht="15">
      <c r="A14" s="2175" t="s">
        <v>4400</v>
      </c>
      <c r="B14" s="2175" t="s">
        <v>4401</v>
      </c>
      <c r="C14" s="2175" t="s">
        <v>4404</v>
      </c>
      <c r="D14" s="2175" t="s">
        <v>4405</v>
      </c>
      <c r="E14" s="2187">
        <v>252</v>
      </c>
      <c r="F14" s="2188">
        <v>280</v>
      </c>
      <c r="G14" s="2187">
        <v>201</v>
      </c>
      <c r="H14" s="2189">
        <v>213</v>
      </c>
      <c r="I14" s="2189">
        <v>21</v>
      </c>
      <c r="J14" s="2188">
        <v>46</v>
      </c>
      <c r="K14" s="2187">
        <v>2</v>
      </c>
      <c r="L14" s="2187">
        <v>66</v>
      </c>
      <c r="M14" s="2189">
        <v>65</v>
      </c>
      <c r="N14" s="2188">
        <v>1</v>
      </c>
      <c r="O14" s="2190">
        <v>8</v>
      </c>
      <c r="P14" s="2180">
        <v>0.17391304347826086</v>
      </c>
      <c r="Q14" s="2190">
        <v>2</v>
      </c>
      <c r="R14" s="2180">
        <v>9.5238095238095233E-2</v>
      </c>
      <c r="S14" s="2187">
        <v>50</v>
      </c>
      <c r="T14" s="2181">
        <v>0.18796992481203006</v>
      </c>
      <c r="U14" s="2363">
        <v>759.18699999999978</v>
      </c>
      <c r="V14" s="2363">
        <v>1038.0599999999997</v>
      </c>
      <c r="W14" s="2363">
        <v>994.91800000000023</v>
      </c>
      <c r="X14" s="2427">
        <v>966.44200000000023</v>
      </c>
      <c r="Y14" s="2427">
        <v>930.93600000000038</v>
      </c>
      <c r="Z14" s="2427">
        <v>1055.1179999999997</v>
      </c>
      <c r="AA14" s="2290">
        <v>813.77400000000023</v>
      </c>
      <c r="AB14" s="2221">
        <v>63</v>
      </c>
      <c r="AC14" s="2222">
        <v>12.917047619047622</v>
      </c>
      <c r="AD14" s="2289">
        <v>6558.4350000000331</v>
      </c>
    </row>
    <row r="15" spans="1:30" ht="15">
      <c r="A15" s="2175" t="s">
        <v>4400</v>
      </c>
      <c r="B15" s="2175" t="s">
        <v>4401</v>
      </c>
      <c r="C15" s="2175" t="s">
        <v>4406</v>
      </c>
      <c r="D15" s="2175" t="s">
        <v>4407</v>
      </c>
      <c r="E15" s="2187">
        <v>331</v>
      </c>
      <c r="F15" s="2188">
        <v>326</v>
      </c>
      <c r="G15" s="2187">
        <v>178</v>
      </c>
      <c r="H15" s="2189">
        <v>260</v>
      </c>
      <c r="I15" s="2189">
        <v>24</v>
      </c>
      <c r="J15" s="2188">
        <v>42</v>
      </c>
      <c r="K15" s="2187">
        <v>4</v>
      </c>
      <c r="L15" s="2187">
        <v>49</v>
      </c>
      <c r="M15" s="2189">
        <v>48</v>
      </c>
      <c r="N15" s="2188">
        <v>1</v>
      </c>
      <c r="O15" s="2190">
        <v>14</v>
      </c>
      <c r="P15" s="2180">
        <v>0.33333333333333331</v>
      </c>
      <c r="Q15" s="2190">
        <v>3</v>
      </c>
      <c r="R15" s="2180">
        <v>0.125</v>
      </c>
      <c r="S15" s="2187">
        <v>75</v>
      </c>
      <c r="T15" s="2181">
        <v>0.22831050228310501</v>
      </c>
      <c r="U15" s="2363">
        <v>765.40999999999974</v>
      </c>
      <c r="V15" s="2363">
        <v>1180.9719999999993</v>
      </c>
      <c r="W15" s="2363">
        <v>1563.6729999999993</v>
      </c>
      <c r="X15" s="2427">
        <v>1637.6659999999983</v>
      </c>
      <c r="Y15" s="2427">
        <v>1204.4279999999999</v>
      </c>
      <c r="Z15" s="2427">
        <v>1867.7809999999977</v>
      </c>
      <c r="AA15" s="2290">
        <v>1851.144999999997</v>
      </c>
      <c r="AB15" s="2221">
        <v>150</v>
      </c>
      <c r="AC15" s="2222">
        <v>12.340966666666647</v>
      </c>
      <c r="AD15" s="2289">
        <v>10071.075000000137</v>
      </c>
    </row>
    <row r="16" spans="1:30" ht="15">
      <c r="A16" s="2175" t="s">
        <v>4408</v>
      </c>
      <c r="B16" s="2175" t="s">
        <v>4409</v>
      </c>
      <c r="C16" s="2175" t="s">
        <v>4410</v>
      </c>
      <c r="D16" s="2175" t="s">
        <v>4411</v>
      </c>
      <c r="E16" s="2187">
        <v>16</v>
      </c>
      <c r="F16" s="2188">
        <v>15</v>
      </c>
      <c r="G16" s="2187">
        <v>54</v>
      </c>
      <c r="H16" s="2189">
        <v>12</v>
      </c>
      <c r="I16" s="2189">
        <v>0</v>
      </c>
      <c r="J16" s="2188">
        <v>3</v>
      </c>
      <c r="K16" s="2187">
        <v>0</v>
      </c>
      <c r="L16" s="2187">
        <v>0</v>
      </c>
      <c r="M16" s="2189">
        <v>0</v>
      </c>
      <c r="N16" s="2188">
        <v>0</v>
      </c>
      <c r="O16" s="2190"/>
      <c r="P16" s="2180"/>
      <c r="Q16" s="2190"/>
      <c r="R16" s="2180"/>
      <c r="S16" s="2187">
        <v>0</v>
      </c>
      <c r="T16" s="2181">
        <v>0</v>
      </c>
      <c r="U16" s="2363">
        <v>0</v>
      </c>
      <c r="V16" s="2363">
        <v>0</v>
      </c>
      <c r="W16" s="2363">
        <v>0</v>
      </c>
      <c r="X16" s="2427">
        <v>0</v>
      </c>
      <c r="Y16" s="2427">
        <v>0</v>
      </c>
      <c r="Z16" s="2427">
        <v>0</v>
      </c>
      <c r="AA16" s="2290">
        <v>0</v>
      </c>
      <c r="AB16" s="2221">
        <v>0</v>
      </c>
      <c r="AC16" s="2222">
        <v>0</v>
      </c>
      <c r="AD16" s="2289">
        <v>0</v>
      </c>
    </row>
    <row r="17" spans="1:30" ht="15">
      <c r="A17" s="2175" t="s">
        <v>4408</v>
      </c>
      <c r="B17" s="2175" t="s">
        <v>4409</v>
      </c>
      <c r="C17" s="2175" t="s">
        <v>4412</v>
      </c>
      <c r="D17" s="2175" t="s">
        <v>4411</v>
      </c>
      <c r="E17" s="2187">
        <v>211</v>
      </c>
      <c r="F17" s="2188">
        <v>209</v>
      </c>
      <c r="G17" s="2187">
        <v>224</v>
      </c>
      <c r="H17" s="2189">
        <v>164</v>
      </c>
      <c r="I17" s="2189">
        <v>13</v>
      </c>
      <c r="J17" s="2188">
        <v>32</v>
      </c>
      <c r="K17" s="2187">
        <v>1</v>
      </c>
      <c r="L17" s="2187">
        <v>26</v>
      </c>
      <c r="M17" s="2189">
        <v>26</v>
      </c>
      <c r="N17" s="2188">
        <v>0</v>
      </c>
      <c r="O17" s="2190">
        <v>8</v>
      </c>
      <c r="P17" s="2180">
        <v>0.25</v>
      </c>
      <c r="Q17" s="2190">
        <v>7</v>
      </c>
      <c r="R17" s="2180">
        <v>0.53846153846153844</v>
      </c>
      <c r="S17" s="2187">
        <v>52</v>
      </c>
      <c r="T17" s="2181">
        <v>0.24761904761904763</v>
      </c>
      <c r="U17" s="2363">
        <v>1306.3360000000009</v>
      </c>
      <c r="V17" s="2363">
        <v>1399.3740000000005</v>
      </c>
      <c r="W17" s="2363">
        <v>2186.5079999999975</v>
      </c>
      <c r="X17" s="2427">
        <v>1390.0429999999997</v>
      </c>
      <c r="Y17" s="2427">
        <v>1150.8630000000001</v>
      </c>
      <c r="Z17" s="2427">
        <v>1124.8639999999998</v>
      </c>
      <c r="AA17" s="2290">
        <v>1358.4269999999985</v>
      </c>
      <c r="AB17" s="2221">
        <v>95</v>
      </c>
      <c r="AC17" s="2222">
        <v>14.299231578947353</v>
      </c>
      <c r="AD17" s="2289">
        <v>9916.41500000009</v>
      </c>
    </row>
    <row r="18" spans="1:30" ht="15">
      <c r="A18" s="2175" t="s">
        <v>4408</v>
      </c>
      <c r="B18" s="2175" t="s">
        <v>4409</v>
      </c>
      <c r="C18" s="2175" t="s">
        <v>4413</v>
      </c>
      <c r="D18" s="2175" t="s">
        <v>4411</v>
      </c>
      <c r="E18" s="2187">
        <v>184</v>
      </c>
      <c r="F18" s="2188">
        <v>190</v>
      </c>
      <c r="G18" s="2187">
        <v>50</v>
      </c>
      <c r="H18" s="2189">
        <v>168</v>
      </c>
      <c r="I18" s="2189">
        <v>4</v>
      </c>
      <c r="J18" s="2188">
        <v>18</v>
      </c>
      <c r="K18" s="2187">
        <v>0</v>
      </c>
      <c r="L18" s="2187">
        <v>28</v>
      </c>
      <c r="M18" s="2189">
        <v>26</v>
      </c>
      <c r="N18" s="2188">
        <v>2</v>
      </c>
      <c r="O18" s="2190">
        <v>11</v>
      </c>
      <c r="P18" s="2180">
        <v>0.61111111111111116</v>
      </c>
      <c r="Q18" s="2190">
        <v>1</v>
      </c>
      <c r="R18" s="2180">
        <v>0.25</v>
      </c>
      <c r="S18" s="2187">
        <v>31</v>
      </c>
      <c r="T18" s="2181">
        <v>0.16577540106951871</v>
      </c>
      <c r="U18" s="2363">
        <v>254.44800000000012</v>
      </c>
      <c r="V18" s="2363">
        <v>231.30899999999997</v>
      </c>
      <c r="W18" s="2363">
        <v>751.75900000000024</v>
      </c>
      <c r="X18" s="2427">
        <v>651.62000000000012</v>
      </c>
      <c r="Y18" s="2427">
        <v>836.49300000000051</v>
      </c>
      <c r="Z18" s="2427">
        <v>1361.9529999999975</v>
      </c>
      <c r="AA18" s="2290">
        <v>1085.5490000000004</v>
      </c>
      <c r="AB18" s="2221">
        <v>68</v>
      </c>
      <c r="AC18" s="2222">
        <v>15.963955882352948</v>
      </c>
      <c r="AD18" s="2289">
        <v>5173.1310000000267</v>
      </c>
    </row>
    <row r="19" spans="1:30" ht="15">
      <c r="A19" s="2175" t="s">
        <v>4408</v>
      </c>
      <c r="B19" s="2175" t="s">
        <v>4414</v>
      </c>
      <c r="C19" s="2175" t="s">
        <v>4415</v>
      </c>
      <c r="D19" s="2175" t="s">
        <v>4416</v>
      </c>
      <c r="E19" s="2187">
        <v>172</v>
      </c>
      <c r="F19" s="2188">
        <v>135</v>
      </c>
      <c r="G19" s="2187">
        <v>205</v>
      </c>
      <c r="H19" s="2189">
        <v>100</v>
      </c>
      <c r="I19" s="2189">
        <v>12</v>
      </c>
      <c r="J19" s="2188">
        <v>23</v>
      </c>
      <c r="K19" s="2187">
        <v>8</v>
      </c>
      <c r="L19" s="2187">
        <v>18</v>
      </c>
      <c r="M19" s="2189">
        <v>17</v>
      </c>
      <c r="N19" s="2188">
        <v>1</v>
      </c>
      <c r="O19" s="2190">
        <v>7</v>
      </c>
      <c r="P19" s="2180">
        <v>0.30434782608695654</v>
      </c>
      <c r="Q19" s="2190">
        <v>2</v>
      </c>
      <c r="R19" s="2180">
        <v>0.16666666666666666</v>
      </c>
      <c r="S19" s="2187">
        <v>28</v>
      </c>
      <c r="T19" s="2181">
        <v>0.18241042345276873</v>
      </c>
      <c r="U19" s="2363">
        <v>191.654</v>
      </c>
      <c r="V19" s="2363">
        <v>552.74400000000026</v>
      </c>
      <c r="W19" s="2363">
        <v>1072.6930000000011</v>
      </c>
      <c r="X19" s="2427">
        <v>379.16600000000011</v>
      </c>
      <c r="Y19" s="2427">
        <v>592.47500000000014</v>
      </c>
      <c r="Z19" s="2427">
        <v>686.62800000000004</v>
      </c>
      <c r="AA19" s="2290">
        <v>684.2750000000002</v>
      </c>
      <c r="AB19" s="2221">
        <v>49</v>
      </c>
      <c r="AC19" s="2222">
        <v>13.964795918367351</v>
      </c>
      <c r="AD19" s="2289">
        <v>4159.6349999999948</v>
      </c>
    </row>
    <row r="20" spans="1:30" ht="15">
      <c r="A20" s="2175" t="s">
        <v>4408</v>
      </c>
      <c r="B20" s="2175" t="s">
        <v>4414</v>
      </c>
      <c r="C20" s="2175" t="s">
        <v>4417</v>
      </c>
      <c r="D20" s="2175" t="s">
        <v>4416</v>
      </c>
      <c r="E20" s="2187">
        <v>84</v>
      </c>
      <c r="F20" s="2188">
        <v>82</v>
      </c>
      <c r="G20" s="2187">
        <v>47</v>
      </c>
      <c r="H20" s="2189">
        <v>69</v>
      </c>
      <c r="I20" s="2189">
        <v>1</v>
      </c>
      <c r="J20" s="2188">
        <v>12</v>
      </c>
      <c r="K20" s="2187">
        <v>0</v>
      </c>
      <c r="L20" s="2187">
        <v>18</v>
      </c>
      <c r="M20" s="2189">
        <v>18</v>
      </c>
      <c r="N20" s="2188">
        <v>0</v>
      </c>
      <c r="O20" s="2190">
        <v>8</v>
      </c>
      <c r="P20" s="2180">
        <v>0.66666666666666663</v>
      </c>
      <c r="Q20" s="2190">
        <v>1</v>
      </c>
      <c r="R20" s="2180">
        <v>1</v>
      </c>
      <c r="S20" s="2187">
        <v>15</v>
      </c>
      <c r="T20" s="2181">
        <v>0.18072289156626506</v>
      </c>
      <c r="U20" s="2363">
        <v>0</v>
      </c>
      <c r="V20" s="2363">
        <v>0</v>
      </c>
      <c r="W20" s="2363">
        <v>0</v>
      </c>
      <c r="X20" s="2427">
        <v>535.79699999999991</v>
      </c>
      <c r="Y20" s="2427">
        <v>227.86299999999997</v>
      </c>
      <c r="Z20" s="2427">
        <v>716.41699999999946</v>
      </c>
      <c r="AA20" s="2290">
        <v>265.83</v>
      </c>
      <c r="AB20" s="2221">
        <v>19</v>
      </c>
      <c r="AC20" s="2222">
        <v>13.991052631578947</v>
      </c>
      <c r="AD20" s="2289">
        <v>1745.9069999999983</v>
      </c>
    </row>
    <row r="21" spans="1:30" ht="15">
      <c r="A21" s="2175" t="s">
        <v>4408</v>
      </c>
      <c r="B21" s="2175" t="s">
        <v>4414</v>
      </c>
      <c r="C21" s="2175" t="s">
        <v>4418</v>
      </c>
      <c r="D21" s="2175" t="s">
        <v>4419</v>
      </c>
      <c r="E21" s="2187">
        <v>114</v>
      </c>
      <c r="F21" s="2188">
        <v>97</v>
      </c>
      <c r="G21" s="2187">
        <v>130</v>
      </c>
      <c r="H21" s="2189">
        <v>74</v>
      </c>
      <c r="I21" s="2189">
        <v>3</v>
      </c>
      <c r="J21" s="2188">
        <v>20</v>
      </c>
      <c r="K21" s="2187">
        <v>2</v>
      </c>
      <c r="L21" s="2187">
        <v>10</v>
      </c>
      <c r="M21" s="2189">
        <v>8</v>
      </c>
      <c r="N21" s="2188">
        <v>2</v>
      </c>
      <c r="O21" s="2190">
        <v>6</v>
      </c>
      <c r="P21" s="2180">
        <v>0.3</v>
      </c>
      <c r="Q21" s="2190">
        <v>0</v>
      </c>
      <c r="R21" s="2180">
        <v>0</v>
      </c>
      <c r="S21" s="2187">
        <v>11</v>
      </c>
      <c r="T21" s="2181">
        <v>0.10426540284360189</v>
      </c>
      <c r="U21" s="2363">
        <v>67.263000000000005</v>
      </c>
      <c r="V21" s="2363">
        <v>337.17400000000009</v>
      </c>
      <c r="W21" s="2363">
        <v>358.36500000000007</v>
      </c>
      <c r="X21" s="2427">
        <v>244.22000000000003</v>
      </c>
      <c r="Y21" s="2427">
        <v>132.22100000000003</v>
      </c>
      <c r="Z21" s="2427">
        <v>397.024</v>
      </c>
      <c r="AA21" s="2290">
        <v>115.07000000000001</v>
      </c>
      <c r="AB21" s="2221">
        <v>9</v>
      </c>
      <c r="AC21" s="2222">
        <v>12.785555555555556</v>
      </c>
      <c r="AD21" s="2289">
        <v>1651.3369999999993</v>
      </c>
    </row>
    <row r="22" spans="1:30" ht="15">
      <c r="A22" s="2175" t="s">
        <v>4420</v>
      </c>
      <c r="B22" s="2175" t="s">
        <v>4421</v>
      </c>
      <c r="C22" s="2175" t="s">
        <v>4422</v>
      </c>
      <c r="D22" s="2175" t="s">
        <v>4423</v>
      </c>
      <c r="E22" s="2187">
        <v>137</v>
      </c>
      <c r="F22" s="2188">
        <v>124</v>
      </c>
      <c r="G22" s="2187">
        <v>179</v>
      </c>
      <c r="H22" s="2189">
        <v>77</v>
      </c>
      <c r="I22" s="2189">
        <v>14</v>
      </c>
      <c r="J22" s="2188">
        <v>33</v>
      </c>
      <c r="K22" s="2187">
        <v>0</v>
      </c>
      <c r="L22" s="2187">
        <v>15</v>
      </c>
      <c r="M22" s="2189">
        <v>14</v>
      </c>
      <c r="N22" s="2188">
        <v>1</v>
      </c>
      <c r="O22" s="2190">
        <v>7</v>
      </c>
      <c r="P22" s="2180">
        <v>0.21212121212121213</v>
      </c>
      <c r="Q22" s="2190">
        <v>1</v>
      </c>
      <c r="R22" s="2180">
        <v>7.1428571428571425E-2</v>
      </c>
      <c r="S22" s="2187">
        <v>17</v>
      </c>
      <c r="T22" s="2181">
        <v>0.13026819923371646</v>
      </c>
      <c r="U22" s="2363">
        <v>-43.678999999999888</v>
      </c>
      <c r="V22" s="2363">
        <v>399.37500000000006</v>
      </c>
      <c r="W22" s="2363">
        <v>420.59</v>
      </c>
      <c r="X22" s="2427">
        <v>744.76499999999965</v>
      </c>
      <c r="Y22" s="2427">
        <v>825.08699999999999</v>
      </c>
      <c r="Z22" s="2427">
        <v>611.54399999999998</v>
      </c>
      <c r="AA22" s="2290">
        <v>598.625</v>
      </c>
      <c r="AB22" s="2221">
        <v>36</v>
      </c>
      <c r="AC22" s="2222">
        <v>16.628472222222221</v>
      </c>
      <c r="AD22" s="2289">
        <v>3556.3069999999975</v>
      </c>
    </row>
    <row r="23" spans="1:30" ht="15">
      <c r="A23" s="2175" t="s">
        <v>4420</v>
      </c>
      <c r="B23" s="2175" t="s">
        <v>4421</v>
      </c>
      <c r="C23" s="2175" t="s">
        <v>4424</v>
      </c>
      <c r="D23" s="2175" t="s">
        <v>4425</v>
      </c>
      <c r="E23" s="2187">
        <v>95</v>
      </c>
      <c r="F23" s="2188">
        <v>79</v>
      </c>
      <c r="G23" s="2187">
        <v>193</v>
      </c>
      <c r="H23" s="2189">
        <v>57</v>
      </c>
      <c r="I23" s="2189">
        <v>6</v>
      </c>
      <c r="J23" s="2188">
        <v>16</v>
      </c>
      <c r="K23" s="2187">
        <v>15</v>
      </c>
      <c r="L23" s="2187">
        <v>2</v>
      </c>
      <c r="M23" s="2189">
        <v>2</v>
      </c>
      <c r="N23" s="2188">
        <v>0</v>
      </c>
      <c r="O23" s="2190">
        <v>1</v>
      </c>
      <c r="P23" s="2180">
        <v>6.25E-2</v>
      </c>
      <c r="Q23" s="2190">
        <v>0</v>
      </c>
      <c r="R23" s="2180">
        <v>0</v>
      </c>
      <c r="S23" s="2187">
        <v>7</v>
      </c>
      <c r="T23" s="2181">
        <v>8.0459770114942528E-2</v>
      </c>
      <c r="U23" s="2363">
        <v>267.56900000000007</v>
      </c>
      <c r="V23" s="2363">
        <v>332.89899999999994</v>
      </c>
      <c r="W23" s="2363">
        <v>364.14400000000001</v>
      </c>
      <c r="X23" s="2427">
        <v>559.04500000000007</v>
      </c>
      <c r="Y23" s="2427">
        <v>377.52699999999999</v>
      </c>
      <c r="Z23" s="2427">
        <v>10.724999999999998</v>
      </c>
      <c r="AA23" s="2290">
        <v>246.34299999999999</v>
      </c>
      <c r="AB23" s="2221">
        <v>12</v>
      </c>
      <c r="AC23" s="2222">
        <v>20.528583333333334</v>
      </c>
      <c r="AD23" s="2289">
        <v>2158.252</v>
      </c>
    </row>
    <row r="24" spans="1:30" ht="15">
      <c r="A24" s="2175" t="s">
        <v>4420</v>
      </c>
      <c r="B24" s="2175" t="s">
        <v>4421</v>
      </c>
      <c r="C24" s="2175" t="s">
        <v>4426</v>
      </c>
      <c r="D24" s="2175" t="s">
        <v>4427</v>
      </c>
      <c r="E24" s="2187">
        <v>232</v>
      </c>
      <c r="F24" s="2188">
        <v>206</v>
      </c>
      <c r="G24" s="2187">
        <v>186</v>
      </c>
      <c r="H24" s="2189">
        <v>149</v>
      </c>
      <c r="I24" s="2189">
        <v>17</v>
      </c>
      <c r="J24" s="2188">
        <v>40</v>
      </c>
      <c r="K24" s="2187">
        <v>5</v>
      </c>
      <c r="L24" s="2187">
        <v>14</v>
      </c>
      <c r="M24" s="2189">
        <v>14</v>
      </c>
      <c r="N24" s="2188">
        <v>0</v>
      </c>
      <c r="O24" s="2190">
        <v>7</v>
      </c>
      <c r="P24" s="2180">
        <v>0.17499999999999999</v>
      </c>
      <c r="Q24" s="2190">
        <v>4</v>
      </c>
      <c r="R24" s="2180">
        <v>0.23529411764705882</v>
      </c>
      <c r="S24" s="2187">
        <v>27</v>
      </c>
      <c r="T24" s="2181">
        <v>0.12328767123287671</v>
      </c>
      <c r="U24" s="2363">
        <v>437.14</v>
      </c>
      <c r="V24" s="2363">
        <v>833.10200000000032</v>
      </c>
      <c r="W24" s="2363">
        <v>1200.1649999999995</v>
      </c>
      <c r="X24" s="2427">
        <v>839.53200000000038</v>
      </c>
      <c r="Y24" s="2427">
        <v>698</v>
      </c>
      <c r="Z24" s="2427">
        <v>1220.7789999999991</v>
      </c>
      <c r="AA24" s="2290">
        <v>667.68599999999981</v>
      </c>
      <c r="AB24" s="2221">
        <v>43</v>
      </c>
      <c r="AC24" s="2222">
        <v>15.527581395348832</v>
      </c>
      <c r="AD24" s="2289">
        <v>5896.4040000000205</v>
      </c>
    </row>
    <row r="25" spans="1:30" ht="15">
      <c r="A25" s="2175" t="s">
        <v>4420</v>
      </c>
      <c r="B25" s="2175" t="s">
        <v>4428</v>
      </c>
      <c r="C25" s="2175" t="s">
        <v>4429</v>
      </c>
      <c r="D25" s="2175" t="s">
        <v>4430</v>
      </c>
      <c r="E25" s="2187">
        <v>272</v>
      </c>
      <c r="F25" s="2188">
        <v>267</v>
      </c>
      <c r="G25" s="2187">
        <v>260</v>
      </c>
      <c r="H25" s="2189">
        <v>197</v>
      </c>
      <c r="I25" s="2189">
        <v>14</v>
      </c>
      <c r="J25" s="2188">
        <v>56</v>
      </c>
      <c r="K25" s="2187">
        <v>0</v>
      </c>
      <c r="L25" s="2187">
        <v>17</v>
      </c>
      <c r="M25" s="2189">
        <v>15</v>
      </c>
      <c r="N25" s="2188">
        <v>2</v>
      </c>
      <c r="O25" s="2190">
        <v>12</v>
      </c>
      <c r="P25" s="2180">
        <v>0.21428571428571427</v>
      </c>
      <c r="Q25" s="2190">
        <v>2</v>
      </c>
      <c r="R25" s="2180">
        <v>0.14285714285714285</v>
      </c>
      <c r="S25" s="2187">
        <v>42</v>
      </c>
      <c r="T25" s="2181">
        <v>0.15584415584415584</v>
      </c>
      <c r="U25" s="2363">
        <v>329.43200000000002</v>
      </c>
      <c r="V25" s="2363">
        <v>602.65199999999993</v>
      </c>
      <c r="W25" s="2363">
        <v>1034.1209999999996</v>
      </c>
      <c r="X25" s="2427">
        <v>1592.9309999999989</v>
      </c>
      <c r="Y25" s="2427">
        <v>932.40199999999982</v>
      </c>
      <c r="Z25" s="2427">
        <v>974.8299999999997</v>
      </c>
      <c r="AA25" s="2290">
        <v>1079.2109999999998</v>
      </c>
      <c r="AB25" s="2221">
        <v>64</v>
      </c>
      <c r="AC25" s="2222">
        <v>16.862671874999997</v>
      </c>
      <c r="AD25" s="2289">
        <v>6545.579000000017</v>
      </c>
    </row>
    <row r="26" spans="1:30" ht="15">
      <c r="A26" s="2175" t="s">
        <v>4420</v>
      </c>
      <c r="B26" s="2175" t="s">
        <v>4428</v>
      </c>
      <c r="C26" s="2175" t="s">
        <v>4431</v>
      </c>
      <c r="D26" s="2175" t="s">
        <v>4432</v>
      </c>
      <c r="E26" s="2187">
        <v>95</v>
      </c>
      <c r="F26" s="2188">
        <v>73</v>
      </c>
      <c r="G26" s="2187">
        <v>81</v>
      </c>
      <c r="H26" s="2189">
        <v>54</v>
      </c>
      <c r="I26" s="2189">
        <v>4</v>
      </c>
      <c r="J26" s="2188">
        <v>15</v>
      </c>
      <c r="K26" s="2187">
        <v>5</v>
      </c>
      <c r="L26" s="2187">
        <v>11</v>
      </c>
      <c r="M26" s="2189">
        <v>11</v>
      </c>
      <c r="N26" s="2188">
        <v>0</v>
      </c>
      <c r="O26" s="2190">
        <v>4</v>
      </c>
      <c r="P26" s="2180">
        <v>0.26666666666666666</v>
      </c>
      <c r="Q26" s="2190">
        <v>1</v>
      </c>
      <c r="R26" s="2180">
        <v>0.25</v>
      </c>
      <c r="S26" s="2187">
        <v>5</v>
      </c>
      <c r="T26" s="2181">
        <v>5.9523809523809521E-2</v>
      </c>
      <c r="U26" s="2363">
        <v>164.5</v>
      </c>
      <c r="V26" s="2363">
        <v>16.481000000000012</v>
      </c>
      <c r="W26" s="2363">
        <v>669.48299999999983</v>
      </c>
      <c r="X26" s="2427">
        <v>349.90699999999993</v>
      </c>
      <c r="Y26" s="2427">
        <v>161.74699999999999</v>
      </c>
      <c r="Z26" s="2427">
        <v>389.28100000000006</v>
      </c>
      <c r="AA26" s="2290">
        <v>114.45399999999999</v>
      </c>
      <c r="AB26" s="2221">
        <v>5</v>
      </c>
      <c r="AC26" s="2222">
        <v>22.890799999999999</v>
      </c>
      <c r="AD26" s="2289">
        <v>1865.8529999999994</v>
      </c>
    </row>
    <row r="27" spans="1:30" ht="15">
      <c r="A27" s="2175" t="s">
        <v>4420</v>
      </c>
      <c r="B27" s="2175" t="s">
        <v>4428</v>
      </c>
      <c r="C27" s="2175" t="s">
        <v>4433</v>
      </c>
      <c r="D27" s="2175" t="s">
        <v>4434</v>
      </c>
      <c r="E27" s="2187">
        <v>116</v>
      </c>
      <c r="F27" s="2188">
        <v>122</v>
      </c>
      <c r="G27" s="2187">
        <v>54</v>
      </c>
      <c r="H27" s="2189">
        <v>94</v>
      </c>
      <c r="I27" s="2189">
        <v>9</v>
      </c>
      <c r="J27" s="2188">
        <v>19</v>
      </c>
      <c r="K27" s="2187">
        <v>2</v>
      </c>
      <c r="L27" s="2187">
        <v>24</v>
      </c>
      <c r="M27" s="2189">
        <v>24</v>
      </c>
      <c r="N27" s="2188">
        <v>0</v>
      </c>
      <c r="O27" s="2190">
        <v>9</v>
      </c>
      <c r="P27" s="2180">
        <v>0.47368421052631576</v>
      </c>
      <c r="Q27" s="2190">
        <v>4</v>
      </c>
      <c r="R27" s="2180">
        <v>0.44444444444444442</v>
      </c>
      <c r="S27" s="2187">
        <v>14</v>
      </c>
      <c r="T27" s="2181">
        <v>0.11764705882352941</v>
      </c>
      <c r="U27" s="2363">
        <v>300.17700000000002</v>
      </c>
      <c r="V27" s="2363">
        <v>621.88499999999965</v>
      </c>
      <c r="W27" s="2363">
        <v>621.05199999999991</v>
      </c>
      <c r="X27" s="2427">
        <v>401.69900000000007</v>
      </c>
      <c r="Y27" s="2427">
        <v>351.22199999999998</v>
      </c>
      <c r="Z27" s="2427">
        <v>1083.4529999999991</v>
      </c>
      <c r="AA27" s="2290">
        <v>572.97700000000009</v>
      </c>
      <c r="AB27" s="2221">
        <v>32</v>
      </c>
      <c r="AC27" s="2222">
        <v>17.905531250000003</v>
      </c>
      <c r="AD27" s="2289">
        <v>3952.465000000002</v>
      </c>
    </row>
    <row r="28" spans="1:30" ht="15">
      <c r="A28" s="2175" t="s">
        <v>4435</v>
      </c>
      <c r="B28" s="2175" t="s">
        <v>4436</v>
      </c>
      <c r="C28" s="2175" t="s">
        <v>4437</v>
      </c>
      <c r="D28" s="2175" t="s">
        <v>4438</v>
      </c>
      <c r="E28" s="2187">
        <v>120</v>
      </c>
      <c r="F28" s="2188">
        <v>118</v>
      </c>
      <c r="G28" s="2187">
        <v>45</v>
      </c>
      <c r="H28" s="2189">
        <v>97</v>
      </c>
      <c r="I28" s="2189">
        <v>2</v>
      </c>
      <c r="J28" s="2188">
        <v>19</v>
      </c>
      <c r="K28" s="2187">
        <v>1</v>
      </c>
      <c r="L28" s="2187">
        <v>13</v>
      </c>
      <c r="M28" s="2189">
        <v>13</v>
      </c>
      <c r="N28" s="2188">
        <v>0</v>
      </c>
      <c r="O28" s="2190">
        <v>5</v>
      </c>
      <c r="P28" s="2180">
        <v>0.26315789473684209</v>
      </c>
      <c r="Q28" s="2190">
        <v>1</v>
      </c>
      <c r="R28" s="2180">
        <v>0.5</v>
      </c>
      <c r="S28" s="2187">
        <v>20</v>
      </c>
      <c r="T28" s="2181">
        <v>0.16806722689075632</v>
      </c>
      <c r="U28" s="2363">
        <v>74.915000000000006</v>
      </c>
      <c r="V28" s="2363">
        <v>273.14199999999988</v>
      </c>
      <c r="W28" s="2363">
        <v>877.74899999999968</v>
      </c>
      <c r="X28" s="2427">
        <v>427.43</v>
      </c>
      <c r="Y28" s="2427">
        <v>843.87299999999982</v>
      </c>
      <c r="Z28" s="2427">
        <v>388.63400000000007</v>
      </c>
      <c r="AA28" s="2290">
        <v>389.29199999999986</v>
      </c>
      <c r="AB28" s="2221">
        <v>30</v>
      </c>
      <c r="AC28" s="2222">
        <v>12.976399999999995</v>
      </c>
      <c r="AD28" s="2289">
        <v>3275.0349999999958</v>
      </c>
    </row>
    <row r="29" spans="1:30" ht="15">
      <c r="A29" s="2175" t="s">
        <v>4435</v>
      </c>
      <c r="B29" s="2175" t="s">
        <v>4436</v>
      </c>
      <c r="C29" s="2175" t="s">
        <v>4439</v>
      </c>
      <c r="D29" s="2175" t="s">
        <v>4440</v>
      </c>
      <c r="E29" s="2187">
        <v>93</v>
      </c>
      <c r="F29" s="2188">
        <v>81</v>
      </c>
      <c r="G29" s="2187">
        <v>87</v>
      </c>
      <c r="H29" s="2189">
        <v>52</v>
      </c>
      <c r="I29" s="2189">
        <v>7</v>
      </c>
      <c r="J29" s="2188">
        <v>22</v>
      </c>
      <c r="K29" s="2187">
        <v>1</v>
      </c>
      <c r="L29" s="2187">
        <v>3</v>
      </c>
      <c r="M29" s="2189">
        <v>3</v>
      </c>
      <c r="N29" s="2188">
        <v>0</v>
      </c>
      <c r="O29" s="2190">
        <v>2</v>
      </c>
      <c r="P29" s="2180">
        <v>9.0909090909090912E-2</v>
      </c>
      <c r="Q29" s="2190">
        <v>1</v>
      </c>
      <c r="R29" s="2180">
        <v>0.14285714285714285</v>
      </c>
      <c r="S29" s="2187">
        <v>17</v>
      </c>
      <c r="T29" s="2181">
        <v>0.19540229885057472</v>
      </c>
      <c r="U29" s="2363">
        <v>511.33600000000013</v>
      </c>
      <c r="V29" s="2363">
        <v>707.25000000000034</v>
      </c>
      <c r="W29" s="2363">
        <v>656.61599999999987</v>
      </c>
      <c r="X29" s="2427">
        <v>793.45799999999986</v>
      </c>
      <c r="Y29" s="2427">
        <v>593.73699999999985</v>
      </c>
      <c r="Z29" s="2427">
        <v>977.69899999999893</v>
      </c>
      <c r="AA29" s="2290">
        <v>589.81400000000019</v>
      </c>
      <c r="AB29" s="2221">
        <v>28</v>
      </c>
      <c r="AC29" s="2222">
        <v>21.064785714285723</v>
      </c>
      <c r="AD29" s="2289">
        <v>4829.9100000000053</v>
      </c>
    </row>
    <row r="30" spans="1:30" ht="15">
      <c r="A30" s="2175" t="s">
        <v>4435</v>
      </c>
      <c r="B30" s="2175" t="s">
        <v>4441</v>
      </c>
      <c r="C30" s="2175" t="s">
        <v>4442</v>
      </c>
      <c r="D30" s="2175" t="s">
        <v>4443</v>
      </c>
      <c r="E30" s="2187">
        <v>89</v>
      </c>
      <c r="F30" s="2188">
        <v>81</v>
      </c>
      <c r="G30" s="2187">
        <v>56</v>
      </c>
      <c r="H30" s="2189">
        <v>56</v>
      </c>
      <c r="I30" s="2189">
        <v>12</v>
      </c>
      <c r="J30" s="2188">
        <v>13</v>
      </c>
      <c r="K30" s="2187">
        <v>1</v>
      </c>
      <c r="L30" s="2187">
        <v>3</v>
      </c>
      <c r="M30" s="2189">
        <v>3</v>
      </c>
      <c r="N30" s="2188">
        <v>0</v>
      </c>
      <c r="O30" s="2190">
        <v>1</v>
      </c>
      <c r="P30" s="2180">
        <v>7.6923076923076927E-2</v>
      </c>
      <c r="Q30" s="2190">
        <v>2</v>
      </c>
      <c r="R30" s="2180">
        <v>0.16666666666666666</v>
      </c>
      <c r="S30" s="2187">
        <v>11</v>
      </c>
      <c r="T30" s="2181">
        <v>0.12941176470588237</v>
      </c>
      <c r="U30" s="2363">
        <v>419.43599999999998</v>
      </c>
      <c r="V30" s="2363">
        <v>782.5229999999998</v>
      </c>
      <c r="W30" s="2363">
        <v>721.75199999999995</v>
      </c>
      <c r="X30" s="2427">
        <v>967.65300000000013</v>
      </c>
      <c r="Y30" s="2427">
        <v>735.62999999999977</v>
      </c>
      <c r="Z30" s="2427">
        <v>554.02299999999991</v>
      </c>
      <c r="AA30" s="2290">
        <v>325.48</v>
      </c>
      <c r="AB30" s="2221">
        <v>16</v>
      </c>
      <c r="AC30" s="2222">
        <v>20.342500000000001</v>
      </c>
      <c r="AD30" s="2289">
        <v>4506.4970000000039</v>
      </c>
    </row>
    <row r="31" spans="1:30" ht="15">
      <c r="A31" s="2175" t="s">
        <v>4435</v>
      </c>
      <c r="B31" s="2175" t="s">
        <v>4441</v>
      </c>
      <c r="C31" s="2175" t="s">
        <v>4444</v>
      </c>
      <c r="D31" s="2175" t="s">
        <v>1114</v>
      </c>
      <c r="E31" s="2187">
        <v>65</v>
      </c>
      <c r="F31" s="2188">
        <v>69</v>
      </c>
      <c r="G31" s="2187">
        <v>123</v>
      </c>
      <c r="H31" s="2189">
        <v>49</v>
      </c>
      <c r="I31" s="2189">
        <v>6</v>
      </c>
      <c r="J31" s="2188">
        <v>14</v>
      </c>
      <c r="K31" s="2187">
        <v>2</v>
      </c>
      <c r="L31" s="2187">
        <v>17</v>
      </c>
      <c r="M31" s="2189">
        <v>17</v>
      </c>
      <c r="N31" s="2188">
        <v>0</v>
      </c>
      <c r="O31" s="2190">
        <v>4</v>
      </c>
      <c r="P31" s="2180">
        <v>0.2857142857142857</v>
      </c>
      <c r="Q31" s="2190">
        <v>1</v>
      </c>
      <c r="R31" s="2180">
        <v>0.16666666666666666</v>
      </c>
      <c r="S31" s="2187">
        <v>17</v>
      </c>
      <c r="T31" s="2181">
        <v>0.2537313432835821</v>
      </c>
      <c r="U31" s="2363">
        <v>124.27199999999996</v>
      </c>
      <c r="V31" s="2363">
        <v>416.65700000000004</v>
      </c>
      <c r="W31" s="2363">
        <v>499.6820000000003</v>
      </c>
      <c r="X31" s="2427">
        <v>710.49399999999991</v>
      </c>
      <c r="Y31" s="2427">
        <v>565.90499999999986</v>
      </c>
      <c r="Z31" s="2427">
        <v>663.04499999999985</v>
      </c>
      <c r="AA31" s="2290">
        <v>527.88800000000015</v>
      </c>
      <c r="AB31" s="2221">
        <v>25</v>
      </c>
      <c r="AC31" s="2222">
        <v>21.115520000000007</v>
      </c>
      <c r="AD31" s="2289">
        <v>3507.9429999999998</v>
      </c>
    </row>
    <row r="32" spans="1:30" ht="15">
      <c r="A32" s="2175" t="s">
        <v>4435</v>
      </c>
      <c r="B32" s="2175" t="s">
        <v>4441</v>
      </c>
      <c r="C32" s="2175" t="s">
        <v>4445</v>
      </c>
      <c r="D32" s="2175" t="s">
        <v>4446</v>
      </c>
      <c r="E32" s="2187">
        <v>64</v>
      </c>
      <c r="F32" s="2188">
        <v>86</v>
      </c>
      <c r="G32" s="2187">
        <v>52</v>
      </c>
      <c r="H32" s="2189">
        <v>64</v>
      </c>
      <c r="I32" s="2189">
        <v>4</v>
      </c>
      <c r="J32" s="2188">
        <v>18</v>
      </c>
      <c r="K32" s="2187">
        <v>4</v>
      </c>
      <c r="L32" s="2187">
        <v>29</v>
      </c>
      <c r="M32" s="2189">
        <v>26</v>
      </c>
      <c r="N32" s="2188">
        <v>3</v>
      </c>
      <c r="O32" s="2190">
        <v>7</v>
      </c>
      <c r="P32" s="2180">
        <v>0.3888888888888889</v>
      </c>
      <c r="Q32" s="2190">
        <v>1</v>
      </c>
      <c r="R32" s="2180">
        <v>0.25</v>
      </c>
      <c r="S32" s="2187">
        <v>20</v>
      </c>
      <c r="T32" s="2181">
        <v>0.26666666666666666</v>
      </c>
      <c r="U32" s="2363">
        <v>-117.7109999999999</v>
      </c>
      <c r="V32" s="2363">
        <v>576.36400000000003</v>
      </c>
      <c r="W32" s="2363">
        <v>568.68999999999971</v>
      </c>
      <c r="X32" s="2427">
        <v>224.51800000000009</v>
      </c>
      <c r="Y32" s="2427">
        <v>623.16599999999983</v>
      </c>
      <c r="Z32" s="2427">
        <v>871.25700000000006</v>
      </c>
      <c r="AA32" s="2290">
        <v>887.45700000000022</v>
      </c>
      <c r="AB32" s="2221">
        <v>48</v>
      </c>
      <c r="AC32" s="2222">
        <v>18.488687500000005</v>
      </c>
      <c r="AD32" s="2289">
        <v>3633.7409999999973</v>
      </c>
    </row>
    <row r="33" spans="1:30" ht="15">
      <c r="A33" s="2175" t="s">
        <v>4435</v>
      </c>
      <c r="B33" s="2175" t="s">
        <v>4447</v>
      </c>
      <c r="C33" s="2175" t="s">
        <v>4448</v>
      </c>
      <c r="D33" s="2175" t="s">
        <v>4449</v>
      </c>
      <c r="E33" s="2187">
        <v>134</v>
      </c>
      <c r="F33" s="2188">
        <v>123</v>
      </c>
      <c r="G33" s="2187">
        <v>114</v>
      </c>
      <c r="H33" s="2189">
        <v>85</v>
      </c>
      <c r="I33" s="2189">
        <v>7</v>
      </c>
      <c r="J33" s="2188">
        <v>31</v>
      </c>
      <c r="K33" s="2187">
        <v>3</v>
      </c>
      <c r="L33" s="2187">
        <v>4</v>
      </c>
      <c r="M33" s="2189">
        <v>4</v>
      </c>
      <c r="N33" s="2188">
        <v>0</v>
      </c>
      <c r="O33" s="2190">
        <v>1</v>
      </c>
      <c r="P33" s="2180">
        <v>3.2258064516129031E-2</v>
      </c>
      <c r="Q33" s="2190">
        <v>2</v>
      </c>
      <c r="R33" s="2180">
        <v>0.2857142857142857</v>
      </c>
      <c r="S33" s="2187">
        <v>19</v>
      </c>
      <c r="T33" s="2181">
        <v>0.14785992217898833</v>
      </c>
      <c r="U33" s="2363">
        <v>0</v>
      </c>
      <c r="V33" s="2363">
        <v>0</v>
      </c>
      <c r="W33" s="2363">
        <v>206.93300000000002</v>
      </c>
      <c r="X33" s="2427">
        <v>1083.2809999999993</v>
      </c>
      <c r="Y33" s="2427">
        <v>1647.4619999999998</v>
      </c>
      <c r="Z33" s="2427">
        <v>1064.3209999999995</v>
      </c>
      <c r="AA33" s="2290">
        <v>615.70099999999991</v>
      </c>
      <c r="AB33" s="2221">
        <v>33</v>
      </c>
      <c r="AC33" s="2222">
        <v>18.657606060606057</v>
      </c>
      <c r="AD33" s="2289">
        <v>4617.6980000000058</v>
      </c>
    </row>
    <row r="34" spans="1:30" ht="15">
      <c r="A34" s="2175" t="s">
        <v>4435</v>
      </c>
      <c r="B34" s="2175" t="s">
        <v>4447</v>
      </c>
      <c r="C34" s="2175" t="s">
        <v>4450</v>
      </c>
      <c r="D34" s="2175" t="s">
        <v>4451</v>
      </c>
      <c r="E34" s="2187">
        <v>95</v>
      </c>
      <c r="F34" s="2188">
        <v>81</v>
      </c>
      <c r="G34" s="2187">
        <v>105</v>
      </c>
      <c r="H34" s="2189">
        <v>50</v>
      </c>
      <c r="I34" s="2189">
        <v>12</v>
      </c>
      <c r="J34" s="2188">
        <v>19</v>
      </c>
      <c r="K34" s="2187">
        <v>5</v>
      </c>
      <c r="L34" s="2187">
        <v>10</v>
      </c>
      <c r="M34" s="2189">
        <v>10</v>
      </c>
      <c r="N34" s="2188">
        <v>0</v>
      </c>
      <c r="O34" s="2190">
        <v>4</v>
      </c>
      <c r="P34" s="2180">
        <v>0.21052631578947367</v>
      </c>
      <c r="Q34" s="2190">
        <v>2</v>
      </c>
      <c r="R34" s="2180">
        <v>0.16666666666666666</v>
      </c>
      <c r="S34" s="2187">
        <v>19</v>
      </c>
      <c r="T34" s="2181">
        <v>0.21590909090909091</v>
      </c>
      <c r="U34" s="2363">
        <v>392.3420000000001</v>
      </c>
      <c r="V34" s="2363">
        <v>660.54899999999975</v>
      </c>
      <c r="W34" s="2363">
        <v>1003.8039999999996</v>
      </c>
      <c r="X34" s="2427">
        <v>851.44700000000023</v>
      </c>
      <c r="Y34" s="2427">
        <v>538.11599999999987</v>
      </c>
      <c r="Z34" s="2427">
        <v>856.44899999999939</v>
      </c>
      <c r="AA34" s="2290">
        <v>769.3670000000003</v>
      </c>
      <c r="AB34" s="2221">
        <v>40</v>
      </c>
      <c r="AC34" s="2222">
        <v>19.234175000000008</v>
      </c>
      <c r="AD34" s="2289">
        <v>5072.0740000000087</v>
      </c>
    </row>
    <row r="35" spans="1:30" ht="15">
      <c r="A35" s="2175" t="s">
        <v>4435</v>
      </c>
      <c r="B35" s="2175" t="s">
        <v>4447</v>
      </c>
      <c r="C35" s="2175" t="s">
        <v>4452</v>
      </c>
      <c r="D35" s="2175" t="s">
        <v>1134</v>
      </c>
      <c r="E35" s="2187">
        <v>168</v>
      </c>
      <c r="F35" s="2188">
        <v>162</v>
      </c>
      <c r="G35" s="2187">
        <v>132</v>
      </c>
      <c r="H35" s="2189">
        <v>106</v>
      </c>
      <c r="I35" s="2189">
        <v>19</v>
      </c>
      <c r="J35" s="2188">
        <v>37</v>
      </c>
      <c r="K35" s="2187">
        <v>3</v>
      </c>
      <c r="L35" s="2187">
        <v>22</v>
      </c>
      <c r="M35" s="2189">
        <v>22</v>
      </c>
      <c r="N35" s="2188">
        <v>0</v>
      </c>
      <c r="O35" s="2190">
        <v>7</v>
      </c>
      <c r="P35" s="2180">
        <v>0.1891891891891892</v>
      </c>
      <c r="Q35" s="2190">
        <v>5</v>
      </c>
      <c r="R35" s="2180">
        <v>0.26315789473684209</v>
      </c>
      <c r="S35" s="2187">
        <v>23</v>
      </c>
      <c r="T35" s="2181">
        <v>0.1393939393939394</v>
      </c>
      <c r="U35" s="2363">
        <v>666.33199999999965</v>
      </c>
      <c r="V35" s="2363">
        <v>1031.7439999999997</v>
      </c>
      <c r="W35" s="2363">
        <v>831.17800000000011</v>
      </c>
      <c r="X35" s="2427">
        <v>866.50400000000013</v>
      </c>
      <c r="Y35" s="2427">
        <v>1377.7219999999998</v>
      </c>
      <c r="Z35" s="2427">
        <v>1000.5539999999992</v>
      </c>
      <c r="AA35" s="2290">
        <v>546.81399999999985</v>
      </c>
      <c r="AB35" s="2221">
        <v>32</v>
      </c>
      <c r="AC35" s="2222">
        <v>17.087937499999995</v>
      </c>
      <c r="AD35" s="2289">
        <v>6320.848</v>
      </c>
    </row>
    <row r="36" spans="1:30" ht="15">
      <c r="A36" s="2175" t="s">
        <v>4453</v>
      </c>
      <c r="B36" s="2175" t="s">
        <v>4454</v>
      </c>
      <c r="C36" s="2175" t="s">
        <v>4455</v>
      </c>
      <c r="D36" s="2175" t="s">
        <v>1116</v>
      </c>
      <c r="E36" s="2187">
        <v>0</v>
      </c>
      <c r="F36" s="2188">
        <v>24</v>
      </c>
      <c r="G36" s="2187">
        <v>0</v>
      </c>
      <c r="H36" s="2189">
        <v>19</v>
      </c>
      <c r="I36" s="2189">
        <v>0</v>
      </c>
      <c r="J36" s="2188">
        <v>5</v>
      </c>
      <c r="K36" s="2187">
        <v>0</v>
      </c>
      <c r="L36" s="2187">
        <v>24</v>
      </c>
      <c r="M36" s="2189">
        <v>19</v>
      </c>
      <c r="N36" s="2188">
        <v>5</v>
      </c>
      <c r="O36" s="2190">
        <v>5</v>
      </c>
      <c r="P36" s="2180">
        <v>1</v>
      </c>
      <c r="Q36" s="2190">
        <v>0</v>
      </c>
      <c r="R36" s="2180"/>
      <c r="S36" s="2187">
        <v>1</v>
      </c>
      <c r="T36" s="2181">
        <v>8.3333333333333329E-2</v>
      </c>
      <c r="U36" s="2363">
        <v>0</v>
      </c>
      <c r="V36" s="2363">
        <v>0</v>
      </c>
      <c r="W36" s="2363">
        <v>0</v>
      </c>
      <c r="X36" s="2427">
        <v>0</v>
      </c>
      <c r="Y36" s="2427">
        <v>0</v>
      </c>
      <c r="Z36" s="2427">
        <v>0</v>
      </c>
      <c r="AA36" s="2290">
        <v>10.806999999999999</v>
      </c>
      <c r="AB36" s="2221">
        <v>1</v>
      </c>
      <c r="AC36" s="2222">
        <v>10.806999999999999</v>
      </c>
      <c r="AD36" s="2289">
        <v>10.806999999999999</v>
      </c>
    </row>
    <row r="37" spans="1:30" ht="15">
      <c r="A37" s="2175" t="s">
        <v>4453</v>
      </c>
      <c r="B37" s="2175" t="s">
        <v>4454</v>
      </c>
      <c r="C37" s="2175" t="s">
        <v>4456</v>
      </c>
      <c r="D37" s="2175" t="s">
        <v>4457</v>
      </c>
      <c r="E37" s="2187">
        <v>80</v>
      </c>
      <c r="F37" s="2188">
        <v>90</v>
      </c>
      <c r="G37" s="2187">
        <v>45</v>
      </c>
      <c r="H37" s="2189">
        <v>72</v>
      </c>
      <c r="I37" s="2189">
        <v>6</v>
      </c>
      <c r="J37" s="2188">
        <v>12</v>
      </c>
      <c r="K37" s="2187">
        <v>0</v>
      </c>
      <c r="L37" s="2187">
        <v>17</v>
      </c>
      <c r="M37" s="2189">
        <v>15</v>
      </c>
      <c r="N37" s="2188">
        <v>2</v>
      </c>
      <c r="O37" s="2190">
        <v>6</v>
      </c>
      <c r="P37" s="2180">
        <v>0.5</v>
      </c>
      <c r="Q37" s="2190">
        <v>2</v>
      </c>
      <c r="R37" s="2180">
        <v>0.33333333333333331</v>
      </c>
      <c r="S37" s="2187">
        <v>19</v>
      </c>
      <c r="T37" s="2181">
        <v>0.22352941176470589</v>
      </c>
      <c r="U37" s="2363">
        <v>0</v>
      </c>
      <c r="V37" s="2363">
        <v>0</v>
      </c>
      <c r="W37" s="2363">
        <v>0</v>
      </c>
      <c r="X37" s="2427">
        <v>0</v>
      </c>
      <c r="Y37" s="2427">
        <v>527.27799999999957</v>
      </c>
      <c r="Z37" s="2427">
        <v>439.60199999999986</v>
      </c>
      <c r="AA37" s="2290">
        <v>608.52700000000004</v>
      </c>
      <c r="AB37" s="2221">
        <v>39</v>
      </c>
      <c r="AC37" s="2222">
        <v>15.603256410256412</v>
      </c>
      <c r="AD37" s="2289">
        <v>1575.4069999999977</v>
      </c>
    </row>
    <row r="38" spans="1:30" ht="15">
      <c r="A38" s="2175" t="s">
        <v>4453</v>
      </c>
      <c r="B38" s="2175" t="s">
        <v>4454</v>
      </c>
      <c r="C38" s="2175" t="s">
        <v>4458</v>
      </c>
      <c r="D38" s="2175" t="s">
        <v>4459</v>
      </c>
      <c r="E38" s="2187">
        <v>211</v>
      </c>
      <c r="F38" s="2188">
        <v>217</v>
      </c>
      <c r="G38" s="2187">
        <v>135</v>
      </c>
      <c r="H38" s="2189">
        <v>182</v>
      </c>
      <c r="I38" s="2189">
        <v>13</v>
      </c>
      <c r="J38" s="2188">
        <v>22</v>
      </c>
      <c r="K38" s="2187">
        <v>1</v>
      </c>
      <c r="L38" s="2187">
        <v>39</v>
      </c>
      <c r="M38" s="2189">
        <v>39</v>
      </c>
      <c r="N38" s="2188">
        <v>0</v>
      </c>
      <c r="O38" s="2190">
        <v>11</v>
      </c>
      <c r="P38" s="2180">
        <v>0.5</v>
      </c>
      <c r="Q38" s="2190">
        <v>4</v>
      </c>
      <c r="R38" s="2180">
        <v>0.30769230769230771</v>
      </c>
      <c r="S38" s="2187">
        <v>38</v>
      </c>
      <c r="T38" s="2181">
        <v>0.17757009345794392</v>
      </c>
      <c r="U38" s="2363">
        <v>431.81099999999992</v>
      </c>
      <c r="V38" s="2363">
        <v>838.86200000000019</v>
      </c>
      <c r="W38" s="2363">
        <v>1100.7289999999996</v>
      </c>
      <c r="X38" s="2427">
        <v>866.48400000000049</v>
      </c>
      <c r="Y38" s="2427">
        <v>599.2750000000002</v>
      </c>
      <c r="Z38" s="2427">
        <v>804.89100000000008</v>
      </c>
      <c r="AA38" s="2290">
        <v>773.25199999999973</v>
      </c>
      <c r="AB38" s="2221">
        <v>55</v>
      </c>
      <c r="AC38" s="2222">
        <v>14.059127272727268</v>
      </c>
      <c r="AD38" s="2289">
        <v>5415.3040000000083</v>
      </c>
    </row>
    <row r="39" spans="1:30" ht="15">
      <c r="A39" s="2175" t="s">
        <v>4453</v>
      </c>
      <c r="B39" s="2175" t="s">
        <v>4460</v>
      </c>
      <c r="C39" s="2175" t="s">
        <v>4461</v>
      </c>
      <c r="D39" s="2175" t="s">
        <v>4462</v>
      </c>
      <c r="E39" s="2187">
        <v>153</v>
      </c>
      <c r="F39" s="2188">
        <v>145</v>
      </c>
      <c r="G39" s="2187">
        <v>114</v>
      </c>
      <c r="H39" s="2189">
        <v>106</v>
      </c>
      <c r="I39" s="2189">
        <v>16</v>
      </c>
      <c r="J39" s="2188">
        <v>23</v>
      </c>
      <c r="K39" s="2187">
        <v>0</v>
      </c>
      <c r="L39" s="2187">
        <v>13</v>
      </c>
      <c r="M39" s="2189">
        <v>12</v>
      </c>
      <c r="N39" s="2188">
        <v>1</v>
      </c>
      <c r="O39" s="2190">
        <v>5</v>
      </c>
      <c r="P39" s="2180">
        <v>0.21739130434782608</v>
      </c>
      <c r="Q39" s="2190">
        <v>2</v>
      </c>
      <c r="R39" s="2180">
        <v>0.125</v>
      </c>
      <c r="S39" s="2187">
        <v>21</v>
      </c>
      <c r="T39" s="2181">
        <v>0.14093959731543623</v>
      </c>
      <c r="U39" s="2363">
        <v>291.411</v>
      </c>
      <c r="V39" s="2363">
        <v>671.39200000000051</v>
      </c>
      <c r="W39" s="2363">
        <v>670.00400000000025</v>
      </c>
      <c r="X39" s="2427">
        <v>1294.2949999999992</v>
      </c>
      <c r="Y39" s="2427">
        <v>197.03500000000005</v>
      </c>
      <c r="Z39" s="2427">
        <v>515.44199999999989</v>
      </c>
      <c r="AA39" s="2290">
        <v>581.3900000000001</v>
      </c>
      <c r="AB39" s="2221">
        <v>42</v>
      </c>
      <c r="AC39" s="2222">
        <v>13.842619047619049</v>
      </c>
      <c r="AD39" s="2289">
        <v>4220.9689999999991</v>
      </c>
    </row>
    <row r="40" spans="1:30" ht="15">
      <c r="A40" s="2175" t="s">
        <v>4453</v>
      </c>
      <c r="B40" s="2175" t="s">
        <v>4460</v>
      </c>
      <c r="C40" s="2175" t="s">
        <v>4463</v>
      </c>
      <c r="D40" s="2175" t="s">
        <v>4464</v>
      </c>
      <c r="E40" s="2187">
        <v>124</v>
      </c>
      <c r="F40" s="2188">
        <v>132</v>
      </c>
      <c r="G40" s="2187">
        <v>75</v>
      </c>
      <c r="H40" s="2189">
        <v>109</v>
      </c>
      <c r="I40" s="2189">
        <v>3</v>
      </c>
      <c r="J40" s="2188">
        <v>20</v>
      </c>
      <c r="K40" s="2187">
        <v>0</v>
      </c>
      <c r="L40" s="2187">
        <v>27</v>
      </c>
      <c r="M40" s="2189">
        <v>27</v>
      </c>
      <c r="N40" s="2188">
        <v>0</v>
      </c>
      <c r="O40" s="2190">
        <v>10</v>
      </c>
      <c r="P40" s="2180">
        <v>0.5</v>
      </c>
      <c r="Q40" s="2190">
        <v>1</v>
      </c>
      <c r="R40" s="2180">
        <v>0.33333333333333331</v>
      </c>
      <c r="S40" s="2187">
        <v>10</v>
      </c>
      <c r="T40" s="2181">
        <v>7.8125E-2</v>
      </c>
      <c r="U40" s="2363">
        <v>82.739000000000004</v>
      </c>
      <c r="V40" s="2363">
        <v>148.00699999999998</v>
      </c>
      <c r="W40" s="2363">
        <v>214.18699999999995</v>
      </c>
      <c r="X40" s="2427">
        <v>276.26299999999998</v>
      </c>
      <c r="Y40" s="2427">
        <v>272.30700000000007</v>
      </c>
      <c r="Z40" s="2427">
        <v>97.181000000000012</v>
      </c>
      <c r="AA40" s="2290">
        <v>151.52900000000002</v>
      </c>
      <c r="AB40" s="2221">
        <v>11</v>
      </c>
      <c r="AC40" s="2222">
        <v>13.775363636363638</v>
      </c>
      <c r="AD40" s="2289">
        <v>1242.2129999999981</v>
      </c>
    </row>
    <row r="41" spans="1:30" ht="15">
      <c r="A41" s="2175" t="s">
        <v>4453</v>
      </c>
      <c r="B41" s="2175" t="s">
        <v>4460</v>
      </c>
      <c r="C41" s="2175" t="s">
        <v>4465</v>
      </c>
      <c r="D41" s="2175" t="s">
        <v>4466</v>
      </c>
      <c r="E41" s="2187">
        <v>118</v>
      </c>
      <c r="F41" s="2188">
        <v>103</v>
      </c>
      <c r="G41" s="2187">
        <v>150</v>
      </c>
      <c r="H41" s="2189">
        <v>77</v>
      </c>
      <c r="I41" s="2189">
        <v>6</v>
      </c>
      <c r="J41" s="2188">
        <v>20</v>
      </c>
      <c r="K41" s="2187">
        <v>9</v>
      </c>
      <c r="L41" s="2187">
        <v>12</v>
      </c>
      <c r="M41" s="2189">
        <v>11</v>
      </c>
      <c r="N41" s="2188">
        <v>1</v>
      </c>
      <c r="O41" s="2190">
        <v>6</v>
      </c>
      <c r="P41" s="2180">
        <v>0.3</v>
      </c>
      <c r="Q41" s="2190">
        <v>2</v>
      </c>
      <c r="R41" s="2180">
        <v>0.33333333333333331</v>
      </c>
      <c r="S41" s="2187">
        <v>9</v>
      </c>
      <c r="T41" s="2181">
        <v>8.1447963800904979E-2</v>
      </c>
      <c r="U41" s="2363">
        <v>106.42700000000002</v>
      </c>
      <c r="V41" s="2363">
        <v>187.76299999999995</v>
      </c>
      <c r="W41" s="2363">
        <v>378.42299999999994</v>
      </c>
      <c r="X41" s="2427">
        <v>466.11399999999986</v>
      </c>
      <c r="Y41" s="2427">
        <v>182.49099999999996</v>
      </c>
      <c r="Z41" s="2427">
        <v>431.23099999999965</v>
      </c>
      <c r="AA41" s="2290">
        <v>145.41400000000004</v>
      </c>
      <c r="AB41" s="2221">
        <v>12</v>
      </c>
      <c r="AC41" s="2222">
        <v>12.117833333333337</v>
      </c>
      <c r="AD41" s="2289">
        <v>1897.8629999999976</v>
      </c>
    </row>
    <row r="42" spans="1:30" ht="15">
      <c r="A42" s="2175" t="s">
        <v>4467</v>
      </c>
      <c r="B42" s="2175" t="s">
        <v>4468</v>
      </c>
      <c r="C42" s="2175" t="s">
        <v>4469</v>
      </c>
      <c r="D42" s="2175" t="s">
        <v>4470</v>
      </c>
      <c r="E42" s="2187">
        <v>173</v>
      </c>
      <c r="F42" s="2188">
        <v>151</v>
      </c>
      <c r="G42" s="2187">
        <v>112</v>
      </c>
      <c r="H42" s="2189">
        <v>108</v>
      </c>
      <c r="I42" s="2189">
        <v>13</v>
      </c>
      <c r="J42" s="2188">
        <v>30</v>
      </c>
      <c r="K42" s="2187">
        <v>44</v>
      </c>
      <c r="L42" s="2187">
        <v>21</v>
      </c>
      <c r="M42" s="2189">
        <v>21</v>
      </c>
      <c r="N42" s="2188">
        <v>0</v>
      </c>
      <c r="O42" s="2190">
        <v>12</v>
      </c>
      <c r="P42" s="2180">
        <v>0.4</v>
      </c>
      <c r="Q42" s="2190">
        <v>2</v>
      </c>
      <c r="R42" s="2180">
        <v>0.15384615384615385</v>
      </c>
      <c r="S42" s="2187">
        <v>22</v>
      </c>
      <c r="T42" s="2181">
        <v>0.13580246913580246</v>
      </c>
      <c r="U42" s="2363">
        <v>397.548</v>
      </c>
      <c r="V42" s="2363">
        <v>1037.5400000000002</v>
      </c>
      <c r="W42" s="2363">
        <v>934.37900000000013</v>
      </c>
      <c r="X42" s="2427">
        <v>699.74400000000026</v>
      </c>
      <c r="Y42" s="2427">
        <v>768.79000000000053</v>
      </c>
      <c r="Z42" s="2427">
        <v>540.09500000000003</v>
      </c>
      <c r="AA42" s="2290">
        <v>763.16500000000008</v>
      </c>
      <c r="AB42" s="2221">
        <v>52</v>
      </c>
      <c r="AC42" s="2222">
        <v>14.676250000000001</v>
      </c>
      <c r="AD42" s="2289">
        <v>5141.2610000000113</v>
      </c>
    </row>
    <row r="43" spans="1:30" ht="15">
      <c r="A43" s="2175" t="s">
        <v>4467</v>
      </c>
      <c r="B43" s="2175" t="s">
        <v>4468</v>
      </c>
      <c r="C43" s="2175" t="s">
        <v>4471</v>
      </c>
      <c r="D43" s="2175" t="s">
        <v>4472</v>
      </c>
      <c r="E43" s="2187">
        <v>166</v>
      </c>
      <c r="F43" s="2188">
        <v>162</v>
      </c>
      <c r="G43" s="2187">
        <v>110</v>
      </c>
      <c r="H43" s="2189">
        <v>127</v>
      </c>
      <c r="I43" s="2189">
        <v>7</v>
      </c>
      <c r="J43" s="2188">
        <v>28</v>
      </c>
      <c r="K43" s="2187">
        <v>44</v>
      </c>
      <c r="L43" s="2187">
        <v>43</v>
      </c>
      <c r="M43" s="2189">
        <v>41</v>
      </c>
      <c r="N43" s="2188">
        <v>2</v>
      </c>
      <c r="O43" s="2190">
        <v>12</v>
      </c>
      <c r="P43" s="2180">
        <v>0.42857142857142855</v>
      </c>
      <c r="Q43" s="2190">
        <v>2</v>
      </c>
      <c r="R43" s="2180">
        <v>0.2857142857142857</v>
      </c>
      <c r="S43" s="2187">
        <v>49</v>
      </c>
      <c r="T43" s="2181">
        <v>0.29878048780487804</v>
      </c>
      <c r="U43" s="2363">
        <v>767.95100000000014</v>
      </c>
      <c r="V43" s="2363">
        <v>1067.2769999999994</v>
      </c>
      <c r="W43" s="2363">
        <v>1114.2270000000005</v>
      </c>
      <c r="X43" s="2427">
        <v>557.13699999999972</v>
      </c>
      <c r="Y43" s="2427">
        <v>1265.1649999999988</v>
      </c>
      <c r="Z43" s="2427">
        <v>1167.6700000000008</v>
      </c>
      <c r="AA43" s="2290">
        <v>1107.2689999999996</v>
      </c>
      <c r="AB43" s="2221">
        <v>78</v>
      </c>
      <c r="AC43" s="2222">
        <v>14.195756410256404</v>
      </c>
      <c r="AD43" s="2289">
        <v>7046.6960000000272</v>
      </c>
    </row>
    <row r="44" spans="1:30" ht="15">
      <c r="A44" s="2175" t="s">
        <v>4467</v>
      </c>
      <c r="B44" s="2175" t="s">
        <v>4468</v>
      </c>
      <c r="C44" s="2175" t="s">
        <v>4473</v>
      </c>
      <c r="D44" s="2175" t="s">
        <v>4474</v>
      </c>
      <c r="E44" s="2187">
        <v>251</v>
      </c>
      <c r="F44" s="2188">
        <v>207</v>
      </c>
      <c r="G44" s="2187">
        <v>123</v>
      </c>
      <c r="H44" s="2189">
        <v>163</v>
      </c>
      <c r="I44" s="2189">
        <v>13</v>
      </c>
      <c r="J44" s="2188">
        <v>31</v>
      </c>
      <c r="K44" s="2187">
        <v>53</v>
      </c>
      <c r="L44" s="2187">
        <v>21</v>
      </c>
      <c r="M44" s="2189">
        <v>21</v>
      </c>
      <c r="N44" s="2188">
        <v>0</v>
      </c>
      <c r="O44" s="2190">
        <v>8</v>
      </c>
      <c r="P44" s="2180">
        <v>0.25806451612903225</v>
      </c>
      <c r="Q44" s="2190">
        <v>4</v>
      </c>
      <c r="R44" s="2180">
        <v>0.30769230769230771</v>
      </c>
      <c r="S44" s="2187">
        <v>44</v>
      </c>
      <c r="T44" s="2181">
        <v>0.19213973799126638</v>
      </c>
      <c r="U44" s="2363">
        <v>942.95800000000008</v>
      </c>
      <c r="V44" s="2363">
        <v>771.21599999999933</v>
      </c>
      <c r="W44" s="2363">
        <v>1043.4450000000002</v>
      </c>
      <c r="X44" s="2427">
        <v>1435.9419999999986</v>
      </c>
      <c r="Y44" s="2427">
        <v>1539.5219999999988</v>
      </c>
      <c r="Z44" s="2427">
        <v>1417.8300000000002</v>
      </c>
      <c r="AA44" s="2290">
        <v>812.68699999999978</v>
      </c>
      <c r="AB44" s="2221">
        <v>64</v>
      </c>
      <c r="AC44" s="2222">
        <v>12.698234374999997</v>
      </c>
      <c r="AD44" s="2289">
        <v>7963.6000000000531</v>
      </c>
    </row>
    <row r="45" spans="1:30" ht="15">
      <c r="A45" s="2175" t="s">
        <v>4467</v>
      </c>
      <c r="B45" s="2175" t="s">
        <v>4468</v>
      </c>
      <c r="C45" s="2175" t="s">
        <v>4475</v>
      </c>
      <c r="D45" s="2175" t="s">
        <v>4474</v>
      </c>
      <c r="E45" s="2187">
        <v>102</v>
      </c>
      <c r="F45" s="2188">
        <v>110</v>
      </c>
      <c r="G45" s="2187">
        <v>41</v>
      </c>
      <c r="H45" s="2189">
        <v>79</v>
      </c>
      <c r="I45" s="2189">
        <v>7</v>
      </c>
      <c r="J45" s="2188">
        <v>24</v>
      </c>
      <c r="K45" s="2187">
        <v>13</v>
      </c>
      <c r="L45" s="2187">
        <v>21</v>
      </c>
      <c r="M45" s="2189">
        <v>20</v>
      </c>
      <c r="N45" s="2188">
        <v>1</v>
      </c>
      <c r="O45" s="2190">
        <v>9</v>
      </c>
      <c r="P45" s="2180">
        <v>0.375</v>
      </c>
      <c r="Q45" s="2190">
        <v>3</v>
      </c>
      <c r="R45" s="2180">
        <v>0.42857142857142855</v>
      </c>
      <c r="S45" s="2187">
        <v>26</v>
      </c>
      <c r="T45" s="2181">
        <v>0.24528301886792453</v>
      </c>
      <c r="U45" s="2363">
        <v>0</v>
      </c>
      <c r="V45" s="2363">
        <v>15.496</v>
      </c>
      <c r="W45" s="2363">
        <v>236.12500000000009</v>
      </c>
      <c r="X45" s="2427">
        <v>475.29200000000014</v>
      </c>
      <c r="Y45" s="2427">
        <v>509.25300000000004</v>
      </c>
      <c r="Z45" s="2427">
        <v>677.32699999999988</v>
      </c>
      <c r="AA45" s="2290">
        <v>444.34700000000015</v>
      </c>
      <c r="AB45" s="2221">
        <v>31</v>
      </c>
      <c r="AC45" s="2222">
        <v>14.333774193548392</v>
      </c>
      <c r="AD45" s="2289">
        <v>2357.8399999999956</v>
      </c>
    </row>
    <row r="46" spans="1:30" ht="15">
      <c r="A46" s="2175" t="s">
        <v>4467</v>
      </c>
      <c r="B46" s="2175" t="s">
        <v>4468</v>
      </c>
      <c r="C46" s="2175" t="s">
        <v>4476</v>
      </c>
      <c r="D46" s="2175" t="s">
        <v>4477</v>
      </c>
      <c r="E46" s="2187">
        <v>54</v>
      </c>
      <c r="F46" s="2188">
        <v>60</v>
      </c>
      <c r="G46" s="2187">
        <v>24</v>
      </c>
      <c r="H46" s="2189">
        <v>47</v>
      </c>
      <c r="I46" s="2189">
        <v>0</v>
      </c>
      <c r="J46" s="2188">
        <v>13</v>
      </c>
      <c r="K46" s="2187">
        <v>1</v>
      </c>
      <c r="L46" s="2187">
        <v>11</v>
      </c>
      <c r="M46" s="2189">
        <v>10</v>
      </c>
      <c r="N46" s="2188">
        <v>1</v>
      </c>
      <c r="O46" s="2190">
        <v>6</v>
      </c>
      <c r="P46" s="2180">
        <v>0.46153846153846156</v>
      </c>
      <c r="Q46" s="2190">
        <v>0</v>
      </c>
      <c r="R46" s="2180"/>
      <c r="S46" s="2187">
        <v>12</v>
      </c>
      <c r="T46" s="2181">
        <v>0.21052631578947367</v>
      </c>
      <c r="U46" s="2363">
        <v>0</v>
      </c>
      <c r="V46" s="2363">
        <v>45.25</v>
      </c>
      <c r="W46" s="2363">
        <v>77.774000000000001</v>
      </c>
      <c r="X46" s="2427">
        <v>140.386</v>
      </c>
      <c r="Y46" s="2427">
        <v>254.91899999999995</v>
      </c>
      <c r="Z46" s="2427">
        <v>118.61499999999999</v>
      </c>
      <c r="AA46" s="2290">
        <v>197.40799999999999</v>
      </c>
      <c r="AB46" s="2221">
        <v>15</v>
      </c>
      <c r="AC46" s="2222">
        <v>13.160533333333332</v>
      </c>
      <c r="AD46" s="2289">
        <v>834.35199999999952</v>
      </c>
    </row>
    <row r="47" spans="1:30" ht="15">
      <c r="A47" s="2175" t="s">
        <v>4478</v>
      </c>
      <c r="B47" s="2175" t="s">
        <v>4479</v>
      </c>
      <c r="C47" s="2175" t="s">
        <v>4480</v>
      </c>
      <c r="D47" s="2175" t="s">
        <v>4481</v>
      </c>
      <c r="E47" s="2187">
        <v>36</v>
      </c>
      <c r="F47" s="2188">
        <v>38</v>
      </c>
      <c r="G47" s="2187">
        <v>39</v>
      </c>
      <c r="H47" s="2189">
        <v>26</v>
      </c>
      <c r="I47" s="2189">
        <v>0</v>
      </c>
      <c r="J47" s="2188">
        <v>12</v>
      </c>
      <c r="K47" s="2187">
        <v>1</v>
      </c>
      <c r="L47" s="2187">
        <v>4</v>
      </c>
      <c r="M47" s="2189">
        <v>4</v>
      </c>
      <c r="N47" s="2188">
        <v>0</v>
      </c>
      <c r="O47" s="2190">
        <v>2</v>
      </c>
      <c r="P47" s="2180">
        <v>0.16666666666666666</v>
      </c>
      <c r="Q47" s="2190">
        <v>0</v>
      </c>
      <c r="R47" s="2180"/>
      <c r="S47" s="2187">
        <v>2</v>
      </c>
      <c r="T47" s="2181">
        <v>5.4054054054054057E-2</v>
      </c>
      <c r="U47" s="2363">
        <v>20.756000000000007</v>
      </c>
      <c r="V47" s="2363">
        <v>22.82</v>
      </c>
      <c r="W47" s="2363">
        <v>12.381</v>
      </c>
      <c r="X47" s="2427">
        <v>173.82499999999996</v>
      </c>
      <c r="Y47" s="2427">
        <v>15.315000000000003</v>
      </c>
      <c r="Z47" s="2427">
        <v>0</v>
      </c>
      <c r="AA47" s="2290">
        <v>26.431999999999995</v>
      </c>
      <c r="AB47" s="2221">
        <v>2</v>
      </c>
      <c r="AC47" s="2222">
        <v>13.215999999999998</v>
      </c>
      <c r="AD47" s="2289">
        <v>271.529</v>
      </c>
    </row>
    <row r="48" spans="1:30" ht="15">
      <c r="A48" s="2175" t="s">
        <v>4478</v>
      </c>
      <c r="B48" s="2175" t="s">
        <v>4479</v>
      </c>
      <c r="C48" s="2175" t="s">
        <v>4482</v>
      </c>
      <c r="D48" s="2175" t="s">
        <v>4481</v>
      </c>
      <c r="E48" s="2187">
        <v>30</v>
      </c>
      <c r="F48" s="2188">
        <v>21</v>
      </c>
      <c r="G48" s="2187">
        <v>43</v>
      </c>
      <c r="H48" s="2189">
        <v>17</v>
      </c>
      <c r="I48" s="2189">
        <v>0</v>
      </c>
      <c r="J48" s="2188">
        <v>4</v>
      </c>
      <c r="K48" s="2187">
        <v>0</v>
      </c>
      <c r="L48" s="2187">
        <v>4</v>
      </c>
      <c r="M48" s="2189">
        <v>4</v>
      </c>
      <c r="N48" s="2188">
        <v>0</v>
      </c>
      <c r="O48" s="2190">
        <v>1</v>
      </c>
      <c r="P48" s="2180">
        <v>0.25</v>
      </c>
      <c r="Q48" s="2190">
        <v>0</v>
      </c>
      <c r="R48" s="2180"/>
      <c r="S48" s="2187">
        <v>3</v>
      </c>
      <c r="T48" s="2181">
        <v>0.11764705882352941</v>
      </c>
      <c r="U48" s="2363">
        <v>123.18900000000001</v>
      </c>
      <c r="V48" s="2363">
        <v>-0.38400000000000034</v>
      </c>
      <c r="W48" s="2363">
        <v>170.01700000000002</v>
      </c>
      <c r="X48" s="2427">
        <v>116.111</v>
      </c>
      <c r="Y48" s="2427">
        <v>12.153</v>
      </c>
      <c r="Z48" s="2427">
        <v>31.143999999999998</v>
      </c>
      <c r="AA48" s="2290">
        <v>44.756999999999998</v>
      </c>
      <c r="AB48" s="2221">
        <v>3</v>
      </c>
      <c r="AC48" s="2222">
        <v>14.918999999999999</v>
      </c>
      <c r="AD48" s="2289">
        <v>496.98700000000002</v>
      </c>
    </row>
    <row r="49" spans="1:30" ht="15">
      <c r="A49" s="2175" t="s">
        <v>4478</v>
      </c>
      <c r="B49" s="2175" t="s">
        <v>4479</v>
      </c>
      <c r="C49" s="2175" t="s">
        <v>4483</v>
      </c>
      <c r="D49" s="2175" t="s">
        <v>4481</v>
      </c>
      <c r="E49" s="2187">
        <v>87</v>
      </c>
      <c r="F49" s="2188">
        <v>70</v>
      </c>
      <c r="G49" s="2187">
        <v>66</v>
      </c>
      <c r="H49" s="2189">
        <v>45</v>
      </c>
      <c r="I49" s="2189">
        <v>1</v>
      </c>
      <c r="J49" s="2188">
        <v>24</v>
      </c>
      <c r="K49" s="2187">
        <v>0</v>
      </c>
      <c r="L49" s="2187">
        <v>0</v>
      </c>
      <c r="M49" s="2189">
        <v>0</v>
      </c>
      <c r="N49" s="2188">
        <v>0</v>
      </c>
      <c r="O49" s="2190"/>
      <c r="P49" s="2180"/>
      <c r="Q49" s="2190"/>
      <c r="R49" s="2180"/>
      <c r="S49" s="2187">
        <v>10</v>
      </c>
      <c r="T49" s="2181">
        <v>0.12738853503184713</v>
      </c>
      <c r="U49" s="2363">
        <v>0</v>
      </c>
      <c r="V49" s="2363">
        <v>25.5</v>
      </c>
      <c r="W49" s="2363">
        <v>99.914999999999978</v>
      </c>
      <c r="X49" s="2427">
        <v>82.303000000000011</v>
      </c>
      <c r="Y49" s="2427">
        <v>326.67499999999995</v>
      </c>
      <c r="Z49" s="2427">
        <v>166.85599999999999</v>
      </c>
      <c r="AA49" s="2290">
        <v>178.53400000000002</v>
      </c>
      <c r="AB49" s="2221">
        <v>12</v>
      </c>
      <c r="AC49" s="2222">
        <v>14.877833333333335</v>
      </c>
      <c r="AD49" s="2289">
        <v>879.78299999999956</v>
      </c>
    </row>
    <row r="50" spans="1:30" ht="15">
      <c r="A50" s="2175" t="s">
        <v>4478</v>
      </c>
      <c r="B50" s="2175" t="s">
        <v>4484</v>
      </c>
      <c r="C50" s="2175" t="s">
        <v>4485</v>
      </c>
      <c r="D50" s="2175" t="s">
        <v>4486</v>
      </c>
      <c r="E50" s="2187">
        <v>67</v>
      </c>
      <c r="F50" s="2188">
        <v>64</v>
      </c>
      <c r="G50" s="2187">
        <v>73</v>
      </c>
      <c r="H50" s="2189">
        <v>48</v>
      </c>
      <c r="I50" s="2189">
        <v>1</v>
      </c>
      <c r="J50" s="2188">
        <v>15</v>
      </c>
      <c r="K50" s="2187">
        <v>0</v>
      </c>
      <c r="L50" s="2187">
        <v>6</v>
      </c>
      <c r="M50" s="2189">
        <v>6</v>
      </c>
      <c r="N50" s="2188">
        <v>0</v>
      </c>
      <c r="O50" s="2190">
        <v>2</v>
      </c>
      <c r="P50" s="2180">
        <v>0.13333333333333333</v>
      </c>
      <c r="Q50" s="2190">
        <v>1</v>
      </c>
      <c r="R50" s="2180">
        <v>1</v>
      </c>
      <c r="S50" s="2187">
        <v>12</v>
      </c>
      <c r="T50" s="2181">
        <v>0.18320610687022901</v>
      </c>
      <c r="U50" s="2363">
        <v>207.00200000000001</v>
      </c>
      <c r="V50" s="2363">
        <v>123.292</v>
      </c>
      <c r="W50" s="2363">
        <v>323.52800000000013</v>
      </c>
      <c r="X50" s="2427">
        <v>357.45400000000006</v>
      </c>
      <c r="Y50" s="2427">
        <v>286.43100000000004</v>
      </c>
      <c r="Z50" s="2427">
        <v>354.39300000000003</v>
      </c>
      <c r="AA50" s="2290">
        <v>257.37900000000008</v>
      </c>
      <c r="AB50" s="2221">
        <v>16</v>
      </c>
      <c r="AC50" s="2222">
        <v>16.086187500000005</v>
      </c>
      <c r="AD50" s="2289">
        <v>1909.4789999999978</v>
      </c>
    </row>
    <row r="51" spans="1:30" ht="15">
      <c r="A51" s="2175" t="s">
        <v>4478</v>
      </c>
      <c r="B51" s="2175" t="s">
        <v>4484</v>
      </c>
      <c r="C51" s="2175" t="s">
        <v>4487</v>
      </c>
      <c r="D51" s="2175" t="s">
        <v>4486</v>
      </c>
      <c r="E51" s="2187">
        <v>16</v>
      </c>
      <c r="F51" s="2188">
        <v>27</v>
      </c>
      <c r="G51" s="2187">
        <v>0</v>
      </c>
      <c r="H51" s="2189">
        <v>19</v>
      </c>
      <c r="I51" s="2189">
        <v>0</v>
      </c>
      <c r="J51" s="2188">
        <v>8</v>
      </c>
      <c r="K51" s="2187">
        <v>0</v>
      </c>
      <c r="L51" s="2187">
        <v>11</v>
      </c>
      <c r="M51" s="2189">
        <v>7</v>
      </c>
      <c r="N51" s="2188">
        <v>4</v>
      </c>
      <c r="O51" s="2190">
        <v>6</v>
      </c>
      <c r="P51" s="2180">
        <v>0.75</v>
      </c>
      <c r="Q51" s="2190">
        <v>0</v>
      </c>
      <c r="R51" s="2180"/>
      <c r="S51" s="2187">
        <v>9</v>
      </c>
      <c r="T51" s="2181">
        <v>0.41860465116279072</v>
      </c>
      <c r="U51" s="2363">
        <v>0</v>
      </c>
      <c r="V51" s="2363">
        <v>0</v>
      </c>
      <c r="W51" s="2363">
        <v>0</v>
      </c>
      <c r="X51" s="2427">
        <v>0</v>
      </c>
      <c r="Y51" s="2427">
        <v>62.186000000000007</v>
      </c>
      <c r="Z51" s="2427">
        <v>50.942</v>
      </c>
      <c r="AA51" s="2290">
        <v>217.07800000000003</v>
      </c>
      <c r="AB51" s="2221">
        <v>13</v>
      </c>
      <c r="AC51" s="2222">
        <v>16.698307692307694</v>
      </c>
      <c r="AD51" s="2289">
        <v>330.20600000000007</v>
      </c>
    </row>
    <row r="52" spans="1:30" ht="15">
      <c r="A52" s="2175" t="s">
        <v>4478</v>
      </c>
      <c r="B52" s="2175" t="s">
        <v>4484</v>
      </c>
      <c r="C52" s="2175" t="s">
        <v>4488</v>
      </c>
      <c r="D52" s="2175" t="s">
        <v>4489</v>
      </c>
      <c r="E52" s="2187">
        <v>59</v>
      </c>
      <c r="F52" s="2188">
        <v>63</v>
      </c>
      <c r="G52" s="2187">
        <v>40</v>
      </c>
      <c r="H52" s="2189">
        <v>50</v>
      </c>
      <c r="I52" s="2189">
        <v>5</v>
      </c>
      <c r="J52" s="2188">
        <v>8</v>
      </c>
      <c r="K52" s="2187">
        <v>0</v>
      </c>
      <c r="L52" s="2187">
        <v>6</v>
      </c>
      <c r="M52" s="2189">
        <v>6</v>
      </c>
      <c r="N52" s="2188">
        <v>0</v>
      </c>
      <c r="O52" s="2190">
        <v>1</v>
      </c>
      <c r="P52" s="2180">
        <v>0.125</v>
      </c>
      <c r="Q52" s="2190">
        <v>2</v>
      </c>
      <c r="R52" s="2180">
        <v>0.4</v>
      </c>
      <c r="S52" s="2187">
        <v>3</v>
      </c>
      <c r="T52" s="2181">
        <v>4.9180327868852458E-2</v>
      </c>
      <c r="U52" s="2363">
        <v>403.48999999999984</v>
      </c>
      <c r="V52" s="2363">
        <v>328.45600000000024</v>
      </c>
      <c r="W52" s="2363">
        <v>310.20500000000004</v>
      </c>
      <c r="X52" s="2427">
        <v>419.22099999999983</v>
      </c>
      <c r="Y52" s="2427">
        <v>322.75300000000004</v>
      </c>
      <c r="Z52" s="2427">
        <v>291.339</v>
      </c>
      <c r="AA52" s="2290">
        <v>11.950999999999999</v>
      </c>
      <c r="AB52" s="2221">
        <v>1</v>
      </c>
      <c r="AC52" s="2222">
        <v>11.950999999999999</v>
      </c>
      <c r="AD52" s="2289">
        <v>2087.4149999999959</v>
      </c>
    </row>
    <row r="53" spans="1:30" ht="15">
      <c r="A53" s="2175" t="s">
        <v>4478</v>
      </c>
      <c r="B53" s="2175" t="s">
        <v>4484</v>
      </c>
      <c r="C53" s="2175" t="s">
        <v>4490</v>
      </c>
      <c r="D53" s="2175" t="s">
        <v>4489</v>
      </c>
      <c r="E53" s="2187">
        <v>29</v>
      </c>
      <c r="F53" s="2188">
        <v>29</v>
      </c>
      <c r="G53" s="2187">
        <v>17</v>
      </c>
      <c r="H53" s="2189">
        <v>22</v>
      </c>
      <c r="I53" s="2189">
        <v>1</v>
      </c>
      <c r="J53" s="2188">
        <v>6</v>
      </c>
      <c r="K53" s="2187">
        <v>1</v>
      </c>
      <c r="L53" s="2187">
        <v>5</v>
      </c>
      <c r="M53" s="2189">
        <v>3</v>
      </c>
      <c r="N53" s="2188">
        <v>2</v>
      </c>
      <c r="O53" s="2190">
        <v>3</v>
      </c>
      <c r="P53" s="2180">
        <v>0.5</v>
      </c>
      <c r="Q53" s="2190">
        <v>0</v>
      </c>
      <c r="R53" s="2180">
        <v>0</v>
      </c>
      <c r="S53" s="2187">
        <v>3</v>
      </c>
      <c r="T53" s="2181">
        <v>0.10344827586206896</v>
      </c>
      <c r="U53" s="2363">
        <v>173.43000000000004</v>
      </c>
      <c r="V53" s="2363">
        <v>108.41200000000002</v>
      </c>
      <c r="W53" s="2363">
        <v>112.956</v>
      </c>
      <c r="X53" s="2427">
        <v>90.129000000000005</v>
      </c>
      <c r="Y53" s="2427">
        <v>12.889999999999999</v>
      </c>
      <c r="Z53" s="2427">
        <v>38.532000000000004</v>
      </c>
      <c r="AA53" s="2290">
        <v>137.05100000000004</v>
      </c>
      <c r="AB53" s="2221">
        <v>6</v>
      </c>
      <c r="AC53" s="2222">
        <v>22.841833333333341</v>
      </c>
      <c r="AD53" s="2289">
        <v>673.4</v>
      </c>
    </row>
    <row r="54" spans="1:30" ht="15">
      <c r="A54" s="2175" t="s">
        <v>4478</v>
      </c>
      <c r="B54" s="2175" t="s">
        <v>4484</v>
      </c>
      <c r="C54" s="2175" t="s">
        <v>4491</v>
      </c>
      <c r="D54" s="2175" t="s">
        <v>4492</v>
      </c>
      <c r="E54" s="2187">
        <v>83</v>
      </c>
      <c r="F54" s="2188">
        <v>83</v>
      </c>
      <c r="G54" s="2187">
        <v>79</v>
      </c>
      <c r="H54" s="2189">
        <v>66</v>
      </c>
      <c r="I54" s="2189">
        <v>3</v>
      </c>
      <c r="J54" s="2188">
        <v>14</v>
      </c>
      <c r="K54" s="2187">
        <v>0</v>
      </c>
      <c r="L54" s="2187">
        <v>8</v>
      </c>
      <c r="M54" s="2189">
        <v>8</v>
      </c>
      <c r="N54" s="2188">
        <v>0</v>
      </c>
      <c r="O54" s="2190">
        <v>2</v>
      </c>
      <c r="P54" s="2180">
        <v>0.14285714285714285</v>
      </c>
      <c r="Q54" s="2190">
        <v>2</v>
      </c>
      <c r="R54" s="2180">
        <v>0.66666666666666663</v>
      </c>
      <c r="S54" s="2187">
        <v>24</v>
      </c>
      <c r="T54" s="2181">
        <v>0.28915662650602408</v>
      </c>
      <c r="U54" s="2363">
        <v>269.01499999999999</v>
      </c>
      <c r="V54" s="2363">
        <v>697.4849999999999</v>
      </c>
      <c r="W54" s="2363">
        <v>788.00599999999963</v>
      </c>
      <c r="X54" s="2427">
        <v>850.41799999999978</v>
      </c>
      <c r="Y54" s="2427">
        <v>813.38799999999981</v>
      </c>
      <c r="Z54" s="2427">
        <v>501.05600000000015</v>
      </c>
      <c r="AA54" s="2290">
        <v>754.48599999999954</v>
      </c>
      <c r="AB54" s="2221">
        <v>37</v>
      </c>
      <c r="AC54" s="2222">
        <v>20.391513513513502</v>
      </c>
      <c r="AD54" s="2289">
        <v>4673.8539999999994</v>
      </c>
    </row>
    <row r="55" spans="1:30" ht="15">
      <c r="A55" s="2175" t="s">
        <v>4478</v>
      </c>
      <c r="B55" s="2175" t="s">
        <v>4493</v>
      </c>
      <c r="C55" s="2175" t="s">
        <v>4494</v>
      </c>
      <c r="D55" s="2175" t="s">
        <v>4481</v>
      </c>
      <c r="E55" s="2187">
        <v>0</v>
      </c>
      <c r="F55" s="2188">
        <v>7</v>
      </c>
      <c r="G55" s="2187">
        <v>0</v>
      </c>
      <c r="H55" s="2189">
        <v>4</v>
      </c>
      <c r="I55" s="2189">
        <v>0</v>
      </c>
      <c r="J55" s="2188">
        <v>3</v>
      </c>
      <c r="K55" s="2187">
        <v>0</v>
      </c>
      <c r="L55" s="2187">
        <v>7</v>
      </c>
      <c r="M55" s="2189">
        <v>4</v>
      </c>
      <c r="N55" s="2188">
        <v>3</v>
      </c>
      <c r="O55" s="2190">
        <v>3</v>
      </c>
      <c r="P55" s="2180">
        <v>1</v>
      </c>
      <c r="Q55" s="2190">
        <v>0</v>
      </c>
      <c r="R55" s="2180"/>
      <c r="S55" s="2187">
        <v>3</v>
      </c>
      <c r="T55" s="2181">
        <v>0.8571428571428571</v>
      </c>
      <c r="U55" s="2363">
        <v>0</v>
      </c>
      <c r="V55" s="2363">
        <v>0</v>
      </c>
      <c r="W55" s="2363">
        <v>0</v>
      </c>
      <c r="X55" s="2427">
        <v>0</v>
      </c>
      <c r="Y55" s="2427">
        <v>0</v>
      </c>
      <c r="Z55" s="2427">
        <v>0</v>
      </c>
      <c r="AA55" s="2290">
        <v>107.18800000000002</v>
      </c>
      <c r="AB55" s="2221">
        <v>5</v>
      </c>
      <c r="AC55" s="2222">
        <v>21.437600000000003</v>
      </c>
      <c r="AD55" s="2289">
        <v>107.18800000000002</v>
      </c>
    </row>
    <row r="56" spans="1:30" ht="15">
      <c r="A56" s="2175" t="s">
        <v>4478</v>
      </c>
      <c r="B56" s="2175" t="s">
        <v>4493</v>
      </c>
      <c r="C56" s="2175" t="s">
        <v>4495</v>
      </c>
      <c r="D56" s="2175" t="s">
        <v>4481</v>
      </c>
      <c r="E56" s="2187">
        <v>85</v>
      </c>
      <c r="F56" s="2188">
        <v>74</v>
      </c>
      <c r="G56" s="2187">
        <v>51</v>
      </c>
      <c r="H56" s="2189">
        <v>66</v>
      </c>
      <c r="I56" s="2189">
        <v>1</v>
      </c>
      <c r="J56" s="2188">
        <v>7</v>
      </c>
      <c r="K56" s="2187">
        <v>1</v>
      </c>
      <c r="L56" s="2187">
        <v>2</v>
      </c>
      <c r="M56" s="2189">
        <v>2</v>
      </c>
      <c r="N56" s="2188">
        <v>0</v>
      </c>
      <c r="O56" s="2190">
        <v>1</v>
      </c>
      <c r="P56" s="2180">
        <v>0.14285714285714285</v>
      </c>
      <c r="Q56" s="2190">
        <v>0</v>
      </c>
      <c r="R56" s="2180">
        <v>0</v>
      </c>
      <c r="S56" s="2187">
        <v>25</v>
      </c>
      <c r="T56" s="2181">
        <v>0.31446540880503143</v>
      </c>
      <c r="U56" s="2363">
        <v>215.79300000000012</v>
      </c>
      <c r="V56" s="2363">
        <v>448.59600000000023</v>
      </c>
      <c r="W56" s="2363">
        <v>1633.0750000000003</v>
      </c>
      <c r="X56" s="2427">
        <v>758.20300000000032</v>
      </c>
      <c r="Y56" s="2427">
        <v>1319.0960000000002</v>
      </c>
      <c r="Z56" s="2427">
        <v>2480.1890000000021</v>
      </c>
      <c r="AA56" s="2290">
        <v>1941.3269999999998</v>
      </c>
      <c r="AB56" s="2221">
        <v>88</v>
      </c>
      <c r="AC56" s="2222">
        <v>22.060534090909087</v>
      </c>
      <c r="AD56" s="2289">
        <v>8796.2790000000296</v>
      </c>
    </row>
    <row r="57" spans="1:30" ht="15">
      <c r="A57" s="2175" t="s">
        <v>4496</v>
      </c>
      <c r="B57" s="2175" t="s">
        <v>4497</v>
      </c>
      <c r="C57" s="2175" t="s">
        <v>4498</v>
      </c>
      <c r="D57" s="2175" t="s">
        <v>4499</v>
      </c>
      <c r="E57" s="2187">
        <v>42</v>
      </c>
      <c r="F57" s="2188">
        <v>37</v>
      </c>
      <c r="G57" s="2187">
        <v>77</v>
      </c>
      <c r="H57" s="2189">
        <v>29</v>
      </c>
      <c r="I57" s="2189">
        <v>1</v>
      </c>
      <c r="J57" s="2188">
        <v>7</v>
      </c>
      <c r="K57" s="2187">
        <v>6</v>
      </c>
      <c r="L57" s="2187">
        <v>1</v>
      </c>
      <c r="M57" s="2189">
        <v>1</v>
      </c>
      <c r="N57" s="2188">
        <v>0</v>
      </c>
      <c r="O57" s="2190">
        <v>0</v>
      </c>
      <c r="P57" s="2180">
        <v>0</v>
      </c>
      <c r="Q57" s="2190">
        <v>1</v>
      </c>
      <c r="R57" s="2180">
        <v>1</v>
      </c>
      <c r="S57" s="2187">
        <v>7</v>
      </c>
      <c r="T57" s="2181">
        <v>0.17721518987341772</v>
      </c>
      <c r="U57" s="2363">
        <v>151.53700000000001</v>
      </c>
      <c r="V57" s="2363">
        <v>58.667999999999999</v>
      </c>
      <c r="W57" s="2363">
        <v>546.40000000000009</v>
      </c>
      <c r="X57" s="2427">
        <v>573.61</v>
      </c>
      <c r="Y57" s="2427">
        <v>684.12799999999982</v>
      </c>
      <c r="Z57" s="2427">
        <v>518.48000000000025</v>
      </c>
      <c r="AA57" s="2290">
        <v>432.89199999999994</v>
      </c>
      <c r="AB57" s="2221">
        <v>17</v>
      </c>
      <c r="AC57" s="2222">
        <v>25.464235294117643</v>
      </c>
      <c r="AD57" s="2289">
        <v>2965.715000000002</v>
      </c>
    </row>
    <row r="58" spans="1:30" ht="15">
      <c r="A58" s="2175" t="s">
        <v>4496</v>
      </c>
      <c r="B58" s="2175" t="s">
        <v>4497</v>
      </c>
      <c r="C58" s="2175" t="s">
        <v>4500</v>
      </c>
      <c r="D58" s="2175" t="s">
        <v>1138</v>
      </c>
      <c r="E58" s="2187">
        <v>59</v>
      </c>
      <c r="F58" s="2188">
        <v>59</v>
      </c>
      <c r="G58" s="2187">
        <v>59</v>
      </c>
      <c r="H58" s="2189">
        <v>41</v>
      </c>
      <c r="I58" s="2189">
        <v>2</v>
      </c>
      <c r="J58" s="2188">
        <v>16</v>
      </c>
      <c r="K58" s="2187">
        <v>10</v>
      </c>
      <c r="L58" s="2187">
        <v>7</v>
      </c>
      <c r="M58" s="2189">
        <v>6</v>
      </c>
      <c r="N58" s="2188">
        <v>1</v>
      </c>
      <c r="O58" s="2190">
        <v>3</v>
      </c>
      <c r="P58" s="2180">
        <v>0.1875</v>
      </c>
      <c r="Q58" s="2190">
        <v>0</v>
      </c>
      <c r="R58" s="2180">
        <v>0</v>
      </c>
      <c r="S58" s="2187">
        <v>12</v>
      </c>
      <c r="T58" s="2181">
        <v>0.20338983050847459</v>
      </c>
      <c r="U58" s="2363">
        <v>226.95800000000003</v>
      </c>
      <c r="V58" s="2363">
        <v>376.0899999999998</v>
      </c>
      <c r="W58" s="2363">
        <v>612.21600000000001</v>
      </c>
      <c r="X58" s="2427">
        <v>653.36199999999963</v>
      </c>
      <c r="Y58" s="2427">
        <v>1117.9159999999999</v>
      </c>
      <c r="Z58" s="2427">
        <v>484.07000000000016</v>
      </c>
      <c r="AA58" s="2290">
        <v>465.27899999999994</v>
      </c>
      <c r="AB58" s="2221">
        <v>25</v>
      </c>
      <c r="AC58" s="2222">
        <v>18.611159999999998</v>
      </c>
      <c r="AD58" s="2289">
        <v>3935.8909999999978</v>
      </c>
    </row>
    <row r="59" spans="1:30" ht="15">
      <c r="A59" s="2175" t="s">
        <v>4496</v>
      </c>
      <c r="B59" s="2175" t="s">
        <v>4497</v>
      </c>
      <c r="C59" s="2175" t="s">
        <v>4501</v>
      </c>
      <c r="D59" s="2175" t="s">
        <v>1138</v>
      </c>
      <c r="E59" s="2187">
        <v>23</v>
      </c>
      <c r="F59" s="2188">
        <v>22</v>
      </c>
      <c r="G59" s="2187">
        <v>20</v>
      </c>
      <c r="H59" s="2189">
        <v>15</v>
      </c>
      <c r="I59" s="2189">
        <v>1</v>
      </c>
      <c r="J59" s="2188">
        <v>6</v>
      </c>
      <c r="K59" s="2187">
        <v>2</v>
      </c>
      <c r="L59" s="2187">
        <v>1</v>
      </c>
      <c r="M59" s="2189">
        <v>1</v>
      </c>
      <c r="N59" s="2188">
        <v>0</v>
      </c>
      <c r="O59" s="2190">
        <v>0</v>
      </c>
      <c r="P59" s="2180">
        <v>0</v>
      </c>
      <c r="Q59" s="2190">
        <v>1</v>
      </c>
      <c r="R59" s="2180">
        <v>1</v>
      </c>
      <c r="S59" s="2187">
        <v>4</v>
      </c>
      <c r="T59" s="2181">
        <v>0.17777777777777778</v>
      </c>
      <c r="U59" s="2363">
        <v>29.13699999999999</v>
      </c>
      <c r="V59" s="2363">
        <v>218.22599999999997</v>
      </c>
      <c r="W59" s="2363">
        <v>139.96799999999999</v>
      </c>
      <c r="X59" s="2427">
        <v>211.67900000000006</v>
      </c>
      <c r="Y59" s="2427">
        <v>188.97000000000003</v>
      </c>
      <c r="Z59" s="2427">
        <v>236.77999999999997</v>
      </c>
      <c r="AA59" s="2290">
        <v>34.250999999999991</v>
      </c>
      <c r="AB59" s="2221">
        <v>4</v>
      </c>
      <c r="AC59" s="2222">
        <v>8.5627499999999976</v>
      </c>
      <c r="AD59" s="2289">
        <v>1059.0109999999997</v>
      </c>
    </row>
    <row r="60" spans="1:30" ht="15">
      <c r="A60" s="2175" t="s">
        <v>4496</v>
      </c>
      <c r="B60" s="2175" t="s">
        <v>4497</v>
      </c>
      <c r="C60" s="2175" t="s">
        <v>4502</v>
      </c>
      <c r="D60" s="2175" t="s">
        <v>4503</v>
      </c>
      <c r="E60" s="2187">
        <v>83</v>
      </c>
      <c r="F60" s="2188">
        <v>75</v>
      </c>
      <c r="G60" s="2187">
        <v>150</v>
      </c>
      <c r="H60" s="2189">
        <v>54</v>
      </c>
      <c r="I60" s="2189">
        <v>9</v>
      </c>
      <c r="J60" s="2188">
        <v>12</v>
      </c>
      <c r="K60" s="2187">
        <v>2</v>
      </c>
      <c r="L60" s="2187">
        <v>1</v>
      </c>
      <c r="M60" s="2189">
        <v>1</v>
      </c>
      <c r="N60" s="2188">
        <v>0</v>
      </c>
      <c r="O60" s="2190">
        <v>1</v>
      </c>
      <c r="P60" s="2180">
        <v>8.3333333333333329E-2</v>
      </c>
      <c r="Q60" s="2190">
        <v>0</v>
      </c>
      <c r="R60" s="2180">
        <v>0</v>
      </c>
      <c r="S60" s="2187">
        <v>14</v>
      </c>
      <c r="T60" s="2181">
        <v>0.17721518987341772</v>
      </c>
      <c r="U60" s="2363">
        <v>241.56500000000005</v>
      </c>
      <c r="V60" s="2363">
        <v>750.24900000000014</v>
      </c>
      <c r="W60" s="2363">
        <v>733.99399999999957</v>
      </c>
      <c r="X60" s="2427">
        <v>898.67899999999986</v>
      </c>
      <c r="Y60" s="2427">
        <v>921.16900000000021</v>
      </c>
      <c r="Z60" s="2427">
        <v>649.11500000000024</v>
      </c>
      <c r="AA60" s="2290">
        <v>873.54700000000014</v>
      </c>
      <c r="AB60" s="2221">
        <v>33</v>
      </c>
      <c r="AC60" s="2222">
        <v>26.471121212121215</v>
      </c>
      <c r="AD60" s="2289">
        <v>5068.3179999999984</v>
      </c>
    </row>
    <row r="61" spans="1:30" ht="15">
      <c r="A61" s="2175" t="s">
        <v>4496</v>
      </c>
      <c r="B61" s="2175" t="s">
        <v>4504</v>
      </c>
      <c r="C61" s="2175" t="s">
        <v>4505</v>
      </c>
      <c r="D61" s="2175" t="s">
        <v>4506</v>
      </c>
      <c r="E61" s="2187">
        <v>75</v>
      </c>
      <c r="F61" s="2188">
        <v>72</v>
      </c>
      <c r="G61" s="2187">
        <v>59</v>
      </c>
      <c r="H61" s="2189">
        <v>45</v>
      </c>
      <c r="I61" s="2189">
        <v>6</v>
      </c>
      <c r="J61" s="2188">
        <v>21</v>
      </c>
      <c r="K61" s="2187">
        <v>0</v>
      </c>
      <c r="L61" s="2187">
        <v>4</v>
      </c>
      <c r="M61" s="2189">
        <v>3</v>
      </c>
      <c r="N61" s="2188">
        <v>1</v>
      </c>
      <c r="O61" s="2190">
        <v>4</v>
      </c>
      <c r="P61" s="2180">
        <v>0.19047619047619047</v>
      </c>
      <c r="Q61" s="2190">
        <v>0</v>
      </c>
      <c r="R61" s="2180">
        <v>0</v>
      </c>
      <c r="S61" s="2187">
        <v>18</v>
      </c>
      <c r="T61" s="2181">
        <v>0.24489795918367346</v>
      </c>
      <c r="U61" s="2363">
        <v>379.72899999999987</v>
      </c>
      <c r="V61" s="2363">
        <v>313.63099999999997</v>
      </c>
      <c r="W61" s="2363">
        <v>467.86499999999972</v>
      </c>
      <c r="X61" s="2427">
        <v>284.07899999999995</v>
      </c>
      <c r="Y61" s="2427">
        <v>441.23199999999986</v>
      </c>
      <c r="Z61" s="2427">
        <v>396.59200000000027</v>
      </c>
      <c r="AA61" s="2290">
        <v>524.05300000000011</v>
      </c>
      <c r="AB61" s="2221">
        <v>32</v>
      </c>
      <c r="AC61" s="2222">
        <v>16.376656250000003</v>
      </c>
      <c r="AD61" s="2289">
        <v>2807.181</v>
      </c>
    </row>
    <row r="62" spans="1:30" ht="15">
      <c r="A62" s="2175" t="s">
        <v>4496</v>
      </c>
      <c r="B62" s="2175" t="s">
        <v>4504</v>
      </c>
      <c r="C62" s="2175" t="s">
        <v>4507</v>
      </c>
      <c r="D62" s="2175" t="s">
        <v>1137</v>
      </c>
      <c r="E62" s="2187">
        <v>43</v>
      </c>
      <c r="F62" s="2188">
        <v>49</v>
      </c>
      <c r="G62" s="2187">
        <v>44</v>
      </c>
      <c r="H62" s="2189">
        <v>31</v>
      </c>
      <c r="I62" s="2189">
        <v>1</v>
      </c>
      <c r="J62" s="2188">
        <v>17</v>
      </c>
      <c r="K62" s="2187">
        <v>2</v>
      </c>
      <c r="L62" s="2187">
        <v>11</v>
      </c>
      <c r="M62" s="2189">
        <v>11</v>
      </c>
      <c r="N62" s="2188">
        <v>0</v>
      </c>
      <c r="O62" s="2190">
        <v>4</v>
      </c>
      <c r="P62" s="2180">
        <v>0.23529411764705882</v>
      </c>
      <c r="Q62" s="2190">
        <v>0</v>
      </c>
      <c r="R62" s="2180">
        <v>0</v>
      </c>
      <c r="S62" s="2187">
        <v>18</v>
      </c>
      <c r="T62" s="2181">
        <v>0.39130434782608697</v>
      </c>
      <c r="U62" s="2363">
        <v>0</v>
      </c>
      <c r="V62" s="2363">
        <v>0</v>
      </c>
      <c r="W62" s="2363">
        <v>0</v>
      </c>
      <c r="X62" s="2427">
        <v>0</v>
      </c>
      <c r="Y62" s="2427">
        <v>0</v>
      </c>
      <c r="Z62" s="2427">
        <v>683.22799999999995</v>
      </c>
      <c r="AA62" s="2290">
        <v>819.02600000000007</v>
      </c>
      <c r="AB62" s="2221">
        <v>42</v>
      </c>
      <c r="AC62" s="2222">
        <v>19.50061904761905</v>
      </c>
      <c r="AD62" s="2289">
        <v>1502.2539999999988</v>
      </c>
    </row>
    <row r="63" spans="1:30" ht="15">
      <c r="A63" s="2175" t="s">
        <v>4496</v>
      </c>
      <c r="B63" s="2175" t="s">
        <v>4504</v>
      </c>
      <c r="C63" s="2175" t="s">
        <v>4508</v>
      </c>
      <c r="D63" s="2175" t="s">
        <v>4509</v>
      </c>
      <c r="E63" s="2187">
        <v>46</v>
      </c>
      <c r="F63" s="2188">
        <v>34</v>
      </c>
      <c r="G63" s="2187">
        <v>83</v>
      </c>
      <c r="H63" s="2189">
        <v>20</v>
      </c>
      <c r="I63" s="2189">
        <v>1</v>
      </c>
      <c r="J63" s="2188">
        <v>13</v>
      </c>
      <c r="K63" s="2187">
        <v>0</v>
      </c>
      <c r="L63" s="2187">
        <v>1</v>
      </c>
      <c r="M63" s="2189">
        <v>1</v>
      </c>
      <c r="N63" s="2188">
        <v>0</v>
      </c>
      <c r="O63" s="2190">
        <v>1</v>
      </c>
      <c r="P63" s="2180">
        <v>7.6923076923076927E-2</v>
      </c>
      <c r="Q63" s="2190">
        <v>0</v>
      </c>
      <c r="R63" s="2180">
        <v>0</v>
      </c>
      <c r="S63" s="2187">
        <v>3</v>
      </c>
      <c r="T63" s="2181">
        <v>7.4999999999999997E-2</v>
      </c>
      <c r="U63" s="2363">
        <v>36.908000000000001</v>
      </c>
      <c r="V63" s="2363">
        <v>124.35000000000002</v>
      </c>
      <c r="W63" s="2363">
        <v>842.68800000000033</v>
      </c>
      <c r="X63" s="2427">
        <v>261.64299999999997</v>
      </c>
      <c r="Y63" s="2427">
        <v>224.25200000000001</v>
      </c>
      <c r="Z63" s="2427">
        <v>230.09399999999999</v>
      </c>
      <c r="AA63" s="2290">
        <v>197.18100000000001</v>
      </c>
      <c r="AB63" s="2221">
        <v>7</v>
      </c>
      <c r="AC63" s="2222">
        <v>28.168714285714287</v>
      </c>
      <c r="AD63" s="2289">
        <v>1917.1159999999993</v>
      </c>
    </row>
    <row r="64" spans="1:30" ht="15">
      <c r="A64" s="2175" t="s">
        <v>4496</v>
      </c>
      <c r="B64" s="2175" t="s">
        <v>4510</v>
      </c>
      <c r="C64" s="2175" t="s">
        <v>4511</v>
      </c>
      <c r="D64" s="2175" t="s">
        <v>1144</v>
      </c>
      <c r="E64" s="2187">
        <v>43</v>
      </c>
      <c r="F64" s="2188">
        <v>36</v>
      </c>
      <c r="G64" s="2187">
        <v>113</v>
      </c>
      <c r="H64" s="2189">
        <v>19</v>
      </c>
      <c r="I64" s="2189">
        <v>4</v>
      </c>
      <c r="J64" s="2188">
        <v>13</v>
      </c>
      <c r="K64" s="2187">
        <v>6</v>
      </c>
      <c r="L64" s="2187">
        <v>2</v>
      </c>
      <c r="M64" s="2189">
        <v>2</v>
      </c>
      <c r="N64" s="2188">
        <v>0</v>
      </c>
      <c r="O64" s="2190">
        <v>1</v>
      </c>
      <c r="P64" s="2180">
        <v>7.6923076923076927E-2</v>
      </c>
      <c r="Q64" s="2190">
        <v>1</v>
      </c>
      <c r="R64" s="2180">
        <v>0.25</v>
      </c>
      <c r="S64" s="2187">
        <v>6</v>
      </c>
      <c r="T64" s="2181">
        <v>0.15189873417721519</v>
      </c>
      <c r="U64" s="2363">
        <v>154.798</v>
      </c>
      <c r="V64" s="2363">
        <v>179.19100000000003</v>
      </c>
      <c r="W64" s="2363">
        <v>274.53800000000007</v>
      </c>
      <c r="X64" s="2427">
        <v>178.62799999999999</v>
      </c>
      <c r="Y64" s="2427">
        <v>51.40100000000001</v>
      </c>
      <c r="Z64" s="2427">
        <v>208.88500000000002</v>
      </c>
      <c r="AA64" s="2290">
        <v>319.69900000000001</v>
      </c>
      <c r="AB64" s="2221">
        <v>13</v>
      </c>
      <c r="AC64" s="2222">
        <v>24.59223076923077</v>
      </c>
      <c r="AD64" s="2289">
        <v>1367.1399999999996</v>
      </c>
    </row>
    <row r="65" spans="1:30" ht="15">
      <c r="A65" s="2175" t="s">
        <v>4496</v>
      </c>
      <c r="B65" s="2175" t="s">
        <v>4510</v>
      </c>
      <c r="C65" s="2175" t="s">
        <v>4512</v>
      </c>
      <c r="D65" s="2175" t="s">
        <v>1124</v>
      </c>
      <c r="E65" s="2187">
        <v>181</v>
      </c>
      <c r="F65" s="2188">
        <v>195</v>
      </c>
      <c r="G65" s="2187">
        <v>66</v>
      </c>
      <c r="H65" s="2189">
        <v>165</v>
      </c>
      <c r="I65" s="2189">
        <v>10</v>
      </c>
      <c r="J65" s="2188">
        <v>20</v>
      </c>
      <c r="K65" s="2187">
        <v>1</v>
      </c>
      <c r="L65" s="2187">
        <v>32</v>
      </c>
      <c r="M65" s="2189">
        <v>32</v>
      </c>
      <c r="N65" s="2188">
        <v>0</v>
      </c>
      <c r="O65" s="2190">
        <v>7</v>
      </c>
      <c r="P65" s="2180">
        <v>0.35</v>
      </c>
      <c r="Q65" s="2190">
        <v>0</v>
      </c>
      <c r="R65" s="2180">
        <v>0</v>
      </c>
      <c r="S65" s="2187">
        <v>88</v>
      </c>
      <c r="T65" s="2181">
        <v>0.46808510638297873</v>
      </c>
      <c r="U65" s="2363">
        <v>3292.7760000000007</v>
      </c>
      <c r="V65" s="2363">
        <v>6609.6829999999964</v>
      </c>
      <c r="W65" s="2363">
        <v>6829.5560000000132</v>
      </c>
      <c r="X65" s="2427">
        <v>5643.7720000000163</v>
      </c>
      <c r="Y65" s="2427">
        <v>6019.0080000000244</v>
      </c>
      <c r="Z65" s="2427">
        <v>10661.88900000005</v>
      </c>
      <c r="AA65" s="2290">
        <v>5299.9870000000246</v>
      </c>
      <c r="AB65" s="2221">
        <v>261</v>
      </c>
      <c r="AC65" s="2222">
        <v>20.306463601532663</v>
      </c>
      <c r="AD65" s="2289">
        <v>44356.670999999995</v>
      </c>
    </row>
    <row r="66" spans="1:30" ht="15">
      <c r="A66" s="2175" t="s">
        <v>4496</v>
      </c>
      <c r="B66" s="2175" t="s">
        <v>4510</v>
      </c>
      <c r="C66" s="2175" t="s">
        <v>4513</v>
      </c>
      <c r="D66" s="2175" t="s">
        <v>1139</v>
      </c>
      <c r="E66" s="2187">
        <v>94</v>
      </c>
      <c r="F66" s="2188">
        <v>75</v>
      </c>
      <c r="G66" s="2187">
        <v>29</v>
      </c>
      <c r="H66" s="2189">
        <v>59</v>
      </c>
      <c r="I66" s="2189">
        <v>6</v>
      </c>
      <c r="J66" s="2188">
        <v>10</v>
      </c>
      <c r="K66" s="2187">
        <v>1</v>
      </c>
      <c r="L66" s="2187">
        <v>3</v>
      </c>
      <c r="M66" s="2189">
        <v>3</v>
      </c>
      <c r="N66" s="2188">
        <v>0</v>
      </c>
      <c r="O66" s="2190">
        <v>0</v>
      </c>
      <c r="P66" s="2180">
        <v>0</v>
      </c>
      <c r="Q66" s="2190">
        <v>2</v>
      </c>
      <c r="R66" s="2180">
        <v>0.33333333333333331</v>
      </c>
      <c r="S66" s="2187">
        <v>45</v>
      </c>
      <c r="T66" s="2181">
        <v>0.53254437869822491</v>
      </c>
      <c r="U66" s="2363">
        <v>2662.6250000000005</v>
      </c>
      <c r="V66" s="2363">
        <v>3746.0899999999988</v>
      </c>
      <c r="W66" s="2363">
        <v>4580.857</v>
      </c>
      <c r="X66" s="2427">
        <v>4420.7299999999987</v>
      </c>
      <c r="Y66" s="2427">
        <v>4465.8210000000017</v>
      </c>
      <c r="Z66" s="2427">
        <v>5760.1280000000042</v>
      </c>
      <c r="AA66" s="2290">
        <v>4361.7740000000049</v>
      </c>
      <c r="AB66" s="2221">
        <v>144</v>
      </c>
      <c r="AC66" s="2222">
        <v>30.290097222222258</v>
      </c>
      <c r="AD66" s="2289">
        <v>29998.024999999838</v>
      </c>
    </row>
    <row r="67" spans="1:30" ht="15">
      <c r="A67" s="2175" t="s">
        <v>4496</v>
      </c>
      <c r="B67" s="2175" t="s">
        <v>4514</v>
      </c>
      <c r="C67" s="2175" t="s">
        <v>4515</v>
      </c>
      <c r="D67" s="2175" t="s">
        <v>4516</v>
      </c>
      <c r="E67" s="2187">
        <v>64</v>
      </c>
      <c r="F67" s="2188">
        <v>61</v>
      </c>
      <c r="G67" s="2187">
        <v>75</v>
      </c>
      <c r="H67" s="2189">
        <v>44</v>
      </c>
      <c r="I67" s="2189">
        <v>3</v>
      </c>
      <c r="J67" s="2188">
        <v>14</v>
      </c>
      <c r="K67" s="2187">
        <v>3</v>
      </c>
      <c r="L67" s="2187">
        <v>3</v>
      </c>
      <c r="M67" s="2189">
        <v>3</v>
      </c>
      <c r="N67" s="2188">
        <v>0</v>
      </c>
      <c r="O67" s="2190">
        <v>3</v>
      </c>
      <c r="P67" s="2180">
        <v>0.21428571428571427</v>
      </c>
      <c r="Q67" s="2190">
        <v>0</v>
      </c>
      <c r="R67" s="2180">
        <v>0</v>
      </c>
      <c r="S67" s="2187">
        <v>9</v>
      </c>
      <c r="T67" s="2181">
        <v>0.14399999999999999</v>
      </c>
      <c r="U67" s="2363">
        <v>258.12899999999996</v>
      </c>
      <c r="V67" s="2363">
        <v>332.62100000000015</v>
      </c>
      <c r="W67" s="2363">
        <v>372.82100000000008</v>
      </c>
      <c r="X67" s="2427">
        <v>715.87099999999975</v>
      </c>
      <c r="Y67" s="2427">
        <v>5712.030000000068</v>
      </c>
      <c r="Z67" s="2427">
        <v>491.82399999999996</v>
      </c>
      <c r="AA67" s="2290">
        <v>383.2410000000001</v>
      </c>
      <c r="AB67" s="2221">
        <v>16</v>
      </c>
      <c r="AC67" s="2222">
        <v>23.952562500000006</v>
      </c>
      <c r="AD67" s="2289">
        <v>8266.5370000001203</v>
      </c>
    </row>
    <row r="68" spans="1:30" ht="15">
      <c r="A68" s="2175" t="s">
        <v>4496</v>
      </c>
      <c r="B68" s="2175" t="s">
        <v>4514</v>
      </c>
      <c r="C68" s="2175" t="s">
        <v>4517</v>
      </c>
      <c r="D68" s="2175" t="s">
        <v>1117</v>
      </c>
      <c r="E68" s="2187">
        <v>60</v>
      </c>
      <c r="F68" s="2188">
        <v>48</v>
      </c>
      <c r="G68" s="2187">
        <v>82</v>
      </c>
      <c r="H68" s="2189">
        <v>26</v>
      </c>
      <c r="I68" s="2189">
        <v>2</v>
      </c>
      <c r="J68" s="2188">
        <v>20</v>
      </c>
      <c r="K68" s="2187">
        <v>0</v>
      </c>
      <c r="L68" s="2187">
        <v>0</v>
      </c>
      <c r="M68" s="2189">
        <v>0</v>
      </c>
      <c r="N68" s="2188">
        <v>0</v>
      </c>
      <c r="O68" s="2190"/>
      <c r="P68" s="2180"/>
      <c r="Q68" s="2190"/>
      <c r="R68" s="2180"/>
      <c r="S68" s="2187">
        <v>6</v>
      </c>
      <c r="T68" s="2181">
        <v>0.1111111111111111</v>
      </c>
      <c r="U68" s="2363">
        <v>278.59699999999998</v>
      </c>
      <c r="V68" s="2363">
        <v>344.899</v>
      </c>
      <c r="W68" s="2363">
        <v>841.38599999999963</v>
      </c>
      <c r="X68" s="2427">
        <v>1291.9440000000002</v>
      </c>
      <c r="Y68" s="2427">
        <v>480.47699999999986</v>
      </c>
      <c r="Z68" s="2427">
        <v>356.88800000000003</v>
      </c>
      <c r="AA68" s="2290">
        <v>436.57400000000024</v>
      </c>
      <c r="AB68" s="2221">
        <v>14</v>
      </c>
      <c r="AC68" s="2222">
        <v>31.18385714285716</v>
      </c>
      <c r="AD68" s="2289">
        <v>4030.7650000000017</v>
      </c>
    </row>
    <row r="69" spans="1:30" ht="15">
      <c r="A69" s="2175" t="s">
        <v>4496</v>
      </c>
      <c r="B69" s="2175" t="s">
        <v>4514</v>
      </c>
      <c r="C69" s="2175" t="s">
        <v>4518</v>
      </c>
      <c r="D69" s="2175" t="s">
        <v>1111</v>
      </c>
      <c r="E69" s="2187">
        <v>28</v>
      </c>
      <c r="F69" s="2188">
        <v>24</v>
      </c>
      <c r="G69" s="2187">
        <v>26</v>
      </c>
      <c r="H69" s="2189">
        <v>16</v>
      </c>
      <c r="I69" s="2189">
        <v>2</v>
      </c>
      <c r="J69" s="2188">
        <v>6</v>
      </c>
      <c r="K69" s="2187">
        <v>0</v>
      </c>
      <c r="L69" s="2187">
        <v>0</v>
      </c>
      <c r="M69" s="2189">
        <v>0</v>
      </c>
      <c r="N69" s="2188">
        <v>0</v>
      </c>
      <c r="O69" s="2190"/>
      <c r="P69" s="2180"/>
      <c r="Q69" s="2190"/>
      <c r="R69" s="2180"/>
      <c r="S69" s="2187">
        <v>9</v>
      </c>
      <c r="T69" s="2181">
        <v>0.34615384615384615</v>
      </c>
      <c r="U69" s="2363">
        <v>313.97499999999991</v>
      </c>
      <c r="V69" s="2363">
        <v>224.54199999999994</v>
      </c>
      <c r="W69" s="2363">
        <v>519.15600000000006</v>
      </c>
      <c r="X69" s="2427">
        <v>355.81400000000019</v>
      </c>
      <c r="Y69" s="2427">
        <v>413.07699999999994</v>
      </c>
      <c r="Z69" s="2427">
        <v>588.57400000000007</v>
      </c>
      <c r="AA69" s="2290">
        <v>140.05799999999999</v>
      </c>
      <c r="AB69" s="2221">
        <v>12</v>
      </c>
      <c r="AC69" s="2222">
        <v>11.6715</v>
      </c>
      <c r="AD69" s="2289">
        <v>2555.1960000000004</v>
      </c>
    </row>
    <row r="70" spans="1:30" ht="15">
      <c r="A70" s="2175" t="s">
        <v>4496</v>
      </c>
      <c r="B70" s="2175" t="s">
        <v>4519</v>
      </c>
      <c r="C70" s="2175" t="s">
        <v>4520</v>
      </c>
      <c r="D70" s="2175" t="s">
        <v>4521</v>
      </c>
      <c r="E70" s="2187">
        <v>0</v>
      </c>
      <c r="F70" s="2188">
        <v>10</v>
      </c>
      <c r="G70" s="2187">
        <v>0</v>
      </c>
      <c r="H70" s="2189">
        <v>7</v>
      </c>
      <c r="I70" s="2189">
        <v>0</v>
      </c>
      <c r="J70" s="2188">
        <v>3</v>
      </c>
      <c r="K70" s="2187">
        <v>0</v>
      </c>
      <c r="L70" s="2187">
        <v>10</v>
      </c>
      <c r="M70" s="2189">
        <v>7</v>
      </c>
      <c r="N70" s="2188">
        <v>3</v>
      </c>
      <c r="O70" s="2190">
        <v>2</v>
      </c>
      <c r="P70" s="2180">
        <v>0.66666666666666663</v>
      </c>
      <c r="Q70" s="2190">
        <v>0</v>
      </c>
      <c r="R70" s="2180"/>
      <c r="S70" s="2187">
        <v>2</v>
      </c>
      <c r="T70" s="2181">
        <v>0.4</v>
      </c>
      <c r="U70" s="2363">
        <v>0</v>
      </c>
      <c r="V70" s="2363">
        <v>0</v>
      </c>
      <c r="W70" s="2363">
        <v>0</v>
      </c>
      <c r="X70" s="2427">
        <v>0</v>
      </c>
      <c r="Y70" s="2427">
        <v>0</v>
      </c>
      <c r="Z70" s="2427">
        <v>0</v>
      </c>
      <c r="AA70" s="2290">
        <v>39.660000000000004</v>
      </c>
      <c r="AB70" s="2221">
        <v>2</v>
      </c>
      <c r="AC70" s="2222">
        <v>19.830000000000002</v>
      </c>
      <c r="AD70" s="2289">
        <v>39.660000000000004</v>
      </c>
    </row>
    <row r="71" spans="1:30" ht="15">
      <c r="A71" s="2175" t="s">
        <v>4496</v>
      </c>
      <c r="B71" s="2175" t="s">
        <v>4519</v>
      </c>
      <c r="C71" s="2175" t="s">
        <v>4522</v>
      </c>
      <c r="D71" s="2175" t="s">
        <v>4523</v>
      </c>
      <c r="E71" s="2187">
        <v>0</v>
      </c>
      <c r="F71" s="2188">
        <v>3</v>
      </c>
      <c r="G71" s="2187">
        <v>0</v>
      </c>
      <c r="H71" s="2189">
        <v>1</v>
      </c>
      <c r="I71" s="2189">
        <v>0</v>
      </c>
      <c r="J71" s="2188">
        <v>2</v>
      </c>
      <c r="K71" s="2187">
        <v>0</v>
      </c>
      <c r="L71" s="2187">
        <v>3</v>
      </c>
      <c r="M71" s="2189">
        <v>1</v>
      </c>
      <c r="N71" s="2188">
        <v>2</v>
      </c>
      <c r="O71" s="2190">
        <v>1</v>
      </c>
      <c r="P71" s="2180">
        <v>0.5</v>
      </c>
      <c r="Q71" s="2190">
        <v>0</v>
      </c>
      <c r="R71" s="2180"/>
      <c r="S71" s="2187">
        <v>0</v>
      </c>
      <c r="T71" s="2181">
        <v>0</v>
      </c>
      <c r="U71" s="2363"/>
      <c r="V71" s="2363"/>
      <c r="W71" s="2363"/>
      <c r="X71" s="2427"/>
      <c r="Y71" s="2427"/>
      <c r="Z71" s="2427"/>
      <c r="AA71" s="2290"/>
      <c r="AB71" s="2221"/>
      <c r="AC71" s="2222"/>
      <c r="AD71" s="2289"/>
    </row>
    <row r="72" spans="1:30" ht="15">
      <c r="A72" s="2175" t="s">
        <v>4496</v>
      </c>
      <c r="B72" s="2175" t="s">
        <v>4519</v>
      </c>
      <c r="C72" s="2175" t="s">
        <v>4524</v>
      </c>
      <c r="D72" s="2175" t="s">
        <v>4525</v>
      </c>
      <c r="E72" s="2187">
        <v>0</v>
      </c>
      <c r="F72" s="2188">
        <v>6</v>
      </c>
      <c r="G72" s="2187">
        <v>0</v>
      </c>
      <c r="H72" s="2189">
        <v>3</v>
      </c>
      <c r="I72" s="2189">
        <v>0</v>
      </c>
      <c r="J72" s="2188">
        <v>3</v>
      </c>
      <c r="K72" s="2187">
        <v>0</v>
      </c>
      <c r="L72" s="2187">
        <v>6</v>
      </c>
      <c r="M72" s="2189">
        <v>3</v>
      </c>
      <c r="N72" s="2188">
        <v>3</v>
      </c>
      <c r="O72" s="2190">
        <v>1</v>
      </c>
      <c r="P72" s="2180">
        <v>0.33333333333333331</v>
      </c>
      <c r="Q72" s="2190">
        <v>0</v>
      </c>
      <c r="R72" s="2180"/>
      <c r="S72" s="2187">
        <v>1</v>
      </c>
      <c r="T72" s="2181">
        <v>0.33333333333333331</v>
      </c>
      <c r="U72" s="2363">
        <v>0</v>
      </c>
      <c r="V72" s="2363">
        <v>0</v>
      </c>
      <c r="W72" s="2363">
        <v>0</v>
      </c>
      <c r="X72" s="2427">
        <v>0</v>
      </c>
      <c r="Y72" s="2427">
        <v>0</v>
      </c>
      <c r="Z72" s="2427">
        <v>0</v>
      </c>
      <c r="AA72" s="2290">
        <v>29.942999999999998</v>
      </c>
      <c r="AB72" s="2221">
        <v>2</v>
      </c>
      <c r="AC72" s="2222">
        <v>14.971499999999999</v>
      </c>
      <c r="AD72" s="2289">
        <v>29.942999999999998</v>
      </c>
    </row>
    <row r="73" spans="1:30" ht="15">
      <c r="A73" s="2175" t="s">
        <v>4526</v>
      </c>
      <c r="B73" s="2175" t="s">
        <v>4527</v>
      </c>
      <c r="C73" s="2175" t="s">
        <v>4528</v>
      </c>
      <c r="D73" s="2175" t="s">
        <v>4529</v>
      </c>
      <c r="E73" s="2187">
        <v>93</v>
      </c>
      <c r="F73" s="2188">
        <v>115</v>
      </c>
      <c r="G73" s="2187">
        <v>36</v>
      </c>
      <c r="H73" s="2189">
        <v>94</v>
      </c>
      <c r="I73" s="2189">
        <v>7</v>
      </c>
      <c r="J73" s="2188">
        <v>14</v>
      </c>
      <c r="K73" s="2187">
        <v>0</v>
      </c>
      <c r="L73" s="2187">
        <v>30</v>
      </c>
      <c r="M73" s="2189">
        <v>28</v>
      </c>
      <c r="N73" s="2188">
        <v>2</v>
      </c>
      <c r="O73" s="2190">
        <v>7</v>
      </c>
      <c r="P73" s="2180">
        <v>0.5</v>
      </c>
      <c r="Q73" s="2190">
        <v>3</v>
      </c>
      <c r="R73" s="2180">
        <v>0.42857142857142855</v>
      </c>
      <c r="S73" s="2187">
        <v>14</v>
      </c>
      <c r="T73" s="2181">
        <v>0.13461538461538461</v>
      </c>
      <c r="U73" s="2363">
        <v>229.2880000000001</v>
      </c>
      <c r="V73" s="2363">
        <v>357.86899999999991</v>
      </c>
      <c r="W73" s="2363">
        <v>585.77400000000011</v>
      </c>
      <c r="X73" s="2427">
        <v>477.37799999999993</v>
      </c>
      <c r="Y73" s="2427">
        <v>540.10299999999995</v>
      </c>
      <c r="Z73" s="2427">
        <v>581.84900000000005</v>
      </c>
      <c r="AA73" s="2290">
        <v>380.05000000000013</v>
      </c>
      <c r="AB73" s="2221">
        <v>24</v>
      </c>
      <c r="AC73" s="2222">
        <v>15.835416666666672</v>
      </c>
      <c r="AD73" s="2289">
        <v>3152.3109999999992</v>
      </c>
    </row>
    <row r="74" spans="1:30" ht="15">
      <c r="A74" s="2175" t="s">
        <v>4526</v>
      </c>
      <c r="B74" s="2175" t="s">
        <v>4527</v>
      </c>
      <c r="C74" s="2175" t="s">
        <v>4530</v>
      </c>
      <c r="D74" s="2175" t="s">
        <v>4531</v>
      </c>
      <c r="E74" s="2187">
        <v>48</v>
      </c>
      <c r="F74" s="2188">
        <v>51</v>
      </c>
      <c r="G74" s="2187">
        <v>12</v>
      </c>
      <c r="H74" s="2189">
        <v>42</v>
      </c>
      <c r="I74" s="2189">
        <v>0</v>
      </c>
      <c r="J74" s="2188">
        <v>9</v>
      </c>
      <c r="K74" s="2187">
        <v>6</v>
      </c>
      <c r="L74" s="2187">
        <v>10</v>
      </c>
      <c r="M74" s="2189">
        <v>9</v>
      </c>
      <c r="N74" s="2188">
        <v>1</v>
      </c>
      <c r="O74" s="2190">
        <v>4</v>
      </c>
      <c r="P74" s="2180">
        <v>0.44444444444444442</v>
      </c>
      <c r="Q74" s="2190">
        <v>0</v>
      </c>
      <c r="R74" s="2180"/>
      <c r="S74" s="2187">
        <v>5</v>
      </c>
      <c r="T74" s="2181">
        <v>0.10101010101010101</v>
      </c>
      <c r="U74" s="2363">
        <v>0</v>
      </c>
      <c r="V74" s="2363">
        <v>0</v>
      </c>
      <c r="W74" s="2363">
        <v>196.80100000000004</v>
      </c>
      <c r="X74" s="2427">
        <v>226.82499999999999</v>
      </c>
      <c r="Y74" s="2427">
        <v>86.364000000000004</v>
      </c>
      <c r="Z74" s="2427">
        <v>12.264999999999999</v>
      </c>
      <c r="AA74" s="2290">
        <v>155.66100000000003</v>
      </c>
      <c r="AB74" s="2221">
        <v>10</v>
      </c>
      <c r="AC74" s="2222">
        <v>15.566100000000002</v>
      </c>
      <c r="AD74" s="2289">
        <v>677.91599999999949</v>
      </c>
    </row>
    <row r="75" spans="1:30" ht="15">
      <c r="A75" s="2175" t="s">
        <v>4526</v>
      </c>
      <c r="B75" s="2430" t="s">
        <v>4527</v>
      </c>
      <c r="C75" s="2175" t="s">
        <v>4532</v>
      </c>
      <c r="D75" s="2175" t="s">
        <v>4533</v>
      </c>
      <c r="E75" s="2187">
        <v>102</v>
      </c>
      <c r="F75" s="2188">
        <v>93</v>
      </c>
      <c r="G75" s="2187">
        <v>65</v>
      </c>
      <c r="H75" s="2189">
        <v>66</v>
      </c>
      <c r="I75" s="2189">
        <v>9</v>
      </c>
      <c r="J75" s="2188">
        <v>18</v>
      </c>
      <c r="K75" s="2187">
        <v>3</v>
      </c>
      <c r="L75" s="2187">
        <v>19</v>
      </c>
      <c r="M75" s="2189">
        <v>17</v>
      </c>
      <c r="N75" s="2188">
        <v>2</v>
      </c>
      <c r="O75" s="2190">
        <v>6</v>
      </c>
      <c r="P75" s="2180">
        <v>0.33333333333333331</v>
      </c>
      <c r="Q75" s="2190">
        <v>2</v>
      </c>
      <c r="R75" s="2181">
        <v>0.22222222222222221</v>
      </c>
      <c r="S75" s="2187">
        <v>18</v>
      </c>
      <c r="T75" s="2181">
        <v>0.18461538461538463</v>
      </c>
      <c r="U75" s="2428">
        <v>191.15899999999999</v>
      </c>
      <c r="V75" s="2291">
        <v>454.14100000000002</v>
      </c>
      <c r="W75" s="2291">
        <v>980.7579999999997</v>
      </c>
      <c r="X75" s="2429">
        <v>376.47599999999994</v>
      </c>
      <c r="Y75" s="2429">
        <v>371.70999999999981</v>
      </c>
      <c r="Z75" s="2291">
        <v>264.35900000000009</v>
      </c>
      <c r="AA75" s="2290">
        <v>313.36599999999993</v>
      </c>
      <c r="AB75" s="2221">
        <v>25</v>
      </c>
      <c r="AC75" s="2222">
        <v>12.534639999999998</v>
      </c>
      <c r="AD75" s="2289">
        <v>2951.9689999999973</v>
      </c>
    </row>
    <row r="76" spans="1:30" ht="15">
      <c r="A76" s="2175" t="s">
        <v>4526</v>
      </c>
      <c r="B76" s="2430" t="s">
        <v>4527</v>
      </c>
      <c r="C76" s="2175" t="s">
        <v>4534</v>
      </c>
      <c r="D76" s="2175" t="s">
        <v>4535</v>
      </c>
      <c r="E76" s="2187">
        <v>33</v>
      </c>
      <c r="F76" s="2188">
        <v>38</v>
      </c>
      <c r="G76" s="2187">
        <v>0</v>
      </c>
      <c r="H76" s="2189">
        <v>27</v>
      </c>
      <c r="I76" s="2189">
        <v>1</v>
      </c>
      <c r="J76" s="2188">
        <v>10</v>
      </c>
      <c r="K76" s="2187">
        <v>0</v>
      </c>
      <c r="L76" s="2187">
        <v>5</v>
      </c>
      <c r="M76" s="2189">
        <v>4</v>
      </c>
      <c r="N76" s="2188">
        <v>1</v>
      </c>
      <c r="O76" s="2190">
        <v>3</v>
      </c>
      <c r="P76" s="2180">
        <v>0.3</v>
      </c>
      <c r="Q76" s="2190">
        <v>1</v>
      </c>
      <c r="R76" s="2181">
        <v>1</v>
      </c>
      <c r="S76" s="2187">
        <v>6</v>
      </c>
      <c r="T76" s="2181">
        <v>0.16901408450704225</v>
      </c>
      <c r="U76" s="2428">
        <v>0</v>
      </c>
      <c r="V76" s="2291">
        <v>0</v>
      </c>
      <c r="W76" s="2291">
        <v>0</v>
      </c>
      <c r="X76" s="2429">
        <v>136.96100000000001</v>
      </c>
      <c r="Y76" s="2429">
        <v>241.91699999999997</v>
      </c>
      <c r="Z76" s="2291">
        <v>131.803</v>
      </c>
      <c r="AA76" s="2290">
        <v>107.26599999999999</v>
      </c>
      <c r="AB76" s="2221">
        <v>7</v>
      </c>
      <c r="AC76" s="2222">
        <v>15.323714285714285</v>
      </c>
      <c r="AD76" s="2289">
        <v>617.947</v>
      </c>
    </row>
    <row r="77" spans="1:30" ht="15">
      <c r="A77" s="2175" t="s">
        <v>4526</v>
      </c>
      <c r="B77" s="2430" t="s">
        <v>4527</v>
      </c>
      <c r="C77" s="2175" t="s">
        <v>4536</v>
      </c>
      <c r="D77" s="2175" t="s">
        <v>4533</v>
      </c>
      <c r="E77" s="2187">
        <v>36</v>
      </c>
      <c r="F77" s="2188">
        <v>33</v>
      </c>
      <c r="G77" s="2187">
        <v>39</v>
      </c>
      <c r="H77" s="2189">
        <v>24</v>
      </c>
      <c r="I77" s="2189">
        <v>0</v>
      </c>
      <c r="J77" s="2188">
        <v>9</v>
      </c>
      <c r="K77" s="2187">
        <v>3</v>
      </c>
      <c r="L77" s="2187">
        <v>1</v>
      </c>
      <c r="M77" s="2189">
        <v>1</v>
      </c>
      <c r="N77" s="2188">
        <v>0</v>
      </c>
      <c r="O77" s="2190">
        <v>1</v>
      </c>
      <c r="P77" s="2180">
        <v>0.1111111111111111</v>
      </c>
      <c r="Q77" s="2190">
        <v>0</v>
      </c>
      <c r="R77" s="2181"/>
      <c r="S77" s="2187">
        <v>2</v>
      </c>
      <c r="T77" s="2181">
        <v>5.7971014492753624E-2</v>
      </c>
      <c r="U77" s="2428">
        <v>137.57499999999999</v>
      </c>
      <c r="V77" s="2291">
        <v>76.230999999999995</v>
      </c>
      <c r="W77" s="2291">
        <v>173.292</v>
      </c>
      <c r="X77" s="2429">
        <v>192.09800000000001</v>
      </c>
      <c r="Y77" s="2429">
        <v>218.68100000000007</v>
      </c>
      <c r="Z77" s="2291">
        <v>42.74</v>
      </c>
      <c r="AA77" s="2290">
        <v>24.841000000000001</v>
      </c>
      <c r="AB77" s="2221">
        <v>2</v>
      </c>
      <c r="AC77" s="2222">
        <v>12.420500000000001</v>
      </c>
      <c r="AD77" s="2289">
        <v>865.45799999999963</v>
      </c>
    </row>
    <row r="78" spans="1:30" ht="15">
      <c r="A78" s="2175" t="s">
        <v>4526</v>
      </c>
      <c r="B78" s="2430" t="s">
        <v>4537</v>
      </c>
      <c r="C78" s="2175" t="s">
        <v>4538</v>
      </c>
      <c r="D78" s="2175" t="s">
        <v>4539</v>
      </c>
      <c r="E78" s="2187">
        <v>25</v>
      </c>
      <c r="F78" s="2188">
        <v>22</v>
      </c>
      <c r="G78" s="2187">
        <v>82</v>
      </c>
      <c r="H78" s="2189">
        <v>15</v>
      </c>
      <c r="I78" s="2189">
        <v>0</v>
      </c>
      <c r="J78" s="2188">
        <v>7</v>
      </c>
      <c r="K78" s="2187">
        <v>0</v>
      </c>
      <c r="L78" s="2187">
        <v>0</v>
      </c>
      <c r="M78" s="2189">
        <v>0</v>
      </c>
      <c r="N78" s="2188">
        <v>0</v>
      </c>
      <c r="O78" s="2190"/>
      <c r="P78" s="2180"/>
      <c r="Q78" s="2190"/>
      <c r="R78" s="2181"/>
      <c r="S78" s="2187">
        <v>0</v>
      </c>
      <c r="T78" s="2181">
        <v>0</v>
      </c>
      <c r="U78" s="2428">
        <v>82.97</v>
      </c>
      <c r="V78" s="2291">
        <v>560.3599999999999</v>
      </c>
      <c r="W78" s="2291">
        <v>32.832999999999998</v>
      </c>
      <c r="X78" s="2429">
        <v>153.041</v>
      </c>
      <c r="Y78" s="2429">
        <v>110.23299999999999</v>
      </c>
      <c r="Z78" s="2291">
        <v>17.419</v>
      </c>
      <c r="AA78" s="2290">
        <v>0</v>
      </c>
      <c r="AB78" s="2221">
        <v>0</v>
      </c>
      <c r="AC78" s="2222">
        <v>0</v>
      </c>
      <c r="AD78" s="2289">
        <v>956.85599999999965</v>
      </c>
    </row>
    <row r="79" spans="1:30" ht="15">
      <c r="A79" s="2175" t="s">
        <v>4526</v>
      </c>
      <c r="B79" s="2175" t="s">
        <v>4537</v>
      </c>
      <c r="C79" s="2175" t="s">
        <v>4540</v>
      </c>
      <c r="D79" s="2175" t="s">
        <v>4541</v>
      </c>
      <c r="E79" s="2187">
        <v>79</v>
      </c>
      <c r="F79" s="2188">
        <v>76</v>
      </c>
      <c r="G79" s="2187">
        <v>56</v>
      </c>
      <c r="H79" s="2189">
        <v>54</v>
      </c>
      <c r="I79" s="2189">
        <v>4</v>
      </c>
      <c r="J79" s="2188">
        <v>18</v>
      </c>
      <c r="K79" s="2187">
        <v>5</v>
      </c>
      <c r="L79" s="2187">
        <v>19</v>
      </c>
      <c r="M79" s="2189">
        <v>19</v>
      </c>
      <c r="N79" s="2188">
        <v>0</v>
      </c>
      <c r="O79" s="2190">
        <v>4</v>
      </c>
      <c r="P79" s="2180">
        <v>0.22222222222222221</v>
      </c>
      <c r="Q79" s="2190">
        <v>1</v>
      </c>
      <c r="R79" s="2180">
        <v>0.25</v>
      </c>
      <c r="S79" s="2187">
        <v>26</v>
      </c>
      <c r="T79" s="2181">
        <v>0.33548387096774196</v>
      </c>
      <c r="U79" s="2363">
        <v>3.7480000000000011</v>
      </c>
      <c r="V79" s="2363">
        <v>298.19899999999996</v>
      </c>
      <c r="W79" s="2363">
        <v>319.46299999999991</v>
      </c>
      <c r="X79" s="2427">
        <v>359.45800000000003</v>
      </c>
      <c r="Y79" s="2427">
        <v>76.039999999999992</v>
      </c>
      <c r="Z79" s="2427">
        <v>333.88</v>
      </c>
      <c r="AA79" s="2290">
        <v>884.55599999999959</v>
      </c>
      <c r="AB79" s="2221">
        <v>56</v>
      </c>
      <c r="AC79" s="2222">
        <v>15.79564285714285</v>
      </c>
      <c r="AD79" s="2289">
        <v>2275.344000000001</v>
      </c>
    </row>
    <row r="80" spans="1:30" ht="15">
      <c r="A80" s="2175" t="s">
        <v>4526</v>
      </c>
      <c r="B80" s="2175" t="s">
        <v>4537</v>
      </c>
      <c r="C80" s="2175" t="s">
        <v>4542</v>
      </c>
      <c r="D80" s="2175" t="s">
        <v>4539</v>
      </c>
      <c r="E80" s="2187">
        <v>11</v>
      </c>
      <c r="F80" s="2188">
        <v>10</v>
      </c>
      <c r="G80" s="2187">
        <v>50</v>
      </c>
      <c r="H80" s="2189">
        <v>5</v>
      </c>
      <c r="I80" s="2189">
        <v>0</v>
      </c>
      <c r="J80" s="2188">
        <v>5</v>
      </c>
      <c r="K80" s="2187">
        <v>1</v>
      </c>
      <c r="L80" s="2187">
        <v>0</v>
      </c>
      <c r="M80" s="2189">
        <v>0</v>
      </c>
      <c r="N80" s="2188">
        <v>0</v>
      </c>
      <c r="O80" s="2190"/>
      <c r="P80" s="2180"/>
      <c r="Q80" s="2190"/>
      <c r="R80" s="2180"/>
      <c r="S80" s="2187">
        <v>0</v>
      </c>
      <c r="T80" s="2181">
        <v>0</v>
      </c>
      <c r="U80" s="2363">
        <v>5.39</v>
      </c>
      <c r="V80" s="2363">
        <v>54.400000000000006</v>
      </c>
      <c r="W80" s="2363">
        <v>-42.102000000000004</v>
      </c>
      <c r="X80" s="2427">
        <v>0</v>
      </c>
      <c r="Y80" s="2427">
        <v>0</v>
      </c>
      <c r="Z80" s="2427">
        <v>41.095999999999997</v>
      </c>
      <c r="AA80" s="2290">
        <v>0</v>
      </c>
      <c r="AB80" s="2221">
        <v>0</v>
      </c>
      <c r="AC80" s="2222">
        <v>0</v>
      </c>
      <c r="AD80" s="2289">
        <v>58.783999999999999</v>
      </c>
    </row>
    <row r="81" spans="1:30" ht="15">
      <c r="E81" s="2187"/>
      <c r="F81" s="2188"/>
      <c r="G81" s="2187"/>
      <c r="H81" s="2189"/>
      <c r="I81" s="2189"/>
      <c r="J81" s="2188"/>
      <c r="K81" s="2187"/>
      <c r="L81" s="2187"/>
      <c r="M81" s="2189"/>
      <c r="N81" s="2188"/>
      <c r="O81" s="2190"/>
      <c r="P81" s="2180"/>
      <c r="Q81" s="2190"/>
      <c r="R81" s="2180"/>
      <c r="S81" s="2187"/>
      <c r="T81" s="2181"/>
      <c r="U81" s="2291"/>
      <c r="V81" s="2291"/>
      <c r="W81" s="2291"/>
      <c r="X81" s="2427"/>
      <c r="Y81" s="2427"/>
      <c r="Z81" s="2427"/>
      <c r="AA81" s="2290"/>
      <c r="AB81" s="2221"/>
      <c r="AC81" s="2222"/>
      <c r="AD81" s="2289"/>
    </row>
    <row r="82" spans="1:30">
      <c r="A82" s="2379"/>
      <c r="B82" s="2379"/>
      <c r="C82" s="2379"/>
      <c r="D82" s="2379"/>
      <c r="E82" s="2380">
        <f>SUBTOTAL(109,Table28[Start])</f>
        <v>8072</v>
      </c>
      <c r="F82" s="2381">
        <f>SUBTOTAL(109,Table28[End])</f>
        <v>7863</v>
      </c>
      <c r="G82" s="2380">
        <f>SUBTOTAL(109,Table28[SA])</f>
        <v>6283</v>
      </c>
      <c r="H82" s="2382">
        <f>SUBTOTAL(109,Table28[AG])</f>
        <v>6062</v>
      </c>
      <c r="I82" s="2382">
        <f>SUBTOTAL(109,Table28[US])</f>
        <v>429</v>
      </c>
      <c r="J82" s="2381">
        <f>SUBTOTAL(109,Table28[AL])</f>
        <v>1372</v>
      </c>
      <c r="K82" s="2380">
        <f>SUBTOTAL(109,Table28[Ter])</f>
        <v>315</v>
      </c>
      <c r="L82" s="2380">
        <f>SUBTOTAL(109,Table28[Recruit])</f>
        <v>1167</v>
      </c>
      <c r="M82" s="2382">
        <f>SUBTOTAL(109,Table28[New AG,US])</f>
        <v>1106</v>
      </c>
      <c r="N82" s="2381">
        <f>SUBTOTAL(109,Table28[New AL])</f>
        <v>61</v>
      </c>
      <c r="O82" s="2382">
        <f>SUBTOTAL(109,Table28[Actv AL])</f>
        <v>370</v>
      </c>
      <c r="P82" s="2382"/>
      <c r="Q82" s="2382">
        <f>SUBTOTAL(109,Table28[Actv US])</f>
        <v>101</v>
      </c>
      <c r="R82" s="2382"/>
      <c r="S82" s="2380">
        <f>SUBTOTAL(109,Table28[Actv AG])</f>
        <v>1483</v>
      </c>
      <c r="T82" s="2381"/>
      <c r="U82" s="2382">
        <f>SUBTOTAL(109,Table28[Jan APE])</f>
        <v>22784.01100000001</v>
      </c>
      <c r="V82" s="2382">
        <f>SUBTOTAL(109,Table28[Feb APE])</f>
        <v>37770.896000000001</v>
      </c>
      <c r="W82" s="2382">
        <f>SUBTOTAL(109,Table28[Mar APE])</f>
        <v>52614.074000000015</v>
      </c>
      <c r="X82" s="2382">
        <f>SUBTOTAL(109,Table28[Apr APE])</f>
        <v>50235.530999999988</v>
      </c>
      <c r="Y82" s="2382"/>
      <c r="Z82" s="2382"/>
      <c r="AA82" s="2382">
        <f>SUBTOTAL(109,Table28[Jul APE])</f>
        <v>45475.164000000033</v>
      </c>
      <c r="AB82" s="2382">
        <f>SUBTOTAL(109,Table28[Jul Case])</f>
        <v>2668</v>
      </c>
      <c r="AC82" s="2383">
        <f>Table28[[#Totals],[Jul APE]]/Table28[[#Totals],[Jul Case]]</f>
        <v>17.044664167916054</v>
      </c>
      <c r="AD82" s="2382">
        <f>SUBTOTAL(109,Table28[YTD APE])</f>
        <v>318682.53800000064</v>
      </c>
    </row>
    <row r="86" spans="1:30" ht="3.75" customHeight="1"/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workbookViewId="0"/>
  </sheetViews>
  <sheetFormatPr defaultColWidth="9.140625" defaultRowHeight="14.25"/>
  <cols>
    <col min="1" max="1" width="1.140625" style="39" customWidth="1"/>
    <col min="2" max="2" width="17.7109375" style="39" customWidth="1"/>
    <col min="3" max="3" width="36.5703125" style="39" bestFit="1" customWidth="1"/>
    <col min="4" max="4" width="27.140625" style="39" customWidth="1"/>
    <col min="5" max="5" width="7.85546875" style="39" customWidth="1"/>
    <col min="6" max="6" width="10.85546875" style="39" customWidth="1"/>
    <col min="7" max="7" width="11.85546875" style="39" customWidth="1"/>
    <col min="8" max="9" width="8.28515625" style="39" customWidth="1"/>
    <col min="10" max="10" width="10.140625" style="2034" customWidth="1"/>
    <col min="11" max="11" width="11.5703125" style="41" bestFit="1" customWidth="1"/>
    <col min="12" max="12" width="3.85546875" style="41" customWidth="1"/>
    <col min="13" max="13" width="9.140625" style="40" customWidth="1"/>
    <col min="14" max="14" width="8.5703125" style="41" customWidth="1"/>
    <col min="15" max="15" width="8.140625" style="41" customWidth="1"/>
    <col min="16" max="16" width="8.5703125" style="41" customWidth="1"/>
    <col min="17" max="17" width="11.42578125" style="41" customWidth="1"/>
    <col min="18" max="19" width="8.5703125" style="1989" customWidth="1"/>
    <col min="20" max="20" width="9.7109375" style="2005" bestFit="1" customWidth="1"/>
    <col min="21" max="21" width="9.140625" style="2005" customWidth="1"/>
    <col min="22" max="22" width="8.7109375" style="2005" customWidth="1"/>
    <col min="23" max="16384" width="9.140625" style="39"/>
  </cols>
  <sheetData>
    <row r="1" spans="2:23 16384:16384" s="31" customFormat="1" ht="18" customHeight="1">
      <c r="B1" s="1624"/>
      <c r="C1" s="1623">
        <f>+Cover!$G$5</f>
        <v>42947</v>
      </c>
      <c r="E1" s="3" t="s">
        <v>0</v>
      </c>
      <c r="I1" s="32"/>
      <c r="J1" s="2023"/>
      <c r="L1" s="34"/>
      <c r="M1" s="33"/>
      <c r="N1" s="35"/>
      <c r="O1" s="35"/>
      <c r="P1" s="35"/>
      <c r="Q1" s="34"/>
      <c r="R1" s="1990"/>
      <c r="S1" s="1991"/>
      <c r="T1" s="1992"/>
      <c r="U1" s="1993"/>
      <c r="V1" s="1993"/>
    </row>
    <row r="2" spans="2:23 16384:16384" s="31" customFormat="1" ht="18.75" customHeight="1">
      <c r="C2" s="30"/>
      <c r="D2" s="288"/>
      <c r="I2" s="32"/>
      <c r="J2" s="2023"/>
      <c r="K2" s="3"/>
      <c r="L2" s="34"/>
      <c r="M2" s="33"/>
      <c r="N2" s="35"/>
      <c r="O2" s="35"/>
      <c r="P2" s="35"/>
      <c r="Q2" s="34"/>
      <c r="R2" s="1990"/>
      <c r="S2" s="1991"/>
      <c r="T2" s="1992"/>
      <c r="U2" s="1993"/>
      <c r="V2" s="1993"/>
    </row>
    <row r="3" spans="2:23 16384:16384" s="31" customFormat="1" ht="9.75" customHeight="1">
      <c r="C3" s="38"/>
      <c r="D3" s="38"/>
      <c r="H3" s="32"/>
      <c r="I3" s="32"/>
      <c r="J3" s="2023"/>
      <c r="K3" s="34"/>
      <c r="L3" s="34"/>
      <c r="M3" s="33"/>
      <c r="N3" s="35"/>
      <c r="O3" s="35"/>
      <c r="P3" s="35"/>
      <c r="Q3" s="34"/>
      <c r="R3" s="1994"/>
      <c r="S3" s="1991"/>
      <c r="T3" s="1995"/>
      <c r="U3" s="1993"/>
      <c r="V3" s="1993"/>
    </row>
    <row r="4" spans="2:23 16384:16384" s="31" customFormat="1" ht="27" customHeight="1">
      <c r="B4" s="298" t="s">
        <v>211</v>
      </c>
      <c r="C4" s="38"/>
      <c r="D4" s="38"/>
      <c r="E4" s="292" t="s">
        <v>210</v>
      </c>
      <c r="F4" s="32"/>
      <c r="G4" s="33"/>
      <c r="H4" s="34"/>
      <c r="I4" s="34"/>
      <c r="J4" s="2023"/>
      <c r="K4" s="35"/>
      <c r="L4" s="35"/>
      <c r="M4" s="2393" t="s">
        <v>208</v>
      </c>
      <c r="N4" s="2393"/>
      <c r="O4" s="2393"/>
      <c r="P4" s="2393"/>
      <c r="Q4" s="36"/>
      <c r="R4" s="1993"/>
      <c r="S4" s="1993"/>
      <c r="T4" s="1993"/>
      <c r="U4" s="1993"/>
      <c r="V4" s="1993"/>
    </row>
    <row r="5" spans="2:23 16384:16384" s="44" customFormat="1" ht="21" customHeight="1">
      <c r="B5" s="1972"/>
      <c r="C5" s="1973"/>
      <c r="D5" s="1973"/>
      <c r="E5" s="2389" t="s">
        <v>373</v>
      </c>
      <c r="F5" s="52" t="s">
        <v>209</v>
      </c>
      <c r="G5" s="51"/>
      <c r="H5" s="163"/>
      <c r="I5" s="49"/>
      <c r="J5" s="2024"/>
      <c r="K5" s="53"/>
      <c r="M5" s="48" t="s">
        <v>88</v>
      </c>
      <c r="N5" s="49"/>
      <c r="O5" s="49"/>
      <c r="P5" s="50"/>
      <c r="Q5" s="2391" t="s">
        <v>505</v>
      </c>
      <c r="R5" s="1996" t="s">
        <v>204</v>
      </c>
      <c r="S5" s="1997"/>
      <c r="T5" s="1997"/>
      <c r="U5" s="1998"/>
      <c r="V5" s="1999"/>
    </row>
    <row r="6" spans="2:23 16384:16384" s="43" customFormat="1" ht="39.75" customHeight="1">
      <c r="B6" s="1970" t="s">
        <v>15</v>
      </c>
      <c r="C6" s="1971" t="s">
        <v>16</v>
      </c>
      <c r="D6" s="1971" t="s">
        <v>20</v>
      </c>
      <c r="E6" s="2390"/>
      <c r="F6" s="2011" t="s">
        <v>256</v>
      </c>
      <c r="G6" s="2011" t="s">
        <v>255</v>
      </c>
      <c r="H6" s="2012" t="s">
        <v>46</v>
      </c>
      <c r="I6" s="2013" t="s">
        <v>693</v>
      </c>
      <c r="J6" s="2025" t="s">
        <v>14</v>
      </c>
      <c r="K6" s="2153" t="s">
        <v>61</v>
      </c>
      <c r="M6" s="2003" t="s">
        <v>18</v>
      </c>
      <c r="N6" s="2003" t="s">
        <v>207</v>
      </c>
      <c r="O6" s="2003" t="s">
        <v>358</v>
      </c>
      <c r="P6" s="2004" t="s">
        <v>359</v>
      </c>
      <c r="Q6" s="2392"/>
      <c r="R6" s="2003" t="s">
        <v>205</v>
      </c>
      <c r="S6" s="2003" t="s">
        <v>206</v>
      </c>
      <c r="T6" s="2003" t="s">
        <v>344</v>
      </c>
      <c r="U6" s="2004" t="s">
        <v>345</v>
      </c>
      <c r="V6" s="2000"/>
    </row>
    <row r="7" spans="2:23 16384:16384" s="42" customFormat="1" ht="15" customHeight="1">
      <c r="B7" s="2007" t="s">
        <v>3516</v>
      </c>
      <c r="C7" s="2009" t="s">
        <v>4064</v>
      </c>
      <c r="D7" s="2009" t="s">
        <v>4037</v>
      </c>
      <c r="E7" s="2148">
        <v>2478.9760000000001</v>
      </c>
      <c r="F7" s="2014">
        <v>1624.2819999999999</v>
      </c>
      <c r="G7" s="2014">
        <v>1577.682</v>
      </c>
      <c r="H7" s="2014">
        <v>74</v>
      </c>
      <c r="I7" s="2020">
        <v>0.17910400000000001</v>
      </c>
      <c r="J7" s="2096">
        <v>15.180205607476999</v>
      </c>
      <c r="K7" s="2099">
        <v>1.445946</v>
      </c>
      <c r="L7" s="156"/>
      <c r="M7" s="2014">
        <v>457</v>
      </c>
      <c r="N7" s="2014">
        <v>372</v>
      </c>
      <c r="O7" s="2014">
        <v>71</v>
      </c>
      <c r="P7" s="2014">
        <v>14</v>
      </c>
      <c r="Q7" s="2014">
        <v>36</v>
      </c>
      <c r="R7" s="2044" t="e">
        <v>#VALUE!</v>
      </c>
      <c r="S7" s="2156" t="e">
        <v>#VALUE!</v>
      </c>
      <c r="T7" s="2044" t="e">
        <v>#VALUE!</v>
      </c>
      <c r="U7" s="2161" t="e">
        <f>IF(T7&gt;0,T7/(O7+P7),0)</f>
        <v>#VALUE!</v>
      </c>
      <c r="V7" s="2001"/>
      <c r="W7" s="2045"/>
      <c r="XFD7" s="42" t="e">
        <f t="shared" ref="XFD7:XFD45" si="0">SUM(E7:XFC7)</f>
        <v>#VALUE!</v>
      </c>
    </row>
    <row r="8" spans="2:23 16384:16384" s="156" customFormat="1" ht="15" customHeight="1">
      <c r="B8" s="2008" t="s">
        <v>3516</v>
      </c>
      <c r="C8" s="2010" t="s">
        <v>4033</v>
      </c>
      <c r="D8" s="2010" t="s">
        <v>4038</v>
      </c>
      <c r="E8" s="2149">
        <v>1926.4290000000001</v>
      </c>
      <c r="F8" s="2015">
        <v>1176.586</v>
      </c>
      <c r="G8" s="2015">
        <v>1165.018</v>
      </c>
      <c r="H8" s="2015">
        <v>58</v>
      </c>
      <c r="I8" s="2021">
        <v>0.16558899999999999</v>
      </c>
      <c r="J8" s="2097">
        <v>14.175734939759</v>
      </c>
      <c r="K8" s="2100">
        <v>1.4310339999999999</v>
      </c>
      <c r="L8" s="42"/>
      <c r="M8" s="2015">
        <v>416</v>
      </c>
      <c r="N8" s="2015">
        <v>294</v>
      </c>
      <c r="O8" s="2015">
        <v>105</v>
      </c>
      <c r="P8" s="2015">
        <v>17</v>
      </c>
      <c r="Q8" s="2015">
        <v>42</v>
      </c>
      <c r="R8" s="2044" t="e">
        <v>#VALUE!</v>
      </c>
      <c r="S8" s="2156" t="e">
        <v>#VALUE!</v>
      </c>
      <c r="T8" s="2044" t="e">
        <v>#VALUE!</v>
      </c>
      <c r="U8" s="2162" t="e">
        <f t="shared" ref="U8:U71" si="1">IF(T8&gt;0,T8/(O8+P8),0)</f>
        <v>#VALUE!</v>
      </c>
      <c r="V8" s="2001"/>
      <c r="W8" s="2045"/>
      <c r="XFD8" s="156" t="e">
        <f t="shared" si="0"/>
        <v>#VALUE!</v>
      </c>
    </row>
    <row r="9" spans="2:23 16384:16384" s="42" customFormat="1" ht="15" customHeight="1">
      <c r="B9" s="2008" t="s">
        <v>3515</v>
      </c>
      <c r="C9" s="2010" t="s">
        <v>4028</v>
      </c>
      <c r="D9" s="2010" t="s">
        <v>698</v>
      </c>
      <c r="E9" s="2149">
        <v>2126.1579999999999</v>
      </c>
      <c r="F9" s="2015">
        <v>1377.107</v>
      </c>
      <c r="G9" s="2015">
        <v>1369.021</v>
      </c>
      <c r="H9" s="2015">
        <v>59</v>
      </c>
      <c r="I9" s="2021">
        <v>0.20738100000000001</v>
      </c>
      <c r="J9" s="2097">
        <v>14.650074468085</v>
      </c>
      <c r="K9" s="2100">
        <v>1.5932200000000001</v>
      </c>
      <c r="L9" s="79"/>
      <c r="M9" s="2015">
        <v>313</v>
      </c>
      <c r="N9" s="2015">
        <v>231</v>
      </c>
      <c r="O9" s="2015">
        <v>53</v>
      </c>
      <c r="P9" s="2015">
        <v>29</v>
      </c>
      <c r="Q9" s="2015">
        <v>34</v>
      </c>
      <c r="R9" s="2044" t="e">
        <v>#VALUE!</v>
      </c>
      <c r="S9" s="2156" t="e">
        <v>#VALUE!</v>
      </c>
      <c r="T9" s="2044" t="e">
        <v>#VALUE!</v>
      </c>
      <c r="U9" s="2162" t="e">
        <f t="shared" si="1"/>
        <v>#VALUE!</v>
      </c>
      <c r="V9" s="2001"/>
      <c r="W9" s="2045"/>
      <c r="XFD9" s="42" t="e">
        <f t="shared" si="0"/>
        <v>#VALUE!</v>
      </c>
    </row>
    <row r="10" spans="2:23 16384:16384" s="156" customFormat="1" ht="15" customHeight="1">
      <c r="B10" s="2008" t="s">
        <v>3514</v>
      </c>
      <c r="C10" s="2010" t="s">
        <v>4067</v>
      </c>
      <c r="D10" s="2010" t="s">
        <v>2054</v>
      </c>
      <c r="E10" s="2149">
        <v>1837.587</v>
      </c>
      <c r="F10" s="2015">
        <v>1042.596</v>
      </c>
      <c r="G10" s="2015">
        <v>1078.2560000000001</v>
      </c>
      <c r="H10" s="2015">
        <v>29</v>
      </c>
      <c r="I10" s="2021">
        <v>0.25514399999999998</v>
      </c>
      <c r="J10" s="2097">
        <v>15.110086956521998</v>
      </c>
      <c r="K10" s="2100">
        <v>2.3793099999999998</v>
      </c>
      <c r="L10" s="42"/>
      <c r="M10" s="2015">
        <v>138</v>
      </c>
      <c r="N10" s="2015">
        <v>105</v>
      </c>
      <c r="O10" s="2015">
        <v>28</v>
      </c>
      <c r="P10" s="2015">
        <v>5</v>
      </c>
      <c r="Q10" s="2015">
        <v>1</v>
      </c>
      <c r="R10" s="2044" t="e">
        <v>#VALUE!</v>
      </c>
      <c r="S10" s="2156" t="e">
        <v>#VALUE!</v>
      </c>
      <c r="T10" s="2044" t="e">
        <v>#VALUE!</v>
      </c>
      <c r="U10" s="2162" t="e">
        <f t="shared" si="1"/>
        <v>#VALUE!</v>
      </c>
      <c r="V10" s="2001"/>
      <c r="W10" s="2045"/>
      <c r="XFD10" s="156" t="e">
        <f t="shared" si="0"/>
        <v>#VALUE!</v>
      </c>
    </row>
    <row r="11" spans="2:23 16384:16384" s="42" customFormat="1" ht="15" customHeight="1">
      <c r="B11" s="2008" t="s">
        <v>3515</v>
      </c>
      <c r="C11" s="2010" t="s">
        <v>4065</v>
      </c>
      <c r="D11" s="2010" t="s">
        <v>4039</v>
      </c>
      <c r="E11" s="2149">
        <v>1051.778</v>
      </c>
      <c r="F11" s="2015">
        <v>702.42600000000004</v>
      </c>
      <c r="G11" s="2015">
        <v>695.22</v>
      </c>
      <c r="H11" s="2015">
        <v>28</v>
      </c>
      <c r="I11" s="2021">
        <v>0.13238800000000001</v>
      </c>
      <c r="J11" s="2097">
        <v>14.335224489796</v>
      </c>
      <c r="K11" s="2100">
        <v>1.75</v>
      </c>
      <c r="M11" s="2015">
        <v>231</v>
      </c>
      <c r="N11" s="2015">
        <v>184</v>
      </c>
      <c r="O11" s="2015">
        <v>43</v>
      </c>
      <c r="P11" s="2015">
        <v>4</v>
      </c>
      <c r="Q11" s="2015">
        <v>11</v>
      </c>
      <c r="R11" s="2044" t="e">
        <v>#VALUE!</v>
      </c>
      <c r="S11" s="2156" t="e">
        <v>#VALUE!</v>
      </c>
      <c r="T11" s="2044" t="e">
        <v>#VALUE!</v>
      </c>
      <c r="U11" s="2162" t="e">
        <f t="shared" si="1"/>
        <v>#VALUE!</v>
      </c>
      <c r="V11" s="2001"/>
      <c r="W11" s="2045"/>
      <c r="XFD11" s="42" t="e">
        <f t="shared" si="0"/>
        <v>#VALUE!</v>
      </c>
    </row>
    <row r="12" spans="2:23 16384:16384" s="156" customFormat="1" ht="15" customHeight="1">
      <c r="B12" s="2008" t="s">
        <v>3515</v>
      </c>
      <c r="C12" s="2010" t="s">
        <v>4029</v>
      </c>
      <c r="D12" s="2010" t="s">
        <v>4041</v>
      </c>
      <c r="E12" s="2149">
        <v>1469.84</v>
      </c>
      <c r="F12" s="2015">
        <v>839.36300000000006</v>
      </c>
      <c r="G12" s="2015">
        <v>826.53099999999995</v>
      </c>
      <c r="H12" s="2015">
        <v>43</v>
      </c>
      <c r="I12" s="2021">
        <v>0.26586100000000001</v>
      </c>
      <c r="J12" s="2097">
        <v>13.323222222222</v>
      </c>
      <c r="K12" s="2100">
        <v>1.4651160000000001</v>
      </c>
      <c r="M12" s="2015">
        <v>178</v>
      </c>
      <c r="N12" s="2015">
        <v>130</v>
      </c>
      <c r="O12" s="2015">
        <v>39</v>
      </c>
      <c r="P12" s="2015">
        <v>9</v>
      </c>
      <c r="Q12" s="2015">
        <v>20</v>
      </c>
      <c r="R12" s="2044" t="e">
        <v>#VALUE!</v>
      </c>
      <c r="S12" s="2156" t="e">
        <v>#VALUE!</v>
      </c>
      <c r="T12" s="2044" t="e">
        <v>#VALUE!</v>
      </c>
      <c r="U12" s="2162" t="e">
        <f t="shared" si="1"/>
        <v>#VALUE!</v>
      </c>
      <c r="V12" s="2001"/>
      <c r="W12" s="2045"/>
      <c r="XFD12" s="156" t="e">
        <f t="shared" si="0"/>
        <v>#VALUE!</v>
      </c>
    </row>
    <row r="13" spans="2:23 16384:16384" s="42" customFormat="1" ht="15" customHeight="1">
      <c r="B13" s="2008" t="s">
        <v>3516</v>
      </c>
      <c r="C13" s="2010" t="s">
        <v>1568</v>
      </c>
      <c r="D13" s="2010" t="s">
        <v>1569</v>
      </c>
      <c r="E13" s="2149">
        <v>3527.8960000000002</v>
      </c>
      <c r="F13" s="2015">
        <v>1514.203</v>
      </c>
      <c r="G13" s="2015">
        <v>1567.3209999999999</v>
      </c>
      <c r="H13" s="2015">
        <v>57</v>
      </c>
      <c r="I13" s="2021">
        <v>0.17404600000000001</v>
      </c>
      <c r="J13" s="2097">
        <v>17.013516853932998</v>
      </c>
      <c r="K13" s="2100">
        <v>1.561404</v>
      </c>
      <c r="L13" s="156"/>
      <c r="M13" s="2015">
        <v>375</v>
      </c>
      <c r="N13" s="2015">
        <v>316</v>
      </c>
      <c r="O13" s="2015">
        <v>53</v>
      </c>
      <c r="P13" s="2015">
        <v>6</v>
      </c>
      <c r="Q13" s="2015">
        <v>43</v>
      </c>
      <c r="R13" s="2044" t="e">
        <v>#VALUE!</v>
      </c>
      <c r="S13" s="2156" t="e">
        <v>#VALUE!</v>
      </c>
      <c r="T13" s="2044" t="e">
        <v>#VALUE!</v>
      </c>
      <c r="U13" s="2162" t="e">
        <f t="shared" si="1"/>
        <v>#VALUE!</v>
      </c>
      <c r="V13" s="2001"/>
      <c r="W13" s="2045"/>
      <c r="XFD13" s="42" t="e">
        <f t="shared" si="0"/>
        <v>#VALUE!</v>
      </c>
    </row>
    <row r="14" spans="2:23 16384:16384" s="156" customFormat="1" ht="15" customHeight="1">
      <c r="B14" s="2008" t="s">
        <v>3514</v>
      </c>
      <c r="C14" s="2010" t="s">
        <v>4068</v>
      </c>
      <c r="D14" s="2010" t="s">
        <v>2054</v>
      </c>
      <c r="E14" s="2149">
        <v>1784.0840000000001</v>
      </c>
      <c r="F14" s="2015">
        <v>884.77599999999995</v>
      </c>
      <c r="G14" s="2015">
        <v>867.65</v>
      </c>
      <c r="H14" s="2015">
        <v>37</v>
      </c>
      <c r="I14" s="2021">
        <v>0.23853199999999999</v>
      </c>
      <c r="J14" s="2097">
        <v>14.746266666666999</v>
      </c>
      <c r="K14" s="2100">
        <v>1.6216219999999999</v>
      </c>
      <c r="M14" s="2015">
        <v>189</v>
      </c>
      <c r="N14" s="2015">
        <v>141</v>
      </c>
      <c r="O14" s="2015">
        <v>42</v>
      </c>
      <c r="P14" s="2015">
        <v>6</v>
      </c>
      <c r="Q14" s="2015">
        <v>1</v>
      </c>
      <c r="R14" s="2044" t="e">
        <v>#VALUE!</v>
      </c>
      <c r="S14" s="2156" t="e">
        <v>#VALUE!</v>
      </c>
      <c r="T14" s="2044" t="e">
        <v>#VALUE!</v>
      </c>
      <c r="U14" s="2162" t="e">
        <f t="shared" si="1"/>
        <v>#VALUE!</v>
      </c>
      <c r="V14" s="2001"/>
      <c r="W14" s="2045"/>
      <c r="XFD14" s="156" t="e">
        <f t="shared" ref="XFD14:XFD20" si="2">SUM(E14:XFC14)</f>
        <v>#VALUE!</v>
      </c>
    </row>
    <row r="15" spans="2:23 16384:16384" s="156" customFormat="1" ht="15" customHeight="1">
      <c r="B15" s="2008" t="s">
        <v>3516</v>
      </c>
      <c r="C15" s="2010" t="s">
        <v>4030</v>
      </c>
      <c r="D15" s="2010" t="s">
        <v>4043</v>
      </c>
      <c r="E15" s="2149">
        <v>404.43700000000001</v>
      </c>
      <c r="F15" s="2015">
        <v>337.17399999999998</v>
      </c>
      <c r="G15" s="2015">
        <v>337.17399999999998</v>
      </c>
      <c r="H15" s="2015">
        <v>23</v>
      </c>
      <c r="I15" s="2021">
        <v>0.15046999999999999</v>
      </c>
      <c r="J15" s="2097">
        <v>12.487925925926</v>
      </c>
      <c r="K15" s="2100">
        <v>1.173913</v>
      </c>
      <c r="M15" s="2015">
        <v>172</v>
      </c>
      <c r="N15" s="2015">
        <v>145</v>
      </c>
      <c r="O15" s="2015">
        <v>26</v>
      </c>
      <c r="P15" s="2015">
        <v>1</v>
      </c>
      <c r="Q15" s="2015">
        <v>46</v>
      </c>
      <c r="R15" s="2044" t="e">
        <v>#VALUE!</v>
      </c>
      <c r="S15" s="2156" t="e">
        <v>#VALUE!</v>
      </c>
      <c r="T15" s="2044" t="e">
        <v>#VALUE!</v>
      </c>
      <c r="U15" s="2162" t="e">
        <f t="shared" si="1"/>
        <v>#VALUE!</v>
      </c>
      <c r="V15" s="2001"/>
      <c r="W15" s="2045"/>
      <c r="XFD15" s="156" t="e">
        <f t="shared" si="2"/>
        <v>#VALUE!</v>
      </c>
    </row>
    <row r="16" spans="2:23 16384:16384" s="156" customFormat="1" ht="15" customHeight="1">
      <c r="B16" s="2008" t="s">
        <v>3515</v>
      </c>
      <c r="C16" s="2010" t="s">
        <v>1100</v>
      </c>
      <c r="D16" s="2010" t="s">
        <v>4070</v>
      </c>
      <c r="E16" s="2149">
        <v>1062.086</v>
      </c>
      <c r="F16" s="2015">
        <v>801.94</v>
      </c>
      <c r="G16" s="2015">
        <v>765.02300000000002</v>
      </c>
      <c r="H16" s="2015">
        <v>18</v>
      </c>
      <c r="I16" s="2021">
        <v>0.19926199999999999</v>
      </c>
      <c r="J16" s="2097">
        <v>14.850740740740999</v>
      </c>
      <c r="K16" s="2100">
        <v>3</v>
      </c>
      <c r="M16" s="2015">
        <v>157</v>
      </c>
      <c r="N16" s="2015">
        <v>117</v>
      </c>
      <c r="O16" s="2015">
        <v>25</v>
      </c>
      <c r="P16" s="2015">
        <v>15</v>
      </c>
      <c r="Q16" s="2015">
        <v>12</v>
      </c>
      <c r="R16" s="2044" t="e">
        <v>#VALUE!</v>
      </c>
      <c r="S16" s="2156" t="e">
        <v>#VALUE!</v>
      </c>
      <c r="T16" s="2044" t="e">
        <v>#VALUE!</v>
      </c>
      <c r="U16" s="2162" t="e">
        <f t="shared" si="1"/>
        <v>#VALUE!</v>
      </c>
      <c r="V16" s="2001"/>
      <c r="W16" s="2045"/>
      <c r="XFD16" s="156" t="e">
        <f t="shared" si="2"/>
        <v>#VALUE!</v>
      </c>
    </row>
    <row r="17" spans="2:23 16384:16384" s="156" customFormat="1" ht="15" customHeight="1">
      <c r="B17" s="2008" t="s">
        <v>3515</v>
      </c>
      <c r="C17" s="2010" t="s">
        <v>1104</v>
      </c>
      <c r="D17" s="2010" t="s">
        <v>1287</v>
      </c>
      <c r="E17" s="2149">
        <v>1030.471</v>
      </c>
      <c r="F17" s="2015">
        <v>699.28800000000001</v>
      </c>
      <c r="G17" s="2015">
        <v>698.85</v>
      </c>
      <c r="H17" s="2015">
        <v>30</v>
      </c>
      <c r="I17" s="2021">
        <v>0.17690400000000001</v>
      </c>
      <c r="J17" s="2097">
        <v>15.201913043478001</v>
      </c>
      <c r="K17" s="2100">
        <v>1.5333330000000001</v>
      </c>
      <c r="M17" s="2015">
        <v>229</v>
      </c>
      <c r="N17" s="2015">
        <v>175</v>
      </c>
      <c r="O17" s="2015">
        <v>40</v>
      </c>
      <c r="P17" s="2015">
        <v>14</v>
      </c>
      <c r="Q17" s="2015">
        <v>35</v>
      </c>
      <c r="R17" s="2044" t="e">
        <v>#VALUE!</v>
      </c>
      <c r="S17" s="2156" t="e">
        <v>#VALUE!</v>
      </c>
      <c r="T17" s="2044" t="e">
        <v>#VALUE!</v>
      </c>
      <c r="U17" s="2162" t="e">
        <f t="shared" si="1"/>
        <v>#VALUE!</v>
      </c>
      <c r="V17" s="2001"/>
      <c r="W17" s="2045"/>
      <c r="XFD17" s="156" t="e">
        <f t="shared" si="2"/>
        <v>#VALUE!</v>
      </c>
    </row>
    <row r="18" spans="2:23 16384:16384" s="156" customFormat="1" ht="15" customHeight="1">
      <c r="B18" s="2008" t="s">
        <v>3516</v>
      </c>
      <c r="C18" s="2010" t="s">
        <v>4020</v>
      </c>
      <c r="D18" s="2010" t="s">
        <v>4022</v>
      </c>
      <c r="E18" s="2149">
        <v>361.12</v>
      </c>
      <c r="F18" s="2015">
        <v>411.411</v>
      </c>
      <c r="G18" s="2015">
        <v>404.79899999999998</v>
      </c>
      <c r="H18" s="2015">
        <v>21</v>
      </c>
      <c r="I18" s="2021">
        <v>0.20657300000000001</v>
      </c>
      <c r="J18" s="2097">
        <v>14.186586206896999</v>
      </c>
      <c r="K18" s="2100">
        <v>1.380952</v>
      </c>
      <c r="M18" s="2015">
        <v>115</v>
      </c>
      <c r="N18" s="2015">
        <v>81</v>
      </c>
      <c r="O18" s="2015">
        <v>33</v>
      </c>
      <c r="P18" s="2015">
        <v>1</v>
      </c>
      <c r="Q18" s="2015">
        <v>4</v>
      </c>
      <c r="R18" s="2044" t="e">
        <v>#VALUE!</v>
      </c>
      <c r="S18" s="2156" t="e">
        <v>#VALUE!</v>
      </c>
      <c r="T18" s="2044" t="e">
        <v>#VALUE!</v>
      </c>
      <c r="U18" s="2162" t="e">
        <f t="shared" si="1"/>
        <v>#VALUE!</v>
      </c>
      <c r="V18" s="2001"/>
      <c r="W18" s="2045"/>
      <c r="XFD18" s="156" t="e">
        <f t="shared" si="2"/>
        <v>#VALUE!</v>
      </c>
    </row>
    <row r="19" spans="2:23 16384:16384" s="156" customFormat="1" ht="15" customHeight="1">
      <c r="B19" s="2008" t="s">
        <v>3516</v>
      </c>
      <c r="C19" s="2010" t="s">
        <v>4172</v>
      </c>
      <c r="D19" s="2010" t="s">
        <v>4038</v>
      </c>
      <c r="E19" s="2149">
        <v>143.73400000000001</v>
      </c>
      <c r="F19" s="2015">
        <v>143.73400000000001</v>
      </c>
      <c r="G19" s="2015">
        <v>143.73400000000001</v>
      </c>
      <c r="H19" s="2015">
        <v>7</v>
      </c>
      <c r="I19" s="2021">
        <v>0.51851899999999995</v>
      </c>
      <c r="J19" s="2097">
        <v>14.3734</v>
      </c>
      <c r="K19" s="2100">
        <v>1.428571</v>
      </c>
      <c r="M19" s="2015">
        <v>27</v>
      </c>
      <c r="N19" s="2015">
        <v>18</v>
      </c>
      <c r="O19" s="2015">
        <v>9</v>
      </c>
      <c r="P19" s="2015">
        <v>0</v>
      </c>
      <c r="Q19" s="2015">
        <v>0</v>
      </c>
      <c r="R19" s="2044" t="e">
        <v>#VALUE!</v>
      </c>
      <c r="S19" s="2156" t="e">
        <v>#VALUE!</v>
      </c>
      <c r="T19" s="2044" t="e">
        <v>#VALUE!</v>
      </c>
      <c r="U19" s="2162" t="e">
        <f t="shared" si="1"/>
        <v>#VALUE!</v>
      </c>
      <c r="V19" s="2001"/>
      <c r="W19" s="2045"/>
      <c r="XFD19" s="156" t="e">
        <f t="shared" si="2"/>
        <v>#VALUE!</v>
      </c>
    </row>
    <row r="20" spans="2:23 16384:16384" s="156" customFormat="1" ht="15" customHeight="1">
      <c r="B20" s="2008" t="s">
        <v>3516</v>
      </c>
      <c r="C20" s="2010" t="s">
        <v>1567</v>
      </c>
      <c r="D20" s="2010" t="s">
        <v>1028</v>
      </c>
      <c r="E20" s="2149">
        <v>1507.2829999999999</v>
      </c>
      <c r="F20" s="2015">
        <v>852.15800000000002</v>
      </c>
      <c r="G20" s="2015">
        <v>854.93</v>
      </c>
      <c r="H20" s="2015">
        <v>26</v>
      </c>
      <c r="I20" s="2021">
        <v>0.18815299999999999</v>
      </c>
      <c r="J20" s="2097">
        <v>19.367227272727</v>
      </c>
      <c r="K20" s="2100">
        <v>1.6923079999999999</v>
      </c>
      <c r="M20" s="2015">
        <v>169</v>
      </c>
      <c r="N20" s="2015">
        <v>125</v>
      </c>
      <c r="O20" s="2015">
        <v>34</v>
      </c>
      <c r="P20" s="2015">
        <v>10</v>
      </c>
      <c r="Q20" s="2015">
        <v>18</v>
      </c>
      <c r="R20" s="2044" t="e">
        <v>#VALUE!</v>
      </c>
      <c r="S20" s="2156" t="e">
        <v>#VALUE!</v>
      </c>
      <c r="T20" s="2044" t="e">
        <v>#VALUE!</v>
      </c>
      <c r="U20" s="2162" t="e">
        <f t="shared" si="1"/>
        <v>#VALUE!</v>
      </c>
      <c r="V20" s="2001"/>
      <c r="W20" s="2045"/>
      <c r="XFD20" s="156" t="e">
        <f t="shared" si="2"/>
        <v>#VALUE!</v>
      </c>
    </row>
    <row r="21" spans="2:23 16384:16384" s="156" customFormat="1" ht="15" customHeight="1">
      <c r="B21" s="2008" t="s">
        <v>3516</v>
      </c>
      <c r="C21" s="2010" t="s">
        <v>4036</v>
      </c>
      <c r="D21" s="2010" t="s">
        <v>4040</v>
      </c>
      <c r="E21" s="2149">
        <v>1306.3150000000001</v>
      </c>
      <c r="F21" s="2015">
        <v>858.44899999999996</v>
      </c>
      <c r="G21" s="2015">
        <v>869.17499999999995</v>
      </c>
      <c r="H21" s="2015">
        <v>33</v>
      </c>
      <c r="I21" s="2021">
        <v>0.19767399999999999</v>
      </c>
      <c r="J21" s="2097">
        <v>15.329446428571</v>
      </c>
      <c r="K21" s="2100">
        <v>1.6969700000000001</v>
      </c>
      <c r="M21" s="2015">
        <v>197</v>
      </c>
      <c r="N21" s="2015">
        <v>150</v>
      </c>
      <c r="O21" s="2015">
        <v>31</v>
      </c>
      <c r="P21" s="2015">
        <v>16</v>
      </c>
      <c r="Q21" s="2015">
        <v>23</v>
      </c>
      <c r="R21" s="2044" t="e">
        <v>#VALUE!</v>
      </c>
      <c r="S21" s="2156" t="e">
        <v>#VALUE!</v>
      </c>
      <c r="T21" s="2044" t="e">
        <v>#VALUE!</v>
      </c>
      <c r="U21" s="2162" t="e">
        <f t="shared" si="1"/>
        <v>#VALUE!</v>
      </c>
      <c r="V21" s="2001"/>
      <c r="W21" s="2045"/>
      <c r="XFD21" s="156" t="e">
        <f t="shared" si="0"/>
        <v>#VALUE!</v>
      </c>
    </row>
    <row r="22" spans="2:23 16384:16384" s="42" customFormat="1" ht="15" customHeight="1">
      <c r="B22" s="2008" t="s">
        <v>3516</v>
      </c>
      <c r="C22" s="2010" t="s">
        <v>4026</v>
      </c>
      <c r="D22" s="2010" t="s">
        <v>4062</v>
      </c>
      <c r="E22" s="2149">
        <v>917.07600000000002</v>
      </c>
      <c r="F22" s="2015">
        <v>724.221</v>
      </c>
      <c r="G22" s="2015">
        <v>712.09199999999998</v>
      </c>
      <c r="H22" s="2015">
        <v>32</v>
      </c>
      <c r="I22" s="2021">
        <v>0.143177</v>
      </c>
      <c r="J22" s="2097">
        <v>16.459568181818</v>
      </c>
      <c r="K22" s="2100">
        <v>1.375</v>
      </c>
      <c r="L22" s="156"/>
      <c r="M22" s="2015">
        <v>261</v>
      </c>
      <c r="N22" s="2015">
        <v>220</v>
      </c>
      <c r="O22" s="2015">
        <v>36</v>
      </c>
      <c r="P22" s="2015">
        <v>5</v>
      </c>
      <c r="Q22" s="2015">
        <v>34</v>
      </c>
      <c r="R22" s="2044" t="e">
        <v>#VALUE!</v>
      </c>
      <c r="S22" s="2156" t="e">
        <v>#VALUE!</v>
      </c>
      <c r="T22" s="2044" t="e">
        <v>#VALUE!</v>
      </c>
      <c r="U22" s="2162" t="e">
        <f t="shared" si="1"/>
        <v>#VALUE!</v>
      </c>
      <c r="V22" s="2001"/>
      <c r="W22" s="2045"/>
      <c r="XFD22" s="42" t="e">
        <f t="shared" si="0"/>
        <v>#VALUE!</v>
      </c>
    </row>
    <row r="23" spans="2:23 16384:16384" s="156" customFormat="1" ht="15" customHeight="1">
      <c r="B23" s="2008" t="s">
        <v>3515</v>
      </c>
      <c r="C23" s="2010" t="s">
        <v>799</v>
      </c>
      <c r="D23" s="2010" t="s">
        <v>800</v>
      </c>
      <c r="E23" s="2149">
        <v>1792.932</v>
      </c>
      <c r="F23" s="2015">
        <v>1191.9670000000001</v>
      </c>
      <c r="G23" s="2015">
        <v>1164.6389999999999</v>
      </c>
      <c r="H23" s="2015">
        <v>35</v>
      </c>
      <c r="I23" s="2021">
        <v>0.229412</v>
      </c>
      <c r="J23" s="2097">
        <v>23.83934</v>
      </c>
      <c r="K23" s="2100">
        <v>1.428571</v>
      </c>
      <c r="L23" s="42"/>
      <c r="M23" s="2015">
        <v>180</v>
      </c>
      <c r="N23" s="2015">
        <v>138</v>
      </c>
      <c r="O23" s="2015">
        <v>35</v>
      </c>
      <c r="P23" s="2015">
        <v>7</v>
      </c>
      <c r="Q23" s="2015">
        <v>9</v>
      </c>
      <c r="R23" s="2044" t="e">
        <v>#VALUE!</v>
      </c>
      <c r="S23" s="2156" t="e">
        <v>#VALUE!</v>
      </c>
      <c r="T23" s="2044" t="e">
        <v>#VALUE!</v>
      </c>
      <c r="U23" s="2162" t="e">
        <f t="shared" si="1"/>
        <v>#VALUE!</v>
      </c>
      <c r="V23" s="2001"/>
      <c r="W23" s="2045"/>
      <c r="XFD23" s="156" t="e">
        <f t="shared" si="0"/>
        <v>#VALUE!</v>
      </c>
    </row>
    <row r="24" spans="2:23 16384:16384" s="42" customFormat="1" ht="15" customHeight="1">
      <c r="B24" s="2008" t="s">
        <v>3513</v>
      </c>
      <c r="C24" s="2010" t="s">
        <v>4066</v>
      </c>
      <c r="D24" s="2010" t="s">
        <v>4141</v>
      </c>
      <c r="E24" s="2149">
        <v>382.54300000000001</v>
      </c>
      <c r="F24" s="2015">
        <v>374.92899999999997</v>
      </c>
      <c r="G24" s="2015">
        <v>378.79500000000002</v>
      </c>
      <c r="H24" s="2015">
        <v>9</v>
      </c>
      <c r="I24" s="2021">
        <v>0.2</v>
      </c>
      <c r="J24" s="2097">
        <v>23.433062499999998</v>
      </c>
      <c r="K24" s="2100">
        <v>1.7777780000000001</v>
      </c>
      <c r="L24" s="156"/>
      <c r="M24" s="2015">
        <v>86</v>
      </c>
      <c r="N24" s="2015">
        <v>68</v>
      </c>
      <c r="O24" s="2015">
        <v>12</v>
      </c>
      <c r="P24" s="2015">
        <v>6</v>
      </c>
      <c r="Q24" s="2015">
        <v>0</v>
      </c>
      <c r="R24" s="2044" t="e">
        <v>#VALUE!</v>
      </c>
      <c r="S24" s="2156" t="e">
        <v>#VALUE!</v>
      </c>
      <c r="T24" s="2044" t="e">
        <v>#VALUE!</v>
      </c>
      <c r="U24" s="2162" t="e">
        <f t="shared" si="1"/>
        <v>#VALUE!</v>
      </c>
      <c r="V24" s="2001"/>
      <c r="W24" s="2045"/>
      <c r="XFD24" s="42" t="e">
        <f t="shared" si="0"/>
        <v>#VALUE!</v>
      </c>
    </row>
    <row r="25" spans="2:23 16384:16384" s="156" customFormat="1" ht="15" customHeight="1">
      <c r="B25" s="2008" t="s">
        <v>3516</v>
      </c>
      <c r="C25" s="2010" t="s">
        <v>4034</v>
      </c>
      <c r="D25" s="2010" t="s">
        <v>4037</v>
      </c>
      <c r="E25" s="2149">
        <v>814.43299999999999</v>
      </c>
      <c r="F25" s="2015">
        <v>432.572</v>
      </c>
      <c r="G25" s="2015">
        <v>439.92599999999999</v>
      </c>
      <c r="H25" s="2015">
        <v>22</v>
      </c>
      <c r="I25" s="2021">
        <v>0.13078999999999999</v>
      </c>
      <c r="J25" s="2097">
        <v>13.517875</v>
      </c>
      <c r="K25" s="2100">
        <v>1.454545</v>
      </c>
      <c r="M25" s="2015">
        <v>175</v>
      </c>
      <c r="N25" s="2015">
        <v>135</v>
      </c>
      <c r="O25" s="2015">
        <v>33</v>
      </c>
      <c r="P25" s="2015">
        <v>7</v>
      </c>
      <c r="Q25" s="2015">
        <v>52</v>
      </c>
      <c r="R25" s="2044" t="e">
        <v>#VALUE!</v>
      </c>
      <c r="S25" s="2156" t="e">
        <v>#VALUE!</v>
      </c>
      <c r="T25" s="2044" t="e">
        <v>#VALUE!</v>
      </c>
      <c r="U25" s="2162" t="e">
        <f t="shared" si="1"/>
        <v>#VALUE!</v>
      </c>
      <c r="V25" s="2001"/>
      <c r="W25" s="2045"/>
      <c r="XFD25" s="156" t="e">
        <f t="shared" si="0"/>
        <v>#VALUE!</v>
      </c>
    </row>
    <row r="26" spans="2:23 16384:16384" s="42" customFormat="1" ht="15" customHeight="1">
      <c r="B26" s="2008" t="s">
        <v>3514</v>
      </c>
      <c r="C26" s="2010" t="s">
        <v>4173</v>
      </c>
      <c r="D26" s="2010" t="s">
        <v>4177</v>
      </c>
      <c r="E26" s="2149">
        <v>295.738</v>
      </c>
      <c r="F26" s="2015">
        <v>295.738</v>
      </c>
      <c r="G26" s="2015">
        <v>295.738</v>
      </c>
      <c r="H26" s="2015">
        <v>16</v>
      </c>
      <c r="I26" s="2021">
        <v>0.88888900000000004</v>
      </c>
      <c r="J26" s="2097">
        <v>11.82952</v>
      </c>
      <c r="K26" s="2100">
        <v>1.5625</v>
      </c>
      <c r="M26" s="2015">
        <v>36</v>
      </c>
      <c r="N26" s="2015">
        <v>27</v>
      </c>
      <c r="O26" s="2015">
        <v>9</v>
      </c>
      <c r="P26" s="2015">
        <v>0</v>
      </c>
      <c r="Q26" s="2015">
        <v>0</v>
      </c>
      <c r="R26" s="2044" t="e">
        <v>#VALUE!</v>
      </c>
      <c r="S26" s="2156" t="e">
        <v>#VALUE!</v>
      </c>
      <c r="T26" s="2044" t="e">
        <v>#VALUE!</v>
      </c>
      <c r="U26" s="2162" t="e">
        <f t="shared" si="1"/>
        <v>#VALUE!</v>
      </c>
      <c r="V26" s="2001"/>
      <c r="W26" s="2045"/>
      <c r="XFD26" s="42" t="e">
        <f t="shared" si="0"/>
        <v>#VALUE!</v>
      </c>
    </row>
    <row r="27" spans="2:23 16384:16384" s="156" customFormat="1" ht="15" customHeight="1">
      <c r="B27" s="2008" t="s">
        <v>3514</v>
      </c>
      <c r="C27" s="2010" t="s">
        <v>2046</v>
      </c>
      <c r="D27" s="2010" t="s">
        <v>2054</v>
      </c>
      <c r="E27" s="2149">
        <v>1531.223</v>
      </c>
      <c r="F27" s="2015">
        <v>1139.57</v>
      </c>
      <c r="G27" s="2015">
        <v>1142.42</v>
      </c>
      <c r="H27" s="2015">
        <v>48</v>
      </c>
      <c r="I27" s="2021">
        <v>0.296296</v>
      </c>
      <c r="J27" s="2097">
        <v>16.758382352941002</v>
      </c>
      <c r="K27" s="2100">
        <v>1.4166669999999999</v>
      </c>
      <c r="M27" s="2015">
        <v>177</v>
      </c>
      <c r="N27" s="2015">
        <v>132</v>
      </c>
      <c r="O27" s="2015">
        <v>42</v>
      </c>
      <c r="P27" s="2015">
        <v>3</v>
      </c>
      <c r="Q27" s="2015">
        <v>2</v>
      </c>
      <c r="R27" s="2044" t="e">
        <v>#VALUE!</v>
      </c>
      <c r="S27" s="2156" t="e">
        <v>#VALUE!</v>
      </c>
      <c r="T27" s="2044" t="e">
        <v>#VALUE!</v>
      </c>
      <c r="U27" s="2162" t="e">
        <f t="shared" si="1"/>
        <v>#VALUE!</v>
      </c>
      <c r="V27" s="2001"/>
      <c r="W27" s="2045"/>
      <c r="XFD27" s="156" t="e">
        <f t="shared" si="0"/>
        <v>#VALUE!</v>
      </c>
    </row>
    <row r="28" spans="2:23 16384:16384" s="42" customFormat="1" ht="15" customHeight="1">
      <c r="B28" s="2008" t="s">
        <v>3515</v>
      </c>
      <c r="C28" s="2010" t="s">
        <v>4032</v>
      </c>
      <c r="D28" s="2010" t="s">
        <v>824</v>
      </c>
      <c r="E28" s="2149">
        <v>1277.145</v>
      </c>
      <c r="F28" s="2015">
        <v>882.15300000000002</v>
      </c>
      <c r="G28" s="2015">
        <v>848.15300000000002</v>
      </c>
      <c r="H28" s="2015">
        <v>49</v>
      </c>
      <c r="I28" s="2021">
        <v>0.23696700000000001</v>
      </c>
      <c r="J28" s="2097">
        <v>14.228274193548</v>
      </c>
      <c r="K28" s="2100">
        <v>1.265306</v>
      </c>
      <c r="M28" s="2015">
        <v>241</v>
      </c>
      <c r="N28" s="2015">
        <v>199</v>
      </c>
      <c r="O28" s="2015">
        <v>32</v>
      </c>
      <c r="P28" s="2015">
        <v>10</v>
      </c>
      <c r="Q28" s="2015">
        <v>40</v>
      </c>
      <c r="R28" s="2044" t="e">
        <v>#VALUE!</v>
      </c>
      <c r="S28" s="2156" t="e">
        <v>#VALUE!</v>
      </c>
      <c r="T28" s="2044" t="e">
        <v>#VALUE!</v>
      </c>
      <c r="U28" s="2162" t="e">
        <f t="shared" si="1"/>
        <v>#VALUE!</v>
      </c>
      <c r="V28" s="2001"/>
      <c r="W28" s="2045"/>
      <c r="XFD28" s="42" t="e">
        <f t="shared" si="0"/>
        <v>#VALUE!</v>
      </c>
    </row>
    <row r="29" spans="2:23 16384:16384" s="156" customFormat="1" ht="15" customHeight="1">
      <c r="B29" s="2008" t="s">
        <v>3516</v>
      </c>
      <c r="C29" s="2010" t="s">
        <v>3520</v>
      </c>
      <c r="D29" s="2010" t="s">
        <v>3521</v>
      </c>
      <c r="E29" s="2149">
        <v>1458.184</v>
      </c>
      <c r="F29" s="2015">
        <v>903.68100000000004</v>
      </c>
      <c r="G29" s="2015">
        <v>923.64200000000005</v>
      </c>
      <c r="H29" s="2015">
        <v>29</v>
      </c>
      <c r="I29" s="2021">
        <v>0.31958799999999998</v>
      </c>
      <c r="J29" s="2097">
        <v>20.081800000000001</v>
      </c>
      <c r="K29" s="2100">
        <v>1.5517240000000001</v>
      </c>
      <c r="M29" s="2015">
        <v>107</v>
      </c>
      <c r="N29" s="2015">
        <v>80</v>
      </c>
      <c r="O29" s="2015">
        <v>16</v>
      </c>
      <c r="P29" s="2015">
        <v>11</v>
      </c>
      <c r="Q29" s="2015">
        <v>6</v>
      </c>
      <c r="R29" s="2044" t="e">
        <v>#VALUE!</v>
      </c>
      <c r="S29" s="2156" t="e">
        <v>#VALUE!</v>
      </c>
      <c r="T29" s="2044" t="e">
        <v>#VALUE!</v>
      </c>
      <c r="U29" s="2162" t="e">
        <f t="shared" si="1"/>
        <v>#VALUE!</v>
      </c>
      <c r="V29" s="2001"/>
      <c r="W29" s="2045"/>
      <c r="XFD29" s="156" t="e">
        <f t="shared" si="0"/>
        <v>#VALUE!</v>
      </c>
    </row>
    <row r="30" spans="2:23 16384:16384" s="42" customFormat="1" ht="15" customHeight="1">
      <c r="B30" s="2008" t="s">
        <v>3516</v>
      </c>
      <c r="C30" s="2010" t="s">
        <v>177</v>
      </c>
      <c r="D30" s="2010" t="s">
        <v>4061</v>
      </c>
      <c r="E30" s="2149">
        <v>1226.174</v>
      </c>
      <c r="F30" s="2015">
        <v>720.91399999999999</v>
      </c>
      <c r="G30" s="2015">
        <v>720.91399999999999</v>
      </c>
      <c r="H30" s="2015">
        <v>15</v>
      </c>
      <c r="I30" s="2021">
        <v>0.217143</v>
      </c>
      <c r="J30" s="2097">
        <v>30.038083333332999</v>
      </c>
      <c r="K30" s="2100">
        <v>1.6</v>
      </c>
      <c r="M30" s="2015">
        <v>102</v>
      </c>
      <c r="N30" s="2015">
        <v>81</v>
      </c>
      <c r="O30" s="2015">
        <v>15</v>
      </c>
      <c r="P30" s="2015">
        <v>6</v>
      </c>
      <c r="Q30" s="2015">
        <v>13</v>
      </c>
      <c r="R30" s="2044" t="e">
        <v>#VALUE!</v>
      </c>
      <c r="S30" s="2156" t="e">
        <v>#VALUE!</v>
      </c>
      <c r="T30" s="2044" t="e">
        <v>#VALUE!</v>
      </c>
      <c r="U30" s="2162" t="e">
        <f t="shared" si="1"/>
        <v>#VALUE!</v>
      </c>
      <c r="V30" s="2001"/>
      <c r="W30" s="2045"/>
      <c r="XFD30" s="42" t="e">
        <f t="shared" si="0"/>
        <v>#VALUE!</v>
      </c>
    </row>
    <row r="31" spans="2:23 16384:16384" s="156" customFormat="1" ht="15" customHeight="1">
      <c r="B31" s="2008" t="s">
        <v>3516</v>
      </c>
      <c r="C31" s="2010" t="s">
        <v>3170</v>
      </c>
      <c r="D31" s="2010" t="s">
        <v>190</v>
      </c>
      <c r="E31" s="2149">
        <v>608.44500000000005</v>
      </c>
      <c r="F31" s="2015">
        <v>471.553</v>
      </c>
      <c r="G31" s="2015">
        <v>459.72500000000002</v>
      </c>
      <c r="H31" s="2015">
        <v>14</v>
      </c>
      <c r="I31" s="2021">
        <v>0.160804</v>
      </c>
      <c r="J31" s="2097">
        <v>21.434227272727</v>
      </c>
      <c r="K31" s="2100">
        <v>1.571429</v>
      </c>
      <c r="L31" s="42"/>
      <c r="M31" s="2015">
        <v>134</v>
      </c>
      <c r="N31" s="2015">
        <v>114</v>
      </c>
      <c r="O31" s="2015">
        <v>13</v>
      </c>
      <c r="P31" s="2015">
        <v>7</v>
      </c>
      <c r="Q31" s="2015">
        <v>8</v>
      </c>
      <c r="R31" s="2044" t="e">
        <v>#VALUE!</v>
      </c>
      <c r="S31" s="2156" t="e">
        <v>#VALUE!</v>
      </c>
      <c r="T31" s="2044" t="e">
        <v>#VALUE!</v>
      </c>
      <c r="U31" s="2162" t="e">
        <f t="shared" si="1"/>
        <v>#VALUE!</v>
      </c>
      <c r="V31" s="2001"/>
      <c r="W31" s="2045"/>
      <c r="XFD31" s="156" t="e">
        <f t="shared" si="0"/>
        <v>#VALUE!</v>
      </c>
    </row>
    <row r="32" spans="2:23 16384:16384" s="42" customFormat="1" ht="15" customHeight="1">
      <c r="B32" s="2008" t="s">
        <v>3513</v>
      </c>
      <c r="C32" s="2010" t="s">
        <v>4044</v>
      </c>
      <c r="D32" s="2010" t="s">
        <v>4045</v>
      </c>
      <c r="E32" s="2149">
        <v>648.85199999999998</v>
      </c>
      <c r="F32" s="2015">
        <v>496.92399999999998</v>
      </c>
      <c r="G32" s="2015">
        <v>476.99799999999999</v>
      </c>
      <c r="H32" s="2015">
        <v>23</v>
      </c>
      <c r="I32" s="2021">
        <v>0.25555600000000001</v>
      </c>
      <c r="J32" s="2097">
        <v>15.528874999999999</v>
      </c>
      <c r="K32" s="2100">
        <v>1.3913040000000001</v>
      </c>
      <c r="M32" s="2015">
        <v>98</v>
      </c>
      <c r="N32" s="2015">
        <v>80</v>
      </c>
      <c r="O32" s="2015">
        <v>16</v>
      </c>
      <c r="P32" s="2015">
        <v>2</v>
      </c>
      <c r="Q32" s="2015">
        <v>6</v>
      </c>
      <c r="R32" s="2044" t="e">
        <v>#VALUE!</v>
      </c>
      <c r="S32" s="2156" t="e">
        <v>#VALUE!</v>
      </c>
      <c r="T32" s="2044" t="e">
        <v>#VALUE!</v>
      </c>
      <c r="U32" s="2162" t="e">
        <f t="shared" si="1"/>
        <v>#VALUE!</v>
      </c>
      <c r="V32" s="2001"/>
      <c r="W32" s="2045"/>
      <c r="XFD32" s="42" t="e">
        <f t="shared" si="0"/>
        <v>#VALUE!</v>
      </c>
    </row>
    <row r="33" spans="2:23 16384:16384" s="156" customFormat="1" ht="15" customHeight="1">
      <c r="B33" s="2008" t="s">
        <v>1675</v>
      </c>
      <c r="C33" s="2010" t="s">
        <v>4054</v>
      </c>
      <c r="D33" s="2010" t="s">
        <v>4140</v>
      </c>
      <c r="E33" s="2149">
        <v>751.81399999999996</v>
      </c>
      <c r="F33" s="2015">
        <v>474.69</v>
      </c>
      <c r="G33" s="2015">
        <v>561.24199999999996</v>
      </c>
      <c r="H33" s="2015">
        <v>18</v>
      </c>
      <c r="I33" s="2021">
        <v>0.22092999999999999</v>
      </c>
      <c r="J33" s="2097">
        <v>18.9876</v>
      </c>
      <c r="K33" s="2100">
        <v>1.388889</v>
      </c>
      <c r="L33" s="42"/>
      <c r="M33" s="2015">
        <v>89</v>
      </c>
      <c r="N33" s="2015">
        <v>72</v>
      </c>
      <c r="O33" s="2015">
        <v>17</v>
      </c>
      <c r="P33" s="2015">
        <v>0</v>
      </c>
      <c r="Q33" s="2015">
        <v>9</v>
      </c>
      <c r="R33" s="2044" t="e">
        <v>#VALUE!</v>
      </c>
      <c r="S33" s="2156" t="e">
        <v>#VALUE!</v>
      </c>
      <c r="T33" s="2044" t="e">
        <v>#VALUE!</v>
      </c>
      <c r="U33" s="2162" t="e">
        <f t="shared" si="1"/>
        <v>#VALUE!</v>
      </c>
      <c r="V33" s="2001"/>
      <c r="W33" s="2045"/>
      <c r="XFD33" s="156" t="e">
        <f t="shared" si="0"/>
        <v>#VALUE!</v>
      </c>
    </row>
    <row r="34" spans="2:23 16384:16384" s="42" customFormat="1" ht="15" customHeight="1">
      <c r="B34" s="2008" t="s">
        <v>1154</v>
      </c>
      <c r="C34" s="2010" t="s">
        <v>903</v>
      </c>
      <c r="D34" s="2010" t="s">
        <v>904</v>
      </c>
      <c r="E34" s="2149">
        <v>779.75130000000001</v>
      </c>
      <c r="F34" s="2015">
        <v>433.685</v>
      </c>
      <c r="G34" s="2015">
        <v>462.86329999999998</v>
      </c>
      <c r="H34" s="2015">
        <v>19</v>
      </c>
      <c r="I34" s="2021">
        <v>0.20588200000000001</v>
      </c>
      <c r="J34" s="2097">
        <v>13.989838709676999</v>
      </c>
      <c r="K34" s="2100">
        <v>1.6315789999999999</v>
      </c>
      <c r="M34" s="2015">
        <v>114</v>
      </c>
      <c r="N34" s="2015">
        <v>86</v>
      </c>
      <c r="O34" s="2015">
        <v>27</v>
      </c>
      <c r="P34" s="2015">
        <v>1</v>
      </c>
      <c r="Q34" s="2015">
        <v>9</v>
      </c>
      <c r="R34" s="2044" t="e">
        <v>#VALUE!</v>
      </c>
      <c r="S34" s="2156" t="e">
        <v>#VALUE!</v>
      </c>
      <c r="T34" s="2044" t="e">
        <v>#VALUE!</v>
      </c>
      <c r="U34" s="2162" t="e">
        <f t="shared" si="1"/>
        <v>#VALUE!</v>
      </c>
      <c r="V34" s="2001"/>
      <c r="W34" s="2045"/>
      <c r="XFD34" s="42" t="e">
        <f t="shared" si="0"/>
        <v>#VALUE!</v>
      </c>
    </row>
    <row r="35" spans="2:23 16384:16384" s="156" customFormat="1" ht="15" customHeight="1">
      <c r="B35" s="2008" t="s">
        <v>3515</v>
      </c>
      <c r="C35" s="2010" t="s">
        <v>1419</v>
      </c>
      <c r="D35" s="2010" t="s">
        <v>1420</v>
      </c>
      <c r="E35" s="2149">
        <v>904.34799999999996</v>
      </c>
      <c r="F35" s="2015">
        <v>513.83500000000004</v>
      </c>
      <c r="G35" s="2015">
        <v>529.87900000000002</v>
      </c>
      <c r="H35" s="2015">
        <v>24</v>
      </c>
      <c r="I35" s="2021">
        <v>0.123752</v>
      </c>
      <c r="J35" s="2097">
        <v>13.887432432432</v>
      </c>
      <c r="K35" s="2100">
        <v>1.5416669999999999</v>
      </c>
      <c r="L35" s="42"/>
      <c r="M35" s="2015">
        <v>298</v>
      </c>
      <c r="N35" s="2015">
        <v>250</v>
      </c>
      <c r="O35" s="2015">
        <v>29</v>
      </c>
      <c r="P35" s="2015">
        <v>19</v>
      </c>
      <c r="Q35" s="2015">
        <v>28</v>
      </c>
      <c r="R35" s="2044" t="e">
        <v>#VALUE!</v>
      </c>
      <c r="S35" s="2156" t="e">
        <v>#VALUE!</v>
      </c>
      <c r="T35" s="2044" t="e">
        <v>#VALUE!</v>
      </c>
      <c r="U35" s="2162" t="e">
        <f t="shared" si="1"/>
        <v>#VALUE!</v>
      </c>
      <c r="V35" s="2001"/>
      <c r="W35" s="2045"/>
      <c r="XFD35" s="156" t="e">
        <f t="shared" si="0"/>
        <v>#VALUE!</v>
      </c>
    </row>
    <row r="36" spans="2:23 16384:16384" s="42" customFormat="1" ht="15" customHeight="1">
      <c r="B36" s="2008" t="s">
        <v>3516</v>
      </c>
      <c r="C36" s="2010" t="s">
        <v>4055</v>
      </c>
      <c r="D36" s="2010" t="s">
        <v>4061</v>
      </c>
      <c r="E36" s="2149">
        <v>319.74400000000003</v>
      </c>
      <c r="F36" s="2015">
        <v>296.38400000000001</v>
      </c>
      <c r="G36" s="2015">
        <v>244.82900000000001</v>
      </c>
      <c r="H36" s="2015">
        <v>11</v>
      </c>
      <c r="I36" s="2021">
        <v>0.106796</v>
      </c>
      <c r="J36" s="2097">
        <v>19.758933333333001</v>
      </c>
      <c r="K36" s="2100">
        <v>1.3636360000000001</v>
      </c>
      <c r="L36" s="156"/>
      <c r="M36" s="2015">
        <v>105</v>
      </c>
      <c r="N36" s="2015">
        <v>70</v>
      </c>
      <c r="O36" s="2015">
        <v>35</v>
      </c>
      <c r="P36" s="2015">
        <v>0</v>
      </c>
      <c r="Q36" s="2015">
        <v>19</v>
      </c>
      <c r="R36" s="2044" t="e">
        <v>#VALUE!</v>
      </c>
      <c r="S36" s="2156" t="e">
        <v>#VALUE!</v>
      </c>
      <c r="T36" s="2044" t="e">
        <v>#VALUE!</v>
      </c>
      <c r="U36" s="2162" t="e">
        <f t="shared" si="1"/>
        <v>#VALUE!</v>
      </c>
      <c r="V36" s="2001"/>
      <c r="W36" s="2045"/>
      <c r="XFD36" s="42" t="e">
        <f t="shared" si="0"/>
        <v>#VALUE!</v>
      </c>
    </row>
    <row r="37" spans="2:23 16384:16384" s="156" customFormat="1" ht="15" customHeight="1">
      <c r="B37" s="2008" t="s">
        <v>3515</v>
      </c>
      <c r="C37" s="2010" t="s">
        <v>4027</v>
      </c>
      <c r="D37" s="2010" t="s">
        <v>4060</v>
      </c>
      <c r="E37" s="2149">
        <v>1402.0889999999999</v>
      </c>
      <c r="F37" s="2015">
        <v>894.24699999999996</v>
      </c>
      <c r="G37" s="2015">
        <v>889.99699999999996</v>
      </c>
      <c r="H37" s="2015">
        <v>50</v>
      </c>
      <c r="I37" s="2021">
        <v>0.188748</v>
      </c>
      <c r="J37" s="2097">
        <v>12.960101449274999</v>
      </c>
      <c r="K37" s="2100">
        <v>1.38</v>
      </c>
      <c r="L37" s="42"/>
      <c r="M37" s="2015">
        <v>319</v>
      </c>
      <c r="N37" s="2015">
        <v>269</v>
      </c>
      <c r="O37" s="2015">
        <v>44</v>
      </c>
      <c r="P37" s="2015">
        <v>6</v>
      </c>
      <c r="Q37" s="2015">
        <v>9</v>
      </c>
      <c r="R37" s="2044" t="e">
        <v>#VALUE!</v>
      </c>
      <c r="S37" s="2156" t="e">
        <v>#VALUE!</v>
      </c>
      <c r="T37" s="2044" t="e">
        <v>#VALUE!</v>
      </c>
      <c r="U37" s="2162" t="e">
        <f t="shared" si="1"/>
        <v>#VALUE!</v>
      </c>
      <c r="V37" s="2001"/>
      <c r="W37" s="2045"/>
      <c r="XFD37" s="156" t="e">
        <f t="shared" si="0"/>
        <v>#VALUE!</v>
      </c>
    </row>
    <row r="38" spans="2:23 16384:16384" s="42" customFormat="1" ht="15" customHeight="1">
      <c r="B38" s="2008" t="s">
        <v>1154</v>
      </c>
      <c r="C38" s="2010" t="s">
        <v>4069</v>
      </c>
      <c r="D38" s="2010" t="s">
        <v>1014</v>
      </c>
      <c r="E38" s="2149">
        <v>791.29300000000001</v>
      </c>
      <c r="F38" s="2015">
        <v>490.46600000000001</v>
      </c>
      <c r="G38" s="2015">
        <v>532.90899999999999</v>
      </c>
      <c r="H38" s="2015">
        <v>15</v>
      </c>
      <c r="I38" s="2021">
        <v>0.21118000000000001</v>
      </c>
      <c r="J38" s="2097">
        <v>22.293909090909001</v>
      </c>
      <c r="K38" s="2100">
        <v>1.4666669999999999</v>
      </c>
      <c r="L38" s="156"/>
      <c r="M38" s="2015">
        <v>94</v>
      </c>
      <c r="N38" s="2015">
        <v>78</v>
      </c>
      <c r="O38" s="2015">
        <v>14</v>
      </c>
      <c r="P38" s="2015">
        <v>2</v>
      </c>
      <c r="Q38" s="2015">
        <v>0</v>
      </c>
      <c r="R38" s="2044" t="e">
        <v>#VALUE!</v>
      </c>
      <c r="S38" s="2156" t="e">
        <v>#VALUE!</v>
      </c>
      <c r="T38" s="2044" t="e">
        <v>#VALUE!</v>
      </c>
      <c r="U38" s="2162" t="e">
        <f t="shared" si="1"/>
        <v>#VALUE!</v>
      </c>
      <c r="V38" s="2001"/>
      <c r="W38" s="2045"/>
      <c r="XFD38" s="42" t="e">
        <f t="shared" si="0"/>
        <v>#VALUE!</v>
      </c>
    </row>
    <row r="39" spans="2:23 16384:16384" s="156" customFormat="1" ht="15" customHeight="1">
      <c r="B39" s="2008" t="s">
        <v>3515</v>
      </c>
      <c r="C39" s="2010" t="s">
        <v>4046</v>
      </c>
      <c r="D39" s="2010" t="s">
        <v>824</v>
      </c>
      <c r="E39" s="2149">
        <v>1186.28</v>
      </c>
      <c r="F39" s="2015">
        <v>683.76900000000001</v>
      </c>
      <c r="G39" s="2015">
        <v>683.69799999999998</v>
      </c>
      <c r="H39" s="2015">
        <v>22</v>
      </c>
      <c r="I39" s="2021">
        <v>0.217195</v>
      </c>
      <c r="J39" s="2097">
        <v>17.993921052632</v>
      </c>
      <c r="K39" s="2100">
        <v>1.7272730000000001</v>
      </c>
      <c r="M39" s="2015">
        <v>127</v>
      </c>
      <c r="N39" s="2015">
        <v>95</v>
      </c>
      <c r="O39" s="2015">
        <v>29</v>
      </c>
      <c r="P39" s="2015">
        <v>3</v>
      </c>
      <c r="Q39" s="2015">
        <v>19</v>
      </c>
      <c r="R39" s="2044" t="e">
        <v>#VALUE!</v>
      </c>
      <c r="S39" s="2156" t="e">
        <v>#VALUE!</v>
      </c>
      <c r="T39" s="2044" t="e">
        <v>#VALUE!</v>
      </c>
      <c r="U39" s="2162" t="e">
        <f t="shared" si="1"/>
        <v>#VALUE!</v>
      </c>
      <c r="V39" s="2001"/>
      <c r="W39" s="2045"/>
      <c r="XFD39" s="156" t="e">
        <f t="shared" si="0"/>
        <v>#VALUE!</v>
      </c>
    </row>
    <row r="40" spans="2:23 16384:16384" s="42" customFormat="1" ht="15" customHeight="1">
      <c r="B40" s="2008" t="s">
        <v>1675</v>
      </c>
      <c r="C40" s="2010" t="s">
        <v>4056</v>
      </c>
      <c r="D40" s="2010" t="s">
        <v>4042</v>
      </c>
      <c r="E40" s="2149">
        <v>747.39800000000002</v>
      </c>
      <c r="F40" s="2015">
        <v>354</v>
      </c>
      <c r="G40" s="2015">
        <v>343.90800000000002</v>
      </c>
      <c r="H40" s="2015">
        <v>18</v>
      </c>
      <c r="I40" s="2021">
        <v>0.21301800000000001</v>
      </c>
      <c r="J40" s="2097">
        <v>16.090909090909001</v>
      </c>
      <c r="K40" s="2100">
        <v>1.2222219999999999</v>
      </c>
      <c r="L40" s="156"/>
      <c r="M40" s="2015">
        <v>95</v>
      </c>
      <c r="N40" s="2015">
        <v>83</v>
      </c>
      <c r="O40" s="2015">
        <v>12</v>
      </c>
      <c r="P40" s="2015">
        <v>0</v>
      </c>
      <c r="Q40" s="2015">
        <v>0</v>
      </c>
      <c r="R40" s="2044" t="e">
        <v>#VALUE!</v>
      </c>
      <c r="S40" s="2156" t="e">
        <v>#VALUE!</v>
      </c>
      <c r="T40" s="2044" t="e">
        <v>#VALUE!</v>
      </c>
      <c r="U40" s="2162" t="e">
        <f t="shared" si="1"/>
        <v>#VALUE!</v>
      </c>
      <c r="V40" s="2001"/>
      <c r="W40" s="2045"/>
      <c r="XFD40" s="42" t="e">
        <f t="shared" si="0"/>
        <v>#VALUE!</v>
      </c>
    </row>
    <row r="41" spans="2:23 16384:16384" s="156" customFormat="1" ht="15" customHeight="1">
      <c r="B41" s="2008" t="s">
        <v>1154</v>
      </c>
      <c r="C41" s="2010" t="s">
        <v>4053</v>
      </c>
      <c r="D41" s="2010" t="s">
        <v>644</v>
      </c>
      <c r="E41" s="2149">
        <v>10255.708000000001</v>
      </c>
      <c r="F41" s="2015">
        <v>7202.3980000000001</v>
      </c>
      <c r="G41" s="2015">
        <v>6962.9319999999998</v>
      </c>
      <c r="H41" s="2015">
        <v>103</v>
      </c>
      <c r="I41" s="2021">
        <v>0.88034199999999996</v>
      </c>
      <c r="J41" s="2097">
        <v>38.515497326203004</v>
      </c>
      <c r="K41" s="2100">
        <v>1.815534</v>
      </c>
      <c r="M41" s="2015">
        <v>149</v>
      </c>
      <c r="N41" s="2015">
        <v>123</v>
      </c>
      <c r="O41" s="2015">
        <v>15</v>
      </c>
      <c r="P41" s="2015">
        <v>11</v>
      </c>
      <c r="Q41" s="2015">
        <v>0</v>
      </c>
      <c r="R41" s="2044" t="e">
        <v>#VALUE!</v>
      </c>
      <c r="S41" s="2156" t="e">
        <v>#VALUE!</v>
      </c>
      <c r="T41" s="2044" t="e">
        <v>#VALUE!</v>
      </c>
      <c r="U41" s="2162" t="e">
        <f t="shared" si="1"/>
        <v>#VALUE!</v>
      </c>
      <c r="V41" s="2001"/>
      <c r="W41" s="2045"/>
      <c r="XFD41" s="156" t="e">
        <f t="shared" si="0"/>
        <v>#VALUE!</v>
      </c>
    </row>
    <row r="42" spans="2:23 16384:16384" s="42" customFormat="1" ht="15" customHeight="1">
      <c r="B42" s="2008" t="s">
        <v>3516</v>
      </c>
      <c r="C42" s="2010" t="s">
        <v>3173</v>
      </c>
      <c r="D42" s="2010" t="s">
        <v>188</v>
      </c>
      <c r="E42" s="2149">
        <v>617.29</v>
      </c>
      <c r="F42" s="2015">
        <v>353.02499999999998</v>
      </c>
      <c r="G42" s="2015">
        <v>357.05399999999997</v>
      </c>
      <c r="H42" s="2015">
        <v>15</v>
      </c>
      <c r="I42" s="2021">
        <v>7.8703999999999996E-2</v>
      </c>
      <c r="J42" s="2097">
        <v>14.121</v>
      </c>
      <c r="K42" s="2100">
        <v>1.6666669999999999</v>
      </c>
      <c r="M42" s="2015">
        <v>247</v>
      </c>
      <c r="N42" s="2015">
        <v>204</v>
      </c>
      <c r="O42" s="2015">
        <v>25</v>
      </c>
      <c r="P42" s="2015">
        <v>18</v>
      </c>
      <c r="Q42" s="2015">
        <v>7</v>
      </c>
      <c r="R42" s="2044" t="e">
        <v>#VALUE!</v>
      </c>
      <c r="S42" s="2156" t="e">
        <v>#VALUE!</v>
      </c>
      <c r="T42" s="2044" t="e">
        <v>#VALUE!</v>
      </c>
      <c r="U42" s="2162" t="e">
        <f t="shared" si="1"/>
        <v>#VALUE!</v>
      </c>
      <c r="V42" s="2001"/>
      <c r="W42" s="2045"/>
      <c r="XFD42" s="42" t="e">
        <f t="shared" si="0"/>
        <v>#VALUE!</v>
      </c>
    </row>
    <row r="43" spans="2:23 16384:16384" s="156" customFormat="1" ht="15" customHeight="1">
      <c r="B43" s="2008" t="s">
        <v>3513</v>
      </c>
      <c r="C43" s="2010" t="s">
        <v>4051</v>
      </c>
      <c r="D43" s="2010" t="s">
        <v>4052</v>
      </c>
      <c r="E43" s="2149">
        <v>581.45699999999999</v>
      </c>
      <c r="F43" s="2015">
        <v>465.89600000000002</v>
      </c>
      <c r="G43" s="2015">
        <v>377.11900000000003</v>
      </c>
      <c r="H43" s="2015">
        <v>15</v>
      </c>
      <c r="I43" s="2021">
        <v>0.18987299999999999</v>
      </c>
      <c r="J43" s="2097">
        <v>24.520842105263</v>
      </c>
      <c r="K43" s="2100">
        <v>1.266667</v>
      </c>
      <c r="M43" s="2015">
        <v>86</v>
      </c>
      <c r="N43" s="2015">
        <v>66</v>
      </c>
      <c r="O43" s="2015">
        <v>19</v>
      </c>
      <c r="P43" s="2015">
        <v>1</v>
      </c>
      <c r="Q43" s="2015">
        <v>0</v>
      </c>
      <c r="R43" s="2044" t="e">
        <v>#VALUE!</v>
      </c>
      <c r="S43" s="2156" t="e">
        <v>#VALUE!</v>
      </c>
      <c r="T43" s="2044" t="e">
        <v>#VALUE!</v>
      </c>
      <c r="U43" s="2162" t="e">
        <f t="shared" si="1"/>
        <v>#VALUE!</v>
      </c>
      <c r="V43" s="2001"/>
      <c r="W43" s="2045"/>
      <c r="XFD43" s="156" t="e">
        <f t="shared" si="0"/>
        <v>#VALUE!</v>
      </c>
    </row>
    <row r="44" spans="2:23 16384:16384" s="42" customFormat="1" ht="15" customHeight="1">
      <c r="B44" s="2008" t="s">
        <v>3516</v>
      </c>
      <c r="C44" s="2010" t="s">
        <v>179</v>
      </c>
      <c r="D44" s="2010" t="s">
        <v>191</v>
      </c>
      <c r="E44" s="2149">
        <v>960.75599999999997</v>
      </c>
      <c r="F44" s="2015">
        <v>414.35300000000001</v>
      </c>
      <c r="G44" s="2015">
        <v>404.08100000000002</v>
      </c>
      <c r="H44" s="2015">
        <v>12</v>
      </c>
      <c r="I44" s="2021">
        <v>0.13131300000000001</v>
      </c>
      <c r="J44" s="2097">
        <v>18.015347826087002</v>
      </c>
      <c r="K44" s="2100">
        <v>1.9166669999999999</v>
      </c>
      <c r="M44" s="2015">
        <v>107</v>
      </c>
      <c r="N44" s="2015">
        <v>85</v>
      </c>
      <c r="O44" s="2015">
        <v>17</v>
      </c>
      <c r="P44" s="2015">
        <v>5</v>
      </c>
      <c r="Q44" s="2015">
        <v>7</v>
      </c>
      <c r="R44" s="2044" t="e">
        <v>#VALUE!</v>
      </c>
      <c r="S44" s="2156" t="e">
        <v>#VALUE!</v>
      </c>
      <c r="T44" s="2044" t="e">
        <v>#VALUE!</v>
      </c>
      <c r="U44" s="2162" t="e">
        <f t="shared" si="1"/>
        <v>#VALUE!</v>
      </c>
      <c r="V44" s="2001"/>
      <c r="W44" s="2045"/>
      <c r="XFD44" s="42" t="e">
        <f t="shared" si="0"/>
        <v>#VALUE!</v>
      </c>
    </row>
    <row r="45" spans="2:23 16384:16384" s="156" customFormat="1" ht="15" customHeight="1">
      <c r="B45" s="2008" t="s">
        <v>1154</v>
      </c>
      <c r="C45" s="2010" t="s">
        <v>642</v>
      </c>
      <c r="D45" s="2010" t="s">
        <v>641</v>
      </c>
      <c r="E45" s="2149">
        <v>593.577</v>
      </c>
      <c r="F45" s="2015">
        <v>271.51799999999997</v>
      </c>
      <c r="G45" s="2015">
        <v>286.60500000000002</v>
      </c>
      <c r="H45" s="2015">
        <v>9</v>
      </c>
      <c r="I45" s="2021">
        <v>0.13333300000000001</v>
      </c>
      <c r="J45" s="2097">
        <v>16.969874999999998</v>
      </c>
      <c r="K45" s="2100">
        <v>1.7777780000000001</v>
      </c>
      <c r="L45" s="42"/>
      <c r="M45" s="2015">
        <v>75</v>
      </c>
      <c r="N45" s="2015">
        <v>60</v>
      </c>
      <c r="O45" s="2015">
        <v>10</v>
      </c>
      <c r="P45" s="2015">
        <v>5</v>
      </c>
      <c r="Q45" s="2015">
        <v>6</v>
      </c>
      <c r="R45" s="2044" t="e">
        <v>#VALUE!</v>
      </c>
      <c r="S45" s="2156" t="e">
        <v>#VALUE!</v>
      </c>
      <c r="T45" s="2044" t="e">
        <v>#VALUE!</v>
      </c>
      <c r="U45" s="2162" t="e">
        <f t="shared" si="1"/>
        <v>#VALUE!</v>
      </c>
      <c r="V45" s="2001"/>
      <c r="W45" s="2045"/>
      <c r="XFD45" s="156" t="e">
        <f t="shared" si="0"/>
        <v>#VALUE!</v>
      </c>
    </row>
    <row r="46" spans="2:23 16384:16384" s="42" customFormat="1" ht="15" customHeight="1">
      <c r="B46" s="2008" t="s">
        <v>3516</v>
      </c>
      <c r="C46" s="2010" t="s">
        <v>3518</v>
      </c>
      <c r="D46" s="2010" t="s">
        <v>3519</v>
      </c>
      <c r="E46" s="2149">
        <v>773.52700000000004</v>
      </c>
      <c r="F46" s="2015">
        <v>634.78300000000002</v>
      </c>
      <c r="G46" s="2015">
        <v>539.95600000000002</v>
      </c>
      <c r="H46" s="2015">
        <v>20</v>
      </c>
      <c r="I46" s="2021">
        <v>0.27710800000000002</v>
      </c>
      <c r="J46" s="2097">
        <v>18.136657142857</v>
      </c>
      <c r="K46" s="2100">
        <v>1.75</v>
      </c>
      <c r="M46" s="2015">
        <v>92</v>
      </c>
      <c r="N46" s="2015">
        <v>70</v>
      </c>
      <c r="O46" s="2015">
        <v>21</v>
      </c>
      <c r="P46" s="2015">
        <v>1</v>
      </c>
      <c r="Q46" s="2015">
        <v>16</v>
      </c>
      <c r="R46" s="2044" t="e">
        <v>#VALUE!</v>
      </c>
      <c r="S46" s="2156" t="e">
        <v>#VALUE!</v>
      </c>
      <c r="T46" s="2044" t="e">
        <v>#VALUE!</v>
      </c>
      <c r="U46" s="2162" t="e">
        <f t="shared" si="1"/>
        <v>#VALUE!</v>
      </c>
      <c r="V46" s="2001"/>
      <c r="W46" s="2045"/>
      <c r="XFD46" s="42" t="e">
        <f t="shared" ref="XFD46:XFD77" si="3">SUM(E46:XFC46)</f>
        <v>#VALUE!</v>
      </c>
    </row>
    <row r="47" spans="2:23 16384:16384" s="156" customFormat="1" ht="15" customHeight="1">
      <c r="B47" s="2008" t="s">
        <v>1675</v>
      </c>
      <c r="C47" s="2010" t="s">
        <v>4048</v>
      </c>
      <c r="D47" s="2010" t="s">
        <v>4042</v>
      </c>
      <c r="E47" s="2149">
        <v>303.08499999999998</v>
      </c>
      <c r="F47" s="2015">
        <v>129.655</v>
      </c>
      <c r="G47" s="2015">
        <v>129.655</v>
      </c>
      <c r="H47" s="2015">
        <v>9</v>
      </c>
      <c r="I47" s="2021">
        <v>0.21951200000000001</v>
      </c>
      <c r="J47" s="2097">
        <v>14.406111111111001</v>
      </c>
      <c r="K47" s="2100">
        <v>1</v>
      </c>
      <c r="L47" s="42"/>
      <c r="M47" s="2015">
        <v>46</v>
      </c>
      <c r="N47" s="2015">
        <v>31</v>
      </c>
      <c r="O47" s="2015">
        <v>15</v>
      </c>
      <c r="P47" s="2015">
        <v>0</v>
      </c>
      <c r="Q47" s="2015">
        <v>0</v>
      </c>
      <c r="R47" s="2044" t="e">
        <v>#VALUE!</v>
      </c>
      <c r="S47" s="2156" t="e">
        <v>#VALUE!</v>
      </c>
      <c r="T47" s="2044" t="e">
        <v>#VALUE!</v>
      </c>
      <c r="U47" s="2162" t="e">
        <f t="shared" si="1"/>
        <v>#VALUE!</v>
      </c>
      <c r="V47" s="2001"/>
      <c r="W47" s="2045"/>
      <c r="XFD47" s="156" t="e">
        <f t="shared" si="3"/>
        <v>#VALUE!</v>
      </c>
    </row>
    <row r="48" spans="2:23 16384:16384" s="42" customFormat="1" ht="15" customHeight="1">
      <c r="B48" s="2008" t="s">
        <v>3516</v>
      </c>
      <c r="C48" s="2010" t="s">
        <v>4031</v>
      </c>
      <c r="D48" s="2010" t="s">
        <v>188</v>
      </c>
      <c r="E48" s="2149">
        <v>214.95599999999999</v>
      </c>
      <c r="F48" s="2015">
        <v>177.61600000000001</v>
      </c>
      <c r="G48" s="2015">
        <v>144.643</v>
      </c>
      <c r="H48" s="2015">
        <v>7</v>
      </c>
      <c r="I48" s="2021">
        <v>6.3062999999999994E-2</v>
      </c>
      <c r="J48" s="2097">
        <v>13.662769230768999</v>
      </c>
      <c r="K48" s="2100">
        <v>1.857143</v>
      </c>
      <c r="M48" s="2015">
        <v>116</v>
      </c>
      <c r="N48" s="2015">
        <v>88</v>
      </c>
      <c r="O48" s="2015">
        <v>28</v>
      </c>
      <c r="P48" s="2015">
        <v>0</v>
      </c>
      <c r="Q48" s="2015">
        <v>24</v>
      </c>
      <c r="R48" s="2044" t="e">
        <v>#VALUE!</v>
      </c>
      <c r="S48" s="2156" t="e">
        <v>#VALUE!</v>
      </c>
      <c r="T48" s="2044" t="e">
        <v>#VALUE!</v>
      </c>
      <c r="U48" s="2162" t="e">
        <f t="shared" si="1"/>
        <v>#VALUE!</v>
      </c>
      <c r="V48" s="2001"/>
      <c r="W48" s="2045"/>
      <c r="XFD48" s="42" t="e">
        <f t="shared" si="3"/>
        <v>#VALUE!</v>
      </c>
    </row>
    <row r="49" spans="2:23 16384:16384" s="156" customFormat="1" ht="15" customHeight="1">
      <c r="B49" s="2008" t="s">
        <v>3515</v>
      </c>
      <c r="C49" s="2010" t="s">
        <v>1572</v>
      </c>
      <c r="D49" s="2010" t="s">
        <v>1573</v>
      </c>
      <c r="E49" s="2149">
        <v>576.15300000000002</v>
      </c>
      <c r="F49" s="2015">
        <v>281.38799999999998</v>
      </c>
      <c r="G49" s="2015">
        <v>281.38799999999998</v>
      </c>
      <c r="H49" s="2015">
        <v>12</v>
      </c>
      <c r="I49" s="2021">
        <v>0.13065299999999999</v>
      </c>
      <c r="J49" s="2097">
        <v>15.632666666666999</v>
      </c>
      <c r="K49" s="2100">
        <v>1.5</v>
      </c>
      <c r="M49" s="2015">
        <v>112</v>
      </c>
      <c r="N49" s="2015">
        <v>87</v>
      </c>
      <c r="O49" s="2015">
        <v>20</v>
      </c>
      <c r="P49" s="2015">
        <v>5</v>
      </c>
      <c r="Q49" s="2015">
        <v>7</v>
      </c>
      <c r="R49" s="2044" t="e">
        <v>#VALUE!</v>
      </c>
      <c r="S49" s="2156" t="e">
        <v>#VALUE!</v>
      </c>
      <c r="T49" s="2044" t="e">
        <v>#VALUE!</v>
      </c>
      <c r="U49" s="2162" t="e">
        <f t="shared" si="1"/>
        <v>#VALUE!</v>
      </c>
      <c r="V49" s="2001"/>
      <c r="W49" s="2045"/>
      <c r="XFD49" s="156" t="e">
        <f t="shared" si="3"/>
        <v>#VALUE!</v>
      </c>
    </row>
    <row r="50" spans="2:23 16384:16384" s="42" customFormat="1" ht="15" customHeight="1">
      <c r="B50" s="2008" t="s">
        <v>1154</v>
      </c>
      <c r="C50" s="2010" t="s">
        <v>4025</v>
      </c>
      <c r="D50" s="2010" t="s">
        <v>901</v>
      </c>
      <c r="E50" s="2149">
        <v>6449.3639999999996</v>
      </c>
      <c r="F50" s="2015">
        <v>3791.5430000000001</v>
      </c>
      <c r="G50" s="2015">
        <v>3791.5430000000001</v>
      </c>
      <c r="H50" s="2015">
        <v>41</v>
      </c>
      <c r="I50" s="2021">
        <v>0.69491499999999995</v>
      </c>
      <c r="J50" s="2097">
        <v>31.596191666667</v>
      </c>
      <c r="K50" s="2100">
        <v>2.9268290000000001</v>
      </c>
      <c r="M50" s="2015">
        <v>61</v>
      </c>
      <c r="N50" s="2015">
        <v>51</v>
      </c>
      <c r="O50" s="2015">
        <v>9</v>
      </c>
      <c r="P50" s="2015">
        <v>1</v>
      </c>
      <c r="Q50" s="2015">
        <v>2</v>
      </c>
      <c r="R50" s="2044" t="e">
        <v>#VALUE!</v>
      </c>
      <c r="S50" s="2156" t="e">
        <v>#VALUE!</v>
      </c>
      <c r="T50" s="2044" t="e">
        <v>#VALUE!</v>
      </c>
      <c r="U50" s="2162" t="e">
        <f t="shared" si="1"/>
        <v>#VALUE!</v>
      </c>
      <c r="V50" s="2001"/>
      <c r="W50" s="2045"/>
      <c r="XFD50" s="42" t="e">
        <f t="shared" si="3"/>
        <v>#VALUE!</v>
      </c>
    </row>
    <row r="51" spans="2:23 16384:16384" s="156" customFormat="1" ht="15" customHeight="1">
      <c r="B51" s="2008" t="s">
        <v>1154</v>
      </c>
      <c r="C51" s="2010" t="s">
        <v>2659</v>
      </c>
      <c r="D51" s="2010" t="s">
        <v>2706</v>
      </c>
      <c r="E51" s="2149">
        <v>184.376</v>
      </c>
      <c r="F51" s="2015">
        <v>140.74799999999999</v>
      </c>
      <c r="G51" s="2015">
        <v>144.11099999999999</v>
      </c>
      <c r="H51" s="2015">
        <v>6</v>
      </c>
      <c r="I51" s="2021">
        <v>7.1429000000000006E-2</v>
      </c>
      <c r="J51" s="2097">
        <v>20.106857142856999</v>
      </c>
      <c r="K51" s="2100">
        <v>1.1666669999999999</v>
      </c>
      <c r="M51" s="2015">
        <v>97</v>
      </c>
      <c r="N51" s="2015">
        <v>76</v>
      </c>
      <c r="O51" s="2015">
        <v>19</v>
      </c>
      <c r="P51" s="2015">
        <v>2</v>
      </c>
      <c r="Q51" s="2015">
        <v>0</v>
      </c>
      <c r="R51" s="2044" t="e">
        <v>#VALUE!</v>
      </c>
      <c r="S51" s="2156" t="e">
        <v>#VALUE!</v>
      </c>
      <c r="T51" s="2044" t="e">
        <v>#VALUE!</v>
      </c>
      <c r="U51" s="2162" t="e">
        <f t="shared" si="1"/>
        <v>#VALUE!</v>
      </c>
      <c r="V51" s="2001"/>
      <c r="W51" s="2045"/>
      <c r="XFD51" s="156" t="e">
        <f t="shared" si="3"/>
        <v>#VALUE!</v>
      </c>
    </row>
    <row r="52" spans="2:23 16384:16384" s="42" customFormat="1" ht="15" customHeight="1">
      <c r="B52" s="2008" t="s">
        <v>3515</v>
      </c>
      <c r="C52" s="2010" t="s">
        <v>1103</v>
      </c>
      <c r="D52" s="2010" t="s">
        <v>1161</v>
      </c>
      <c r="E52" s="2149">
        <v>166.10499999999999</v>
      </c>
      <c r="F52" s="2015">
        <v>29.289000000000001</v>
      </c>
      <c r="G52" s="2015">
        <v>56.499000000000002</v>
      </c>
      <c r="H52" s="2015">
        <v>8</v>
      </c>
      <c r="I52" s="2021">
        <v>0.107143</v>
      </c>
      <c r="J52" s="2097">
        <v>4.8815</v>
      </c>
      <c r="K52" s="2100">
        <v>0.75</v>
      </c>
      <c r="M52" s="2015">
        <v>95</v>
      </c>
      <c r="N52" s="2015">
        <v>73</v>
      </c>
      <c r="O52" s="2015">
        <v>22</v>
      </c>
      <c r="P52" s="2015">
        <v>0</v>
      </c>
      <c r="Q52" s="2015">
        <v>18</v>
      </c>
      <c r="R52" s="2044" t="e">
        <v>#VALUE!</v>
      </c>
      <c r="S52" s="2156" t="e">
        <v>#VALUE!</v>
      </c>
      <c r="T52" s="2044" t="e">
        <v>#VALUE!</v>
      </c>
      <c r="U52" s="2162" t="e">
        <f t="shared" si="1"/>
        <v>#VALUE!</v>
      </c>
      <c r="V52" s="2001"/>
      <c r="W52" s="2045"/>
      <c r="XFD52" s="42" t="e">
        <f t="shared" si="3"/>
        <v>#VALUE!</v>
      </c>
    </row>
    <row r="53" spans="2:23 16384:16384" s="156" customFormat="1" ht="15" customHeight="1">
      <c r="B53" s="2008" t="s">
        <v>1154</v>
      </c>
      <c r="C53" s="2010" t="s">
        <v>902</v>
      </c>
      <c r="D53" s="2010" t="s">
        <v>1014</v>
      </c>
      <c r="E53" s="2149">
        <v>277.149</v>
      </c>
      <c r="F53" s="2015">
        <v>292.93599999999998</v>
      </c>
      <c r="G53" s="2015">
        <v>230.69</v>
      </c>
      <c r="H53" s="2015">
        <v>5</v>
      </c>
      <c r="I53" s="2021">
        <v>0.16128999999999999</v>
      </c>
      <c r="J53" s="2097">
        <v>32.548444444444002</v>
      </c>
      <c r="K53" s="2100">
        <v>1.8</v>
      </c>
      <c r="L53" s="42"/>
      <c r="M53" s="2015">
        <v>35</v>
      </c>
      <c r="N53" s="2015">
        <v>29</v>
      </c>
      <c r="O53" s="2015">
        <v>6</v>
      </c>
      <c r="P53" s="2015">
        <v>0</v>
      </c>
      <c r="Q53" s="2015">
        <v>2</v>
      </c>
      <c r="R53" s="2044" t="e">
        <v>#VALUE!</v>
      </c>
      <c r="S53" s="2156" t="e">
        <v>#VALUE!</v>
      </c>
      <c r="T53" s="2044" t="e">
        <v>#VALUE!</v>
      </c>
      <c r="U53" s="2162" t="e">
        <f t="shared" si="1"/>
        <v>#VALUE!</v>
      </c>
      <c r="V53" s="2001"/>
      <c r="W53" s="2045"/>
      <c r="XFD53" s="156" t="e">
        <f t="shared" si="3"/>
        <v>#VALUE!</v>
      </c>
    </row>
    <row r="54" spans="2:23 16384:16384" s="42" customFormat="1" ht="15" customHeight="1">
      <c r="B54" s="2008" t="s">
        <v>1154</v>
      </c>
      <c r="C54" s="2010" t="s">
        <v>1099</v>
      </c>
      <c r="D54" s="2010" t="s">
        <v>1286</v>
      </c>
      <c r="E54" s="2149">
        <v>387.87400000000002</v>
      </c>
      <c r="F54" s="2015">
        <v>179.191</v>
      </c>
      <c r="G54" s="2015">
        <v>213.47900000000001</v>
      </c>
      <c r="H54" s="2015">
        <v>6</v>
      </c>
      <c r="I54" s="2021">
        <v>0.16</v>
      </c>
      <c r="J54" s="2097">
        <v>14.932583333333001</v>
      </c>
      <c r="K54" s="2100">
        <v>2</v>
      </c>
      <c r="L54" s="156"/>
      <c r="M54" s="2015">
        <v>74</v>
      </c>
      <c r="N54" s="2015">
        <v>64</v>
      </c>
      <c r="O54" s="2015">
        <v>10</v>
      </c>
      <c r="P54" s="2015">
        <v>0</v>
      </c>
      <c r="Q54" s="2015">
        <v>1</v>
      </c>
      <c r="R54" s="2044" t="e">
        <v>#VALUE!</v>
      </c>
      <c r="S54" s="2156" t="e">
        <v>#VALUE!</v>
      </c>
      <c r="T54" s="2044" t="e">
        <v>#VALUE!</v>
      </c>
      <c r="U54" s="2162" t="e">
        <f t="shared" si="1"/>
        <v>#VALUE!</v>
      </c>
      <c r="V54" s="2001"/>
      <c r="W54" s="2045"/>
      <c r="XFD54" s="42" t="e">
        <f t="shared" si="3"/>
        <v>#VALUE!</v>
      </c>
    </row>
    <row r="55" spans="2:23 16384:16384" s="156" customFormat="1" ht="15" customHeight="1">
      <c r="B55" s="2008" t="s">
        <v>1154</v>
      </c>
      <c r="C55" s="2010" t="s">
        <v>4071</v>
      </c>
      <c r="D55" s="2010" t="s">
        <v>2707</v>
      </c>
      <c r="E55" s="2149">
        <v>25.5</v>
      </c>
      <c r="F55" s="2015">
        <v>25.5</v>
      </c>
      <c r="G55" s="2015">
        <v>25.5</v>
      </c>
      <c r="H55" s="2015">
        <v>2</v>
      </c>
      <c r="I55" s="2021">
        <v>0.26666699999999999</v>
      </c>
      <c r="J55" s="2097">
        <v>12.75</v>
      </c>
      <c r="K55" s="2100">
        <v>1</v>
      </c>
      <c r="M55" s="2015">
        <v>14</v>
      </c>
      <c r="N55" s="2015">
        <v>8</v>
      </c>
      <c r="O55" s="2015">
        <v>6</v>
      </c>
      <c r="P55" s="2015">
        <v>0</v>
      </c>
      <c r="Q55" s="2015">
        <v>0</v>
      </c>
      <c r="R55" s="2044" t="e">
        <v>#VALUE!</v>
      </c>
      <c r="S55" s="2156" t="e">
        <v>#VALUE!</v>
      </c>
      <c r="T55" s="2044" t="e">
        <v>#VALUE!</v>
      </c>
      <c r="U55" s="2162" t="e">
        <f t="shared" si="1"/>
        <v>#VALUE!</v>
      </c>
      <c r="V55" s="2001"/>
      <c r="W55" s="2045"/>
      <c r="XFD55" s="156" t="e">
        <f t="shared" si="3"/>
        <v>#VALUE!</v>
      </c>
    </row>
    <row r="56" spans="2:23 16384:16384" s="42" customFormat="1" ht="15" customHeight="1">
      <c r="B56" s="2008" t="s">
        <v>1154</v>
      </c>
      <c r="C56" s="2010" t="s">
        <v>91</v>
      </c>
      <c r="D56" s="2010" t="s">
        <v>194</v>
      </c>
      <c r="E56" s="2149">
        <v>873.00300000000004</v>
      </c>
      <c r="F56" s="2015">
        <v>424.46499999999997</v>
      </c>
      <c r="G56" s="2015">
        <v>560.82299999999998</v>
      </c>
      <c r="H56" s="2015">
        <v>17</v>
      </c>
      <c r="I56" s="2021">
        <v>9.0703000000000006E-2</v>
      </c>
      <c r="J56" s="2097">
        <v>15.159464285714</v>
      </c>
      <c r="K56" s="2100">
        <v>1.6470590000000001</v>
      </c>
      <c r="L56" s="156"/>
      <c r="M56" s="2015">
        <v>254</v>
      </c>
      <c r="N56" s="2015">
        <v>200</v>
      </c>
      <c r="O56" s="2015">
        <v>46</v>
      </c>
      <c r="P56" s="2015">
        <v>8</v>
      </c>
      <c r="Q56" s="2015">
        <v>0</v>
      </c>
      <c r="R56" s="2044" t="e">
        <v>#VALUE!</v>
      </c>
      <c r="S56" s="2156" t="e">
        <v>#VALUE!</v>
      </c>
      <c r="T56" s="2044" t="e">
        <v>#VALUE!</v>
      </c>
      <c r="U56" s="2162" t="e">
        <f t="shared" si="1"/>
        <v>#VALUE!</v>
      </c>
      <c r="V56" s="2001"/>
      <c r="W56" s="2045"/>
      <c r="XFD56" s="42" t="e">
        <f t="shared" si="3"/>
        <v>#VALUE!</v>
      </c>
    </row>
    <row r="57" spans="2:23 16384:16384" s="156" customFormat="1" ht="15" customHeight="1">
      <c r="B57" s="2008" t="s">
        <v>1675</v>
      </c>
      <c r="C57" s="2010" t="s">
        <v>734</v>
      </c>
      <c r="D57" s="2010" t="s">
        <v>4042</v>
      </c>
      <c r="E57" s="2149">
        <v>432.19299999999998</v>
      </c>
      <c r="F57" s="2015">
        <v>123.292</v>
      </c>
      <c r="G57" s="2015">
        <v>173.239</v>
      </c>
      <c r="H57" s="2015">
        <v>4</v>
      </c>
      <c r="I57" s="2021">
        <v>5.2631999999999998E-2</v>
      </c>
      <c r="J57" s="2097">
        <v>11.208363636364</v>
      </c>
      <c r="K57" s="2100">
        <v>2.75</v>
      </c>
      <c r="L57" s="42"/>
      <c r="M57" s="2015">
        <v>107</v>
      </c>
      <c r="N57" s="2015">
        <v>84</v>
      </c>
      <c r="O57" s="2015">
        <v>18</v>
      </c>
      <c r="P57" s="2015">
        <v>5</v>
      </c>
      <c r="Q57" s="2015">
        <v>36</v>
      </c>
      <c r="R57" s="2044" t="e">
        <v>#VALUE!</v>
      </c>
      <c r="S57" s="2156" t="e">
        <v>#VALUE!</v>
      </c>
      <c r="T57" s="2044" t="e">
        <v>#VALUE!</v>
      </c>
      <c r="U57" s="2162" t="e">
        <f t="shared" si="1"/>
        <v>#VALUE!</v>
      </c>
      <c r="V57" s="2001"/>
      <c r="W57" s="2045"/>
      <c r="XFD57" s="156" t="e">
        <f t="shared" si="3"/>
        <v>#VALUE!</v>
      </c>
    </row>
    <row r="58" spans="2:23 16384:16384" s="42" customFormat="1" ht="15" customHeight="1">
      <c r="B58" s="2008" t="s">
        <v>3515</v>
      </c>
      <c r="C58" s="2010" t="s">
        <v>2708</v>
      </c>
      <c r="D58" s="2010" t="s">
        <v>2709</v>
      </c>
      <c r="E58" s="2149">
        <v>409.57</v>
      </c>
      <c r="F58" s="2015">
        <v>201.41200000000001</v>
      </c>
      <c r="G58" s="2015">
        <v>193.92400000000001</v>
      </c>
      <c r="H58" s="2015">
        <v>8</v>
      </c>
      <c r="I58" s="2021">
        <v>0.183673</v>
      </c>
      <c r="J58" s="2097">
        <v>13.427466666667</v>
      </c>
      <c r="K58" s="2100">
        <v>1.875</v>
      </c>
      <c r="L58" s="156"/>
      <c r="M58" s="2015">
        <v>50</v>
      </c>
      <c r="N58" s="2015">
        <v>33</v>
      </c>
      <c r="O58" s="2015">
        <v>13</v>
      </c>
      <c r="P58" s="2015">
        <v>4</v>
      </c>
      <c r="Q58" s="2015">
        <v>13</v>
      </c>
      <c r="R58" s="2044" t="e">
        <v>#VALUE!</v>
      </c>
      <c r="S58" s="2156" t="e">
        <v>#VALUE!</v>
      </c>
      <c r="T58" s="2044" t="e">
        <v>#VALUE!</v>
      </c>
      <c r="U58" s="2162" t="e">
        <f t="shared" si="1"/>
        <v>#VALUE!</v>
      </c>
      <c r="V58" s="2001"/>
      <c r="W58" s="2045"/>
      <c r="XFD58" s="42" t="e">
        <f t="shared" si="3"/>
        <v>#VALUE!</v>
      </c>
    </row>
    <row r="59" spans="2:23 16384:16384" s="156" customFormat="1" ht="15" customHeight="1">
      <c r="B59" s="2008" t="s">
        <v>3516</v>
      </c>
      <c r="C59" s="2010" t="s">
        <v>3524</v>
      </c>
      <c r="D59" s="2010" t="s">
        <v>1569</v>
      </c>
      <c r="E59" s="2149">
        <v>0</v>
      </c>
      <c r="F59" s="2015">
        <v>0</v>
      </c>
      <c r="G59" s="2015">
        <v>0</v>
      </c>
      <c r="H59" s="2015">
        <v>0</v>
      </c>
      <c r="I59" s="2021">
        <v>0</v>
      </c>
      <c r="J59" s="2097">
        <v>0</v>
      </c>
      <c r="K59" s="2100">
        <v>0</v>
      </c>
      <c r="M59" s="2015">
        <v>83</v>
      </c>
      <c r="N59" s="2015">
        <v>62</v>
      </c>
      <c r="O59" s="2015">
        <v>19</v>
      </c>
      <c r="P59" s="2015">
        <v>2</v>
      </c>
      <c r="Q59" s="2015">
        <v>43</v>
      </c>
      <c r="R59" s="2044" t="e">
        <v>#VALUE!</v>
      </c>
      <c r="S59" s="2156" t="e">
        <v>#VALUE!</v>
      </c>
      <c r="T59" s="2044" t="e">
        <v>#VALUE!</v>
      </c>
      <c r="U59" s="2162" t="e">
        <f t="shared" si="1"/>
        <v>#VALUE!</v>
      </c>
      <c r="V59" s="2001"/>
      <c r="W59" s="2045"/>
      <c r="XFD59" s="156" t="e">
        <f t="shared" si="3"/>
        <v>#VALUE!</v>
      </c>
    </row>
    <row r="60" spans="2:23 16384:16384" s="42" customFormat="1" ht="15" customHeight="1">
      <c r="B60" s="2008" t="s">
        <v>3516</v>
      </c>
      <c r="C60" s="2010" t="s">
        <v>3174</v>
      </c>
      <c r="D60" s="2010" t="s">
        <v>188</v>
      </c>
      <c r="E60" s="2149">
        <v>368.654</v>
      </c>
      <c r="F60" s="2015">
        <v>244.56100000000001</v>
      </c>
      <c r="G60" s="2015">
        <v>258.334</v>
      </c>
      <c r="H60" s="2015">
        <v>13</v>
      </c>
      <c r="I60" s="2021">
        <v>9.5541000000000001E-2</v>
      </c>
      <c r="J60" s="2097">
        <v>16.304066666666998</v>
      </c>
      <c r="K60" s="2100">
        <v>1.1538459999999999</v>
      </c>
      <c r="L60" s="156"/>
      <c r="M60" s="2015">
        <v>199</v>
      </c>
      <c r="N60" s="2015">
        <v>167</v>
      </c>
      <c r="O60" s="2015">
        <v>22</v>
      </c>
      <c r="P60" s="2015">
        <v>10</v>
      </c>
      <c r="Q60" s="2015">
        <v>31</v>
      </c>
      <c r="R60" s="2044" t="e">
        <v>#VALUE!</v>
      </c>
      <c r="S60" s="2156" t="e">
        <v>#VALUE!</v>
      </c>
      <c r="T60" s="2044" t="e">
        <v>#VALUE!</v>
      </c>
      <c r="U60" s="2162" t="e">
        <f t="shared" si="1"/>
        <v>#VALUE!</v>
      </c>
      <c r="V60" s="2001"/>
      <c r="W60" s="2045"/>
      <c r="XFD60" s="42" t="e">
        <f t="shared" si="3"/>
        <v>#VALUE!</v>
      </c>
    </row>
    <row r="61" spans="2:23 16384:16384" s="156" customFormat="1" ht="15" customHeight="1">
      <c r="B61" s="2008" t="s">
        <v>1675</v>
      </c>
      <c r="C61" s="2010" t="s">
        <v>949</v>
      </c>
      <c r="D61" s="2010" t="s">
        <v>4140</v>
      </c>
      <c r="E61" s="2149">
        <v>1022.588</v>
      </c>
      <c r="F61" s="2015">
        <v>726.82799999999997</v>
      </c>
      <c r="G61" s="2015">
        <v>723.10699999999997</v>
      </c>
      <c r="H61" s="2015">
        <v>17</v>
      </c>
      <c r="I61" s="2021">
        <v>0.17117099999999999</v>
      </c>
      <c r="J61" s="2097">
        <v>20.766514285713999</v>
      </c>
      <c r="K61" s="2100">
        <v>2.058824</v>
      </c>
      <c r="M61" s="2015">
        <v>115</v>
      </c>
      <c r="N61" s="2015">
        <v>94</v>
      </c>
      <c r="O61" s="2015">
        <v>15</v>
      </c>
      <c r="P61" s="2015">
        <v>6</v>
      </c>
      <c r="Q61" s="2015">
        <v>48</v>
      </c>
      <c r="R61" s="2044" t="e">
        <v>#VALUE!</v>
      </c>
      <c r="S61" s="2156" t="e">
        <v>#VALUE!</v>
      </c>
      <c r="T61" s="2044" t="e">
        <v>#VALUE!</v>
      </c>
      <c r="U61" s="2162" t="e">
        <f t="shared" si="1"/>
        <v>#VALUE!</v>
      </c>
      <c r="V61" s="2001"/>
      <c r="W61" s="2045"/>
      <c r="XFD61" s="156" t="e">
        <f t="shared" si="3"/>
        <v>#VALUE!</v>
      </c>
    </row>
    <row r="62" spans="2:23 16384:16384" s="42" customFormat="1" ht="15" customHeight="1">
      <c r="B62" s="2008" t="s">
        <v>1154</v>
      </c>
      <c r="C62" s="2010" t="s">
        <v>4021</v>
      </c>
      <c r="D62" s="2010" t="s">
        <v>17</v>
      </c>
      <c r="E62" s="2149">
        <v>587.22699999999998</v>
      </c>
      <c r="F62" s="2015">
        <v>332.62099999999998</v>
      </c>
      <c r="G62" s="2015">
        <v>325.86799999999999</v>
      </c>
      <c r="H62" s="2015">
        <v>10</v>
      </c>
      <c r="I62" s="2021">
        <v>0.111628</v>
      </c>
      <c r="J62" s="2097">
        <v>18.478944444444</v>
      </c>
      <c r="K62" s="2100">
        <v>1.8</v>
      </c>
      <c r="L62" s="156"/>
      <c r="M62" s="2015">
        <v>124</v>
      </c>
      <c r="N62" s="2015">
        <v>96</v>
      </c>
      <c r="O62" s="2015">
        <v>24</v>
      </c>
      <c r="P62" s="2015">
        <v>4</v>
      </c>
      <c r="Q62" s="2015">
        <v>9</v>
      </c>
      <c r="R62" s="2044" t="e">
        <v>#VALUE!</v>
      </c>
      <c r="S62" s="2156" t="e">
        <v>#VALUE!</v>
      </c>
      <c r="T62" s="2044" t="e">
        <v>#VALUE!</v>
      </c>
      <c r="U62" s="2162" t="e">
        <f t="shared" si="1"/>
        <v>#VALUE!</v>
      </c>
      <c r="V62" s="2001"/>
      <c r="W62" s="2045"/>
      <c r="XFD62" s="42" t="e">
        <f t="shared" si="3"/>
        <v>#VALUE!</v>
      </c>
    </row>
    <row r="63" spans="2:23 16384:16384" s="156" customFormat="1" ht="15" customHeight="1">
      <c r="B63" s="2008" t="s">
        <v>3516</v>
      </c>
      <c r="C63" s="2010" t="s">
        <v>4057</v>
      </c>
      <c r="D63" s="2010" t="s">
        <v>1569</v>
      </c>
      <c r="E63" s="2149">
        <v>567.38599999999997</v>
      </c>
      <c r="F63" s="2015">
        <v>312.93799999999999</v>
      </c>
      <c r="G63" s="2015">
        <v>312.93799999999999</v>
      </c>
      <c r="H63" s="2015">
        <v>13</v>
      </c>
      <c r="I63" s="2021">
        <v>0.19259299999999999</v>
      </c>
      <c r="J63" s="2097">
        <v>14.90180952381</v>
      </c>
      <c r="K63" s="2100">
        <v>1.6153850000000001</v>
      </c>
      <c r="L63" s="42"/>
      <c r="M63" s="2015">
        <v>76</v>
      </c>
      <c r="N63" s="2015">
        <v>55</v>
      </c>
      <c r="O63" s="2015">
        <v>21</v>
      </c>
      <c r="P63" s="2015">
        <v>0</v>
      </c>
      <c r="Q63" s="2015">
        <v>8</v>
      </c>
      <c r="R63" s="2044" t="e">
        <v>#VALUE!</v>
      </c>
      <c r="S63" s="2156" t="e">
        <v>#VALUE!</v>
      </c>
      <c r="T63" s="2044" t="e">
        <v>#VALUE!</v>
      </c>
      <c r="U63" s="2162" t="e">
        <f t="shared" si="1"/>
        <v>#VALUE!</v>
      </c>
      <c r="V63" s="2001"/>
      <c r="W63" s="2045"/>
      <c r="XFD63" s="156" t="e">
        <f t="shared" si="3"/>
        <v>#VALUE!</v>
      </c>
    </row>
    <row r="64" spans="2:23 16384:16384" s="42" customFormat="1" ht="15" customHeight="1">
      <c r="B64" s="2008" t="s">
        <v>3514</v>
      </c>
      <c r="C64" s="2010" t="s">
        <v>4050</v>
      </c>
      <c r="D64" s="2010" t="s">
        <v>4047</v>
      </c>
      <c r="E64" s="2149">
        <v>81.111000000000004</v>
      </c>
      <c r="F64" s="2015">
        <v>-0.38400000000000001</v>
      </c>
      <c r="G64" s="2015">
        <v>-23.321999999999999</v>
      </c>
      <c r="H64" s="2015">
        <v>0</v>
      </c>
      <c r="I64" s="2021">
        <v>0</v>
      </c>
      <c r="J64" s="2097">
        <v>-0.38400000000000001</v>
      </c>
      <c r="K64" s="2100">
        <v>0</v>
      </c>
      <c r="L64" s="156"/>
      <c r="M64" s="2015">
        <v>54</v>
      </c>
      <c r="N64" s="2015">
        <v>45</v>
      </c>
      <c r="O64" s="2015">
        <v>9</v>
      </c>
      <c r="P64" s="2015">
        <v>0</v>
      </c>
      <c r="Q64" s="2015">
        <v>8</v>
      </c>
      <c r="R64" s="2044" t="e">
        <v>#VALUE!</v>
      </c>
      <c r="S64" s="2156" t="e">
        <v>#VALUE!</v>
      </c>
      <c r="T64" s="2044" t="e">
        <v>#VALUE!</v>
      </c>
      <c r="U64" s="2162" t="e">
        <f t="shared" si="1"/>
        <v>#VALUE!</v>
      </c>
      <c r="V64" s="2001"/>
      <c r="W64" s="2045"/>
      <c r="XFD64" s="42" t="e">
        <f t="shared" si="3"/>
        <v>#VALUE!</v>
      </c>
    </row>
    <row r="65" spans="2:23 16384:16384" s="156" customFormat="1" ht="15" customHeight="1">
      <c r="B65" s="2008" t="s">
        <v>3513</v>
      </c>
      <c r="C65" s="2010" t="s">
        <v>4137</v>
      </c>
      <c r="D65" s="2010" t="s">
        <v>1163</v>
      </c>
      <c r="E65" s="2149">
        <v>187.25</v>
      </c>
      <c r="F65" s="2015">
        <v>90.358999999999995</v>
      </c>
      <c r="G65" s="2015">
        <v>73.820999999999998</v>
      </c>
      <c r="H65" s="2015">
        <v>5</v>
      </c>
      <c r="I65" s="2021">
        <v>7.6336000000000001E-2</v>
      </c>
      <c r="J65" s="2097">
        <v>15.059833333333</v>
      </c>
      <c r="K65" s="2100">
        <v>1.2</v>
      </c>
      <c r="M65" s="2015">
        <v>68</v>
      </c>
      <c r="N65" s="2015">
        <v>51</v>
      </c>
      <c r="O65" s="2015">
        <v>16</v>
      </c>
      <c r="P65" s="2015">
        <v>1</v>
      </c>
      <c r="Q65" s="2015">
        <v>20</v>
      </c>
      <c r="R65" s="2044" t="e">
        <v>#VALUE!</v>
      </c>
      <c r="S65" s="2156" t="e">
        <v>#VALUE!</v>
      </c>
      <c r="T65" s="2044" t="e">
        <v>#VALUE!</v>
      </c>
      <c r="U65" s="2162" t="e">
        <f t="shared" si="1"/>
        <v>#VALUE!</v>
      </c>
      <c r="V65" s="2001"/>
      <c r="W65" s="2045"/>
      <c r="XFD65" s="156" t="e">
        <f t="shared" si="3"/>
        <v>#VALUE!</v>
      </c>
    </row>
    <row r="66" spans="2:23 16384:16384" s="42" customFormat="1" ht="15" customHeight="1">
      <c r="B66" s="2008" t="s">
        <v>3514</v>
      </c>
      <c r="C66" s="2010" t="s">
        <v>2900</v>
      </c>
      <c r="D66" s="2010" t="s">
        <v>4047</v>
      </c>
      <c r="E66" s="2149">
        <v>38.39</v>
      </c>
      <c r="F66" s="2015">
        <v>22.82</v>
      </c>
      <c r="G66" s="2015">
        <v>17.634</v>
      </c>
      <c r="H66" s="2015">
        <v>1</v>
      </c>
      <c r="I66" s="2021">
        <v>1.2422000000000001E-2</v>
      </c>
      <c r="J66" s="2097">
        <v>11.41</v>
      </c>
      <c r="K66" s="2100">
        <v>2</v>
      </c>
      <c r="L66" s="156"/>
      <c r="M66" s="2015">
        <v>81</v>
      </c>
      <c r="N66" s="2015">
        <v>56</v>
      </c>
      <c r="O66" s="2015">
        <v>25</v>
      </c>
      <c r="P66" s="2015">
        <v>0</v>
      </c>
      <c r="Q66" s="2015">
        <v>16</v>
      </c>
      <c r="R66" s="2044" t="e">
        <v>#VALUE!</v>
      </c>
      <c r="S66" s="2156" t="e">
        <v>#VALUE!</v>
      </c>
      <c r="T66" s="2044" t="e">
        <v>#VALUE!</v>
      </c>
      <c r="U66" s="2162" t="e">
        <f t="shared" si="1"/>
        <v>#VALUE!</v>
      </c>
      <c r="V66" s="2001"/>
      <c r="W66" s="2045"/>
      <c r="XFD66" s="42" t="e">
        <f t="shared" si="3"/>
        <v>#VALUE!</v>
      </c>
    </row>
    <row r="67" spans="2:23 16384:16384" s="156" customFormat="1" ht="15" customHeight="1">
      <c r="B67" s="2008" t="s">
        <v>1154</v>
      </c>
      <c r="C67" s="2010" t="s">
        <v>648</v>
      </c>
      <c r="D67" s="2010" t="s">
        <v>644</v>
      </c>
      <c r="E67" s="2149">
        <v>119.1</v>
      </c>
      <c r="F67" s="2015">
        <v>63.524999999999999</v>
      </c>
      <c r="G67" s="2015">
        <v>63.524999999999999</v>
      </c>
      <c r="H67" s="2015">
        <v>4</v>
      </c>
      <c r="I67" s="2021">
        <v>6.5573999999999993E-2</v>
      </c>
      <c r="J67" s="2097">
        <v>15.88125</v>
      </c>
      <c r="K67" s="2100">
        <v>1</v>
      </c>
      <c r="L67" s="42"/>
      <c r="M67" s="2015">
        <v>77</v>
      </c>
      <c r="N67" s="2015">
        <v>64</v>
      </c>
      <c r="O67" s="2015">
        <v>9</v>
      </c>
      <c r="P67" s="2015">
        <v>4</v>
      </c>
      <c r="Q67" s="2015">
        <v>1</v>
      </c>
      <c r="R67" s="2044" t="e">
        <v>#VALUE!</v>
      </c>
      <c r="S67" s="2156" t="e">
        <v>#VALUE!</v>
      </c>
      <c r="T67" s="2044" t="e">
        <v>#VALUE!</v>
      </c>
      <c r="U67" s="2162" t="e">
        <f t="shared" si="1"/>
        <v>#VALUE!</v>
      </c>
      <c r="V67" s="2001"/>
      <c r="W67" s="2045"/>
      <c r="XFD67" s="156" t="e">
        <f t="shared" si="3"/>
        <v>#VALUE!</v>
      </c>
    </row>
    <row r="68" spans="2:23 16384:16384" s="42" customFormat="1" ht="15" customHeight="1">
      <c r="B68" s="2008" t="s">
        <v>3515</v>
      </c>
      <c r="C68" s="2010" t="s">
        <v>4035</v>
      </c>
      <c r="D68" s="2010" t="s">
        <v>4039</v>
      </c>
      <c r="E68" s="2149">
        <v>-24.757000000000001</v>
      </c>
      <c r="F68" s="2015">
        <v>-14.147</v>
      </c>
      <c r="G68" s="2015">
        <v>-14.147</v>
      </c>
      <c r="H68" s="2015">
        <v>0</v>
      </c>
      <c r="I68" s="2021">
        <v>0</v>
      </c>
      <c r="J68" s="2097">
        <v>14.147</v>
      </c>
      <c r="K68" s="2100">
        <v>0</v>
      </c>
      <c r="M68" s="2015">
        <v>135</v>
      </c>
      <c r="N68" s="2015">
        <v>112</v>
      </c>
      <c r="O68" s="2015">
        <v>18</v>
      </c>
      <c r="P68" s="2015">
        <v>5</v>
      </c>
      <c r="Q68" s="2015">
        <v>36</v>
      </c>
      <c r="R68" s="2044" t="e">
        <v>#VALUE!</v>
      </c>
      <c r="S68" s="2156" t="e">
        <v>#VALUE!</v>
      </c>
      <c r="T68" s="2044" t="e">
        <v>#VALUE!</v>
      </c>
      <c r="U68" s="2162" t="e">
        <f t="shared" si="1"/>
        <v>#VALUE!</v>
      </c>
      <c r="V68" s="2001"/>
      <c r="W68" s="2045"/>
      <c r="XFD68" s="42" t="e">
        <f t="shared" si="3"/>
        <v>#VALUE!</v>
      </c>
    </row>
    <row r="69" spans="2:23 16384:16384" s="156" customFormat="1" ht="15" customHeight="1">
      <c r="B69" s="2008" t="s">
        <v>1154</v>
      </c>
      <c r="C69" s="2010" t="s">
        <v>1563</v>
      </c>
      <c r="D69" s="2010" t="s">
        <v>1564</v>
      </c>
      <c r="E69" s="2149">
        <v>754.178</v>
      </c>
      <c r="F69" s="2015">
        <v>369.053</v>
      </c>
      <c r="G69" s="2015">
        <v>356.78199999999998</v>
      </c>
      <c r="H69" s="2015">
        <v>12</v>
      </c>
      <c r="I69" s="2021">
        <v>0.20143900000000001</v>
      </c>
      <c r="J69" s="2097">
        <v>19.423842105262999</v>
      </c>
      <c r="K69" s="2100">
        <v>1.5833330000000001</v>
      </c>
      <c r="L69" s="42"/>
      <c r="M69" s="2015">
        <v>77</v>
      </c>
      <c r="N69" s="2015">
        <v>60</v>
      </c>
      <c r="O69" s="2015">
        <v>11</v>
      </c>
      <c r="P69" s="2015">
        <v>6</v>
      </c>
      <c r="Q69" s="2015">
        <v>4</v>
      </c>
      <c r="R69" s="2044" t="e">
        <v>#VALUE!</v>
      </c>
      <c r="S69" s="2156" t="e">
        <v>#VALUE!</v>
      </c>
      <c r="T69" s="2044" t="e">
        <v>#VALUE!</v>
      </c>
      <c r="U69" s="2162" t="e">
        <f t="shared" si="1"/>
        <v>#VALUE!</v>
      </c>
      <c r="V69" s="2001"/>
      <c r="W69" s="2045"/>
      <c r="XFD69" s="156" t="e">
        <f t="shared" si="3"/>
        <v>#VALUE!</v>
      </c>
    </row>
    <row r="70" spans="2:23 16384:16384" s="42" customFormat="1" ht="15" customHeight="1">
      <c r="B70" s="2008" t="s">
        <v>1154</v>
      </c>
      <c r="C70" s="2010" t="s">
        <v>735</v>
      </c>
      <c r="D70" s="2010" t="s">
        <v>4049</v>
      </c>
      <c r="E70" s="2149">
        <v>1076.508</v>
      </c>
      <c r="F70" s="2015">
        <v>759.55100000000004</v>
      </c>
      <c r="G70" s="2015">
        <v>818.53800000000001</v>
      </c>
      <c r="H70" s="2015">
        <v>3</v>
      </c>
      <c r="I70" s="2021">
        <v>4.1152000000000001E-2</v>
      </c>
      <c r="J70" s="2097">
        <v>63.295916666666997</v>
      </c>
      <c r="K70" s="2100">
        <v>4</v>
      </c>
      <c r="L70" s="157"/>
      <c r="M70" s="2015">
        <v>157</v>
      </c>
      <c r="N70" s="2015">
        <v>135</v>
      </c>
      <c r="O70" s="2015">
        <v>14</v>
      </c>
      <c r="P70" s="2015">
        <v>8</v>
      </c>
      <c r="Q70" s="2015">
        <v>17</v>
      </c>
      <c r="R70" s="2044" t="e">
        <v>#VALUE!</v>
      </c>
      <c r="S70" s="2156" t="e">
        <v>#VALUE!</v>
      </c>
      <c r="T70" s="2044" t="e">
        <v>#VALUE!</v>
      </c>
      <c r="U70" s="2162" t="e">
        <f t="shared" si="1"/>
        <v>#VALUE!</v>
      </c>
      <c r="V70" s="2001"/>
      <c r="W70" s="2045"/>
      <c r="XFD70" s="42" t="e">
        <f t="shared" si="3"/>
        <v>#VALUE!</v>
      </c>
    </row>
    <row r="71" spans="2:23 16384:16384" s="156" customFormat="1" ht="15" customHeight="1">
      <c r="B71" s="2008" t="s">
        <v>3513</v>
      </c>
      <c r="C71" s="2010" t="s">
        <v>4138</v>
      </c>
      <c r="D71" s="2010" t="s">
        <v>4141</v>
      </c>
      <c r="E71" s="2149">
        <v>746.577</v>
      </c>
      <c r="F71" s="2015">
        <v>594.58500000000004</v>
      </c>
      <c r="G71" s="2015">
        <v>645.89300000000003</v>
      </c>
      <c r="H71" s="2015">
        <v>7</v>
      </c>
      <c r="I71" s="2021">
        <v>7.3683999999999999E-2</v>
      </c>
      <c r="J71" s="2097">
        <v>84.940714285713995</v>
      </c>
      <c r="K71" s="2100">
        <v>1</v>
      </c>
      <c r="M71" s="2015">
        <v>122</v>
      </c>
      <c r="N71" s="2015">
        <v>105</v>
      </c>
      <c r="O71" s="2015">
        <v>17</v>
      </c>
      <c r="P71" s="2015">
        <v>0</v>
      </c>
      <c r="Q71" s="2015">
        <v>2</v>
      </c>
      <c r="R71" s="2044" t="e">
        <v>#VALUE!</v>
      </c>
      <c r="S71" s="2156" t="e">
        <v>#VALUE!</v>
      </c>
      <c r="T71" s="2044" t="e">
        <v>#VALUE!</v>
      </c>
      <c r="U71" s="2162" t="e">
        <f t="shared" si="1"/>
        <v>#VALUE!</v>
      </c>
      <c r="V71" s="2001"/>
      <c r="W71" s="2045"/>
      <c r="XFD71" s="156" t="e">
        <f t="shared" si="3"/>
        <v>#VALUE!</v>
      </c>
    </row>
    <row r="72" spans="2:23 16384:16384" s="79" customFormat="1" ht="15" customHeight="1">
      <c r="B72" s="2008" t="s">
        <v>3515</v>
      </c>
      <c r="C72" s="2010" t="s">
        <v>1015</v>
      </c>
      <c r="D72" s="2010" t="s">
        <v>4059</v>
      </c>
      <c r="E72" s="2149">
        <v>1001.765</v>
      </c>
      <c r="F72" s="2015">
        <v>739.34500000000003</v>
      </c>
      <c r="G72" s="2015">
        <v>714.66300000000001</v>
      </c>
      <c r="H72" s="2015">
        <v>34</v>
      </c>
      <c r="I72" s="2021">
        <v>0.16075700000000001</v>
      </c>
      <c r="J72" s="2097">
        <v>16.429888888889</v>
      </c>
      <c r="K72" s="2100">
        <v>1.323529</v>
      </c>
      <c r="L72" s="42"/>
      <c r="M72" s="2015">
        <v>239</v>
      </c>
      <c r="N72" s="2015">
        <v>201</v>
      </c>
      <c r="O72" s="2015">
        <v>34</v>
      </c>
      <c r="P72" s="2015">
        <v>4</v>
      </c>
      <c r="Q72" s="2015">
        <v>42</v>
      </c>
      <c r="R72" s="2044" t="e">
        <v>#VALUE!</v>
      </c>
      <c r="S72" s="2156" t="e">
        <v>#VALUE!</v>
      </c>
      <c r="T72" s="2044" t="e">
        <v>#VALUE!</v>
      </c>
      <c r="U72" s="2162" t="e">
        <f t="shared" ref="U72:U82" si="4">IF(T72&gt;0,T72/(O72+P72),0)</f>
        <v>#VALUE!</v>
      </c>
      <c r="V72" s="2001"/>
      <c r="W72" s="2045"/>
      <c r="XFD72" s="79" t="e">
        <f t="shared" si="3"/>
        <v>#VALUE!</v>
      </c>
    </row>
    <row r="73" spans="2:23 16384:16384" s="157" customFormat="1" ht="15" customHeight="1">
      <c r="B73" s="2008" t="s">
        <v>1154</v>
      </c>
      <c r="C73" s="2010" t="s">
        <v>649</v>
      </c>
      <c r="D73" s="2010" t="s">
        <v>645</v>
      </c>
      <c r="E73" s="2149">
        <v>252.63200000000001</v>
      </c>
      <c r="F73" s="2015">
        <v>219.72800000000001</v>
      </c>
      <c r="G73" s="2015">
        <v>206.041</v>
      </c>
      <c r="H73" s="2015">
        <v>4</v>
      </c>
      <c r="I73" s="2021">
        <v>7.8431000000000001E-2</v>
      </c>
      <c r="J73" s="2097">
        <v>36.621333333332998</v>
      </c>
      <c r="K73" s="2100">
        <v>1.5</v>
      </c>
      <c r="L73" s="42"/>
      <c r="M73" s="2015">
        <v>54</v>
      </c>
      <c r="N73" s="2015">
        <v>43</v>
      </c>
      <c r="O73" s="2015">
        <v>8</v>
      </c>
      <c r="P73" s="2015">
        <v>3</v>
      </c>
      <c r="Q73" s="2015">
        <v>17</v>
      </c>
      <c r="R73" s="2044" t="e">
        <v>#VALUE!</v>
      </c>
      <c r="S73" s="2156" t="e">
        <v>#VALUE!</v>
      </c>
      <c r="T73" s="2044" t="e">
        <v>#VALUE!</v>
      </c>
      <c r="U73" s="2162" t="e">
        <f t="shared" si="4"/>
        <v>#VALUE!</v>
      </c>
      <c r="V73" s="2001"/>
      <c r="W73" s="2045"/>
      <c r="XFD73" s="157" t="e">
        <f t="shared" si="3"/>
        <v>#VALUE!</v>
      </c>
    </row>
    <row r="74" spans="2:23 16384:16384" s="157" customFormat="1" ht="15" customHeight="1">
      <c r="B74" s="2008" t="s">
        <v>3514</v>
      </c>
      <c r="C74" s="2010" t="s">
        <v>4174</v>
      </c>
      <c r="D74" s="2010" t="s">
        <v>4047</v>
      </c>
      <c r="E74" s="2149">
        <v>61.179000000000002</v>
      </c>
      <c r="F74" s="2015">
        <v>61.179000000000002</v>
      </c>
      <c r="G74" s="2015">
        <v>61.179000000000002</v>
      </c>
      <c r="H74" s="2015">
        <v>3</v>
      </c>
      <c r="I74" s="2021">
        <v>0.146341</v>
      </c>
      <c r="J74" s="2097">
        <v>15.294750000000001</v>
      </c>
      <c r="K74" s="2100">
        <v>1.3333330000000001</v>
      </c>
      <c r="L74" s="42"/>
      <c r="M74" s="2015">
        <v>41</v>
      </c>
      <c r="N74" s="2015">
        <v>28</v>
      </c>
      <c r="O74" s="2015">
        <v>13</v>
      </c>
      <c r="P74" s="2015">
        <v>0</v>
      </c>
      <c r="Q74" s="2015">
        <v>0</v>
      </c>
      <c r="R74" s="2044" t="e">
        <v>#VALUE!</v>
      </c>
      <c r="S74" s="2156" t="e">
        <v>#VALUE!</v>
      </c>
      <c r="T74" s="2044" t="e">
        <v>#VALUE!</v>
      </c>
      <c r="U74" s="2162" t="e">
        <f t="shared" si="4"/>
        <v>#VALUE!</v>
      </c>
      <c r="V74" s="2001"/>
      <c r="W74" s="2045"/>
      <c r="XFD74" s="157" t="e">
        <f t="shared" si="3"/>
        <v>#VALUE!</v>
      </c>
    </row>
    <row r="75" spans="2:23 16384:16384" s="157" customFormat="1" ht="15" customHeight="1">
      <c r="B75" s="2008" t="s">
        <v>1154</v>
      </c>
      <c r="C75" s="2010" t="s">
        <v>4058</v>
      </c>
      <c r="D75" s="2010" t="s">
        <v>4063</v>
      </c>
      <c r="E75" s="2149">
        <v>328.072</v>
      </c>
      <c r="F75" s="2015">
        <v>86.224999999999994</v>
      </c>
      <c r="G75" s="2152">
        <v>86.224999999999994</v>
      </c>
      <c r="H75" s="2015">
        <v>2</v>
      </c>
      <c r="I75" s="2021">
        <v>8.6022000000000001E-2</v>
      </c>
      <c r="J75" s="2097">
        <v>17.245000000000001</v>
      </c>
      <c r="K75" s="2100">
        <v>2.5</v>
      </c>
      <c r="L75" s="42"/>
      <c r="M75" s="2015">
        <v>58</v>
      </c>
      <c r="N75" s="2015">
        <v>49</v>
      </c>
      <c r="O75" s="2015">
        <v>9</v>
      </c>
      <c r="P75" s="2015">
        <v>0</v>
      </c>
      <c r="Q75" s="2015">
        <v>4</v>
      </c>
      <c r="R75" s="2044" t="e">
        <v>#VALUE!</v>
      </c>
      <c r="S75" s="2156" t="e">
        <v>#VALUE!</v>
      </c>
      <c r="T75" s="2044" t="e">
        <v>#VALUE!</v>
      </c>
      <c r="U75" s="2162" t="e">
        <f t="shared" si="4"/>
        <v>#VALUE!</v>
      </c>
      <c r="V75" s="2001"/>
      <c r="W75" s="2045"/>
      <c r="XFD75" s="157" t="e">
        <f t="shared" si="3"/>
        <v>#VALUE!</v>
      </c>
    </row>
    <row r="76" spans="2:23 16384:16384" s="157" customFormat="1" ht="15" customHeight="1">
      <c r="B76" s="2008" t="s">
        <v>3514</v>
      </c>
      <c r="C76" s="2010" t="s">
        <v>4175</v>
      </c>
      <c r="D76" s="2010" t="s">
        <v>4177</v>
      </c>
      <c r="E76" s="2149">
        <v>15.496</v>
      </c>
      <c r="F76" s="2015">
        <v>15.496</v>
      </c>
      <c r="G76" s="2015">
        <v>15.496</v>
      </c>
      <c r="H76" s="2015">
        <v>1</v>
      </c>
      <c r="I76" s="2021">
        <v>0.125</v>
      </c>
      <c r="J76" s="2097">
        <v>15.496</v>
      </c>
      <c r="K76" s="2100">
        <v>1</v>
      </c>
      <c r="L76" s="42"/>
      <c r="M76" s="2015">
        <v>16</v>
      </c>
      <c r="N76" s="2015">
        <v>11</v>
      </c>
      <c r="O76" s="2015">
        <v>5</v>
      </c>
      <c r="P76" s="2015">
        <v>0</v>
      </c>
      <c r="Q76" s="2015">
        <v>0</v>
      </c>
      <c r="R76" s="2044" t="e">
        <v>#VALUE!</v>
      </c>
      <c r="S76" s="2156" t="e">
        <v>#VALUE!</v>
      </c>
      <c r="T76" s="2044" t="e">
        <v>#VALUE!</v>
      </c>
      <c r="U76" s="2162" t="e">
        <f t="shared" si="4"/>
        <v>#VALUE!</v>
      </c>
      <c r="V76" s="2001"/>
      <c r="W76" s="2045"/>
    </row>
    <row r="77" spans="2:23 16384:16384" s="157" customFormat="1" ht="15" customHeight="1">
      <c r="B77" s="2008" t="s">
        <v>3513</v>
      </c>
      <c r="C77" s="2010" t="s">
        <v>4176</v>
      </c>
      <c r="D77" s="2010" t="s">
        <v>4178</v>
      </c>
      <c r="E77" s="2149">
        <v>0</v>
      </c>
      <c r="F77" s="2015">
        <v>0</v>
      </c>
      <c r="G77" s="2015">
        <v>0</v>
      </c>
      <c r="H77" s="2015">
        <v>0</v>
      </c>
      <c r="I77" s="2021">
        <v>0</v>
      </c>
      <c r="J77" s="2097">
        <v>0</v>
      </c>
      <c r="K77" s="2100">
        <v>0</v>
      </c>
      <c r="L77" s="42"/>
      <c r="M77" s="2015">
        <v>12</v>
      </c>
      <c r="N77" s="2015">
        <v>8</v>
      </c>
      <c r="O77" s="2015">
        <v>4</v>
      </c>
      <c r="P77" s="2015">
        <v>0</v>
      </c>
      <c r="Q77" s="2015">
        <v>0</v>
      </c>
      <c r="R77" s="2044" t="e">
        <v>#VALUE!</v>
      </c>
      <c r="S77" s="2156" t="e">
        <v>#VALUE!</v>
      </c>
      <c r="T77" s="2044" t="e">
        <v>#VALUE!</v>
      </c>
      <c r="U77" s="2162" t="e">
        <f t="shared" si="4"/>
        <v>#VALUE!</v>
      </c>
      <c r="V77" s="2001"/>
      <c r="W77" s="2045"/>
      <c r="XFD77" s="157" t="e">
        <f t="shared" si="3"/>
        <v>#VALUE!</v>
      </c>
    </row>
    <row r="78" spans="2:23 16384:16384" s="157" customFormat="1" ht="15" customHeight="1">
      <c r="B78" s="2008" t="s">
        <v>1154</v>
      </c>
      <c r="C78" s="121" t="s">
        <v>900</v>
      </c>
      <c r="D78" s="2010" t="s">
        <v>901</v>
      </c>
      <c r="E78" s="2149">
        <v>29.341000000000001</v>
      </c>
      <c r="F78" s="2015">
        <v>0</v>
      </c>
      <c r="G78" s="2015">
        <v>0</v>
      </c>
      <c r="H78" s="2015">
        <v>0</v>
      </c>
      <c r="I78" s="2021">
        <v>0</v>
      </c>
      <c r="J78" s="2097">
        <v>0</v>
      </c>
      <c r="K78" s="2100">
        <v>0</v>
      </c>
      <c r="L78" s="42"/>
      <c r="M78" s="2015">
        <v>27</v>
      </c>
      <c r="N78" s="2015">
        <v>22</v>
      </c>
      <c r="O78" s="2015">
        <v>4</v>
      </c>
      <c r="P78" s="2015">
        <v>1</v>
      </c>
      <c r="Q78" s="2015">
        <v>0</v>
      </c>
      <c r="R78" s="2044" t="e">
        <v>#VALUE!</v>
      </c>
      <c r="S78" s="2156" t="e">
        <v>#VALUE!</v>
      </c>
      <c r="T78" s="2044" t="e">
        <v>#VALUE!</v>
      </c>
      <c r="U78" s="2162" t="e">
        <f t="shared" si="4"/>
        <v>#VALUE!</v>
      </c>
      <c r="V78" s="2001"/>
      <c r="W78" s="2045"/>
    </row>
    <row r="79" spans="2:23 16384:16384" s="157" customFormat="1" ht="15" customHeight="1">
      <c r="B79" s="2008" t="s">
        <v>3513</v>
      </c>
      <c r="C79" s="121" t="s">
        <v>4139</v>
      </c>
      <c r="D79" s="2010" t="s">
        <v>1163</v>
      </c>
      <c r="E79" s="2149">
        <v>32.590000000000003</v>
      </c>
      <c r="F79" s="2015">
        <v>54.4</v>
      </c>
      <c r="G79" s="2015">
        <v>27.2</v>
      </c>
      <c r="H79" s="2015">
        <v>1</v>
      </c>
      <c r="I79" s="2021">
        <v>2.1739000000000001E-2</v>
      </c>
      <c r="J79" s="2097">
        <v>54.4</v>
      </c>
      <c r="K79" s="2100">
        <v>1</v>
      </c>
      <c r="L79" s="42"/>
      <c r="M79" s="2015">
        <v>60</v>
      </c>
      <c r="N79" s="2015">
        <v>53</v>
      </c>
      <c r="O79" s="2015">
        <v>6</v>
      </c>
      <c r="P79" s="2015">
        <v>1</v>
      </c>
      <c r="Q79" s="2015">
        <v>6</v>
      </c>
      <c r="R79" s="2044" t="e">
        <v>#VALUE!</v>
      </c>
      <c r="S79" s="2156" t="e">
        <v>#VALUE!</v>
      </c>
      <c r="T79" s="2044" t="e">
        <v>#VALUE!</v>
      </c>
      <c r="U79" s="2162" t="e">
        <f t="shared" si="4"/>
        <v>#VALUE!</v>
      </c>
      <c r="V79" s="2001"/>
      <c r="W79" s="2045"/>
    </row>
    <row r="80" spans="2:23 16384:16384" s="157" customFormat="1" ht="15" customHeight="1">
      <c r="B80" s="2008" t="s">
        <v>1154</v>
      </c>
      <c r="C80" s="121" t="s">
        <v>47</v>
      </c>
      <c r="D80" s="2010" t="s">
        <v>17</v>
      </c>
      <c r="E80" s="2149">
        <v>596.91800000000001</v>
      </c>
      <c r="F80" s="2015">
        <v>224.542</v>
      </c>
      <c r="G80" s="2015">
        <v>263.69400000000002</v>
      </c>
      <c r="H80" s="2015">
        <v>4</v>
      </c>
      <c r="I80" s="2021">
        <v>0.112676</v>
      </c>
      <c r="J80" s="2097">
        <v>37.423666666666996</v>
      </c>
      <c r="K80" s="2100">
        <v>1.5</v>
      </c>
      <c r="L80" s="42"/>
      <c r="M80" s="2015">
        <v>44</v>
      </c>
      <c r="N80" s="2015">
        <v>33</v>
      </c>
      <c r="O80" s="2015">
        <v>8</v>
      </c>
      <c r="P80" s="2015">
        <v>3</v>
      </c>
      <c r="Q80" s="2015">
        <v>1</v>
      </c>
      <c r="R80" s="2044" t="e">
        <v>#VALUE!</v>
      </c>
      <c r="S80" s="2156" t="e">
        <v>#VALUE!</v>
      </c>
      <c r="T80" s="2044" t="e">
        <v>#VALUE!</v>
      </c>
      <c r="U80" s="2162" t="e">
        <f t="shared" si="4"/>
        <v>#VALUE!</v>
      </c>
      <c r="V80" s="2001"/>
      <c r="W80" s="2045"/>
    </row>
    <row r="81" spans="2:23" s="157" customFormat="1" ht="15" customHeight="1">
      <c r="B81" s="2008" t="s">
        <v>3516</v>
      </c>
      <c r="C81" s="121" t="s">
        <v>3171</v>
      </c>
      <c r="D81" s="2010" t="s">
        <v>190</v>
      </c>
      <c r="E81" s="2149">
        <v>180.98099999999999</v>
      </c>
      <c r="F81" s="2015">
        <v>12.449</v>
      </c>
      <c r="G81" s="2015">
        <v>44.046999999999997</v>
      </c>
      <c r="H81" s="2015">
        <v>1</v>
      </c>
      <c r="I81" s="2021">
        <v>0.04</v>
      </c>
      <c r="J81" s="2097">
        <v>12.449</v>
      </c>
      <c r="K81" s="2100">
        <v>1</v>
      </c>
      <c r="L81" s="42"/>
      <c r="M81" s="2015">
        <v>31</v>
      </c>
      <c r="N81" s="2015">
        <v>25</v>
      </c>
      <c r="O81" s="2015">
        <v>5</v>
      </c>
      <c r="P81" s="2015">
        <v>1</v>
      </c>
      <c r="Q81" s="2015">
        <v>3</v>
      </c>
      <c r="R81" s="2044" t="e">
        <v>#VALUE!</v>
      </c>
      <c r="S81" s="2156" t="e">
        <v>#VALUE!</v>
      </c>
      <c r="T81" s="2044" t="e">
        <v>#VALUE!</v>
      </c>
      <c r="U81" s="2162" t="e">
        <f t="shared" si="4"/>
        <v>#VALUE!</v>
      </c>
      <c r="V81" s="2001"/>
      <c r="W81" s="2045"/>
    </row>
    <row r="82" spans="2:23" s="157" customFormat="1" ht="15" customHeight="1">
      <c r="B82" s="2008" t="s">
        <v>1154</v>
      </c>
      <c r="C82" s="121" t="s">
        <v>3517</v>
      </c>
      <c r="D82" s="2147" t="s">
        <v>2705</v>
      </c>
      <c r="E82" s="2150">
        <v>93.263999999999996</v>
      </c>
      <c r="F82" s="2016">
        <v>15.731999999999999</v>
      </c>
      <c r="G82" s="2016">
        <v>39.462000000000003</v>
      </c>
      <c r="H82" s="2016">
        <v>0</v>
      </c>
      <c r="I82" s="2022">
        <v>1.6806999999999999E-2</v>
      </c>
      <c r="J82" s="2098">
        <v>15.731999999999999</v>
      </c>
      <c r="K82" s="2151">
        <v>0</v>
      </c>
      <c r="L82" s="42"/>
      <c r="M82" s="2016">
        <v>63</v>
      </c>
      <c r="N82" s="2016">
        <v>49</v>
      </c>
      <c r="O82" s="2016">
        <v>12</v>
      </c>
      <c r="P82" s="2016">
        <v>2</v>
      </c>
      <c r="Q82" s="2016">
        <v>10</v>
      </c>
      <c r="R82" s="2158" t="e">
        <v>#VALUE!</v>
      </c>
      <c r="S82" s="2157" t="e">
        <v>#VALUE!</v>
      </c>
      <c r="T82" s="2158" t="e">
        <v>#VALUE!</v>
      </c>
      <c r="U82" s="2162" t="e">
        <f t="shared" si="4"/>
        <v>#VALUE!</v>
      </c>
      <c r="V82" s="2001"/>
      <c r="W82" s="2045"/>
    </row>
    <row r="83" spans="2:23" s="157" customFormat="1" ht="18" customHeight="1">
      <c r="B83" s="2394" t="s">
        <v>49</v>
      </c>
      <c r="C83" s="2395"/>
      <c r="D83" s="2396"/>
      <c r="E83" s="2017">
        <f>SUM(E7:E82)</f>
        <v>72051.749300000025</v>
      </c>
      <c r="F83" s="2017">
        <f>SUM(F7:F82)</f>
        <v>45111.205000000002</v>
      </c>
      <c r="G83" s="2017">
        <f>SUM(G7:G82)</f>
        <v>44922.970299999994</v>
      </c>
      <c r="H83" s="2017">
        <f>SUM(H7:H82)</f>
        <v>1446</v>
      </c>
      <c r="I83" s="2018">
        <f>AVERAGE(I7:I82)</f>
        <v>0.17820248684210527</v>
      </c>
      <c r="J83" s="2154">
        <f>AVERAGE(J7:J82)</f>
        <v>18.596742007918937</v>
      </c>
      <c r="K83" s="2019">
        <f>AVERAGE(K7:K82)</f>
        <v>1.4776936447368416</v>
      </c>
      <c r="L83" s="79"/>
      <c r="M83" s="2002">
        <f>SUM(M7:M82)</f>
        <v>10031</v>
      </c>
      <c r="N83" s="2002">
        <f>SUM(N7:N82)</f>
        <v>7917</v>
      </c>
      <c r="O83" s="2002">
        <f>SUM(O7:O82)</f>
        <v>1745</v>
      </c>
      <c r="P83" s="2002">
        <f>SUM(P7:P82)</f>
        <v>369</v>
      </c>
      <c r="Q83" s="2002">
        <f>SUM(Q7:Q82)</f>
        <v>1054</v>
      </c>
      <c r="R83" s="2155" t="e">
        <f>SUM(R7:R77)</f>
        <v>#VALUE!</v>
      </c>
      <c r="S83" s="2159" t="e">
        <f>SUM(S7:S77)</f>
        <v>#VALUE!</v>
      </c>
      <c r="T83" s="2160" t="e">
        <f>SUM(T7:T77)</f>
        <v>#VALUE!</v>
      </c>
      <c r="U83" s="2163" t="e">
        <f>IF(T83&gt;0,T83/(O83+P83),0)</f>
        <v>#VALUE!</v>
      </c>
    </row>
    <row r="84" spans="2:23" s="79" customFormat="1" ht="15">
      <c r="B84" s="1974"/>
      <c r="C84" s="1974"/>
      <c r="D84" s="1975"/>
      <c r="E84" s="156"/>
      <c r="F84" s="1976"/>
      <c r="G84" s="1976"/>
      <c r="H84" s="80" t="s">
        <v>50</v>
      </c>
      <c r="I84" s="81">
        <v>0.3</v>
      </c>
      <c r="J84" s="2026">
        <v>15</v>
      </c>
      <c r="K84" s="159">
        <v>1.4</v>
      </c>
      <c r="L84" s="41"/>
      <c r="M84" s="40"/>
      <c r="N84" s="41"/>
      <c r="O84" s="41"/>
      <c r="P84" s="158"/>
      <c r="Q84" s="158"/>
      <c r="R84" s="1989"/>
      <c r="S84" s="1989"/>
      <c r="T84" s="1989" t="e">
        <f>SUM(R83:S83)/T83</f>
        <v>#VALUE!</v>
      </c>
      <c r="U84" s="1989"/>
      <c r="V84" s="156"/>
    </row>
    <row r="85" spans="2:23" ht="15">
      <c r="B85" s="1977"/>
      <c r="C85" s="93"/>
      <c r="D85" s="79"/>
      <c r="E85" s="157"/>
      <c r="F85" s="79"/>
      <c r="G85" s="79"/>
      <c r="H85" s="80" t="s">
        <v>50</v>
      </c>
      <c r="I85" s="83">
        <v>0.25</v>
      </c>
      <c r="J85" s="2027">
        <v>10</v>
      </c>
      <c r="K85" s="160">
        <v>1.2</v>
      </c>
      <c r="L85" s="293"/>
      <c r="M85" s="294"/>
      <c r="N85" s="295"/>
      <c r="O85" s="58"/>
      <c r="P85" s="40"/>
      <c r="T85" s="1989"/>
      <c r="U85" s="1989"/>
      <c r="V85" s="1989"/>
    </row>
    <row r="86" spans="2:23">
      <c r="J86" s="2028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1989"/>
    </row>
    <row r="87" spans="2:23" s="280" customFormat="1" ht="36" hidden="1" customHeight="1">
      <c r="B87" s="79"/>
      <c r="C87" s="79"/>
      <c r="D87" s="79"/>
      <c r="E87" s="157"/>
      <c r="F87" s="79"/>
      <c r="G87" s="79"/>
      <c r="H87" s="80" t="s">
        <v>50</v>
      </c>
      <c r="I87" s="83">
        <v>0.25</v>
      </c>
      <c r="J87" s="2027">
        <v>10</v>
      </c>
      <c r="K87" s="160">
        <v>1.2</v>
      </c>
      <c r="N87" s="310" t="s">
        <v>592</v>
      </c>
      <c r="O87" s="37"/>
      <c r="P87" s="37"/>
      <c r="Q87" s="310" t="s">
        <v>593</v>
      </c>
      <c r="R87" s="1989"/>
      <c r="S87" s="1989"/>
      <c r="T87" s="1989"/>
      <c r="U87" s="1989"/>
      <c r="V87" s="1989"/>
    </row>
    <row r="88" spans="2:23" ht="37.15" hidden="1" customHeight="1">
      <c r="B88" s="254" t="s">
        <v>15</v>
      </c>
      <c r="C88" s="277" t="s">
        <v>4</v>
      </c>
      <c r="D88" s="277" t="s">
        <v>20</v>
      </c>
      <c r="E88" s="276" t="s">
        <v>239</v>
      </c>
      <c r="F88" s="149" t="s">
        <v>333</v>
      </c>
      <c r="G88" s="150" t="s">
        <v>234</v>
      </c>
      <c r="H88" s="276" t="s">
        <v>238</v>
      </c>
      <c r="I88" s="149" t="s">
        <v>334</v>
      </c>
      <c r="J88" s="2029" t="s">
        <v>235</v>
      </c>
      <c r="K88" s="276" t="s">
        <v>573</v>
      </c>
      <c r="L88" s="149" t="s">
        <v>574</v>
      </c>
      <c r="M88" s="150" t="s">
        <v>575</v>
      </c>
      <c r="N88" s="276" t="s">
        <v>237</v>
      </c>
      <c r="O88" s="149" t="s">
        <v>335</v>
      </c>
      <c r="P88" s="150" t="s">
        <v>236</v>
      </c>
      <c r="Q88" s="276" t="s">
        <v>462</v>
      </c>
      <c r="T88" s="1989"/>
      <c r="U88" s="1989"/>
      <c r="V88" s="1989"/>
    </row>
    <row r="89" spans="2:23" ht="18.75" hidden="1" customHeight="1">
      <c r="B89" s="324" t="s">
        <v>458</v>
      </c>
      <c r="C89" s="325" t="s">
        <v>91</v>
      </c>
      <c r="D89" s="325" t="s">
        <v>92</v>
      </c>
      <c r="E89" s="92">
        <v>899.077</v>
      </c>
      <c r="F89" s="279">
        <v>1416</v>
      </c>
      <c r="G89" s="278">
        <f>E89/F89</f>
        <v>0.63494138418079094</v>
      </c>
      <c r="H89" s="92">
        <v>47</v>
      </c>
      <c r="I89" s="91">
        <v>41</v>
      </c>
      <c r="J89" s="2030">
        <f>H89/I89</f>
        <v>1.1463414634146341</v>
      </c>
      <c r="K89" s="92">
        <v>13</v>
      </c>
      <c r="L89" s="91">
        <v>9</v>
      </c>
      <c r="M89" s="278">
        <f>K89/L89</f>
        <v>1.4444444444444444</v>
      </c>
      <c r="N89" s="92">
        <v>17</v>
      </c>
      <c r="O89" s="91"/>
      <c r="P89" s="278"/>
      <c r="Q89" s="92">
        <v>1</v>
      </c>
      <c r="T89" s="1989"/>
      <c r="U89" s="1989"/>
      <c r="V89" s="1989"/>
    </row>
    <row r="90" spans="2:23" ht="18.75" hidden="1" customHeight="1">
      <c r="B90" s="326" t="s">
        <v>458</v>
      </c>
      <c r="C90" s="327" t="s">
        <v>482</v>
      </c>
      <c r="D90" s="327" t="s">
        <v>483</v>
      </c>
      <c r="E90" s="339">
        <v>71.48</v>
      </c>
      <c r="F90" s="337">
        <v>399</v>
      </c>
      <c r="G90" s="340">
        <f>E90/F90</f>
        <v>0.17914786967418547</v>
      </c>
      <c r="H90" s="339">
        <v>8</v>
      </c>
      <c r="I90" s="336">
        <v>10</v>
      </c>
      <c r="J90" s="2031">
        <f>H90/I90</f>
        <v>0.8</v>
      </c>
      <c r="K90" s="339">
        <v>3</v>
      </c>
      <c r="L90" s="336"/>
      <c r="M90" s="340"/>
      <c r="N90" s="339">
        <v>2</v>
      </c>
      <c r="O90" s="336">
        <v>14</v>
      </c>
      <c r="P90" s="340">
        <f>N90/O90</f>
        <v>0.14285714285714285</v>
      </c>
      <c r="Q90" s="339">
        <v>1</v>
      </c>
      <c r="T90" s="1989"/>
      <c r="U90" s="1989"/>
      <c r="V90" s="1989"/>
    </row>
    <row r="91" spans="2:23" ht="18.75" hidden="1" customHeight="1">
      <c r="B91" s="324" t="s">
        <v>458</v>
      </c>
      <c r="C91" s="325" t="s">
        <v>187</v>
      </c>
      <c r="D91" s="325" t="s">
        <v>194</v>
      </c>
      <c r="E91" s="92">
        <v>262.46100000000001</v>
      </c>
      <c r="F91" s="279">
        <v>1436</v>
      </c>
      <c r="G91" s="278">
        <f>E91/F91</f>
        <v>0.18277228412256269</v>
      </c>
      <c r="H91" s="92">
        <v>18</v>
      </c>
      <c r="I91" s="91">
        <v>42</v>
      </c>
      <c r="J91" s="2030">
        <f>H91/I91</f>
        <v>0.42857142857142855</v>
      </c>
      <c r="K91" s="92">
        <v>6</v>
      </c>
      <c r="L91" s="91">
        <v>12</v>
      </c>
      <c r="M91" s="278">
        <f>K91/L91</f>
        <v>0.5</v>
      </c>
      <c r="N91" s="92">
        <v>3</v>
      </c>
      <c r="O91" s="91"/>
      <c r="P91" s="278"/>
      <c r="Q91" s="92">
        <v>0</v>
      </c>
      <c r="T91" s="1989"/>
      <c r="U91" s="1989"/>
      <c r="V91" s="1989"/>
    </row>
    <row r="92" spans="2:23" ht="18.75" hidden="1" customHeight="1">
      <c r="B92" s="326" t="s">
        <v>458</v>
      </c>
      <c r="C92" s="327" t="s">
        <v>557</v>
      </c>
      <c r="D92" s="327" t="s">
        <v>558</v>
      </c>
      <c r="E92" s="339">
        <v>5.8129999999999997</v>
      </c>
      <c r="F92" s="337">
        <v>200</v>
      </c>
      <c r="G92" s="340">
        <f>E92/F92</f>
        <v>2.9064999999999997E-2</v>
      </c>
      <c r="H92" s="339">
        <v>1</v>
      </c>
      <c r="I92" s="336">
        <v>4</v>
      </c>
      <c r="J92" s="2031">
        <f>H92/I92</f>
        <v>0.25</v>
      </c>
      <c r="K92" s="339">
        <v>1</v>
      </c>
      <c r="L92" s="336"/>
      <c r="M92" s="340"/>
      <c r="N92" s="339">
        <v>3</v>
      </c>
      <c r="O92" s="336">
        <v>5</v>
      </c>
      <c r="P92" s="340">
        <f>N92/O92</f>
        <v>0.6</v>
      </c>
      <c r="Q92" s="339">
        <v>0</v>
      </c>
      <c r="T92" s="1989"/>
      <c r="U92" s="1989"/>
      <c r="V92" s="1989"/>
    </row>
    <row r="93" spans="2:23" ht="18.75" hidden="1" customHeight="1">
      <c r="B93" s="324" t="s">
        <v>458</v>
      </c>
      <c r="C93" s="325" t="s">
        <v>47</v>
      </c>
      <c r="D93" s="325" t="s">
        <v>17</v>
      </c>
      <c r="E93" s="92">
        <v>314.80700000000002</v>
      </c>
      <c r="F93" s="279">
        <v>1536</v>
      </c>
      <c r="G93" s="278">
        <f>E93/F93</f>
        <v>0.20495247395833335</v>
      </c>
      <c r="H93" s="92">
        <v>19</v>
      </c>
      <c r="I93" s="91">
        <v>44</v>
      </c>
      <c r="J93" s="2030">
        <f>H93/I93</f>
        <v>0.43181818181818182</v>
      </c>
      <c r="K93" s="92">
        <v>5</v>
      </c>
      <c r="L93" s="91">
        <v>10</v>
      </c>
      <c r="M93" s="278">
        <f>K93/L93</f>
        <v>0.5</v>
      </c>
      <c r="N93" s="92">
        <v>10</v>
      </c>
      <c r="O93" s="91"/>
      <c r="P93" s="278"/>
      <c r="Q93" s="92">
        <v>0</v>
      </c>
      <c r="T93" s="1989"/>
      <c r="U93" s="1989"/>
      <c r="V93" s="1989"/>
    </row>
    <row r="94" spans="2:23" ht="18.75" hidden="1" customHeight="1">
      <c r="B94" s="326"/>
      <c r="C94" s="327"/>
      <c r="D94" s="327"/>
      <c r="E94" s="339"/>
      <c r="F94" s="337"/>
      <c r="G94" s="340"/>
      <c r="H94" s="339"/>
      <c r="I94" s="336"/>
      <c r="J94" s="2031"/>
      <c r="K94" s="339"/>
      <c r="L94" s="336"/>
      <c r="M94" s="340"/>
      <c r="N94" s="339"/>
      <c r="O94" s="336"/>
      <c r="P94" s="340"/>
      <c r="Q94" s="339"/>
      <c r="T94" s="1989"/>
      <c r="U94" s="1989"/>
      <c r="V94" s="1989"/>
    </row>
    <row r="95" spans="2:23" ht="18.75" hidden="1" customHeight="1">
      <c r="B95" s="324" t="s">
        <v>459</v>
      </c>
      <c r="C95" s="325" t="s">
        <v>179</v>
      </c>
      <c r="D95" s="325" t="s">
        <v>191</v>
      </c>
      <c r="E95" s="92">
        <v>316.92500000000001</v>
      </c>
      <c r="F95" s="279">
        <v>1436</v>
      </c>
      <c r="G95" s="278">
        <f>E95/F95</f>
        <v>0.220699860724234</v>
      </c>
      <c r="H95" s="92">
        <v>19</v>
      </c>
      <c r="I95" s="91">
        <v>42</v>
      </c>
      <c r="J95" s="2030">
        <f>H95/I95</f>
        <v>0.45238095238095238</v>
      </c>
      <c r="K95" s="92">
        <v>20</v>
      </c>
      <c r="L95" s="91">
        <v>12</v>
      </c>
      <c r="M95" s="278">
        <f>K95/L95</f>
        <v>1.6666666666666667</v>
      </c>
      <c r="N95" s="92">
        <v>15</v>
      </c>
      <c r="O95" s="91"/>
      <c r="P95" s="278"/>
      <c r="Q95" s="92">
        <v>2</v>
      </c>
      <c r="T95" s="1989"/>
      <c r="U95" s="1989"/>
      <c r="V95" s="1989"/>
    </row>
    <row r="96" spans="2:23" s="403" customFormat="1" ht="21.75" hidden="1" customHeight="1">
      <c r="B96" s="326" t="s">
        <v>459</v>
      </c>
      <c r="C96" s="327" t="s">
        <v>185</v>
      </c>
      <c r="D96" s="327" t="s">
        <v>190</v>
      </c>
      <c r="E96" s="339">
        <v>165.95599999999999</v>
      </c>
      <c r="F96" s="337">
        <v>1436</v>
      </c>
      <c r="G96" s="340">
        <f>E96/F96</f>
        <v>0.11556824512534818</v>
      </c>
      <c r="H96" s="339">
        <v>15</v>
      </c>
      <c r="I96" s="336">
        <v>42</v>
      </c>
      <c r="J96" s="2031">
        <f>H96/I96</f>
        <v>0.35714285714285715</v>
      </c>
      <c r="K96" s="339">
        <v>8</v>
      </c>
      <c r="L96" s="336">
        <v>12</v>
      </c>
      <c r="M96" s="340">
        <f>K96/L96</f>
        <v>0.66666666666666663</v>
      </c>
      <c r="N96" s="339">
        <v>6</v>
      </c>
      <c r="O96" s="336"/>
      <c r="P96" s="340"/>
      <c r="Q96" s="339">
        <v>1</v>
      </c>
      <c r="R96" s="1989"/>
      <c r="S96" s="1989"/>
      <c r="T96" s="1989"/>
      <c r="U96" s="1989"/>
      <c r="V96" s="1989"/>
    </row>
    <row r="97" spans="2:22" ht="18.75" hidden="1" customHeight="1">
      <c r="B97" s="326" t="s">
        <v>459</v>
      </c>
      <c r="C97" s="327" t="s">
        <v>177</v>
      </c>
      <c r="D97" s="327" t="s">
        <v>439</v>
      </c>
      <c r="E97" s="339">
        <v>685.34999999999991</v>
      </c>
      <c r="F97" s="337">
        <v>1436</v>
      </c>
      <c r="G97" s="340">
        <f>E97/F97</f>
        <v>0.47726323119777153</v>
      </c>
      <c r="H97" s="339">
        <v>45</v>
      </c>
      <c r="I97" s="336">
        <v>96</v>
      </c>
      <c r="J97" s="2031">
        <f>H97/I97</f>
        <v>0.46875</v>
      </c>
      <c r="K97" s="339">
        <v>28</v>
      </c>
      <c r="L97" s="336">
        <v>35</v>
      </c>
      <c r="M97" s="340">
        <f>K97/L97</f>
        <v>0.8</v>
      </c>
      <c r="N97" s="339">
        <v>13</v>
      </c>
      <c r="O97" s="336"/>
      <c r="P97" s="340"/>
      <c r="Q97" s="339">
        <v>0</v>
      </c>
      <c r="T97" s="1989"/>
      <c r="U97" s="1989"/>
      <c r="V97" s="1989"/>
    </row>
    <row r="98" spans="2:22" ht="18.75" hidden="1" customHeight="1">
      <c r="B98" s="324" t="s">
        <v>459</v>
      </c>
      <c r="C98" s="325" t="s">
        <v>176</v>
      </c>
      <c r="D98" s="325" t="s">
        <v>188</v>
      </c>
      <c r="E98" s="92">
        <v>167.977</v>
      </c>
      <c r="F98" s="279">
        <v>1436</v>
      </c>
      <c r="G98" s="278">
        <f>E98/F98</f>
        <v>0.11697562674094708</v>
      </c>
      <c r="H98" s="92">
        <v>10</v>
      </c>
      <c r="I98" s="91">
        <v>42</v>
      </c>
      <c r="J98" s="2030">
        <f>H98/I98</f>
        <v>0.23809523809523808</v>
      </c>
      <c r="K98" s="92">
        <v>7</v>
      </c>
      <c r="L98" s="91">
        <v>12</v>
      </c>
      <c r="M98" s="278">
        <f>K98/L98</f>
        <v>0.58333333333333337</v>
      </c>
      <c r="N98" s="92">
        <v>10</v>
      </c>
      <c r="O98" s="91"/>
      <c r="P98" s="278"/>
      <c r="Q98" s="92">
        <v>0</v>
      </c>
      <c r="T98" s="1989"/>
      <c r="U98" s="1989"/>
      <c r="V98" s="1989"/>
    </row>
    <row r="99" spans="2:22" ht="18.75" hidden="1" customHeight="1">
      <c r="B99" s="326" t="s">
        <v>459</v>
      </c>
      <c r="C99" s="327" t="s">
        <v>178</v>
      </c>
      <c r="D99" s="327" t="s">
        <v>192</v>
      </c>
      <c r="E99" s="339">
        <v>219.5</v>
      </c>
      <c r="F99" s="337">
        <v>1436</v>
      </c>
      <c r="G99" s="340">
        <f>E99/F99</f>
        <v>0.15285515320334261</v>
      </c>
      <c r="H99" s="339">
        <v>16</v>
      </c>
      <c r="I99" s="336">
        <v>42</v>
      </c>
      <c r="J99" s="2031">
        <f>H99/I99</f>
        <v>0.38095238095238093</v>
      </c>
      <c r="K99" s="339">
        <v>7</v>
      </c>
      <c r="L99" s="336">
        <v>12</v>
      </c>
      <c r="M99" s="340">
        <f>K99/L99</f>
        <v>0.58333333333333337</v>
      </c>
      <c r="N99" s="339">
        <v>8</v>
      </c>
      <c r="O99" s="336"/>
      <c r="P99" s="340"/>
      <c r="Q99" s="339">
        <v>0</v>
      </c>
      <c r="T99" s="1989"/>
      <c r="U99" s="1989"/>
      <c r="V99" s="1989"/>
    </row>
    <row r="100" spans="2:22" ht="5.25" hidden="1" customHeight="1">
      <c r="B100" s="447"/>
      <c r="C100" s="447"/>
      <c r="D100" s="447"/>
      <c r="E100" s="448"/>
      <c r="F100" s="448"/>
      <c r="G100" s="449"/>
      <c r="H100" s="447"/>
      <c r="I100" s="447"/>
      <c r="J100" s="2032"/>
      <c r="N100" s="447"/>
      <c r="O100" s="447"/>
      <c r="P100" s="449"/>
      <c r="Q100" s="447"/>
      <c r="T100" s="1989"/>
      <c r="U100" s="1989"/>
      <c r="V100" s="1989"/>
    </row>
    <row r="101" spans="2:22" s="281" customFormat="1" ht="19.5" hidden="1" customHeight="1">
      <c r="B101" s="439"/>
      <c r="C101" s="440"/>
      <c r="D101" s="441" t="s">
        <v>76</v>
      </c>
      <c r="E101" s="442">
        <f>SUM(E90:E99)</f>
        <v>2210.2690000000002</v>
      </c>
      <c r="F101" s="443">
        <f>SUM(F90:F99)</f>
        <v>10751</v>
      </c>
      <c r="G101" s="444">
        <f>E101/F101</f>
        <v>0.20558729420519023</v>
      </c>
      <c r="H101" s="445">
        <f>SUM(H90:H99)</f>
        <v>151</v>
      </c>
      <c r="I101" s="446">
        <f>SUM(I90:I99)</f>
        <v>364</v>
      </c>
      <c r="J101" s="2033">
        <f>H101/I101</f>
        <v>0.41483516483516486</v>
      </c>
      <c r="N101" s="445"/>
      <c r="O101" s="446">
        <f>SUM(O90:O99)</f>
        <v>19</v>
      </c>
      <c r="P101" s="444">
        <f>N101/O101</f>
        <v>0</v>
      </c>
      <c r="Q101" s="445"/>
      <c r="R101" s="1989"/>
      <c r="S101" s="1989"/>
      <c r="T101" s="1989"/>
      <c r="U101" s="1989"/>
      <c r="V101" s="1989"/>
    </row>
    <row r="102" spans="2:22" ht="6" hidden="1" customHeight="1">
      <c r="T102" s="1989"/>
      <c r="U102" s="1989"/>
      <c r="V102" s="1989"/>
    </row>
    <row r="103" spans="2:22" hidden="1">
      <c r="B103" s="311" t="s">
        <v>594</v>
      </c>
      <c r="F103" s="284" t="s">
        <v>50</v>
      </c>
      <c r="G103" s="282">
        <v>1</v>
      </c>
      <c r="I103" s="284" t="s">
        <v>50</v>
      </c>
      <c r="J103" s="2035">
        <v>1</v>
      </c>
      <c r="L103" s="284" t="s">
        <v>50</v>
      </c>
      <c r="M103" s="282">
        <v>1</v>
      </c>
      <c r="O103" s="284" t="s">
        <v>50</v>
      </c>
      <c r="P103" s="282">
        <v>1</v>
      </c>
      <c r="T103" s="1989"/>
      <c r="U103" s="1989"/>
      <c r="V103" s="1989"/>
    </row>
    <row r="104" spans="2:22" hidden="1">
      <c r="B104" s="311" t="s">
        <v>595</v>
      </c>
      <c r="F104" s="284" t="s">
        <v>50</v>
      </c>
      <c r="G104" s="283">
        <v>0.7</v>
      </c>
      <c r="I104" s="284" t="s">
        <v>50</v>
      </c>
      <c r="J104" s="2036">
        <v>0.8</v>
      </c>
      <c r="L104" s="284" t="s">
        <v>50</v>
      </c>
      <c r="M104" s="283">
        <v>0.8</v>
      </c>
      <c r="O104" s="284" t="s">
        <v>50</v>
      </c>
      <c r="P104" s="283">
        <v>0.8</v>
      </c>
      <c r="T104" s="1989"/>
      <c r="U104" s="1989"/>
      <c r="V104" s="1989"/>
    </row>
    <row r="105" spans="2:22" hidden="1">
      <c r="T105" s="1989"/>
      <c r="U105" s="1989"/>
      <c r="V105" s="1989"/>
    </row>
    <row r="106" spans="2:22" ht="15" hidden="1">
      <c r="E106" s="425" t="s">
        <v>156</v>
      </c>
      <c r="F106" s="425" t="s">
        <v>157</v>
      </c>
      <c r="G106" s="426" t="s">
        <v>158</v>
      </c>
      <c r="H106" s="425" t="s">
        <v>261</v>
      </c>
      <c r="J106" s="2037" t="s">
        <v>346</v>
      </c>
      <c r="T106" s="1989"/>
      <c r="U106" s="1989"/>
      <c r="V106" s="1989"/>
    </row>
    <row r="107" spans="2:22" ht="16.5" hidden="1">
      <c r="C107" s="349" t="s">
        <v>244</v>
      </c>
      <c r="D107" s="349" t="s">
        <v>293</v>
      </c>
      <c r="E107" s="350">
        <v>1</v>
      </c>
      <c r="F107" s="350">
        <v>1</v>
      </c>
      <c r="G107" s="351"/>
      <c r="H107" s="350">
        <f t="shared" ref="H107:H114" si="5">SUM(E107:G107)</f>
        <v>2</v>
      </c>
      <c r="J107" s="2038" t="e">
        <f>R8</f>
        <v>#VALUE!</v>
      </c>
      <c r="T107" s="1989"/>
      <c r="U107" s="1989"/>
      <c r="V107" s="1989"/>
    </row>
    <row r="108" spans="2:22" ht="17.25" hidden="1" customHeight="1">
      <c r="C108" s="352"/>
      <c r="D108" s="352" t="s">
        <v>193</v>
      </c>
      <c r="E108" s="353">
        <v>5</v>
      </c>
      <c r="F108" s="353">
        <v>1</v>
      </c>
      <c r="G108" s="354">
        <v>1</v>
      </c>
      <c r="H108" s="353">
        <f t="shared" si="5"/>
        <v>7</v>
      </c>
      <c r="J108" s="2039" t="e">
        <f>R21</f>
        <v>#VALUE!</v>
      </c>
      <c r="O108" s="39"/>
      <c r="P108" s="39"/>
      <c r="Q108" s="39"/>
      <c r="T108" s="1989"/>
      <c r="U108" s="1989"/>
      <c r="V108" s="1989"/>
    </row>
    <row r="109" spans="2:22" s="403" customFormat="1" ht="16.5" hidden="1">
      <c r="C109" s="422"/>
      <c r="D109" s="422" t="s">
        <v>202</v>
      </c>
      <c r="E109" s="423">
        <v>1</v>
      </c>
      <c r="F109" s="423">
        <v>1</v>
      </c>
      <c r="G109" s="424"/>
      <c r="H109" s="423">
        <f t="shared" si="5"/>
        <v>2</v>
      </c>
      <c r="J109" s="2040"/>
      <c r="K109" s="402"/>
      <c r="L109" s="402"/>
      <c r="M109" s="421"/>
      <c r="N109" s="402"/>
      <c r="R109" s="1989"/>
      <c r="S109" s="1989"/>
      <c r="T109" s="1989"/>
      <c r="U109" s="1989"/>
      <c r="V109" s="1989"/>
    </row>
    <row r="110" spans="2:22" ht="16.5" hidden="1">
      <c r="C110" s="352"/>
      <c r="D110" s="352" t="s">
        <v>294</v>
      </c>
      <c r="E110" s="353">
        <v>1</v>
      </c>
      <c r="F110" s="353">
        <v>1</v>
      </c>
      <c r="G110" s="354"/>
      <c r="H110" s="353">
        <f t="shared" si="5"/>
        <v>2</v>
      </c>
      <c r="J110" s="2039" t="e">
        <f>R7</f>
        <v>#VALUE!</v>
      </c>
      <c r="O110" s="39"/>
      <c r="P110" s="39"/>
      <c r="Q110" s="39"/>
      <c r="T110" s="1989"/>
      <c r="U110" s="1989"/>
      <c r="V110" s="1989"/>
    </row>
    <row r="111" spans="2:22" ht="16.5" hidden="1">
      <c r="C111" s="349"/>
      <c r="D111" s="349" t="s">
        <v>92</v>
      </c>
      <c r="E111" s="350">
        <v>2</v>
      </c>
      <c r="F111" s="350">
        <v>1</v>
      </c>
      <c r="G111" s="351">
        <v>1</v>
      </c>
      <c r="H111" s="350">
        <f>SUM(E111:G111)</f>
        <v>4</v>
      </c>
      <c r="J111" s="2038" t="e">
        <f>R22</f>
        <v>#VALUE!</v>
      </c>
      <c r="O111" s="39"/>
      <c r="P111" s="39"/>
      <c r="Q111" s="39"/>
      <c r="T111" s="1989"/>
      <c r="U111" s="1989"/>
      <c r="V111" s="1989"/>
    </row>
    <row r="112" spans="2:22" ht="16.5" hidden="1">
      <c r="C112" s="352"/>
      <c r="D112" s="352" t="s">
        <v>194</v>
      </c>
      <c r="E112" s="353">
        <v>5</v>
      </c>
      <c r="F112" s="353">
        <v>3</v>
      </c>
      <c r="G112" s="354">
        <v>2</v>
      </c>
      <c r="H112" s="353">
        <f>SUM(E112:G112)</f>
        <v>10</v>
      </c>
      <c r="J112" s="2039" t="e">
        <f>R34</f>
        <v>#VALUE!</v>
      </c>
      <c r="O112" s="39"/>
      <c r="P112" s="39"/>
      <c r="Q112" s="39"/>
      <c r="T112" s="1989"/>
      <c r="U112" s="1989"/>
      <c r="V112" s="1989"/>
    </row>
    <row r="113" spans="3:22" ht="16.5" hidden="1">
      <c r="C113" s="349"/>
      <c r="D113" s="349" t="s">
        <v>17</v>
      </c>
      <c r="E113" s="350">
        <v>4</v>
      </c>
      <c r="F113" s="350"/>
      <c r="G113" s="351"/>
      <c r="H113" s="350">
        <f t="shared" si="5"/>
        <v>4</v>
      </c>
      <c r="J113" s="2038"/>
      <c r="O113" s="39"/>
      <c r="P113" s="39"/>
      <c r="Q113" s="39"/>
      <c r="T113" s="1989"/>
      <c r="U113" s="1989"/>
      <c r="V113" s="1989"/>
    </row>
    <row r="114" spans="3:22" s="403" customFormat="1" ht="16.5" hidden="1">
      <c r="C114" s="418"/>
      <c r="D114" s="418" t="s">
        <v>203</v>
      </c>
      <c r="E114" s="419">
        <v>2</v>
      </c>
      <c r="F114" s="419"/>
      <c r="G114" s="420"/>
      <c r="H114" s="419">
        <f t="shared" si="5"/>
        <v>2</v>
      </c>
      <c r="J114" s="2041"/>
      <c r="K114" s="402"/>
      <c r="L114" s="402"/>
      <c r="M114" s="421"/>
      <c r="N114" s="402"/>
      <c r="R114" s="1989"/>
      <c r="S114" s="1989"/>
      <c r="T114" s="1989"/>
      <c r="U114" s="1989"/>
      <c r="V114" s="1989"/>
    </row>
    <row r="115" spans="3:22" hidden="1">
      <c r="D115" s="357" t="s">
        <v>254</v>
      </c>
      <c r="E115" s="348">
        <f>SUM(E107:E114)</f>
        <v>21</v>
      </c>
      <c r="F115" s="348">
        <f>SUM(F107:F114)</f>
        <v>8</v>
      </c>
      <c r="G115" s="355">
        <f>SUM(G107:G114)</f>
        <v>4</v>
      </c>
      <c r="H115" s="348">
        <f>SUM(H107:H114)</f>
        <v>33</v>
      </c>
      <c r="J115" s="2042" t="e">
        <f>SUM(J107:J114)</f>
        <v>#VALUE!</v>
      </c>
      <c r="O115" s="39"/>
      <c r="P115" s="39"/>
      <c r="Q115" s="39"/>
      <c r="T115" s="1989"/>
      <c r="U115" s="1989"/>
      <c r="V115" s="1989"/>
    </row>
    <row r="116" spans="3:22" hidden="1">
      <c r="E116" s="299"/>
      <c r="F116" s="299"/>
      <c r="G116" s="299"/>
      <c r="H116" s="299"/>
      <c r="J116" s="2043"/>
      <c r="O116" s="39"/>
      <c r="P116" s="39"/>
      <c r="Q116" s="39"/>
      <c r="T116" s="1989"/>
      <c r="U116" s="1989"/>
      <c r="V116" s="1989"/>
    </row>
    <row r="117" spans="3:22" ht="16.5" hidden="1">
      <c r="C117" s="349" t="s">
        <v>262</v>
      </c>
      <c r="D117" s="349" t="s">
        <v>191</v>
      </c>
      <c r="E117" s="350">
        <v>8</v>
      </c>
      <c r="F117" s="350">
        <v>3</v>
      </c>
      <c r="G117" s="351">
        <v>1</v>
      </c>
      <c r="H117" s="350">
        <f>SUM(E117:G117)</f>
        <v>12</v>
      </c>
      <c r="J117" s="2038"/>
      <c r="O117" s="39"/>
      <c r="P117" s="39"/>
      <c r="Q117" s="39"/>
      <c r="T117" s="1989"/>
      <c r="U117" s="1989"/>
      <c r="V117" s="1989"/>
    </row>
    <row r="118" spans="3:22" ht="16.5" hidden="1">
      <c r="C118" s="352"/>
      <c r="D118" s="352" t="s">
        <v>190</v>
      </c>
      <c r="E118" s="353">
        <v>6</v>
      </c>
      <c r="F118" s="353">
        <v>2</v>
      </c>
      <c r="G118" s="354">
        <v>2</v>
      </c>
      <c r="H118" s="353">
        <f>SUM(E118:G118)</f>
        <v>10</v>
      </c>
      <c r="J118" s="2039"/>
      <c r="O118" s="39"/>
      <c r="P118" s="39"/>
      <c r="Q118" s="39"/>
      <c r="T118" s="1989"/>
      <c r="U118" s="1989"/>
      <c r="V118" s="1989"/>
    </row>
    <row r="119" spans="3:22" ht="16.5" hidden="1">
      <c r="C119" s="349"/>
      <c r="D119" s="349" t="s">
        <v>189</v>
      </c>
      <c r="E119" s="350">
        <v>10</v>
      </c>
      <c r="F119" s="350">
        <v>3</v>
      </c>
      <c r="G119" s="351">
        <v>2</v>
      </c>
      <c r="H119" s="350">
        <f>SUM(E119:G119)</f>
        <v>15</v>
      </c>
      <c r="J119" s="2038" t="e">
        <f>#REF!</f>
        <v>#REF!</v>
      </c>
      <c r="O119" s="39"/>
      <c r="P119" s="39"/>
      <c r="Q119" s="39"/>
      <c r="T119" s="1989"/>
      <c r="U119" s="1989"/>
      <c r="V119" s="1989"/>
    </row>
    <row r="120" spans="3:22" ht="16.5" hidden="1">
      <c r="C120" s="352"/>
      <c r="D120" s="352" t="s">
        <v>188</v>
      </c>
      <c r="E120" s="353">
        <v>12</v>
      </c>
      <c r="F120" s="353">
        <v>2</v>
      </c>
      <c r="G120" s="354">
        <v>1</v>
      </c>
      <c r="H120" s="353">
        <f>SUM(E120:G120)</f>
        <v>15</v>
      </c>
      <c r="J120" s="2039"/>
      <c r="O120" s="39"/>
      <c r="P120" s="39"/>
      <c r="Q120" s="39"/>
      <c r="T120" s="1989"/>
      <c r="U120" s="1989"/>
      <c r="V120" s="1989"/>
    </row>
    <row r="121" spans="3:22" ht="16.5" hidden="1">
      <c r="C121" s="349"/>
      <c r="D121" s="349" t="s">
        <v>192</v>
      </c>
      <c r="E121" s="350">
        <v>5</v>
      </c>
      <c r="F121" s="350">
        <v>4</v>
      </c>
      <c r="G121" s="351">
        <v>2</v>
      </c>
      <c r="H121" s="350">
        <f>SUM(E121:G121)</f>
        <v>11</v>
      </c>
      <c r="J121" s="2038"/>
      <c r="O121" s="39"/>
      <c r="P121" s="39"/>
      <c r="Q121" s="39"/>
      <c r="T121" s="1989"/>
      <c r="U121" s="1989"/>
      <c r="V121" s="1989"/>
    </row>
    <row r="122" spans="3:22" hidden="1">
      <c r="D122" s="357" t="s">
        <v>260</v>
      </c>
      <c r="E122" s="348">
        <f>SUM(E117:E121)</f>
        <v>41</v>
      </c>
      <c r="F122" s="348">
        <f>SUM(F117:F121)</f>
        <v>14</v>
      </c>
      <c r="G122" s="355">
        <f>SUM(G117:G121)</f>
        <v>8</v>
      </c>
      <c r="H122" s="348">
        <f>SUM(H117:H121)</f>
        <v>63</v>
      </c>
      <c r="J122" s="2042" t="e">
        <f>SUM(J117:J121)</f>
        <v>#REF!</v>
      </c>
      <c r="T122" s="1989"/>
      <c r="U122" s="1989"/>
      <c r="V122" s="1989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97" priority="190">
      <formula>ISODD(ROW())</formula>
    </cfRule>
  </conditionalFormatting>
  <conditionalFormatting sqref="F7:K13 F21:K75 F77:K77 F79:K79 F81:K81">
    <cfRule type="expression" dxfId="96" priority="75">
      <formula>ISODD(ROW())</formula>
    </cfRule>
  </conditionalFormatting>
  <conditionalFormatting sqref="J42:J75 J77 J79 J81">
    <cfRule type="expression" dxfId="95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94" priority="57">
      <formula>ISODD(ROW())</formula>
    </cfRule>
  </conditionalFormatting>
  <conditionalFormatting sqref="U7:U82">
    <cfRule type="expression" dxfId="93" priority="54">
      <formula>ISODD(ROW())</formula>
    </cfRule>
  </conditionalFormatting>
  <conditionalFormatting sqref="M7:O13 M21:O75 M77:O82">
    <cfRule type="expression" dxfId="92" priority="49">
      <formula>ISODD(ROW())</formula>
    </cfRule>
  </conditionalFormatting>
  <conditionalFormatting sqref="P7:Q13 P21:Q75 P77:Q82">
    <cfRule type="expression" dxfId="91" priority="48">
      <formula>ISODD(ROW())</formula>
    </cfRule>
  </conditionalFormatting>
  <conditionalFormatting sqref="C14:C20">
    <cfRule type="expression" dxfId="90" priority="33">
      <formula>ISODD(ROW())</formula>
    </cfRule>
  </conditionalFormatting>
  <conditionalFormatting sqref="F14:K20">
    <cfRule type="expression" dxfId="89" priority="31">
      <formula>ISODD(ROW())</formula>
    </cfRule>
  </conditionalFormatting>
  <conditionalFormatting sqref="M14:O20">
    <cfRule type="expression" dxfId="88" priority="25">
      <formula>ISODD(ROW())</formula>
    </cfRule>
  </conditionalFormatting>
  <conditionalFormatting sqref="P14:Q20">
    <cfRule type="expression" dxfId="87" priority="24">
      <formula>ISODD(ROW())</formula>
    </cfRule>
  </conditionalFormatting>
  <conditionalFormatting sqref="F76:K76 F78:K78 F80:K80 F82:K82">
    <cfRule type="expression" dxfId="86" priority="10">
      <formula>ISODD(ROW())</formula>
    </cfRule>
  </conditionalFormatting>
  <conditionalFormatting sqref="J76 J78 J80 J82">
    <cfRule type="expression" dxfId="85" priority="11">
      <formula>ISODD(ROW())</formula>
    </cfRule>
  </conditionalFormatting>
  <conditionalFormatting sqref="M76:O76">
    <cfRule type="expression" dxfId="84" priority="5">
      <formula>ISODD(ROW())</formula>
    </cfRule>
  </conditionalFormatting>
  <conditionalFormatting sqref="P76:Q76">
    <cfRule type="expression" dxfId="83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82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81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80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79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78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77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workbookViewId="0"/>
  </sheetViews>
  <sheetFormatPr defaultColWidth="9.140625" defaultRowHeight="12.75"/>
  <cols>
    <col min="1" max="1" width="1.5703125" style="1016" customWidth="1"/>
    <col min="2" max="2" width="18" style="1016" customWidth="1"/>
    <col min="3" max="3" width="10.42578125" style="1016" customWidth="1"/>
    <col min="4" max="4" width="10" style="1016" customWidth="1"/>
    <col min="5" max="5" width="11.5703125" style="1016" customWidth="1"/>
    <col min="6" max="6" width="23.7109375" style="1101" customWidth="1"/>
    <col min="7" max="7" width="13.140625" style="1016" customWidth="1"/>
    <col min="8" max="8" width="9.7109375" style="1016" customWidth="1"/>
    <col min="9" max="9" width="11.140625" style="1016" customWidth="1"/>
    <col min="10" max="10" width="8.5703125" style="1016" customWidth="1"/>
    <col min="11" max="11" width="11.7109375" style="1016" bestFit="1" customWidth="1"/>
    <col min="12" max="12" width="9.140625" style="1016"/>
    <col min="13" max="13" width="9.85546875" style="1016" customWidth="1"/>
    <col min="14" max="15" width="12.7109375" style="1016" customWidth="1"/>
    <col min="16" max="16" width="9.42578125" style="1016" customWidth="1"/>
    <col min="17" max="17" width="11.42578125" style="1016" customWidth="1"/>
    <col min="18" max="18" width="7.42578125" style="1016" customWidth="1"/>
    <col min="19" max="19" width="6.28515625" style="1016" customWidth="1"/>
    <col min="20" max="20" width="5.85546875" style="1016" hidden="1" customWidth="1"/>
    <col min="21" max="21" width="5.85546875" style="1248" hidden="1" customWidth="1"/>
    <col min="22" max="22" width="7.7109375" style="1248" hidden="1" customWidth="1"/>
    <col min="23" max="23" width="9.140625" style="1016" customWidth="1"/>
    <col min="24" max="16384" width="9.140625" style="1016"/>
  </cols>
  <sheetData>
    <row r="1" spans="1:22" s="858" customFormat="1" ht="18" customHeight="1">
      <c r="K1" s="859" t="s">
        <v>586</v>
      </c>
      <c r="U1" s="871"/>
      <c r="V1" s="871"/>
    </row>
    <row r="2" spans="1:22" s="190" customFormat="1" ht="18" customHeight="1">
      <c r="B2" s="823" t="s">
        <v>15</v>
      </c>
      <c r="C2" s="863" t="str">
        <f>VLOOKUP(L2, BDList!$A$2:$B$70, 2, 0)</f>
        <v>SOUTH 3</v>
      </c>
      <c r="D2" s="824"/>
      <c r="E2" s="481"/>
      <c r="F2" s="822" t="s">
        <v>584</v>
      </c>
      <c r="G2" s="864" t="str">
        <f>VLOOKUP(L2, BDList!$A$2:$D$70, 4, 0)</f>
        <v>MEKONG 2</v>
      </c>
      <c r="H2" s="824"/>
      <c r="I2" s="1671" t="s">
        <v>585</v>
      </c>
      <c r="K2" s="860"/>
      <c r="L2" s="861" t="s">
        <v>1165</v>
      </c>
      <c r="M2" s="860" t="str">
        <f>VLOOKUP(L2, BDList!$A$2:$E$70, 3, 0)</f>
        <v>NGUYỄN HỮU HIỀN</v>
      </c>
      <c r="N2" s="862"/>
      <c r="Q2" s="3" t="s">
        <v>0</v>
      </c>
      <c r="U2" s="869"/>
      <c r="V2" s="868"/>
    </row>
    <row r="3" spans="1:22" s="480" customFormat="1" ht="9" customHeight="1">
      <c r="B3" s="478"/>
      <c r="C3" s="479"/>
      <c r="D3" s="479"/>
      <c r="E3" s="479"/>
      <c r="U3" s="869"/>
      <c r="V3" s="869"/>
    </row>
    <row r="4" spans="1:22" s="480" customFormat="1" ht="3.6" hidden="1" customHeight="1">
      <c r="B4" s="510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2"/>
      <c r="T4" s="481"/>
      <c r="U4" s="869"/>
      <c r="V4" s="869"/>
    </row>
    <row r="5" spans="1:22" s="480" customFormat="1" ht="15" hidden="1" customHeight="1">
      <c r="B5" s="519" t="s">
        <v>421</v>
      </c>
      <c r="C5" s="513" t="e">
        <f>VLOOKUP($G$2 &amp; "_"&amp;B5, 'BD comment'!$D$1259:$O$1331, 5, 0)</f>
        <v>#N/A</v>
      </c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14"/>
      <c r="R5" s="514"/>
      <c r="S5" s="515"/>
      <c r="T5" s="481"/>
      <c r="U5" s="869"/>
      <c r="V5" s="869"/>
    </row>
    <row r="6" spans="1:22" s="480" customFormat="1" ht="15" hidden="1" customHeight="1">
      <c r="B6" s="519" t="s">
        <v>422</v>
      </c>
      <c r="C6" s="513" t="e">
        <f>VLOOKUP($G$2 &amp; "_"&amp;B6, 'BD comment'!$D$1259:$O$1331, 5, 0)</f>
        <v>#N/A</v>
      </c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5"/>
      <c r="T6" s="481"/>
      <c r="U6" s="869"/>
      <c r="V6" s="869"/>
    </row>
    <row r="7" spans="1:22" s="480" customFormat="1" ht="15" hidden="1" customHeight="1">
      <c r="B7" s="519" t="s">
        <v>423</v>
      </c>
      <c r="C7" s="513" t="e">
        <f>VLOOKUP($G$2 &amp; "_"&amp;B7, 'BD comment'!$D$1259:$O$1331, 5, 0)</f>
        <v>#N/A</v>
      </c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14"/>
      <c r="R7" s="514"/>
      <c r="S7" s="515"/>
      <c r="T7" s="481"/>
      <c r="U7" s="869"/>
      <c r="V7" s="869"/>
    </row>
    <row r="8" spans="1:22" s="480" customFormat="1" ht="5.45" hidden="1" customHeight="1">
      <c r="B8" s="516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8"/>
      <c r="T8" s="481"/>
      <c r="U8" s="869"/>
      <c r="V8" s="869"/>
    </row>
    <row r="9" spans="1:22" s="480" customFormat="1" ht="6.75" customHeight="1">
      <c r="B9" s="481"/>
      <c r="C9" s="481"/>
      <c r="D9" s="481"/>
      <c r="E9" s="481"/>
      <c r="F9" s="481"/>
      <c r="G9" s="481"/>
      <c r="H9" s="481"/>
      <c r="I9" s="481"/>
      <c r="J9" s="481"/>
      <c r="K9" s="481"/>
      <c r="L9" s="481"/>
      <c r="M9" s="481"/>
      <c r="N9" s="481"/>
      <c r="O9" s="481"/>
      <c r="P9" s="481"/>
      <c r="Q9" s="481"/>
      <c r="R9" s="481"/>
      <c r="S9" s="481"/>
      <c r="T9" s="481"/>
      <c r="U9" s="869"/>
      <c r="V9" s="869"/>
    </row>
    <row r="10" spans="1:22" s="480" customFormat="1" ht="26.25" customHeight="1">
      <c r="A10" s="486" t="s">
        <v>428</v>
      </c>
      <c r="C10" s="481"/>
      <c r="D10" s="481"/>
      <c r="E10" s="481"/>
      <c r="F10" s="900"/>
      <c r="G10" s="908"/>
      <c r="H10" s="909" t="s">
        <v>1170</v>
      </c>
      <c r="I10" s="910">
        <f>'BD comment'!Q11</f>
        <v>0.10974106041923551</v>
      </c>
      <c r="K10" s="481"/>
      <c r="L10" s="481"/>
      <c r="M10" s="481"/>
      <c r="N10" s="481"/>
      <c r="O10" s="481"/>
      <c r="P10" s="481"/>
      <c r="Q10" s="481"/>
      <c r="R10" s="481"/>
      <c r="S10" s="481"/>
      <c r="T10" s="481"/>
      <c r="U10" s="869"/>
      <c r="V10" s="869"/>
    </row>
    <row r="11" spans="1:22" customFormat="1" ht="3" hidden="1" customHeight="1">
      <c r="U11" s="871"/>
      <c r="V11" s="871"/>
    </row>
    <row r="12" spans="1:22" customFormat="1">
      <c r="U12" s="871"/>
      <c r="V12" s="871"/>
    </row>
    <row r="13" spans="1:22" customFormat="1">
      <c r="U13" s="871"/>
      <c r="V13" s="871"/>
    </row>
    <row r="14" spans="1:22" customFormat="1">
      <c r="U14" s="871"/>
      <c r="V14" s="871"/>
    </row>
    <row r="15" spans="1:22" customFormat="1">
      <c r="U15" s="872"/>
      <c r="V15" s="871"/>
    </row>
    <row r="16" spans="1:22" customFormat="1">
      <c r="C16" t="s">
        <v>194</v>
      </c>
      <c r="U16" s="871"/>
      <c r="V16" s="871"/>
    </row>
    <row r="17" spans="21:22" customFormat="1">
      <c r="U17" s="871"/>
      <c r="V17" s="871"/>
    </row>
    <row r="18" spans="21:22" customFormat="1">
      <c r="U18" s="871"/>
      <c r="V18" s="871"/>
    </row>
    <row r="19" spans="21:22" customFormat="1">
      <c r="U19" s="871"/>
      <c r="V19" s="871"/>
    </row>
    <row r="20" spans="21:22" customFormat="1">
      <c r="U20" s="871"/>
      <c r="V20" s="871"/>
    </row>
    <row r="21" spans="21:22" customFormat="1">
      <c r="U21" s="871"/>
      <c r="V21" s="871"/>
    </row>
    <row r="22" spans="21:22" customFormat="1" ht="6.75" customHeight="1">
      <c r="U22" s="871"/>
      <c r="V22" s="871"/>
    </row>
    <row r="23" spans="21:22" customFormat="1">
      <c r="U23" s="871"/>
      <c r="V23" s="871"/>
    </row>
    <row r="24" spans="21:22" customFormat="1">
      <c r="U24" s="871"/>
      <c r="V24" s="871"/>
    </row>
    <row r="25" spans="21:22" customFormat="1">
      <c r="U25" s="871"/>
      <c r="V25" s="871"/>
    </row>
    <row r="26" spans="21:22" customFormat="1">
      <c r="U26" s="871"/>
      <c r="V26" s="871"/>
    </row>
    <row r="27" spans="21:22" customFormat="1">
      <c r="U27" s="871"/>
      <c r="V27" s="871"/>
    </row>
    <row r="28" spans="21:22" customFormat="1">
      <c r="U28" s="871"/>
      <c r="V28" s="871"/>
    </row>
    <row r="29" spans="21:22" customFormat="1">
      <c r="U29" s="871"/>
      <c r="V29" s="871"/>
    </row>
    <row r="30" spans="21:22" customFormat="1">
      <c r="U30" s="871"/>
      <c r="V30" s="871"/>
    </row>
    <row r="31" spans="21:22" customFormat="1">
      <c r="U31" s="871"/>
      <c r="V31" s="871"/>
    </row>
    <row r="32" spans="21:22" customFormat="1">
      <c r="U32" s="871"/>
      <c r="V32" s="871"/>
    </row>
    <row r="33" spans="1:22" customFormat="1">
      <c r="U33" s="871"/>
      <c r="V33" s="871"/>
    </row>
    <row r="34" spans="1:22" customFormat="1">
      <c r="F34" s="483" t="s">
        <v>570</v>
      </c>
      <c r="U34" s="871"/>
      <c r="V34" s="871"/>
    </row>
    <row r="35" spans="1:22" customFormat="1">
      <c r="F35" s="483"/>
      <c r="U35" s="871"/>
      <c r="V35" s="871"/>
    </row>
    <row r="36" spans="1:22" customFormat="1" ht="15">
      <c r="B36" s="814" t="s">
        <v>553</v>
      </c>
      <c r="U36" s="871"/>
      <c r="V36" s="871"/>
    </row>
    <row r="37" spans="1:22" customFormat="1">
      <c r="F37" s="483"/>
      <c r="U37" s="871"/>
      <c r="V37" s="871"/>
    </row>
    <row r="38" spans="1:22" customFormat="1">
      <c r="F38" s="483"/>
      <c r="U38" s="871"/>
      <c r="V38" s="871"/>
    </row>
    <row r="39" spans="1:22" s="146" customFormat="1">
      <c r="F39" s="678"/>
      <c r="U39" s="871"/>
      <c r="V39" s="871"/>
    </row>
    <row r="40" spans="1:22" s="146" customFormat="1">
      <c r="F40" s="678"/>
      <c r="U40" s="871"/>
      <c r="V40" s="871"/>
    </row>
    <row r="41" spans="1:22" s="146" customFormat="1">
      <c r="F41" s="678"/>
      <c r="U41" s="871"/>
      <c r="V41" s="871"/>
    </row>
    <row r="42" spans="1:22" s="146" customFormat="1">
      <c r="F42" s="678"/>
      <c r="U42" s="871"/>
      <c r="V42" s="871"/>
    </row>
    <row r="43" spans="1:22" s="146" customFormat="1">
      <c r="F43" s="678"/>
      <c r="U43" s="871"/>
      <c r="V43" s="871"/>
    </row>
    <row r="44" spans="1:22" s="146" customFormat="1">
      <c r="F44" s="678"/>
      <c r="U44" s="871"/>
      <c r="V44" s="871"/>
    </row>
    <row r="45" spans="1:22" s="146" customFormat="1">
      <c r="F45" s="678"/>
      <c r="U45" s="871"/>
      <c r="V45" s="871"/>
    </row>
    <row r="46" spans="1:22" s="146" customFormat="1">
      <c r="F46" s="678"/>
      <c r="U46" s="871"/>
      <c r="V46" s="871"/>
    </row>
    <row r="47" spans="1:22" s="146" customFormat="1">
      <c r="F47" s="678"/>
      <c r="U47" s="871"/>
      <c r="V47" s="871"/>
    </row>
    <row r="48" spans="1:22" customFormat="1" ht="26.45" customHeight="1">
      <c r="A48" s="486" t="s">
        <v>438</v>
      </c>
      <c r="U48" s="871"/>
      <c r="V48" s="871"/>
    </row>
    <row r="49" spans="1:22" s="477" customFormat="1" ht="6" customHeight="1">
      <c r="B49" s="477">
        <v>3</v>
      </c>
      <c r="C49" s="477">
        <v>4</v>
      </c>
      <c r="D49" s="477">
        <v>5</v>
      </c>
      <c r="E49" s="477">
        <v>6</v>
      </c>
      <c r="F49" s="477">
        <v>7</v>
      </c>
      <c r="G49" s="477">
        <v>8</v>
      </c>
      <c r="H49" s="477">
        <v>9</v>
      </c>
      <c r="I49" s="477">
        <v>10</v>
      </c>
      <c r="J49" s="477">
        <v>11</v>
      </c>
      <c r="K49" s="477">
        <v>12</v>
      </c>
      <c r="L49" s="477">
        <v>13</v>
      </c>
      <c r="M49" s="477">
        <v>14</v>
      </c>
      <c r="N49" s="477">
        <v>15</v>
      </c>
      <c r="O49" s="477">
        <v>16</v>
      </c>
      <c r="P49" s="477">
        <v>17</v>
      </c>
      <c r="Q49" s="477">
        <v>18</v>
      </c>
      <c r="U49" s="871"/>
      <c r="V49" s="871"/>
    </row>
    <row r="50" spans="1:22" s="369" customFormat="1" ht="16.5" customHeight="1">
      <c r="B50" s="487" t="str">
        <f>LEFT('3.0 New AGs'!Q6,LEN('3.0 New AGs'!Q6)-10)</f>
        <v>Apr'17</v>
      </c>
      <c r="C50" s="488"/>
      <c r="D50" s="488"/>
      <c r="E50" s="489"/>
      <c r="F50" s="487" t="e">
        <f>LEFT('3.0 New AGs'!#REF!,LEN('3.0 New AGs'!#REF!)-10)</f>
        <v>#REF!</v>
      </c>
      <c r="G50" s="488"/>
      <c r="H50" s="488"/>
      <c r="I50" s="489"/>
      <c r="J50" s="487" t="e">
        <f>LEFT('3.0 New AGs'!#REF!,LEN('3.0 New AGs'!#REF!)-10)</f>
        <v>#REF!</v>
      </c>
      <c r="K50" s="488"/>
      <c r="L50" s="488"/>
      <c r="M50" s="489"/>
      <c r="N50" s="487" t="e">
        <f>LEFT('3.0 New AGs'!#REF!,LEN('3.0 New AGs'!#REF!)-10)</f>
        <v>#REF!</v>
      </c>
      <c r="O50" s="488"/>
      <c r="P50" s="488"/>
      <c r="Q50" s="489"/>
      <c r="U50" s="871"/>
      <c r="V50" s="871"/>
    </row>
    <row r="51" spans="1:22" s="8" customFormat="1" ht="24">
      <c r="B51" s="492" t="s">
        <v>133</v>
      </c>
      <c r="C51" s="493" t="s">
        <v>429</v>
      </c>
      <c r="D51" s="494" t="s">
        <v>430</v>
      </c>
      <c r="E51" s="495" t="s">
        <v>431</v>
      </c>
      <c r="F51" s="492" t="s">
        <v>133</v>
      </c>
      <c r="G51" s="493" t="s">
        <v>241</v>
      </c>
      <c r="H51" s="494" t="s">
        <v>430</v>
      </c>
      <c r="I51" s="495" t="s">
        <v>431</v>
      </c>
      <c r="J51" s="492" t="s">
        <v>133</v>
      </c>
      <c r="K51" s="493" t="s">
        <v>241</v>
      </c>
      <c r="L51" s="494" t="s">
        <v>242</v>
      </c>
      <c r="M51" s="495" t="s">
        <v>431</v>
      </c>
      <c r="N51" s="492" t="s">
        <v>133</v>
      </c>
      <c r="O51" s="493" t="s">
        <v>241</v>
      </c>
      <c r="P51" s="494" t="s">
        <v>242</v>
      </c>
      <c r="Q51" s="496" t="s">
        <v>243</v>
      </c>
      <c r="U51" s="873"/>
      <c r="V51" s="873"/>
    </row>
    <row r="52" spans="1:22" s="484" customFormat="1" ht="22.5" customHeight="1">
      <c r="B52" s="977" t="e">
        <f>VLOOKUP($G$2, '3.0 New AGs'!$C$8:$T$102, '4.1 BD Review'!B$49, 0)</f>
        <v>#N/A</v>
      </c>
      <c r="C52" s="978" t="e">
        <f>VLOOKUP($G$2, '3.0 New AGs'!$C$8:$T$102, '4.1 BD Review'!C$49, 0)</f>
        <v>#N/A</v>
      </c>
      <c r="D52" s="978" t="e">
        <f>VLOOKUP($G$2, '3.0 New AGs'!$C$8:$T$102, '4.1 BD Review'!D$49, 0)</f>
        <v>#N/A</v>
      </c>
      <c r="E52" s="978" t="e">
        <f>VLOOKUP($G$2, '3.0 New AGs'!$C$8:$T$102, '4.1 BD Review'!E$49, 0)</f>
        <v>#N/A</v>
      </c>
      <c r="F52" s="977" t="e">
        <f>VLOOKUP($G$2, '3.0 New AGs'!$C$8:$T$102, '4.1 BD Review'!F$49, 0)</f>
        <v>#N/A</v>
      </c>
      <c r="G52" s="978" t="e">
        <f>VLOOKUP($G$2, '3.0 New AGs'!$C$8:$T$102, '4.1 BD Review'!G$49, 0)</f>
        <v>#N/A</v>
      </c>
      <c r="H52" s="978" t="e">
        <f>VLOOKUP($G$2, '3.0 New AGs'!$C$8:$T$102, '4.1 BD Review'!H$49, 0)</f>
        <v>#N/A</v>
      </c>
      <c r="I52" s="978" t="e">
        <f>VLOOKUP($G$2, '3.0 New AGs'!$C$8:$T$102, '4.1 BD Review'!I$49, 0)</f>
        <v>#N/A</v>
      </c>
      <c r="J52" s="977" t="e">
        <f>VLOOKUP($G$2, '3.0 New AGs'!$C$8:$T$102, '4.1 BD Review'!J$49, 0)</f>
        <v>#N/A</v>
      </c>
      <c r="K52" s="978" t="e">
        <f>VLOOKUP($G$2, '3.0 New AGs'!$C$8:$T$102, '4.1 BD Review'!K$49, 0)</f>
        <v>#N/A</v>
      </c>
      <c r="L52" s="978" t="e">
        <f>VLOOKUP($G$2, '3.0 New AGs'!$C$8:$T$102, '4.1 BD Review'!L$49, 0)</f>
        <v>#N/A</v>
      </c>
      <c r="M52" s="978" t="e">
        <f>VLOOKUP($G$2, '3.0 New AGs'!$C$8:$T$102, '4.1 BD Review'!M$49, 0)</f>
        <v>#N/A</v>
      </c>
      <c r="N52" s="977" t="e">
        <f>VLOOKUP($G$2, '3.0 New AGs'!$C$8:$T$102, '4.1 BD Review'!N$49, 0)</f>
        <v>#N/A</v>
      </c>
      <c r="O52" s="978" t="e">
        <f>VLOOKUP($G$2, '3.0 New AGs'!$C$8:$T$102, '4.1 BD Review'!O$49, 0)</f>
        <v>#N/A</v>
      </c>
      <c r="P52" s="978" t="e">
        <f>VLOOKUP($G$2, '3.0 New AGs'!$C$8:$T$102, '4.1 BD Review'!P$49, 0)</f>
        <v>#N/A</v>
      </c>
      <c r="Q52" s="979" t="e">
        <f>VLOOKUP($G$2, '3.0 New AGs'!$C$8:$T$102, '4.1 BD Review'!Q$49, 0)</f>
        <v>#N/A</v>
      </c>
      <c r="U52" s="869"/>
      <c r="V52" s="869"/>
    </row>
    <row r="53" spans="1:22" s="190" customFormat="1" ht="16.899999999999999" customHeight="1">
      <c r="B53" s="500" t="s">
        <v>435</v>
      </c>
      <c r="C53" s="491" t="str">
        <f>IFERROR(+C52/$B$52,"")</f>
        <v/>
      </c>
      <c r="D53" s="491" t="str">
        <f>IFERROR(+D52/$B$52,"")</f>
        <v/>
      </c>
      <c r="E53" s="491" t="str">
        <f>IFERROR(+E52/$B$52,"")</f>
        <v/>
      </c>
      <c r="F53" s="501"/>
      <c r="G53" s="491" t="e">
        <f>IF($F$52&lt;&gt;0,+G52/$F$52,"")</f>
        <v>#N/A</v>
      </c>
      <c r="H53" s="491" t="e">
        <f>IF($F$52&lt;&gt;0,+H52/$F$52,"")</f>
        <v>#N/A</v>
      </c>
      <c r="I53" s="491" t="str">
        <f>IFERROR(I52/F52,"")</f>
        <v/>
      </c>
      <c r="J53" s="501"/>
      <c r="K53" s="491" t="e">
        <f>IF(J52&lt;&gt;0,+K52/$J$52,"")</f>
        <v>#N/A</v>
      </c>
      <c r="L53" s="491" t="e">
        <f>IF(J52&lt;&gt;0,+L52/$J$52,"")</f>
        <v>#N/A</v>
      </c>
      <c r="M53" s="491" t="e">
        <f>IF(J52&lt;&gt;0,+M52/$J$52,"")</f>
        <v>#N/A</v>
      </c>
      <c r="N53" s="501"/>
      <c r="O53" s="491" t="e">
        <f>IF( $N$52 &lt;&gt; 0, +O52/$N$52, "")</f>
        <v>#N/A</v>
      </c>
      <c r="P53" s="491" t="e">
        <f>IF( $N$52 &lt;&gt; 0, +P52/$N$52, "")</f>
        <v>#N/A</v>
      </c>
      <c r="Q53" s="502" t="e">
        <f>IF( $N$52 &lt;&gt; 0, +Q52/$N$52, "")</f>
        <v>#N/A</v>
      </c>
      <c r="U53" s="869"/>
      <c r="V53" s="869"/>
    </row>
    <row r="54" spans="1:22" customFormat="1" ht="16.899999999999999" hidden="1" customHeight="1">
      <c r="B54" s="1" t="s">
        <v>433</v>
      </c>
      <c r="U54" s="871"/>
      <c r="V54" s="871"/>
    </row>
    <row r="55" spans="1:22" s="369" customFormat="1" hidden="1">
      <c r="B55" s="487" t="str">
        <f>B50</f>
        <v>Apr'17</v>
      </c>
      <c r="C55" s="488"/>
      <c r="D55" s="488"/>
      <c r="E55" s="489"/>
      <c r="F55" s="487" t="s">
        <v>588</v>
      </c>
      <c r="G55" s="488"/>
      <c r="H55" s="488"/>
      <c r="I55" s="489"/>
      <c r="J55" s="487" t="s">
        <v>552</v>
      </c>
      <c r="K55" s="488"/>
      <c r="L55" s="488"/>
      <c r="M55" s="489"/>
      <c r="N55" s="487" t="s">
        <v>105</v>
      </c>
      <c r="O55" s="488"/>
      <c r="P55" s="488"/>
      <c r="Q55" s="489"/>
      <c r="U55" s="871"/>
      <c r="V55" s="871"/>
    </row>
    <row r="56" spans="1:22" s="8" customFormat="1" ht="36" hidden="1" customHeight="1">
      <c r="B56" s="497" t="s">
        <v>434</v>
      </c>
      <c r="C56" s="498" t="s">
        <v>432</v>
      </c>
      <c r="D56" s="493" t="s">
        <v>429</v>
      </c>
      <c r="E56" s="499" t="s">
        <v>436</v>
      </c>
      <c r="F56" s="497" t="s">
        <v>434</v>
      </c>
      <c r="G56" s="498" t="s">
        <v>432</v>
      </c>
      <c r="H56" s="493" t="s">
        <v>241</v>
      </c>
      <c r="I56" s="499" t="s">
        <v>436</v>
      </c>
      <c r="J56" s="497" t="s">
        <v>348</v>
      </c>
      <c r="K56" s="498" t="s">
        <v>432</v>
      </c>
      <c r="L56" s="493" t="s">
        <v>241</v>
      </c>
      <c r="M56" s="499" t="s">
        <v>436</v>
      </c>
      <c r="N56" s="497" t="s">
        <v>348</v>
      </c>
      <c r="O56" s="498" t="s">
        <v>432</v>
      </c>
      <c r="P56" s="493" t="s">
        <v>241</v>
      </c>
      <c r="Q56" s="499" t="s">
        <v>436</v>
      </c>
      <c r="U56" s="873"/>
      <c r="V56" s="873"/>
    </row>
    <row r="57" spans="1:22" s="369" customFormat="1" ht="22.5" hidden="1" customHeight="1">
      <c r="B57" s="490" t="e">
        <f>VLOOKUP($M$2, '4.1 New AG out-of profile by BD'!$D$7:$AV$29, B49, 0)</f>
        <v>#N/A</v>
      </c>
      <c r="C57" s="491" t="e">
        <f>VLOOKUP($M$2, '4.1 New AG out-of profile by BD'!$D$7:$AV$29, C49, 0)</f>
        <v>#N/A</v>
      </c>
      <c r="D57" s="485" t="e">
        <f>VLOOKUP($M$2, '4.1 New AG out-of profile by BD'!$D$7:$AV$29, D49, 0)</f>
        <v>#N/A</v>
      </c>
      <c r="E57" s="503" t="e">
        <f>VLOOKUP($M$2, '4.1 New AG out-of profile by BD'!$D$7:$AV$29, E49, 0)</f>
        <v>#N/A</v>
      </c>
      <c r="F57" s="490" t="e">
        <f>VLOOKUP($M$2, '4.1 New AG out-of profile by BD'!$D$7:$AV$29, F49, 0)</f>
        <v>#N/A</v>
      </c>
      <c r="G57" s="491" t="e">
        <f>VLOOKUP($M$2, '4.1 New AG out-of profile by BD'!$D$7:$AV$29, G49, 0)</f>
        <v>#N/A</v>
      </c>
      <c r="H57" s="485" t="e">
        <f>VLOOKUP($M$2, '4.1 New AG out-of profile by BD'!$D$7:$AV$29, H49, 0)</f>
        <v>#N/A</v>
      </c>
      <c r="I57" s="503" t="e">
        <f>VLOOKUP($M$2, '4.1 New AG out-of profile by BD'!$D$7:$AV$29, I49, 0)</f>
        <v>#N/A</v>
      </c>
      <c r="J57" s="490" t="e">
        <f>VLOOKUP($M$2, '4.1 New AG out-of profile by BD'!$D$7:$AV$29, J49, 0)</f>
        <v>#N/A</v>
      </c>
      <c r="K57" s="491" t="e">
        <f>VLOOKUP($M$2, '4.1 New AG out-of profile by BD'!$D$7:$AV$29, K49, 0)</f>
        <v>#N/A</v>
      </c>
      <c r="L57" s="485" t="e">
        <f>VLOOKUP($M$2, '4.1 New AG out-of profile by BD'!$D$7:$AV$29, L49, 0)</f>
        <v>#N/A</v>
      </c>
      <c r="M57" s="503" t="e">
        <f>VLOOKUP($M$2, '4.1 New AG out-of profile by BD'!$D$7:$AV$29, M49, 0)</f>
        <v>#N/A</v>
      </c>
      <c r="N57" s="490" t="e">
        <f>VLOOKUP($M$2, '4.1 New AG out-of profile by BD'!$D$7:$AV$29, N49, 0)</f>
        <v>#N/A</v>
      </c>
      <c r="O57" s="491" t="e">
        <f>VLOOKUP($M$2, '4.1 New AG out-of profile by BD'!$D$7:$AV$29, O49, 0)</f>
        <v>#N/A</v>
      </c>
      <c r="P57" s="485" t="e">
        <f>VLOOKUP($M$2, '4.1 New AG out-of profile by BD'!$D$7:$AV$29, P49, 0)</f>
        <v>#N/A</v>
      </c>
      <c r="Q57" s="503" t="e">
        <f>VLOOKUP($M$2, '4.1 New AG out-of profile by BD'!$D$7:$AV$29, Q49, 0)</f>
        <v>#N/A</v>
      </c>
      <c r="U57" s="871"/>
      <c r="V57" s="871"/>
    </row>
    <row r="58" spans="1:22" customFormat="1">
      <c r="U58" s="871"/>
      <c r="V58" s="871"/>
    </row>
    <row r="59" spans="1:22" customFormat="1">
      <c r="U59" s="871"/>
      <c r="V59" s="871"/>
    </row>
    <row r="60" spans="1:22" customFormat="1" ht="24" customHeight="1">
      <c r="A60" s="482" t="s">
        <v>419</v>
      </c>
      <c r="U60" s="871"/>
      <c r="V60" s="871"/>
    </row>
    <row r="61" spans="1:22" customFormat="1" ht="19.5" thickBot="1">
      <c r="C61" s="509" t="s">
        <v>347</v>
      </c>
      <c r="D61" s="433"/>
      <c r="E61" s="433"/>
      <c r="F61" s="433"/>
      <c r="G61" s="394"/>
      <c r="I61" s="884" t="s">
        <v>589</v>
      </c>
      <c r="J61" s="504"/>
      <c r="K61" s="505"/>
      <c r="L61" s="506" t="s">
        <v>88</v>
      </c>
      <c r="M61" s="507"/>
      <c r="N61" s="508"/>
      <c r="O61" s="474"/>
      <c r="P61" s="1735">
        <f>Cover!G5</f>
        <v>42947</v>
      </c>
      <c r="Q61" s="1736" t="s">
        <v>2438</v>
      </c>
      <c r="R61" s="504"/>
      <c r="S61" s="527"/>
      <c r="U61" s="874"/>
      <c r="V61" s="874"/>
    </row>
    <row r="62" spans="1:22" customFormat="1" ht="54.75" customHeight="1" thickTop="1" thickBot="1">
      <c r="A62" s="477" t="s">
        <v>15</v>
      </c>
      <c r="B62" s="416" t="s">
        <v>267</v>
      </c>
      <c r="C62" s="2397" t="s">
        <v>268</v>
      </c>
      <c r="D62" s="2398"/>
      <c r="E62" s="416" t="s">
        <v>301</v>
      </c>
      <c r="F62" s="416" t="s">
        <v>270</v>
      </c>
      <c r="G62" s="462" t="s">
        <v>271</v>
      </c>
      <c r="H62" s="462" t="s">
        <v>69</v>
      </c>
      <c r="I62" s="677" t="s">
        <v>303</v>
      </c>
      <c r="J62" s="472" t="s">
        <v>304</v>
      </c>
      <c r="K62" s="473" t="s">
        <v>372</v>
      </c>
      <c r="L62" s="471" t="s">
        <v>240</v>
      </c>
      <c r="M62" s="472" t="s">
        <v>305</v>
      </c>
      <c r="N62" s="473" t="s">
        <v>306</v>
      </c>
      <c r="O62" s="574" t="s">
        <v>498</v>
      </c>
      <c r="P62" s="1734" t="s">
        <v>308</v>
      </c>
      <c r="Q62" s="472" t="s">
        <v>2</v>
      </c>
      <c r="R62" s="472" t="s">
        <v>78</v>
      </c>
      <c r="S62" s="473" t="s">
        <v>352</v>
      </c>
      <c r="U62" s="870"/>
      <c r="V62" s="870"/>
    </row>
    <row r="63" spans="1:22" ht="16.5" thickTop="1" thickBot="1">
      <c r="A63" s="1244" t="s">
        <v>135</v>
      </c>
      <c r="B63" s="1245" t="s">
        <v>1563</v>
      </c>
      <c r="C63" s="1328" t="s">
        <v>1426</v>
      </c>
      <c r="D63" s="1246" t="s">
        <v>227</v>
      </c>
      <c r="E63" s="1245" t="s">
        <v>1427</v>
      </c>
      <c r="F63" s="1245" t="s">
        <v>1428</v>
      </c>
      <c r="G63" s="675">
        <v>42118</v>
      </c>
      <c r="H63" s="1564">
        <v>14</v>
      </c>
      <c r="I63" s="893">
        <v>532.92600000000004</v>
      </c>
      <c r="J63" s="529">
        <v>4586.6409999999996</v>
      </c>
      <c r="K63" s="603">
        <v>0.27306967984934089</v>
      </c>
      <c r="L63" s="467">
        <v>73</v>
      </c>
      <c r="M63" s="396">
        <v>9</v>
      </c>
      <c r="N63" s="468">
        <v>2</v>
      </c>
      <c r="O63" s="1247" t="s">
        <v>591</v>
      </c>
      <c r="P63" s="463">
        <v>9</v>
      </c>
      <c r="Q63" s="434">
        <v>546.24099999999999</v>
      </c>
      <c r="R63" s="434">
        <v>25</v>
      </c>
      <c r="S63" s="464">
        <v>0.33333333333333331</v>
      </c>
    </row>
    <row r="64" spans="1:22" ht="16.5" thickTop="1" thickBot="1">
      <c r="A64" s="1244" t="s">
        <v>135</v>
      </c>
      <c r="B64" s="1249" t="s">
        <v>1099</v>
      </c>
      <c r="C64" s="1329" t="s">
        <v>1016</v>
      </c>
      <c r="D64" s="1250" t="s">
        <v>227</v>
      </c>
      <c r="E64" s="1249" t="s">
        <v>1017</v>
      </c>
      <c r="F64" s="1249" t="s">
        <v>1018</v>
      </c>
      <c r="G64" s="676">
        <v>41982</v>
      </c>
      <c r="H64" s="1565">
        <v>19</v>
      </c>
      <c r="I64" s="892">
        <v>1012.438</v>
      </c>
      <c r="J64" s="530">
        <v>2624.5450000000001</v>
      </c>
      <c r="K64" s="602">
        <v>0.24622531939605111</v>
      </c>
      <c r="L64" s="469">
        <v>35</v>
      </c>
      <c r="M64" s="395">
        <v>6</v>
      </c>
      <c r="N64" s="470">
        <v>2</v>
      </c>
      <c r="O64" s="1251" t="s">
        <v>591</v>
      </c>
      <c r="P64" s="465"/>
      <c r="Q64" s="435">
        <v>202.5</v>
      </c>
      <c r="R64" s="435">
        <v>10</v>
      </c>
      <c r="S64" s="466">
        <v>0.26666666666666666</v>
      </c>
    </row>
    <row r="65" spans="1:19" ht="16.5" thickTop="1" thickBot="1">
      <c r="A65" s="1244" t="s">
        <v>135</v>
      </c>
      <c r="B65" s="1245" t="s">
        <v>1099</v>
      </c>
      <c r="C65" s="1328" t="s">
        <v>1019</v>
      </c>
      <c r="D65" s="1246" t="s">
        <v>227</v>
      </c>
      <c r="E65" s="1245" t="s">
        <v>1020</v>
      </c>
      <c r="F65" s="1245" t="s">
        <v>1021</v>
      </c>
      <c r="G65" s="675">
        <v>41982</v>
      </c>
      <c r="H65" s="1564">
        <v>19</v>
      </c>
      <c r="I65" s="893">
        <v>395.935</v>
      </c>
      <c r="J65" s="529">
        <v>4609.75</v>
      </c>
      <c r="K65" s="603">
        <v>0.29778247096092925</v>
      </c>
      <c r="L65" s="467">
        <v>39</v>
      </c>
      <c r="M65" s="396">
        <v>8</v>
      </c>
      <c r="N65" s="468">
        <v>1</v>
      </c>
      <c r="O65" s="1247" t="s">
        <v>591</v>
      </c>
      <c r="P65" s="463"/>
      <c r="Q65" s="434">
        <v>333.78800000000001</v>
      </c>
      <c r="R65" s="434">
        <v>12</v>
      </c>
      <c r="S65" s="464">
        <v>0.2696629213483146</v>
      </c>
    </row>
    <row r="66" spans="1:19" ht="16.5" thickTop="1" thickBot="1">
      <c r="A66" s="1244" t="s">
        <v>135</v>
      </c>
      <c r="B66" s="1249" t="s">
        <v>1100</v>
      </c>
      <c r="C66" s="1329" t="s">
        <v>1307</v>
      </c>
      <c r="D66" s="1250" t="s">
        <v>227</v>
      </c>
      <c r="E66" s="1249" t="s">
        <v>1308</v>
      </c>
      <c r="F66" s="1249" t="s">
        <v>1309</v>
      </c>
      <c r="G66" s="676">
        <v>42048</v>
      </c>
      <c r="H66" s="1565">
        <v>17</v>
      </c>
      <c r="I66" s="892">
        <v>391.07</v>
      </c>
      <c r="J66" s="530">
        <v>5112.4430000000002</v>
      </c>
      <c r="K66" s="602">
        <v>0.27603943420488641</v>
      </c>
      <c r="L66" s="469">
        <v>115</v>
      </c>
      <c r="M66" s="395">
        <v>12</v>
      </c>
      <c r="N66" s="470">
        <v>2</v>
      </c>
      <c r="O66" s="1251" t="s">
        <v>591</v>
      </c>
      <c r="P66" s="465">
        <v>30</v>
      </c>
      <c r="Q66" s="435">
        <v>510.67200000000003</v>
      </c>
      <c r="R66" s="435">
        <v>34</v>
      </c>
      <c r="S66" s="466">
        <v>0.32227488151658767</v>
      </c>
    </row>
    <row r="67" spans="1:19" ht="16.5" thickTop="1" thickBot="1">
      <c r="A67" s="1244" t="s">
        <v>135</v>
      </c>
      <c r="B67" s="1245" t="s">
        <v>1100</v>
      </c>
      <c r="C67" s="1328" t="s">
        <v>1579</v>
      </c>
      <c r="D67" s="1246" t="s">
        <v>227</v>
      </c>
      <c r="E67" s="1245" t="s">
        <v>1580</v>
      </c>
      <c r="F67" s="1245" t="s">
        <v>1581</v>
      </c>
      <c r="G67" s="675">
        <v>42137</v>
      </c>
      <c r="H67" s="1564">
        <v>14</v>
      </c>
      <c r="I67" s="893">
        <v>932.72500000000002</v>
      </c>
      <c r="J67" s="529">
        <v>1597.1569999999999</v>
      </c>
      <c r="K67" s="603">
        <v>0.34806629834254144</v>
      </c>
      <c r="L67" s="467">
        <v>17</v>
      </c>
      <c r="M67" s="396">
        <v>2</v>
      </c>
      <c r="N67" s="468">
        <v>2</v>
      </c>
      <c r="O67" s="1247" t="s">
        <v>591</v>
      </c>
      <c r="P67" s="463">
        <v>6</v>
      </c>
      <c r="Q67" s="434">
        <v>348.81599999999997</v>
      </c>
      <c r="R67" s="434">
        <v>10</v>
      </c>
      <c r="S67" s="464">
        <v>0.68965517241379315</v>
      </c>
    </row>
    <row r="68" spans="1:19" ht="16.5" thickTop="1" thickBot="1">
      <c r="A68" s="1244" t="s">
        <v>135</v>
      </c>
      <c r="B68" s="1249" t="s">
        <v>1100</v>
      </c>
      <c r="C68" s="1329" t="s">
        <v>2736</v>
      </c>
      <c r="D68" s="1250" t="s">
        <v>227</v>
      </c>
      <c r="E68" s="1249" t="s">
        <v>2737</v>
      </c>
      <c r="F68" s="1249" t="s">
        <v>2738</v>
      </c>
      <c r="G68" s="676">
        <v>42452</v>
      </c>
      <c r="H68" s="1565">
        <v>3</v>
      </c>
      <c r="I68" s="892">
        <v>36.424999999999997</v>
      </c>
      <c r="J68" s="530">
        <v>300.90600000000001</v>
      </c>
      <c r="K68" s="602">
        <v>0.33663366336633666</v>
      </c>
      <c r="L68" s="469">
        <v>27</v>
      </c>
      <c r="M68" s="395">
        <v>6</v>
      </c>
      <c r="N68" s="470"/>
      <c r="O68" s="1251" t="s">
        <v>591</v>
      </c>
      <c r="P68" s="465">
        <v>8</v>
      </c>
      <c r="Q68" s="435">
        <v>55.564999999999998</v>
      </c>
      <c r="R68" s="435">
        <v>5</v>
      </c>
      <c r="S68" s="466">
        <v>0.21739130434782608</v>
      </c>
    </row>
    <row r="69" spans="1:19" ht="16.5" thickTop="1" thickBot="1">
      <c r="A69" s="1244" t="s">
        <v>135</v>
      </c>
      <c r="B69" s="1245" t="s">
        <v>1419</v>
      </c>
      <c r="C69" s="1328" t="s">
        <v>1429</v>
      </c>
      <c r="D69" s="1246" t="s">
        <v>227</v>
      </c>
      <c r="E69" s="1245" t="s">
        <v>1430</v>
      </c>
      <c r="F69" s="1245" t="s">
        <v>1431</v>
      </c>
      <c r="G69" s="675">
        <v>42111</v>
      </c>
      <c r="H69" s="1564">
        <v>14</v>
      </c>
      <c r="I69" s="893">
        <v>204.273</v>
      </c>
      <c r="J69" s="529">
        <v>2327.4229999999998</v>
      </c>
      <c r="K69" s="603">
        <v>0.29938900203665986</v>
      </c>
      <c r="L69" s="467">
        <v>52</v>
      </c>
      <c r="M69" s="396">
        <v>6</v>
      </c>
      <c r="N69" s="468">
        <v>1</v>
      </c>
      <c r="O69" s="1247" t="s">
        <v>591</v>
      </c>
      <c r="P69" s="463">
        <v>3</v>
      </c>
      <c r="Q69" s="434">
        <v>145.637</v>
      </c>
      <c r="R69" s="434">
        <v>8</v>
      </c>
      <c r="S69" s="464">
        <v>0.15384615384615385</v>
      </c>
    </row>
    <row r="70" spans="1:19" ht="16.5" thickTop="1" thickBot="1">
      <c r="A70" s="1244" t="s">
        <v>135</v>
      </c>
      <c r="B70" s="1249" t="s">
        <v>1419</v>
      </c>
      <c r="C70" s="1329" t="s">
        <v>1432</v>
      </c>
      <c r="D70" s="1250" t="s">
        <v>227</v>
      </c>
      <c r="E70" s="1249" t="s">
        <v>1433</v>
      </c>
      <c r="F70" s="1249" t="s">
        <v>982</v>
      </c>
      <c r="G70" s="676">
        <v>42114</v>
      </c>
      <c r="H70" s="1565">
        <v>14</v>
      </c>
      <c r="I70" s="892">
        <v>173.54499999999999</v>
      </c>
      <c r="J70" s="530">
        <v>963.17100000000005</v>
      </c>
      <c r="K70" s="602">
        <v>0.17647058823529413</v>
      </c>
      <c r="L70" s="469">
        <v>24</v>
      </c>
      <c r="M70" s="395">
        <v>4</v>
      </c>
      <c r="N70" s="470">
        <v>4</v>
      </c>
      <c r="O70" s="1251" t="s">
        <v>369</v>
      </c>
      <c r="P70" s="465">
        <v>3</v>
      </c>
      <c r="Q70" s="435">
        <v>94.814999999999998</v>
      </c>
      <c r="R70" s="435">
        <v>2</v>
      </c>
      <c r="S70" s="466">
        <v>8.3333333333333329E-2</v>
      </c>
    </row>
    <row r="71" spans="1:19" ht="16.5" thickTop="1" thickBot="1">
      <c r="A71" s="1244" t="s">
        <v>135</v>
      </c>
      <c r="B71" s="1245" t="s">
        <v>1419</v>
      </c>
      <c r="C71" s="1328" t="s">
        <v>3580</v>
      </c>
      <c r="D71" s="1246" t="s">
        <v>227</v>
      </c>
      <c r="E71" s="1245" t="s">
        <v>3581</v>
      </c>
      <c r="F71" s="1245" t="s">
        <v>3582</v>
      </c>
      <c r="G71" s="675">
        <v>42529</v>
      </c>
      <c r="H71" s="1564">
        <v>1</v>
      </c>
      <c r="I71" s="893">
        <v>309.20999999999998</v>
      </c>
      <c r="J71" s="529">
        <v>779.45500000000004</v>
      </c>
      <c r="K71" s="603">
        <v>1.0952380952380953</v>
      </c>
      <c r="L71" s="467">
        <v>34</v>
      </c>
      <c r="M71" s="396">
        <v>4</v>
      </c>
      <c r="N71" s="468">
        <v>1</v>
      </c>
      <c r="O71" s="1247" t="s">
        <v>591</v>
      </c>
      <c r="P71" s="463">
        <v>27</v>
      </c>
      <c r="Q71" s="434">
        <v>779.45500000000004</v>
      </c>
      <c r="R71" s="434">
        <v>23</v>
      </c>
      <c r="S71" s="464">
        <v>1.0952380952380953</v>
      </c>
    </row>
    <row r="72" spans="1:19" ht="16.5" thickTop="1" thickBot="1">
      <c r="A72" s="1244" t="s">
        <v>135</v>
      </c>
      <c r="B72" s="1249" t="s">
        <v>1103</v>
      </c>
      <c r="C72" s="1329" t="s">
        <v>1351</v>
      </c>
      <c r="D72" s="1250" t="s">
        <v>227</v>
      </c>
      <c r="E72" s="1249" t="s">
        <v>1352</v>
      </c>
      <c r="F72" s="1249" t="s">
        <v>1353</v>
      </c>
      <c r="G72" s="676">
        <v>42089</v>
      </c>
      <c r="H72" s="1565">
        <v>15</v>
      </c>
      <c r="I72" s="892">
        <v>99.588999999999999</v>
      </c>
      <c r="J72" s="530">
        <v>1828.6089999999999</v>
      </c>
      <c r="K72" s="602">
        <v>0.24577572964669739</v>
      </c>
      <c r="L72" s="469">
        <v>24</v>
      </c>
      <c r="M72" s="395">
        <v>4</v>
      </c>
      <c r="N72" s="470">
        <v>1</v>
      </c>
      <c r="O72" s="1251" t="s">
        <v>591</v>
      </c>
      <c r="P72" s="465">
        <v>1</v>
      </c>
      <c r="Q72" s="435">
        <v>10.000999999999999</v>
      </c>
      <c r="R72" s="435">
        <v>1</v>
      </c>
      <c r="S72" s="466">
        <v>4.2553191489361701E-2</v>
      </c>
    </row>
    <row r="73" spans="1:19" ht="16.5" thickTop="1" thickBot="1">
      <c r="A73" s="1244" t="s">
        <v>135</v>
      </c>
      <c r="B73" s="1245" t="s">
        <v>900</v>
      </c>
      <c r="C73" s="1328" t="s">
        <v>1171</v>
      </c>
      <c r="D73" s="1246" t="s">
        <v>227</v>
      </c>
      <c r="E73" s="1245" t="s">
        <v>1172</v>
      </c>
      <c r="F73" s="1245" t="s">
        <v>1173</v>
      </c>
      <c r="G73" s="675">
        <v>42020</v>
      </c>
      <c r="H73" s="1564">
        <v>17</v>
      </c>
      <c r="I73" s="893">
        <v>401.21899999999999</v>
      </c>
      <c r="J73" s="529">
        <v>769.09100000000001</v>
      </c>
      <c r="K73" s="603">
        <v>9.6428571428571433E-2</v>
      </c>
      <c r="L73" s="467">
        <v>27</v>
      </c>
      <c r="M73" s="396">
        <v>3</v>
      </c>
      <c r="N73" s="468">
        <v>1</v>
      </c>
      <c r="O73" s="1247" t="s">
        <v>332</v>
      </c>
      <c r="P73" s="463">
        <v>1</v>
      </c>
      <c r="Q73" s="434">
        <v>0</v>
      </c>
      <c r="R73" s="434">
        <v>0</v>
      </c>
      <c r="S73" s="464">
        <v>0</v>
      </c>
    </row>
    <row r="74" spans="1:19" ht="16.5" thickTop="1" thickBot="1">
      <c r="A74" s="1244" t="s">
        <v>135</v>
      </c>
      <c r="B74" s="1249" t="s">
        <v>900</v>
      </c>
      <c r="C74" s="1329" t="s">
        <v>1310</v>
      </c>
      <c r="D74" s="1250" t="s">
        <v>227</v>
      </c>
      <c r="E74" s="1249" t="s">
        <v>1311</v>
      </c>
      <c r="F74" s="1249" t="s">
        <v>1312</v>
      </c>
      <c r="G74" s="676">
        <v>42059</v>
      </c>
      <c r="H74" s="1565">
        <v>16</v>
      </c>
      <c r="I74" s="892">
        <v>1479.0129999999999</v>
      </c>
      <c r="J74" s="530">
        <v>12361.904</v>
      </c>
      <c r="K74" s="602">
        <v>0.52699784017278617</v>
      </c>
      <c r="L74" s="469">
        <v>40</v>
      </c>
      <c r="M74" s="395">
        <v>5</v>
      </c>
      <c r="N74" s="470"/>
      <c r="O74" s="1251" t="s">
        <v>591</v>
      </c>
      <c r="P74" s="465">
        <v>1</v>
      </c>
      <c r="Q74" s="435">
        <v>1268.518</v>
      </c>
      <c r="R74" s="435">
        <v>20</v>
      </c>
      <c r="S74" s="466">
        <v>0.50632911392405067</v>
      </c>
    </row>
    <row r="75" spans="1:19" ht="16.5" thickTop="1" thickBot="1">
      <c r="A75" s="1244" t="s">
        <v>135</v>
      </c>
      <c r="B75" s="1245" t="s">
        <v>900</v>
      </c>
      <c r="C75" s="1328" t="s">
        <v>1951</v>
      </c>
      <c r="D75" s="1246" t="s">
        <v>227</v>
      </c>
      <c r="E75" s="1245" t="s">
        <v>1952</v>
      </c>
      <c r="F75" s="1245" t="s">
        <v>1953</v>
      </c>
      <c r="G75" s="675">
        <v>42242</v>
      </c>
      <c r="H75" s="1564">
        <v>10</v>
      </c>
      <c r="I75" s="893">
        <v>717.00099999999998</v>
      </c>
      <c r="J75" s="529">
        <v>1596.616</v>
      </c>
      <c r="K75" s="603">
        <v>0.16528925619834711</v>
      </c>
      <c r="L75" s="467">
        <v>12</v>
      </c>
      <c r="M75" s="396">
        <v>3</v>
      </c>
      <c r="N75" s="468"/>
      <c r="O75" s="1247" t="s">
        <v>591</v>
      </c>
      <c r="P75" s="463"/>
      <c r="Q75" s="434">
        <v>0</v>
      </c>
      <c r="R75" s="434">
        <v>0</v>
      </c>
      <c r="S75" s="464">
        <v>0</v>
      </c>
    </row>
    <row r="76" spans="1:19" ht="16.5" thickTop="1" thickBot="1">
      <c r="A76" s="1244" t="s">
        <v>135</v>
      </c>
      <c r="B76" s="1249" t="s">
        <v>649</v>
      </c>
      <c r="C76" s="1329" t="s">
        <v>710</v>
      </c>
      <c r="D76" s="1250" t="s">
        <v>227</v>
      </c>
      <c r="E76" s="1249" t="s">
        <v>729</v>
      </c>
      <c r="F76" s="1249" t="s">
        <v>722</v>
      </c>
      <c r="G76" s="676">
        <v>41773</v>
      </c>
      <c r="H76" s="1565">
        <v>26</v>
      </c>
      <c r="I76" s="892">
        <v>1569.8440000000001</v>
      </c>
      <c r="J76" s="530">
        <v>5549.2719999999999</v>
      </c>
      <c r="K76" s="602">
        <v>0.29016553067185979</v>
      </c>
      <c r="L76" s="469">
        <v>70</v>
      </c>
      <c r="M76" s="395">
        <v>8</v>
      </c>
      <c r="N76" s="470">
        <v>3</v>
      </c>
      <c r="O76" s="1251" t="s">
        <v>591</v>
      </c>
      <c r="P76" s="465">
        <v>5</v>
      </c>
      <c r="Q76" s="435">
        <v>459.97300000000001</v>
      </c>
      <c r="R76" s="435">
        <v>17</v>
      </c>
      <c r="S76" s="466">
        <v>0.24285714285714285</v>
      </c>
    </row>
    <row r="77" spans="1:19" ht="16.5" thickTop="1" thickBot="1">
      <c r="A77" s="1244" t="s">
        <v>135</v>
      </c>
      <c r="B77" s="1245" t="s">
        <v>649</v>
      </c>
      <c r="C77" s="1328" t="s">
        <v>1582</v>
      </c>
      <c r="D77" s="1246" t="s">
        <v>227</v>
      </c>
      <c r="E77" s="1245" t="s">
        <v>1583</v>
      </c>
      <c r="F77" s="1245" t="s">
        <v>1584</v>
      </c>
      <c r="G77" s="675">
        <v>42142</v>
      </c>
      <c r="H77" s="1564">
        <v>13</v>
      </c>
      <c r="I77" s="893">
        <v>48.759</v>
      </c>
      <c r="J77" s="529">
        <v>220.791</v>
      </c>
      <c r="K77" s="603">
        <v>8.9361702127659579E-2</v>
      </c>
      <c r="L77" s="467">
        <v>5</v>
      </c>
      <c r="M77" s="396">
        <v>4</v>
      </c>
      <c r="N77" s="468">
        <v>4</v>
      </c>
      <c r="O77" s="1247" t="s">
        <v>332</v>
      </c>
      <c r="P77" s="463"/>
      <c r="Q77" s="434">
        <v>0</v>
      </c>
      <c r="R77" s="434">
        <v>0</v>
      </c>
      <c r="S77" s="464">
        <v>0</v>
      </c>
    </row>
    <row r="78" spans="1:19" ht="16.5" thickTop="1" thickBot="1">
      <c r="A78" s="1244" t="s">
        <v>135</v>
      </c>
      <c r="B78" s="1249" t="s">
        <v>2900</v>
      </c>
      <c r="C78" s="1329" t="s">
        <v>3583</v>
      </c>
      <c r="D78" s="1250" t="s">
        <v>227</v>
      </c>
      <c r="E78" s="1249" t="s">
        <v>3584</v>
      </c>
      <c r="F78" s="1249" t="s">
        <v>3585</v>
      </c>
      <c r="G78" s="676">
        <v>42543</v>
      </c>
      <c r="H78" s="1565">
        <v>0</v>
      </c>
      <c r="I78" s="892">
        <v>10.333</v>
      </c>
      <c r="J78" s="530">
        <v>10.333</v>
      </c>
      <c r="K78" s="602">
        <v>0.125</v>
      </c>
      <c r="L78" s="469">
        <v>16</v>
      </c>
      <c r="M78" s="395">
        <v>10</v>
      </c>
      <c r="N78" s="470">
        <v>3</v>
      </c>
      <c r="O78" s="1251" t="s">
        <v>227</v>
      </c>
      <c r="P78" s="465">
        <v>16</v>
      </c>
      <c r="Q78" s="435">
        <v>10.333</v>
      </c>
      <c r="R78" s="435">
        <v>1</v>
      </c>
      <c r="S78" s="466">
        <v>0.125</v>
      </c>
    </row>
    <row r="79" spans="1:19" ht="16.5" thickTop="1" thickBot="1">
      <c r="A79" s="1244" t="s">
        <v>135</v>
      </c>
      <c r="B79" s="1245" t="s">
        <v>2046</v>
      </c>
      <c r="C79" s="1328" t="s">
        <v>2058</v>
      </c>
      <c r="D79" s="1246" t="s">
        <v>227</v>
      </c>
      <c r="E79" s="1245" t="s">
        <v>2059</v>
      </c>
      <c r="F79" s="1245" t="s">
        <v>2060</v>
      </c>
      <c r="G79" s="675">
        <v>42262</v>
      </c>
      <c r="H79" s="1564">
        <v>9</v>
      </c>
      <c r="I79" s="893">
        <v>448.15249999999997</v>
      </c>
      <c r="J79" s="529">
        <v>4981.8140000000003</v>
      </c>
      <c r="K79" s="603">
        <v>0.30579150579150577</v>
      </c>
      <c r="L79" s="467">
        <v>107</v>
      </c>
      <c r="M79" s="396">
        <v>15</v>
      </c>
      <c r="N79" s="468">
        <v>1</v>
      </c>
      <c r="O79" s="1247" t="s">
        <v>591</v>
      </c>
      <c r="P79" s="463">
        <v>26</v>
      </c>
      <c r="Q79" s="434">
        <v>1207.231</v>
      </c>
      <c r="R79" s="434">
        <v>40</v>
      </c>
      <c r="S79" s="464">
        <v>0.40816326530612246</v>
      </c>
    </row>
    <row r="80" spans="1:19" ht="16.5" thickTop="1" thickBot="1">
      <c r="A80" s="1244" t="s">
        <v>135</v>
      </c>
      <c r="B80" s="1249" t="s">
        <v>2046</v>
      </c>
      <c r="C80" s="1329" t="s">
        <v>2061</v>
      </c>
      <c r="D80" s="1250" t="s">
        <v>227</v>
      </c>
      <c r="E80" s="1249" t="s">
        <v>2062</v>
      </c>
      <c r="F80" s="1249" t="s">
        <v>2063</v>
      </c>
      <c r="G80" s="676">
        <v>42271</v>
      </c>
      <c r="H80" s="1565">
        <v>9</v>
      </c>
      <c r="I80" s="892">
        <v>406.93299999999999</v>
      </c>
      <c r="J80" s="530">
        <v>3701.078</v>
      </c>
      <c r="K80" s="602">
        <v>0.31941923774954628</v>
      </c>
      <c r="L80" s="469">
        <v>74</v>
      </c>
      <c r="M80" s="395">
        <v>16</v>
      </c>
      <c r="N80" s="470">
        <v>3</v>
      </c>
      <c r="O80" s="1251" t="s">
        <v>591</v>
      </c>
      <c r="P80" s="465">
        <v>17</v>
      </c>
      <c r="Q80" s="435">
        <v>780.48199999999997</v>
      </c>
      <c r="R80" s="435">
        <v>25</v>
      </c>
      <c r="S80" s="466">
        <v>0.36231884057971014</v>
      </c>
    </row>
    <row r="81" spans="1:19" ht="16.5" thickTop="1" thickBot="1">
      <c r="A81" s="1244" t="s">
        <v>135</v>
      </c>
      <c r="B81" s="1245" t="s">
        <v>179</v>
      </c>
      <c r="C81" s="1328" t="s">
        <v>452</v>
      </c>
      <c r="D81" s="1246" t="s">
        <v>227</v>
      </c>
      <c r="E81" s="1245" t="s">
        <v>457</v>
      </c>
      <c r="F81" s="1245" t="s">
        <v>453</v>
      </c>
      <c r="G81" s="675">
        <v>41551</v>
      </c>
      <c r="H81" s="1564">
        <v>33</v>
      </c>
      <c r="I81" s="893">
        <v>907.00099999999998</v>
      </c>
      <c r="J81" s="529">
        <v>7277.3890000000001</v>
      </c>
      <c r="K81" s="603">
        <v>0.32659409020217728</v>
      </c>
      <c r="L81" s="467">
        <v>82</v>
      </c>
      <c r="M81" s="396">
        <v>18</v>
      </c>
      <c r="N81" s="468">
        <v>5</v>
      </c>
      <c r="O81" s="1247" t="s">
        <v>332</v>
      </c>
      <c r="P81" s="463">
        <v>24</v>
      </c>
      <c r="Q81" s="434">
        <v>1175.1949999999999</v>
      </c>
      <c r="R81" s="434">
        <v>45</v>
      </c>
      <c r="S81" s="464">
        <v>0.54216867469879515</v>
      </c>
    </row>
    <row r="82" spans="1:19" ht="16.5" thickTop="1" thickBot="1">
      <c r="A82" s="1244"/>
      <c r="B82" s="1249" t="s">
        <v>179</v>
      </c>
      <c r="C82" s="1329" t="s">
        <v>1856</v>
      </c>
      <c r="D82" s="1250" t="s">
        <v>227</v>
      </c>
      <c r="E82" s="1249" t="s">
        <v>1857</v>
      </c>
      <c r="F82" s="1249" t="s">
        <v>1858</v>
      </c>
      <c r="G82" s="676">
        <v>42193</v>
      </c>
      <c r="H82" s="1565">
        <v>12</v>
      </c>
      <c r="I82" s="892">
        <v>2495.3049999999998</v>
      </c>
      <c r="J82" s="530">
        <v>6327.0320000000002</v>
      </c>
      <c r="K82" s="602">
        <v>0.59102902374670185</v>
      </c>
      <c r="L82" s="469">
        <v>33</v>
      </c>
      <c r="M82" s="395">
        <v>7</v>
      </c>
      <c r="N82" s="470">
        <v>3</v>
      </c>
      <c r="O82" s="1251" t="s">
        <v>591</v>
      </c>
      <c r="P82" s="465">
        <v>7</v>
      </c>
      <c r="Q82" s="435">
        <v>634.05200000000002</v>
      </c>
      <c r="R82" s="435">
        <v>24</v>
      </c>
      <c r="S82" s="466">
        <v>0.76190476190476186</v>
      </c>
    </row>
    <row r="83" spans="1:19" ht="16.5" thickTop="1" thickBot="1">
      <c r="A83" s="1244"/>
      <c r="B83" s="1245" t="s">
        <v>179</v>
      </c>
      <c r="C83" s="1328" t="s">
        <v>2903</v>
      </c>
      <c r="D83" s="1246" t="s">
        <v>227</v>
      </c>
      <c r="E83" s="1245" t="s">
        <v>2904</v>
      </c>
      <c r="F83" s="1245" t="s">
        <v>816</v>
      </c>
      <c r="G83" s="675">
        <v>42473</v>
      </c>
      <c r="H83" s="1564">
        <v>3</v>
      </c>
      <c r="I83" s="893">
        <v>82.405000000000001</v>
      </c>
      <c r="J83" s="529">
        <v>2179.0100000000002</v>
      </c>
      <c r="K83" s="603">
        <v>0.60795454545454541</v>
      </c>
      <c r="L83" s="467">
        <v>166</v>
      </c>
      <c r="M83" s="396">
        <v>33</v>
      </c>
      <c r="N83" s="468">
        <v>2</v>
      </c>
      <c r="O83" s="1247" t="s">
        <v>591</v>
      </c>
      <c r="P83" s="463">
        <v>99</v>
      </c>
      <c r="Q83" s="434">
        <v>1255.3610000000001</v>
      </c>
      <c r="R83" s="434">
        <v>64</v>
      </c>
      <c r="S83" s="464">
        <v>0.54935622317596566</v>
      </c>
    </row>
    <row r="84" spans="1:19" ht="16.5" thickTop="1" thickBot="1">
      <c r="A84" s="1244"/>
      <c r="B84" s="1249" t="s">
        <v>179</v>
      </c>
      <c r="C84" s="1329" t="s">
        <v>3193</v>
      </c>
      <c r="D84" s="1250" t="s">
        <v>227</v>
      </c>
      <c r="E84" s="1249" t="s">
        <v>3194</v>
      </c>
      <c r="F84" s="1249" t="s">
        <v>3195</v>
      </c>
      <c r="G84" s="676">
        <v>42508</v>
      </c>
      <c r="H84" s="1565">
        <v>1</v>
      </c>
      <c r="I84" s="892">
        <v>10.486000000000001</v>
      </c>
      <c r="J84" s="530">
        <v>225.238</v>
      </c>
      <c r="K84" s="602">
        <v>0.45833333333333331</v>
      </c>
      <c r="L84" s="469">
        <v>22</v>
      </c>
      <c r="M84" s="395">
        <v>6</v>
      </c>
      <c r="N84" s="470">
        <v>2</v>
      </c>
      <c r="O84" s="1251" t="s">
        <v>591</v>
      </c>
      <c r="P84" s="465">
        <v>10</v>
      </c>
      <c r="Q84" s="435">
        <v>106.842</v>
      </c>
      <c r="R84" s="435">
        <v>5</v>
      </c>
      <c r="S84" s="466">
        <v>0.2857142857142857</v>
      </c>
    </row>
    <row r="85" spans="1:19" ht="16.5" thickTop="1" thickBot="1">
      <c r="A85" s="1244"/>
      <c r="B85" s="1245" t="s">
        <v>179</v>
      </c>
      <c r="C85" s="1328" t="s">
        <v>3586</v>
      </c>
      <c r="D85" s="1246" t="s">
        <v>227</v>
      </c>
      <c r="E85" s="1245" t="s">
        <v>3587</v>
      </c>
      <c r="F85" s="1245" t="s">
        <v>3588</v>
      </c>
      <c r="G85" s="675">
        <v>42523</v>
      </c>
      <c r="H85" s="1564">
        <v>1</v>
      </c>
      <c r="I85" s="893">
        <v>21.11</v>
      </c>
      <c r="J85" s="529">
        <v>82.242000000000004</v>
      </c>
      <c r="K85" s="603">
        <v>0.66666666666666663</v>
      </c>
      <c r="L85" s="467">
        <v>6</v>
      </c>
      <c r="M85" s="396">
        <v>3</v>
      </c>
      <c r="N85" s="468">
        <v>3</v>
      </c>
      <c r="O85" s="1247" t="s">
        <v>591</v>
      </c>
      <c r="P85" s="463">
        <v>6</v>
      </c>
      <c r="Q85" s="434">
        <v>82.242000000000004</v>
      </c>
      <c r="R85" s="434">
        <v>2</v>
      </c>
      <c r="S85" s="464">
        <v>0.66666666666666663</v>
      </c>
    </row>
    <row r="86" spans="1:19" ht="16.5" thickTop="1" thickBot="1">
      <c r="A86" s="1244"/>
      <c r="B86" s="1249" t="s">
        <v>179</v>
      </c>
      <c r="C86" s="1329" t="s">
        <v>3589</v>
      </c>
      <c r="D86" s="1250" t="s">
        <v>227</v>
      </c>
      <c r="E86" s="1249" t="s">
        <v>3590</v>
      </c>
      <c r="F86" s="1249" t="s">
        <v>3591</v>
      </c>
      <c r="G86" s="676">
        <v>42523</v>
      </c>
      <c r="H86" s="1565">
        <v>1</v>
      </c>
      <c r="I86" s="892">
        <v>78.078999999999994</v>
      </c>
      <c r="J86" s="530">
        <v>133.55199999999999</v>
      </c>
      <c r="K86" s="602">
        <v>0.42105263157894735</v>
      </c>
      <c r="L86" s="469">
        <v>19</v>
      </c>
      <c r="M86" s="395">
        <v>8</v>
      </c>
      <c r="N86" s="470">
        <v>3</v>
      </c>
      <c r="O86" s="1251" t="s">
        <v>591</v>
      </c>
      <c r="P86" s="465">
        <v>19</v>
      </c>
      <c r="Q86" s="435">
        <v>133.55199999999999</v>
      </c>
      <c r="R86" s="435">
        <v>4</v>
      </c>
      <c r="S86" s="466">
        <v>0.42105263157894735</v>
      </c>
    </row>
    <row r="87" spans="1:19" ht="16.5" thickTop="1" thickBot="1">
      <c r="A87" s="1244"/>
      <c r="B87" s="1245" t="s">
        <v>179</v>
      </c>
      <c r="C87" s="1328" t="s">
        <v>3592</v>
      </c>
      <c r="D87" s="1246" t="s">
        <v>227</v>
      </c>
      <c r="E87" s="1245" t="s">
        <v>3593</v>
      </c>
      <c r="F87" s="1245" t="s">
        <v>3594</v>
      </c>
      <c r="G87" s="675">
        <v>42529</v>
      </c>
      <c r="H87" s="1564">
        <v>1</v>
      </c>
      <c r="I87" s="893">
        <v>28.795000000000002</v>
      </c>
      <c r="J87" s="529">
        <v>43.88</v>
      </c>
      <c r="K87" s="603">
        <v>2</v>
      </c>
      <c r="L87" s="467">
        <v>2</v>
      </c>
      <c r="M87" s="396">
        <v>1</v>
      </c>
      <c r="N87" s="468">
        <v>1</v>
      </c>
      <c r="O87" s="1247" t="s">
        <v>591</v>
      </c>
      <c r="P87" s="463">
        <v>2</v>
      </c>
      <c r="Q87" s="434">
        <v>43.88</v>
      </c>
      <c r="R87" s="434">
        <v>2</v>
      </c>
      <c r="S87" s="464">
        <v>2</v>
      </c>
    </row>
    <row r="88" spans="1:19" ht="16.5" thickTop="1" thickBot="1">
      <c r="A88" s="1244"/>
      <c r="B88" s="1249" t="s">
        <v>179</v>
      </c>
      <c r="C88" s="1329" t="s">
        <v>3595</v>
      </c>
      <c r="D88" s="1250" t="s">
        <v>227</v>
      </c>
      <c r="E88" s="1249" t="s">
        <v>3596</v>
      </c>
      <c r="F88" s="1249" t="s">
        <v>3597</v>
      </c>
      <c r="G88" s="676">
        <v>42548</v>
      </c>
      <c r="H88" s="1565">
        <v>0</v>
      </c>
      <c r="I88" s="892"/>
      <c r="J88" s="530">
        <v>62.155000000000001</v>
      </c>
      <c r="K88" s="602">
        <v>1.2307692307692308</v>
      </c>
      <c r="L88" s="469">
        <v>13</v>
      </c>
      <c r="M88" s="395">
        <v>5</v>
      </c>
      <c r="N88" s="470">
        <v>4</v>
      </c>
      <c r="O88" s="1251" t="s">
        <v>227</v>
      </c>
      <c r="P88" s="465">
        <v>13</v>
      </c>
      <c r="Q88" s="435">
        <v>62.155000000000001</v>
      </c>
      <c r="R88" s="435">
        <v>8</v>
      </c>
      <c r="S88" s="466">
        <v>1.2307692307692308</v>
      </c>
    </row>
    <row r="89" spans="1:19" ht="16.5" thickTop="1" thickBot="1">
      <c r="A89" s="1244"/>
      <c r="B89" s="1245" t="s">
        <v>3518</v>
      </c>
      <c r="C89" s="1328" t="s">
        <v>803</v>
      </c>
      <c r="D89" s="1246" t="s">
        <v>227</v>
      </c>
      <c r="E89" s="1245" t="s">
        <v>804</v>
      </c>
      <c r="F89" s="1245" t="s">
        <v>805</v>
      </c>
      <c r="G89" s="675">
        <v>41842</v>
      </c>
      <c r="H89" s="1564">
        <v>23</v>
      </c>
      <c r="I89" s="893">
        <v>152.179</v>
      </c>
      <c r="J89" s="529">
        <v>1749.162</v>
      </c>
      <c r="K89" s="603">
        <v>0.25185185185185183</v>
      </c>
      <c r="L89" s="467">
        <v>27</v>
      </c>
      <c r="M89" s="396">
        <v>6</v>
      </c>
      <c r="N89" s="468">
        <v>1</v>
      </c>
      <c r="O89" s="1247" t="s">
        <v>591</v>
      </c>
      <c r="P89" s="463">
        <v>5</v>
      </c>
      <c r="Q89" s="434">
        <v>441.66500000000002</v>
      </c>
      <c r="R89" s="434">
        <v>11</v>
      </c>
      <c r="S89" s="464">
        <v>0.44</v>
      </c>
    </row>
    <row r="90" spans="1:19" ht="16.5" thickTop="1" thickBot="1">
      <c r="A90" s="1244"/>
      <c r="B90" s="1249" t="s">
        <v>3168</v>
      </c>
      <c r="C90" s="1329" t="s">
        <v>3598</v>
      </c>
      <c r="D90" s="1250" t="s">
        <v>227</v>
      </c>
      <c r="E90" s="1249" t="s">
        <v>3599</v>
      </c>
      <c r="F90" s="1249" t="s">
        <v>3600</v>
      </c>
      <c r="G90" s="676">
        <v>42534</v>
      </c>
      <c r="H90" s="1565">
        <v>1</v>
      </c>
      <c r="I90" s="892">
        <v>10.077999999999999</v>
      </c>
      <c r="J90" s="530">
        <v>37.942</v>
      </c>
      <c r="K90" s="602">
        <v>0.66666666666666663</v>
      </c>
      <c r="L90" s="469">
        <v>10</v>
      </c>
      <c r="M90" s="395">
        <v>2</v>
      </c>
      <c r="N90" s="470">
        <v>2</v>
      </c>
      <c r="O90" s="1251" t="s">
        <v>591</v>
      </c>
      <c r="P90" s="465">
        <v>8</v>
      </c>
      <c r="Q90" s="435">
        <v>37.942</v>
      </c>
      <c r="R90" s="435">
        <v>4</v>
      </c>
      <c r="S90" s="466">
        <v>0.66666666666666663</v>
      </c>
    </row>
    <row r="91" spans="1:19" ht="16.5" thickTop="1" thickBot="1">
      <c r="A91" s="1244"/>
      <c r="B91" s="1245" t="s">
        <v>3168</v>
      </c>
      <c r="C91" s="1328" t="s">
        <v>3601</v>
      </c>
      <c r="D91" s="1246" t="s">
        <v>227</v>
      </c>
      <c r="E91" s="1245" t="s">
        <v>3602</v>
      </c>
      <c r="F91" s="1245" t="s">
        <v>3603</v>
      </c>
      <c r="G91" s="675">
        <v>42549</v>
      </c>
      <c r="H91" s="1564"/>
      <c r="I91" s="893">
        <v>10.048999999999999</v>
      </c>
      <c r="J91" s="529">
        <v>20.212</v>
      </c>
      <c r="K91" s="603">
        <v>0.53333333333333333</v>
      </c>
      <c r="L91" s="467">
        <v>15</v>
      </c>
      <c r="M91" s="396">
        <v>3</v>
      </c>
      <c r="N91" s="468">
        <v>1</v>
      </c>
      <c r="O91" s="1247" t="s">
        <v>332</v>
      </c>
      <c r="P91" s="463">
        <v>15</v>
      </c>
      <c r="Q91" s="434">
        <v>20.212</v>
      </c>
      <c r="R91" s="434">
        <v>4</v>
      </c>
      <c r="S91" s="464">
        <v>0.53333333333333333</v>
      </c>
    </row>
    <row r="92" spans="1:19" ht="16.5" thickTop="1" thickBot="1">
      <c r="A92" s="1244"/>
      <c r="B92" s="1249" t="s">
        <v>3520</v>
      </c>
      <c r="C92" s="1329" t="s">
        <v>668</v>
      </c>
      <c r="D92" s="1250" t="s">
        <v>227</v>
      </c>
      <c r="E92" s="1249" t="s">
        <v>672</v>
      </c>
      <c r="F92" s="1249" t="s">
        <v>673</v>
      </c>
      <c r="G92" s="676">
        <v>41750</v>
      </c>
      <c r="H92" s="1565">
        <v>26</v>
      </c>
      <c r="I92" s="892">
        <v>30.225000000000001</v>
      </c>
      <c r="J92" s="530">
        <v>1758.672</v>
      </c>
      <c r="K92" s="602">
        <v>0.30317848410757947</v>
      </c>
      <c r="L92" s="469">
        <v>62</v>
      </c>
      <c r="M92" s="395">
        <v>8</v>
      </c>
      <c r="N92" s="470">
        <v>2</v>
      </c>
      <c r="O92" s="1251" t="s">
        <v>591</v>
      </c>
      <c r="P92" s="465">
        <v>9</v>
      </c>
      <c r="Q92" s="435">
        <v>967.98099999999999</v>
      </c>
      <c r="R92" s="435">
        <v>28</v>
      </c>
      <c r="S92" s="466">
        <v>0.43076923076923079</v>
      </c>
    </row>
    <row r="93" spans="1:19" ht="16.5" thickTop="1" thickBot="1">
      <c r="A93" s="1244"/>
      <c r="B93" s="1245" t="s">
        <v>3520</v>
      </c>
      <c r="C93" s="1328" t="s">
        <v>1174</v>
      </c>
      <c r="D93" s="1246" t="s">
        <v>227</v>
      </c>
      <c r="E93" s="1245" t="s">
        <v>1175</v>
      </c>
      <c r="F93" s="1245" t="s">
        <v>1176</v>
      </c>
      <c r="G93" s="675">
        <v>42024</v>
      </c>
      <c r="H93" s="1564">
        <v>17</v>
      </c>
      <c r="I93" s="893">
        <v>1088.683</v>
      </c>
      <c r="J93" s="529">
        <v>2090.8319999999999</v>
      </c>
      <c r="K93" s="603">
        <v>0.31746031746031744</v>
      </c>
      <c r="L93" s="467">
        <v>25</v>
      </c>
      <c r="M93" s="396">
        <v>4</v>
      </c>
      <c r="N93" s="468">
        <v>4</v>
      </c>
      <c r="O93" s="1247" t="s">
        <v>591</v>
      </c>
      <c r="P93" s="463">
        <v>3</v>
      </c>
      <c r="Q93" s="434">
        <v>283.935</v>
      </c>
      <c r="R93" s="434">
        <v>12</v>
      </c>
      <c r="S93" s="464">
        <v>0.46153846153846156</v>
      </c>
    </row>
    <row r="94" spans="1:19" ht="16.5" thickTop="1" thickBot="1">
      <c r="A94" s="1244"/>
      <c r="B94" s="1249" t="s">
        <v>3520</v>
      </c>
      <c r="C94" s="1329" t="s">
        <v>1354</v>
      </c>
      <c r="D94" s="1250" t="s">
        <v>227</v>
      </c>
      <c r="E94" s="1249" t="s">
        <v>1355</v>
      </c>
      <c r="F94" s="1249" t="s">
        <v>1356</v>
      </c>
      <c r="G94" s="676">
        <v>42088</v>
      </c>
      <c r="H94" s="1565">
        <v>15</v>
      </c>
      <c r="I94" s="892">
        <v>229.85300000000001</v>
      </c>
      <c r="J94" s="530">
        <v>869.84199999999998</v>
      </c>
      <c r="K94" s="602">
        <v>0.33699633699633702</v>
      </c>
      <c r="L94" s="469">
        <v>11</v>
      </c>
      <c r="M94" s="395">
        <v>2</v>
      </c>
      <c r="N94" s="470"/>
      <c r="O94" s="1251" t="s">
        <v>332</v>
      </c>
      <c r="P94" s="465"/>
      <c r="Q94" s="435">
        <v>31.823</v>
      </c>
      <c r="R94" s="435">
        <v>4</v>
      </c>
      <c r="S94" s="466">
        <v>0.36363636363636365</v>
      </c>
    </row>
    <row r="95" spans="1:19" ht="16.5" thickTop="1" thickBot="1">
      <c r="A95" s="1244"/>
      <c r="B95" s="1245" t="s">
        <v>2708</v>
      </c>
      <c r="C95" s="1328" t="s">
        <v>745</v>
      </c>
      <c r="D95" s="1246" t="s">
        <v>227</v>
      </c>
      <c r="E95" s="1245" t="s">
        <v>746</v>
      </c>
      <c r="F95" s="1245" t="s">
        <v>747</v>
      </c>
      <c r="G95" s="675">
        <v>41800</v>
      </c>
      <c r="H95" s="1564">
        <v>25</v>
      </c>
      <c r="I95" s="893">
        <v>132.28</v>
      </c>
      <c r="J95" s="529">
        <v>2266.44</v>
      </c>
      <c r="K95" s="603">
        <v>0.28054298642533937</v>
      </c>
      <c r="L95" s="467">
        <v>29</v>
      </c>
      <c r="M95" s="396">
        <v>4</v>
      </c>
      <c r="N95" s="468">
        <v>4</v>
      </c>
      <c r="O95" s="1247" t="s">
        <v>591</v>
      </c>
      <c r="P95" s="463">
        <v>4</v>
      </c>
      <c r="Q95" s="434">
        <v>193.892</v>
      </c>
      <c r="R95" s="434">
        <v>6</v>
      </c>
      <c r="S95" s="464">
        <v>0.21428571428571427</v>
      </c>
    </row>
    <row r="96" spans="1:19" ht="16.5" thickTop="1" thickBot="1">
      <c r="A96" s="1244"/>
      <c r="B96" s="1249" t="s">
        <v>2708</v>
      </c>
      <c r="C96" s="1329" t="s">
        <v>2905</v>
      </c>
      <c r="D96" s="1250" t="s">
        <v>227</v>
      </c>
      <c r="E96" s="1249" t="s">
        <v>2906</v>
      </c>
      <c r="F96" s="1249" t="s">
        <v>1714</v>
      </c>
      <c r="G96" s="676">
        <v>42474</v>
      </c>
      <c r="H96" s="1565">
        <v>3</v>
      </c>
      <c r="I96" s="892"/>
      <c r="J96" s="530">
        <v>64.626000000000005</v>
      </c>
      <c r="K96" s="602">
        <v>0.16666666666666666</v>
      </c>
      <c r="L96" s="469">
        <v>12</v>
      </c>
      <c r="M96" s="395">
        <v>5</v>
      </c>
      <c r="N96" s="470">
        <v>1</v>
      </c>
      <c r="O96" s="1251" t="s">
        <v>332</v>
      </c>
      <c r="P96" s="465">
        <v>2</v>
      </c>
      <c r="Q96" s="435">
        <v>16.713999999999999</v>
      </c>
      <c r="R96" s="435">
        <v>1</v>
      </c>
      <c r="S96" s="466">
        <v>9.0909090909090912E-2</v>
      </c>
    </row>
    <row r="97" spans="1:19" ht="16.5" thickTop="1" thickBot="1">
      <c r="A97" s="1244"/>
      <c r="B97" s="1245" t="s">
        <v>2708</v>
      </c>
      <c r="C97" s="1328" t="s">
        <v>3196</v>
      </c>
      <c r="D97" s="1246" t="s">
        <v>227</v>
      </c>
      <c r="E97" s="1245" t="s">
        <v>3197</v>
      </c>
      <c r="F97" s="1245" t="s">
        <v>3198</v>
      </c>
      <c r="G97" s="675">
        <v>42516</v>
      </c>
      <c r="H97" s="1564">
        <v>1</v>
      </c>
      <c r="I97" s="893">
        <v>10.208</v>
      </c>
      <c r="J97" s="529">
        <v>220.08699999999999</v>
      </c>
      <c r="K97" s="603">
        <v>0.60606060606060608</v>
      </c>
      <c r="L97" s="467">
        <v>18</v>
      </c>
      <c r="M97" s="396">
        <v>5</v>
      </c>
      <c r="N97" s="468"/>
      <c r="O97" s="1247" t="s">
        <v>591</v>
      </c>
      <c r="P97" s="463">
        <v>10</v>
      </c>
      <c r="Q97" s="434">
        <v>199.87100000000001</v>
      </c>
      <c r="R97" s="434">
        <v>8</v>
      </c>
      <c r="S97" s="464">
        <v>0.61538461538461542</v>
      </c>
    </row>
    <row r="98" spans="1:19" ht="16.5" thickTop="1" thickBot="1">
      <c r="A98" s="1244"/>
      <c r="B98" s="1249" t="s">
        <v>2708</v>
      </c>
      <c r="C98" s="1329" t="s">
        <v>3199</v>
      </c>
      <c r="D98" s="1250" t="s">
        <v>227</v>
      </c>
      <c r="E98" s="1249" t="s">
        <v>3200</v>
      </c>
      <c r="F98" s="1249" t="s">
        <v>3201</v>
      </c>
      <c r="G98" s="676">
        <v>42516</v>
      </c>
      <c r="H98" s="1565">
        <v>1</v>
      </c>
      <c r="I98" s="892">
        <v>10.256</v>
      </c>
      <c r="J98" s="530">
        <v>260.666</v>
      </c>
      <c r="K98" s="602">
        <v>0.51063829787234039</v>
      </c>
      <c r="L98" s="469">
        <v>21</v>
      </c>
      <c r="M98" s="395">
        <v>3</v>
      </c>
      <c r="N98" s="470">
        <v>1</v>
      </c>
      <c r="O98" s="1251" t="s">
        <v>591</v>
      </c>
      <c r="P98" s="465">
        <v>8</v>
      </c>
      <c r="Q98" s="435">
        <v>187.54400000000001</v>
      </c>
      <c r="R98" s="435">
        <v>9</v>
      </c>
      <c r="S98" s="466">
        <v>0.52941176470588236</v>
      </c>
    </row>
    <row r="99" spans="1:19" ht="16.5" thickTop="1" thickBot="1">
      <c r="A99" s="1244"/>
      <c r="B99" s="1245" t="s">
        <v>2708</v>
      </c>
      <c r="C99" s="1328" t="s">
        <v>3604</v>
      </c>
      <c r="D99" s="1246" t="s">
        <v>227</v>
      </c>
      <c r="E99" s="1245" t="s">
        <v>3605</v>
      </c>
      <c r="F99" s="1245" t="s">
        <v>3606</v>
      </c>
      <c r="G99" s="675">
        <v>42529</v>
      </c>
      <c r="H99" s="1564">
        <v>1</v>
      </c>
      <c r="I99" s="893">
        <v>52.039000000000001</v>
      </c>
      <c r="J99" s="529">
        <v>616.15</v>
      </c>
      <c r="K99" s="603">
        <v>1.0666666666666667</v>
      </c>
      <c r="L99" s="467">
        <v>30</v>
      </c>
      <c r="M99" s="396">
        <v>6</v>
      </c>
      <c r="N99" s="468">
        <v>1</v>
      </c>
      <c r="O99" s="1247" t="s">
        <v>591</v>
      </c>
      <c r="P99" s="463">
        <v>30</v>
      </c>
      <c r="Q99" s="434">
        <v>616.15</v>
      </c>
      <c r="R99" s="434">
        <v>16</v>
      </c>
      <c r="S99" s="464">
        <v>1.0666666666666667</v>
      </c>
    </row>
    <row r="100" spans="1:19" ht="16.5" thickTop="1" thickBot="1">
      <c r="A100" s="1244"/>
      <c r="B100" s="1249" t="s">
        <v>2708</v>
      </c>
      <c r="C100" s="1329" t="s">
        <v>3607</v>
      </c>
      <c r="D100" s="1250" t="s">
        <v>227</v>
      </c>
      <c r="E100" s="1249" t="s">
        <v>3608</v>
      </c>
      <c r="F100" s="1249" t="s">
        <v>3609</v>
      </c>
      <c r="G100" s="676">
        <v>42531</v>
      </c>
      <c r="H100" s="1565">
        <v>1</v>
      </c>
      <c r="I100" s="892">
        <v>7.4509999999999996</v>
      </c>
      <c r="J100" s="530">
        <v>425.23</v>
      </c>
      <c r="K100" s="602">
        <v>1.1666666666666667</v>
      </c>
      <c r="L100" s="469">
        <v>36</v>
      </c>
      <c r="M100" s="395">
        <v>11</v>
      </c>
      <c r="N100" s="470">
        <v>1</v>
      </c>
      <c r="O100" s="1251" t="s">
        <v>591</v>
      </c>
      <c r="P100" s="465">
        <v>37</v>
      </c>
      <c r="Q100" s="435">
        <v>425.23</v>
      </c>
      <c r="R100" s="435">
        <v>21</v>
      </c>
      <c r="S100" s="466">
        <v>1.1666666666666667</v>
      </c>
    </row>
    <row r="101" spans="1:19" ht="16.5" thickTop="1" thickBot="1">
      <c r="A101" s="1244"/>
      <c r="B101" s="1245" t="s">
        <v>2708</v>
      </c>
      <c r="C101" s="1328" t="s">
        <v>3610</v>
      </c>
      <c r="D101" s="1246" t="s">
        <v>227</v>
      </c>
      <c r="E101" s="1245" t="s">
        <v>3611</v>
      </c>
      <c r="F101" s="1245" t="s">
        <v>3612</v>
      </c>
      <c r="G101" s="675">
        <v>42536</v>
      </c>
      <c r="H101" s="1564">
        <v>0</v>
      </c>
      <c r="I101" s="893"/>
      <c r="J101" s="529"/>
      <c r="K101" s="603">
        <v>0</v>
      </c>
      <c r="L101" s="467">
        <v>10</v>
      </c>
      <c r="M101" s="396">
        <v>4</v>
      </c>
      <c r="N101" s="468">
        <v>1</v>
      </c>
      <c r="O101" s="1247" t="s">
        <v>227</v>
      </c>
      <c r="P101" s="463">
        <v>6</v>
      </c>
      <c r="Q101" s="434"/>
      <c r="R101" s="434">
        <v>0</v>
      </c>
      <c r="S101" s="464">
        <v>0</v>
      </c>
    </row>
    <row r="102" spans="1:19" ht="16.5" thickTop="1" thickBot="1">
      <c r="A102" s="1244"/>
      <c r="B102" s="1249" t="s">
        <v>2896</v>
      </c>
      <c r="C102" s="1329" t="s">
        <v>3613</v>
      </c>
      <c r="D102" s="1250" t="s">
        <v>227</v>
      </c>
      <c r="E102" s="1249" t="s">
        <v>3614</v>
      </c>
      <c r="F102" s="1249" t="s">
        <v>3615</v>
      </c>
      <c r="G102" s="676">
        <v>42524</v>
      </c>
      <c r="H102" s="1565">
        <v>1</v>
      </c>
      <c r="I102" s="892">
        <v>15.095000000000001</v>
      </c>
      <c r="J102" s="530">
        <v>265.37599999999998</v>
      </c>
      <c r="K102" s="602">
        <v>0.61538461538461542</v>
      </c>
      <c r="L102" s="469">
        <v>19</v>
      </c>
      <c r="M102" s="395">
        <v>6</v>
      </c>
      <c r="N102" s="470">
        <v>6</v>
      </c>
      <c r="O102" s="1251" t="s">
        <v>591</v>
      </c>
      <c r="P102" s="465">
        <v>12</v>
      </c>
      <c r="Q102" s="435">
        <v>265.37599999999998</v>
      </c>
      <c r="R102" s="435">
        <v>8</v>
      </c>
      <c r="S102" s="466">
        <v>0.61538461538461542</v>
      </c>
    </row>
    <row r="103" spans="1:19" ht="16.5" thickTop="1" thickBot="1">
      <c r="A103" s="1244"/>
      <c r="B103" s="1245" t="s">
        <v>1015</v>
      </c>
      <c r="C103" s="1328" t="s">
        <v>1369</v>
      </c>
      <c r="D103" s="1246" t="s">
        <v>227</v>
      </c>
      <c r="E103" s="1245" t="s">
        <v>1370</v>
      </c>
      <c r="F103" s="1245" t="s">
        <v>1371</v>
      </c>
      <c r="G103" s="675">
        <v>42398</v>
      </c>
      <c r="H103" s="1564">
        <v>16</v>
      </c>
      <c r="I103" s="893">
        <v>739.952</v>
      </c>
      <c r="J103" s="529">
        <v>1827.8869999999999</v>
      </c>
      <c r="K103" s="603">
        <v>0.21809169764560099</v>
      </c>
      <c r="L103" s="467">
        <v>83</v>
      </c>
      <c r="M103" s="396">
        <v>8</v>
      </c>
      <c r="N103" s="468">
        <v>5</v>
      </c>
      <c r="O103" s="1247" t="s">
        <v>591</v>
      </c>
      <c r="P103" s="463">
        <v>14</v>
      </c>
      <c r="Q103" s="434">
        <v>663.44100000000003</v>
      </c>
      <c r="R103" s="434">
        <v>25</v>
      </c>
      <c r="S103" s="464">
        <v>0.32894736842105265</v>
      </c>
    </row>
    <row r="104" spans="1:19" ht="16.5" thickTop="1" thickBot="1">
      <c r="A104" s="1244"/>
      <c r="B104" s="1249" t="s">
        <v>825</v>
      </c>
      <c r="C104" s="1329" t="s">
        <v>2719</v>
      </c>
      <c r="D104" s="1250" t="s">
        <v>227</v>
      </c>
      <c r="E104" s="1249" t="s">
        <v>2720</v>
      </c>
      <c r="F104" s="1249" t="s">
        <v>2721</v>
      </c>
      <c r="G104" s="676">
        <v>42458</v>
      </c>
      <c r="H104" s="1565">
        <v>3</v>
      </c>
      <c r="I104" s="892">
        <v>167.98500000000001</v>
      </c>
      <c r="J104" s="530">
        <v>646.18100000000004</v>
      </c>
      <c r="K104" s="602">
        <v>0.64516129032258063</v>
      </c>
      <c r="L104" s="469">
        <v>18</v>
      </c>
      <c r="M104" s="395">
        <v>4</v>
      </c>
      <c r="N104" s="470"/>
      <c r="O104" s="1251" t="s">
        <v>591</v>
      </c>
      <c r="P104" s="465">
        <v>8</v>
      </c>
      <c r="Q104" s="435">
        <v>417.29300000000001</v>
      </c>
      <c r="R104" s="435">
        <v>13</v>
      </c>
      <c r="S104" s="466">
        <v>0.8666666666666667</v>
      </c>
    </row>
    <row r="105" spans="1:19" ht="16.5" thickTop="1" thickBot="1">
      <c r="A105" s="1244"/>
      <c r="B105" s="1245" t="s">
        <v>902</v>
      </c>
      <c r="C105" s="1328" t="s">
        <v>910</v>
      </c>
      <c r="D105" s="1246" t="s">
        <v>227</v>
      </c>
      <c r="E105" s="1245" t="s">
        <v>911</v>
      </c>
      <c r="F105" s="1245" t="s">
        <v>912</v>
      </c>
      <c r="G105" s="675">
        <v>41940</v>
      </c>
      <c r="H105" s="1564">
        <v>20</v>
      </c>
      <c r="I105" s="893">
        <v>1438.6569999999999</v>
      </c>
      <c r="J105" s="529">
        <v>7454.143</v>
      </c>
      <c r="K105" s="603">
        <v>0.28888888888888886</v>
      </c>
      <c r="L105" s="467">
        <v>82</v>
      </c>
      <c r="M105" s="396">
        <v>15</v>
      </c>
      <c r="N105" s="468">
        <v>1</v>
      </c>
      <c r="O105" s="1247" t="s">
        <v>591</v>
      </c>
      <c r="P105" s="463">
        <v>11</v>
      </c>
      <c r="Q105" s="434">
        <v>1057.9469999999999</v>
      </c>
      <c r="R105" s="434">
        <v>35</v>
      </c>
      <c r="S105" s="464">
        <v>0.42424242424242425</v>
      </c>
    </row>
    <row r="106" spans="1:19" ht="16.5" thickTop="1" thickBot="1">
      <c r="A106" s="1244"/>
      <c r="B106" s="1249" t="s">
        <v>902</v>
      </c>
      <c r="C106" s="1329" t="s">
        <v>1859</v>
      </c>
      <c r="D106" s="1250" t="s">
        <v>227</v>
      </c>
      <c r="E106" s="1249" t="s">
        <v>1860</v>
      </c>
      <c r="F106" s="1249" t="s">
        <v>1861</v>
      </c>
      <c r="G106" s="676">
        <v>42192</v>
      </c>
      <c r="H106" s="1565">
        <v>12</v>
      </c>
      <c r="I106" s="892">
        <v>362.01100000000002</v>
      </c>
      <c r="J106" s="530">
        <v>1696.905</v>
      </c>
      <c r="K106" s="602">
        <v>0.32916666666666666</v>
      </c>
      <c r="L106" s="469">
        <v>30</v>
      </c>
      <c r="M106" s="395">
        <v>7</v>
      </c>
      <c r="N106" s="470">
        <v>4</v>
      </c>
      <c r="O106" s="1251" t="s">
        <v>591</v>
      </c>
      <c r="P106" s="465">
        <v>6</v>
      </c>
      <c r="Q106" s="435">
        <v>329.39</v>
      </c>
      <c r="R106" s="435">
        <v>12</v>
      </c>
      <c r="S106" s="466">
        <v>0.41379310344827586</v>
      </c>
    </row>
    <row r="107" spans="1:19" ht="16.5" thickTop="1" thickBot="1">
      <c r="A107" s="1244"/>
      <c r="B107" s="1245" t="s">
        <v>3170</v>
      </c>
      <c r="C107" s="1328" t="s">
        <v>2224</v>
      </c>
      <c r="D107" s="1246" t="s">
        <v>227</v>
      </c>
      <c r="E107" s="1245" t="s">
        <v>2225</v>
      </c>
      <c r="F107" s="1245" t="s">
        <v>2226</v>
      </c>
      <c r="G107" s="675">
        <v>42299</v>
      </c>
      <c r="H107" s="1564">
        <v>37</v>
      </c>
      <c r="I107" s="893">
        <v>187.92500000000001</v>
      </c>
      <c r="J107" s="529">
        <v>324.96600000000001</v>
      </c>
      <c r="K107" s="603">
        <v>0.1532567049808429</v>
      </c>
      <c r="L107" s="467">
        <v>21</v>
      </c>
      <c r="M107" s="396">
        <v>3</v>
      </c>
      <c r="N107" s="468">
        <v>3</v>
      </c>
      <c r="O107" s="1247" t="s">
        <v>332</v>
      </c>
      <c r="P107" s="463"/>
      <c r="Q107" s="434"/>
      <c r="R107" s="434">
        <v>0</v>
      </c>
      <c r="S107" s="464">
        <v>0</v>
      </c>
    </row>
    <row r="108" spans="1:19" ht="16.5" thickTop="1" thickBot="1">
      <c r="A108" s="1244"/>
      <c r="B108" s="1249" t="s">
        <v>3170</v>
      </c>
      <c r="C108" s="1329" t="s">
        <v>360</v>
      </c>
      <c r="D108" s="1250" t="s">
        <v>227</v>
      </c>
      <c r="E108" s="1249" t="s">
        <v>367</v>
      </c>
      <c r="F108" s="1249" t="s">
        <v>361</v>
      </c>
      <c r="G108" s="676">
        <v>41508</v>
      </c>
      <c r="H108" s="1565">
        <v>34</v>
      </c>
      <c r="I108" s="892">
        <v>588.57500000000005</v>
      </c>
      <c r="J108" s="530">
        <v>3083.9839999999999</v>
      </c>
      <c r="K108" s="602">
        <v>0.29725829725829728</v>
      </c>
      <c r="L108" s="469">
        <v>28</v>
      </c>
      <c r="M108" s="395">
        <v>4</v>
      </c>
      <c r="N108" s="470"/>
      <c r="O108" s="1251" t="s">
        <v>332</v>
      </c>
      <c r="P108" s="465">
        <v>1</v>
      </c>
      <c r="Q108" s="435">
        <v>136.51</v>
      </c>
      <c r="R108" s="435">
        <v>6</v>
      </c>
      <c r="S108" s="466">
        <v>0.21818181818181817</v>
      </c>
    </row>
    <row r="109" spans="1:19" ht="16.5" thickTop="1" thickBot="1">
      <c r="A109" s="1244"/>
      <c r="B109" s="1245" t="s">
        <v>3171</v>
      </c>
      <c r="C109" s="1328" t="s">
        <v>667</v>
      </c>
      <c r="D109" s="1246" t="s">
        <v>227</v>
      </c>
      <c r="E109" s="1245" t="s">
        <v>670</v>
      </c>
      <c r="F109" s="1245" t="s">
        <v>671</v>
      </c>
      <c r="G109" s="675">
        <v>41744</v>
      </c>
      <c r="H109" s="1564">
        <v>26</v>
      </c>
      <c r="I109" s="893">
        <v>114.92400000000001</v>
      </c>
      <c r="J109" s="529">
        <v>2579.8820000000001</v>
      </c>
      <c r="K109" s="603">
        <v>0.18365287588294651</v>
      </c>
      <c r="L109" s="467">
        <v>37</v>
      </c>
      <c r="M109" s="396">
        <v>7</v>
      </c>
      <c r="N109" s="468">
        <v>5</v>
      </c>
      <c r="O109" s="1247" t="s">
        <v>591</v>
      </c>
      <c r="P109" s="463">
        <v>2</v>
      </c>
      <c r="Q109" s="434">
        <v>103.80200000000001</v>
      </c>
      <c r="R109" s="434">
        <v>7</v>
      </c>
      <c r="S109" s="464">
        <v>0.19178082191780821</v>
      </c>
    </row>
    <row r="110" spans="1:19" ht="16.5" thickTop="1" thickBot="1">
      <c r="A110" s="1244"/>
      <c r="B110" s="1249" t="s">
        <v>642</v>
      </c>
      <c r="C110" s="1329" t="s">
        <v>2227</v>
      </c>
      <c r="D110" s="1250" t="s">
        <v>227</v>
      </c>
      <c r="E110" s="1249" t="s">
        <v>2228</v>
      </c>
      <c r="F110" s="1249" t="s">
        <v>2229</v>
      </c>
      <c r="G110" s="676">
        <v>42305</v>
      </c>
      <c r="H110" s="1565">
        <v>8</v>
      </c>
      <c r="I110" s="892">
        <v>754.37900000000002</v>
      </c>
      <c r="J110" s="530">
        <v>2641.9479999999999</v>
      </c>
      <c r="K110" s="602">
        <v>0.45390070921985815</v>
      </c>
      <c r="L110" s="469">
        <v>41</v>
      </c>
      <c r="M110" s="395">
        <v>4</v>
      </c>
      <c r="N110" s="470">
        <v>2</v>
      </c>
      <c r="O110" s="1251" t="s">
        <v>591</v>
      </c>
      <c r="P110" s="465">
        <v>6</v>
      </c>
      <c r="Q110" s="435">
        <v>729.34299999999996</v>
      </c>
      <c r="R110" s="435">
        <v>16</v>
      </c>
      <c r="S110" s="466">
        <v>0.39506172839506171</v>
      </c>
    </row>
    <row r="111" spans="1:19" ht="16.5" thickTop="1" thickBot="1">
      <c r="A111" s="1244"/>
      <c r="B111" s="1245" t="s">
        <v>642</v>
      </c>
      <c r="C111" s="1328" t="s">
        <v>2568</v>
      </c>
      <c r="D111" s="1246" t="s">
        <v>227</v>
      </c>
      <c r="E111" s="1245" t="s">
        <v>2569</v>
      </c>
      <c r="F111" s="1245" t="s">
        <v>2570</v>
      </c>
      <c r="G111" s="675">
        <v>42384</v>
      </c>
      <c r="H111" s="1564">
        <v>5</v>
      </c>
      <c r="I111" s="893">
        <v>432.69400000000002</v>
      </c>
      <c r="J111" s="529">
        <v>1272.1220000000001</v>
      </c>
      <c r="K111" s="603">
        <v>0.20036429872495445</v>
      </c>
      <c r="L111" s="467">
        <v>44</v>
      </c>
      <c r="M111" s="396">
        <v>8</v>
      </c>
      <c r="N111" s="468"/>
      <c r="O111" s="1247" t="s">
        <v>591</v>
      </c>
      <c r="P111" s="463">
        <v>3</v>
      </c>
      <c r="Q111" s="434">
        <v>358.452</v>
      </c>
      <c r="R111" s="434">
        <v>14</v>
      </c>
      <c r="S111" s="464">
        <v>0.31111111111111112</v>
      </c>
    </row>
    <row r="112" spans="1:19" ht="16.5" thickTop="1" thickBot="1">
      <c r="A112" s="1244"/>
      <c r="B112" s="1249" t="s">
        <v>91</v>
      </c>
      <c r="C112" s="1329" t="s">
        <v>272</v>
      </c>
      <c r="D112" s="1250" t="s">
        <v>227</v>
      </c>
      <c r="E112" s="1249" t="s">
        <v>311</v>
      </c>
      <c r="F112" s="1249" t="s">
        <v>273</v>
      </c>
      <c r="G112" s="676">
        <v>41449</v>
      </c>
      <c r="H112" s="1565">
        <v>37</v>
      </c>
      <c r="I112" s="892">
        <v>5.8239999999999998</v>
      </c>
      <c r="J112" s="530">
        <v>4453.8580000000002</v>
      </c>
      <c r="K112" s="602">
        <v>0.29607843137254902</v>
      </c>
      <c r="L112" s="469">
        <v>25</v>
      </c>
      <c r="M112" s="395">
        <v>7</v>
      </c>
      <c r="N112" s="470"/>
      <c r="O112" s="1251" t="s">
        <v>332</v>
      </c>
      <c r="P112" s="465">
        <v>3</v>
      </c>
      <c r="Q112" s="435">
        <v>98.373999999999995</v>
      </c>
      <c r="R112" s="435">
        <v>4</v>
      </c>
      <c r="S112" s="466">
        <v>0.16666666666666666</v>
      </c>
    </row>
    <row r="113" spans="1:19" ht="16.5" thickTop="1" thickBot="1">
      <c r="A113" s="1244"/>
      <c r="B113" s="1245" t="s">
        <v>91</v>
      </c>
      <c r="C113" s="1328" t="s">
        <v>487</v>
      </c>
      <c r="D113" s="1246" t="s">
        <v>227</v>
      </c>
      <c r="E113" s="1245" t="s">
        <v>494</v>
      </c>
      <c r="F113" s="1245" t="s">
        <v>488</v>
      </c>
      <c r="G113" s="675">
        <v>41617</v>
      </c>
      <c r="H113" s="1564">
        <v>31</v>
      </c>
      <c r="I113" s="893">
        <v>327.10000000000002</v>
      </c>
      <c r="J113" s="529">
        <v>877.399</v>
      </c>
      <c r="K113" s="603">
        <v>0.15261044176706828</v>
      </c>
      <c r="L113" s="467">
        <v>31</v>
      </c>
      <c r="M113" s="396">
        <v>6</v>
      </c>
      <c r="N113" s="468">
        <v>3</v>
      </c>
      <c r="O113" s="1247" t="s">
        <v>332</v>
      </c>
      <c r="P113" s="463">
        <v>3</v>
      </c>
      <c r="Q113" s="434">
        <v>120.35</v>
      </c>
      <c r="R113" s="434">
        <v>5</v>
      </c>
      <c r="S113" s="464">
        <v>0.16949152542372881</v>
      </c>
    </row>
    <row r="114" spans="1:19" ht="16.5" thickTop="1" thickBot="1">
      <c r="A114" s="1244"/>
      <c r="B114" s="1249" t="s">
        <v>91</v>
      </c>
      <c r="C114" s="1329" t="s">
        <v>490</v>
      </c>
      <c r="D114" s="1250" t="s">
        <v>227</v>
      </c>
      <c r="E114" s="1249" t="s">
        <v>495</v>
      </c>
      <c r="F114" s="1249" t="s">
        <v>491</v>
      </c>
      <c r="G114" s="676">
        <v>42396</v>
      </c>
      <c r="H114" s="1565">
        <v>31</v>
      </c>
      <c r="I114" s="892">
        <v>33.783000000000001</v>
      </c>
      <c r="J114" s="530">
        <v>1682.7090000000001</v>
      </c>
      <c r="K114" s="602">
        <v>0.26570048309178745</v>
      </c>
      <c r="L114" s="469">
        <v>36</v>
      </c>
      <c r="M114" s="395">
        <v>5</v>
      </c>
      <c r="N114" s="470"/>
      <c r="O114" s="1251" t="s">
        <v>332</v>
      </c>
      <c r="P114" s="465"/>
      <c r="Q114" s="435">
        <v>379.38499999999999</v>
      </c>
      <c r="R114" s="435">
        <v>12</v>
      </c>
      <c r="S114" s="466">
        <v>0.33333333333333331</v>
      </c>
    </row>
    <row r="115" spans="1:19" ht="16.5" thickTop="1" thickBot="1">
      <c r="A115" s="1244"/>
      <c r="B115" s="1245" t="s">
        <v>91</v>
      </c>
      <c r="C115" s="1328" t="s">
        <v>1434</v>
      </c>
      <c r="D115" s="1246" t="s">
        <v>227</v>
      </c>
      <c r="E115" s="1245" t="s">
        <v>1435</v>
      </c>
      <c r="F115" s="1245" t="s">
        <v>1436</v>
      </c>
      <c r="G115" s="675">
        <v>42117</v>
      </c>
      <c r="H115" s="1564">
        <v>14</v>
      </c>
      <c r="I115" s="893">
        <v>55.933</v>
      </c>
      <c r="J115" s="529">
        <v>893.63099999999997</v>
      </c>
      <c r="K115" s="603">
        <v>0.3133159268929504</v>
      </c>
      <c r="L115" s="467">
        <v>18</v>
      </c>
      <c r="M115" s="396">
        <v>2</v>
      </c>
      <c r="N115" s="468"/>
      <c r="O115" s="1247" t="s">
        <v>332</v>
      </c>
      <c r="P115" s="463">
        <v>1</v>
      </c>
      <c r="Q115" s="434">
        <v>106.23099999999999</v>
      </c>
      <c r="R115" s="434">
        <v>8</v>
      </c>
      <c r="S115" s="464">
        <v>0.45714285714285713</v>
      </c>
    </row>
    <row r="116" spans="1:19" ht="16.5" thickTop="1" thickBot="1">
      <c r="A116" s="1244"/>
      <c r="B116" s="1249" t="s">
        <v>91</v>
      </c>
      <c r="C116" s="1329" t="s">
        <v>1585</v>
      </c>
      <c r="D116" s="1250" t="s">
        <v>227</v>
      </c>
      <c r="E116" s="1249" t="s">
        <v>1586</v>
      </c>
      <c r="F116" s="1249" t="s">
        <v>1587</v>
      </c>
      <c r="G116" s="676">
        <v>42150</v>
      </c>
      <c r="H116" s="1565">
        <v>13</v>
      </c>
      <c r="I116" s="892">
        <v>346.21</v>
      </c>
      <c r="J116" s="530">
        <v>1461.4269999999999</v>
      </c>
      <c r="K116" s="602">
        <v>0.30962343096234307</v>
      </c>
      <c r="L116" s="469">
        <v>29</v>
      </c>
      <c r="M116" s="395">
        <v>6</v>
      </c>
      <c r="N116" s="470">
        <v>2</v>
      </c>
      <c r="O116" s="1251" t="s">
        <v>591</v>
      </c>
      <c r="P116" s="465">
        <v>5</v>
      </c>
      <c r="Q116" s="435">
        <v>198.78100000000001</v>
      </c>
      <c r="R116" s="435">
        <v>16</v>
      </c>
      <c r="S116" s="466">
        <v>0.60377358490566035</v>
      </c>
    </row>
    <row r="117" spans="1:19" ht="16.5" thickTop="1" thickBot="1">
      <c r="A117" s="1244"/>
      <c r="B117" s="1245" t="s">
        <v>734</v>
      </c>
      <c r="C117" s="1328" t="s">
        <v>748</v>
      </c>
      <c r="D117" s="1246" t="s">
        <v>227</v>
      </c>
      <c r="E117" s="1245" t="s">
        <v>749</v>
      </c>
      <c r="F117" s="1245" t="s">
        <v>750</v>
      </c>
      <c r="G117" s="675">
        <v>41808</v>
      </c>
      <c r="H117" s="1564">
        <v>24</v>
      </c>
      <c r="I117" s="893">
        <v>1431.5170000000001</v>
      </c>
      <c r="J117" s="529">
        <v>10956.763000000001</v>
      </c>
      <c r="K117" s="603">
        <v>0.19175952319253692</v>
      </c>
      <c r="L117" s="467">
        <v>129</v>
      </c>
      <c r="M117" s="396">
        <v>28</v>
      </c>
      <c r="N117" s="468">
        <v>2</v>
      </c>
      <c r="O117" s="1247" t="s">
        <v>591</v>
      </c>
      <c r="P117" s="463">
        <v>17</v>
      </c>
      <c r="Q117" s="434">
        <v>451.34500000000003</v>
      </c>
      <c r="R117" s="434">
        <v>28</v>
      </c>
      <c r="S117" s="464">
        <v>0.19787985865724381</v>
      </c>
    </row>
    <row r="118" spans="1:19" ht="16.5" thickTop="1" thickBot="1">
      <c r="A118" s="1244"/>
      <c r="B118" s="1249" t="s">
        <v>735</v>
      </c>
      <c r="C118" s="1329" t="s">
        <v>751</v>
      </c>
      <c r="D118" s="1250" t="s">
        <v>227</v>
      </c>
      <c r="E118" s="1249" t="s">
        <v>752</v>
      </c>
      <c r="F118" s="1249" t="s">
        <v>753</v>
      </c>
      <c r="G118" s="676">
        <v>41816</v>
      </c>
      <c r="H118" s="1565">
        <v>24</v>
      </c>
      <c r="I118" s="892">
        <v>942.50300000000004</v>
      </c>
      <c r="J118" s="530">
        <v>17465.781999999999</v>
      </c>
      <c r="K118" s="602">
        <v>0.35167464114832536</v>
      </c>
      <c r="L118" s="469">
        <v>67</v>
      </c>
      <c r="M118" s="395">
        <v>14</v>
      </c>
      <c r="N118" s="470">
        <v>1</v>
      </c>
      <c r="O118" s="1251" t="s">
        <v>591</v>
      </c>
      <c r="P118" s="465">
        <v>4</v>
      </c>
      <c r="Q118" s="435">
        <v>1200.298</v>
      </c>
      <c r="R118" s="435">
        <v>33</v>
      </c>
      <c r="S118" s="466">
        <v>0.47142857142857142</v>
      </c>
    </row>
    <row r="119" spans="1:19" ht="16.5" thickTop="1" thickBot="1">
      <c r="A119" s="1244"/>
      <c r="B119" s="1245" t="s">
        <v>798</v>
      </c>
      <c r="C119" s="1328" t="s">
        <v>806</v>
      </c>
      <c r="D119" s="1246" t="s">
        <v>227</v>
      </c>
      <c r="E119" s="1245" t="s">
        <v>807</v>
      </c>
      <c r="F119" s="1245" t="s">
        <v>808</v>
      </c>
      <c r="G119" s="675">
        <v>41844</v>
      </c>
      <c r="H119" s="1564">
        <v>23</v>
      </c>
      <c r="I119" s="893">
        <v>1775.4485</v>
      </c>
      <c r="J119" s="529">
        <v>7819.3164999999999</v>
      </c>
      <c r="K119" s="603">
        <v>0.25278323510150624</v>
      </c>
      <c r="L119" s="467">
        <v>113</v>
      </c>
      <c r="M119" s="396">
        <v>21</v>
      </c>
      <c r="N119" s="468">
        <v>4</v>
      </c>
      <c r="O119" s="1247" t="s">
        <v>591</v>
      </c>
      <c r="P119" s="463">
        <v>8</v>
      </c>
      <c r="Q119" s="434">
        <v>582.38400000000001</v>
      </c>
      <c r="R119" s="434">
        <v>23</v>
      </c>
      <c r="S119" s="464">
        <v>0.1940928270042194</v>
      </c>
    </row>
    <row r="120" spans="1:19" ht="16.5" thickTop="1" thickBot="1">
      <c r="A120" s="1244"/>
      <c r="B120" s="1249" t="s">
        <v>798</v>
      </c>
      <c r="C120" s="1329" t="s">
        <v>3210</v>
      </c>
      <c r="D120" s="1250" t="s">
        <v>227</v>
      </c>
      <c r="E120" s="1249" t="s">
        <v>3211</v>
      </c>
      <c r="F120" s="1249" t="s">
        <v>3212</v>
      </c>
      <c r="G120" s="676">
        <v>42496</v>
      </c>
      <c r="H120" s="1565">
        <v>2</v>
      </c>
      <c r="I120" s="892">
        <v>50.686999999999998</v>
      </c>
      <c r="J120" s="530">
        <v>1321.1010000000001</v>
      </c>
      <c r="K120" s="602">
        <v>0.378698224852071</v>
      </c>
      <c r="L120" s="469">
        <v>70</v>
      </c>
      <c r="M120" s="395">
        <v>15</v>
      </c>
      <c r="N120" s="470">
        <v>3</v>
      </c>
      <c r="O120" s="1251" t="s">
        <v>591</v>
      </c>
      <c r="P120" s="465">
        <v>8</v>
      </c>
      <c r="Q120" s="435">
        <v>740.23599999999999</v>
      </c>
      <c r="R120" s="435">
        <v>22</v>
      </c>
      <c r="S120" s="466">
        <v>0.31654676258992803</v>
      </c>
    </row>
    <row r="121" spans="1:19" ht="16.5" thickTop="1" thickBot="1">
      <c r="A121" s="1244"/>
      <c r="B121" s="1245" t="s">
        <v>949</v>
      </c>
      <c r="C121" s="1328" t="s">
        <v>953</v>
      </c>
      <c r="D121" s="1246" t="s">
        <v>227</v>
      </c>
      <c r="E121" s="1245" t="s">
        <v>954</v>
      </c>
      <c r="F121" s="1245" t="s">
        <v>955</v>
      </c>
      <c r="G121" s="675">
        <v>41956</v>
      </c>
      <c r="H121" s="1564">
        <v>20</v>
      </c>
      <c r="I121" s="893">
        <v>610.07050000000004</v>
      </c>
      <c r="J121" s="529">
        <v>4280.5450000000001</v>
      </c>
      <c r="K121" s="603">
        <v>0.2694541231126597</v>
      </c>
      <c r="L121" s="467">
        <v>41</v>
      </c>
      <c r="M121" s="396">
        <v>10</v>
      </c>
      <c r="N121" s="468">
        <v>5</v>
      </c>
      <c r="O121" s="1247" t="s">
        <v>591</v>
      </c>
      <c r="P121" s="463">
        <v>6</v>
      </c>
      <c r="Q121" s="434">
        <v>265.15899999999999</v>
      </c>
      <c r="R121" s="434">
        <v>14</v>
      </c>
      <c r="S121" s="464">
        <v>0.33734939759036142</v>
      </c>
    </row>
    <row r="122" spans="1:19" ht="16.5" thickTop="1" thickBot="1">
      <c r="A122" s="1244"/>
      <c r="B122" s="1249" t="s">
        <v>949</v>
      </c>
      <c r="C122" s="1329" t="s">
        <v>1357</v>
      </c>
      <c r="D122" s="1250" t="s">
        <v>227</v>
      </c>
      <c r="E122" s="1249" t="s">
        <v>1358</v>
      </c>
      <c r="F122" s="1249" t="s">
        <v>1359</v>
      </c>
      <c r="G122" s="676">
        <v>42086</v>
      </c>
      <c r="H122" s="1565">
        <v>15</v>
      </c>
      <c r="I122" s="892">
        <v>1243.3889999999999</v>
      </c>
      <c r="J122" s="530">
        <v>5475.3339999999998</v>
      </c>
      <c r="K122" s="602">
        <v>0.25316455696202533</v>
      </c>
      <c r="L122" s="469">
        <v>48</v>
      </c>
      <c r="M122" s="395">
        <v>9</v>
      </c>
      <c r="N122" s="470">
        <v>2</v>
      </c>
      <c r="O122" s="1251" t="s">
        <v>591</v>
      </c>
      <c r="P122" s="465">
        <v>3</v>
      </c>
      <c r="Q122" s="435">
        <v>413.822</v>
      </c>
      <c r="R122" s="435">
        <v>11</v>
      </c>
      <c r="S122" s="466">
        <v>0.21153846153846154</v>
      </c>
    </row>
    <row r="123" spans="1:19" ht="16.5" thickTop="1" thickBot="1">
      <c r="A123" s="1244"/>
      <c r="B123" s="1245" t="s">
        <v>903</v>
      </c>
      <c r="C123" s="1328" t="s">
        <v>913</v>
      </c>
      <c r="D123" s="1246" t="s">
        <v>227</v>
      </c>
      <c r="E123" s="1245" t="s">
        <v>914</v>
      </c>
      <c r="F123" s="1245" t="s">
        <v>915</v>
      </c>
      <c r="G123" s="675">
        <v>41940</v>
      </c>
      <c r="H123" s="1564">
        <v>20</v>
      </c>
      <c r="I123" s="893">
        <v>172.87100000000001</v>
      </c>
      <c r="J123" s="529">
        <v>2136.768</v>
      </c>
      <c r="K123" s="603">
        <v>0.21491228070175439</v>
      </c>
      <c r="L123" s="467">
        <v>26</v>
      </c>
      <c r="M123" s="396">
        <v>6</v>
      </c>
      <c r="N123" s="468"/>
      <c r="O123" s="1247" t="s">
        <v>591</v>
      </c>
      <c r="P123" s="463">
        <v>1</v>
      </c>
      <c r="Q123" s="434">
        <v>338.34500000000003</v>
      </c>
      <c r="R123" s="434">
        <v>8</v>
      </c>
      <c r="S123" s="464">
        <v>0.30769230769230771</v>
      </c>
    </row>
    <row r="124" spans="1:19" ht="16.5" thickTop="1" thickBot="1">
      <c r="A124" s="1244"/>
      <c r="B124" s="1249" t="s">
        <v>903</v>
      </c>
      <c r="C124" s="1329" t="s">
        <v>1039</v>
      </c>
      <c r="D124" s="1250" t="s">
        <v>227</v>
      </c>
      <c r="E124" s="1249" t="s">
        <v>1040</v>
      </c>
      <c r="F124" s="1249" t="s">
        <v>1041</v>
      </c>
      <c r="G124" s="676">
        <v>42394</v>
      </c>
      <c r="H124" s="1565">
        <v>18</v>
      </c>
      <c r="I124" s="892">
        <v>1507.069</v>
      </c>
      <c r="J124" s="530">
        <v>2346.277</v>
      </c>
      <c r="K124" s="602">
        <v>0.28096118299445472</v>
      </c>
      <c r="L124" s="469">
        <v>55</v>
      </c>
      <c r="M124" s="395">
        <v>11</v>
      </c>
      <c r="N124" s="470">
        <v>3</v>
      </c>
      <c r="O124" s="1251" t="s">
        <v>591</v>
      </c>
      <c r="P124" s="465">
        <v>1</v>
      </c>
      <c r="Q124" s="435">
        <v>636.80200000000002</v>
      </c>
      <c r="R124" s="435">
        <v>25</v>
      </c>
      <c r="S124" s="466">
        <v>0.43103448275862066</v>
      </c>
    </row>
    <row r="125" spans="1:19" ht="16.5" thickTop="1" thickBot="1">
      <c r="A125" s="1244"/>
      <c r="B125" s="1245" t="s">
        <v>903</v>
      </c>
      <c r="C125" s="1328" t="s">
        <v>1177</v>
      </c>
      <c r="D125" s="1246" t="s">
        <v>227</v>
      </c>
      <c r="E125" s="1245" t="s">
        <v>1178</v>
      </c>
      <c r="F125" s="1245" t="s">
        <v>1179</v>
      </c>
      <c r="G125" s="675">
        <v>42013</v>
      </c>
      <c r="H125" s="1564">
        <v>18</v>
      </c>
      <c r="I125" s="893">
        <v>448.005</v>
      </c>
      <c r="J125" s="529">
        <v>6053.857</v>
      </c>
      <c r="K125" s="603">
        <v>0.402020202020202</v>
      </c>
      <c r="L125" s="467">
        <v>38</v>
      </c>
      <c r="M125" s="396">
        <v>7</v>
      </c>
      <c r="N125" s="468">
        <v>1</v>
      </c>
      <c r="O125" s="1247" t="s">
        <v>591</v>
      </c>
      <c r="P125" s="463">
        <v>3</v>
      </c>
      <c r="Q125" s="434">
        <v>272.09399999999999</v>
      </c>
      <c r="R125" s="434">
        <v>10</v>
      </c>
      <c r="S125" s="464">
        <v>0.25316455696202533</v>
      </c>
    </row>
    <row r="126" spans="1:19" ht="16.5" thickTop="1" thickBot="1">
      <c r="A126" s="1244"/>
      <c r="B126" s="1249" t="s">
        <v>1101</v>
      </c>
      <c r="C126" s="1329" t="s">
        <v>1180</v>
      </c>
      <c r="D126" s="1250" t="s">
        <v>227</v>
      </c>
      <c r="E126" s="1249" t="s">
        <v>1181</v>
      </c>
      <c r="F126" s="1249" t="s">
        <v>1182</v>
      </c>
      <c r="G126" s="676">
        <v>42018</v>
      </c>
      <c r="H126" s="1565">
        <v>18</v>
      </c>
      <c r="I126" s="892">
        <v>199.28</v>
      </c>
      <c r="J126" s="530">
        <v>1818.037</v>
      </c>
      <c r="K126" s="602">
        <v>0.20091324200913241</v>
      </c>
      <c r="L126" s="469">
        <v>48</v>
      </c>
      <c r="M126" s="395">
        <v>6</v>
      </c>
      <c r="N126" s="470">
        <v>3</v>
      </c>
      <c r="O126" s="1251" t="s">
        <v>591</v>
      </c>
      <c r="P126" s="465">
        <v>10</v>
      </c>
      <c r="Q126" s="435">
        <v>336.90699999999998</v>
      </c>
      <c r="R126" s="435">
        <v>9</v>
      </c>
      <c r="S126" s="466">
        <v>0.20930232558139536</v>
      </c>
    </row>
    <row r="127" spans="1:19" ht="16.5" thickTop="1" thickBot="1">
      <c r="A127" s="1244"/>
      <c r="B127" s="1245" t="s">
        <v>1101</v>
      </c>
      <c r="C127" s="1328" t="s">
        <v>1439</v>
      </c>
      <c r="D127" s="1246" t="s">
        <v>227</v>
      </c>
      <c r="E127" s="1245" t="s">
        <v>1440</v>
      </c>
      <c r="F127" s="1245" t="s">
        <v>1441</v>
      </c>
      <c r="G127" s="675">
        <v>42114</v>
      </c>
      <c r="H127" s="1564">
        <v>14</v>
      </c>
      <c r="I127" s="893">
        <v>10.946</v>
      </c>
      <c r="J127" s="529">
        <v>78.156999999999996</v>
      </c>
      <c r="K127" s="603">
        <v>6.0913705583756347E-2</v>
      </c>
      <c r="L127" s="467">
        <v>2</v>
      </c>
      <c r="M127" s="396"/>
      <c r="N127" s="468"/>
      <c r="O127" s="1247" t="s">
        <v>332</v>
      </c>
      <c r="P127" s="463"/>
      <c r="Q127" s="434"/>
      <c r="R127" s="434">
        <v>0</v>
      </c>
      <c r="S127" s="464">
        <v>0</v>
      </c>
    </row>
    <row r="128" spans="1:19" ht="16.5" thickTop="1" thickBot="1">
      <c r="A128" s="1244"/>
      <c r="B128" s="1249" t="s">
        <v>1101</v>
      </c>
      <c r="C128" s="1329" t="s">
        <v>2722</v>
      </c>
      <c r="D128" s="1250" t="s">
        <v>227</v>
      </c>
      <c r="E128" s="1249" t="s">
        <v>2723</v>
      </c>
      <c r="F128" s="1249" t="s">
        <v>2724</v>
      </c>
      <c r="G128" s="676">
        <v>42445</v>
      </c>
      <c r="H128" s="1565">
        <v>3</v>
      </c>
      <c r="I128" s="892"/>
      <c r="J128" s="530">
        <v>56.235999999999997</v>
      </c>
      <c r="K128" s="602">
        <v>0.14035087719298245</v>
      </c>
      <c r="L128" s="469">
        <v>9</v>
      </c>
      <c r="M128" s="395">
        <v>3</v>
      </c>
      <c r="N128" s="470"/>
      <c r="O128" s="1251" t="s">
        <v>332</v>
      </c>
      <c r="P128" s="465"/>
      <c r="Q128" s="435"/>
      <c r="R128" s="435">
        <v>0</v>
      </c>
      <c r="S128" s="466">
        <v>0</v>
      </c>
    </row>
    <row r="129" spans="1:19" ht="16.5" thickTop="1" thickBot="1">
      <c r="A129" s="1244"/>
      <c r="B129" s="1245" t="s">
        <v>1101</v>
      </c>
      <c r="C129" s="1328" t="s">
        <v>2725</v>
      </c>
      <c r="D129" s="1246" t="s">
        <v>227</v>
      </c>
      <c r="E129" s="1245" t="s">
        <v>2726</v>
      </c>
      <c r="F129" s="1245" t="s">
        <v>2727</v>
      </c>
      <c r="G129" s="675">
        <v>42459</v>
      </c>
      <c r="H129" s="1564">
        <v>3</v>
      </c>
      <c r="I129" s="893">
        <v>81.355000000000004</v>
      </c>
      <c r="J129" s="529">
        <v>219.208</v>
      </c>
      <c r="K129" s="603">
        <v>0.24590163934426229</v>
      </c>
      <c r="L129" s="467">
        <v>32</v>
      </c>
      <c r="M129" s="396">
        <v>4</v>
      </c>
      <c r="N129" s="468">
        <v>4</v>
      </c>
      <c r="O129" s="1247" t="s">
        <v>591</v>
      </c>
      <c r="P129" s="463">
        <v>11</v>
      </c>
      <c r="Q129" s="434">
        <v>36.704000000000001</v>
      </c>
      <c r="R129" s="434">
        <v>3</v>
      </c>
      <c r="S129" s="464">
        <v>0.11320754716981132</v>
      </c>
    </row>
    <row r="130" spans="1:19" ht="16.5" thickTop="1" thickBot="1">
      <c r="A130" s="1244"/>
      <c r="B130" s="1249" t="s">
        <v>1101</v>
      </c>
      <c r="C130" s="1329" t="s">
        <v>3616</v>
      </c>
      <c r="D130" s="1250" t="s">
        <v>227</v>
      </c>
      <c r="E130" s="1249" t="s">
        <v>3617</v>
      </c>
      <c r="F130" s="1249" t="s">
        <v>3618</v>
      </c>
      <c r="G130" s="676">
        <v>42537</v>
      </c>
      <c r="H130" s="1565">
        <v>0</v>
      </c>
      <c r="I130" s="892">
        <v>8.2070000000000007</v>
      </c>
      <c r="J130" s="530">
        <v>31.798999999999999</v>
      </c>
      <c r="K130" s="602">
        <v>0.66666666666666663</v>
      </c>
      <c r="L130" s="469">
        <v>9</v>
      </c>
      <c r="M130" s="395">
        <v>4</v>
      </c>
      <c r="N130" s="470"/>
      <c r="O130" s="1251" t="s">
        <v>227</v>
      </c>
      <c r="P130" s="465">
        <v>9</v>
      </c>
      <c r="Q130" s="435">
        <v>31.798999999999999</v>
      </c>
      <c r="R130" s="435">
        <v>3</v>
      </c>
      <c r="S130" s="466">
        <v>0.66666666666666663</v>
      </c>
    </row>
    <row r="131" spans="1:19" ht="16.5" thickTop="1" thickBot="1">
      <c r="A131" s="1244"/>
      <c r="B131" s="1245" t="s">
        <v>1102</v>
      </c>
      <c r="C131" s="1328" t="s">
        <v>1183</v>
      </c>
      <c r="D131" s="1246" t="s">
        <v>227</v>
      </c>
      <c r="E131" s="1245" t="s">
        <v>1184</v>
      </c>
      <c r="F131" s="1245" t="s">
        <v>1185</v>
      </c>
      <c r="G131" s="675">
        <v>42018</v>
      </c>
      <c r="H131" s="1564">
        <v>18</v>
      </c>
      <c r="I131" s="893">
        <v>797.4</v>
      </c>
      <c r="J131" s="529">
        <v>4832.817</v>
      </c>
      <c r="K131" s="603">
        <v>0.21466905187835419</v>
      </c>
      <c r="L131" s="467">
        <v>77</v>
      </c>
      <c r="M131" s="396">
        <v>6</v>
      </c>
      <c r="N131" s="468">
        <v>2</v>
      </c>
      <c r="O131" s="1247" t="s">
        <v>591</v>
      </c>
      <c r="P131" s="463">
        <v>4</v>
      </c>
      <c r="Q131" s="434">
        <v>172.655</v>
      </c>
      <c r="R131" s="434">
        <v>6</v>
      </c>
      <c r="S131" s="464">
        <v>0.08</v>
      </c>
    </row>
    <row r="132" spans="1:19" ht="16.5" thickTop="1" thickBot="1">
      <c r="A132" s="1244"/>
      <c r="B132" s="1249" t="s">
        <v>1102</v>
      </c>
      <c r="C132" s="1329" t="s">
        <v>1360</v>
      </c>
      <c r="D132" s="1250" t="s">
        <v>227</v>
      </c>
      <c r="E132" s="1249" t="s">
        <v>1361</v>
      </c>
      <c r="F132" s="1249" t="s">
        <v>1362</v>
      </c>
      <c r="G132" s="676">
        <v>42094</v>
      </c>
      <c r="H132" s="1565">
        <v>15</v>
      </c>
      <c r="I132" s="892">
        <v>8.2690000000000001</v>
      </c>
      <c r="J132" s="530">
        <v>22.93</v>
      </c>
      <c r="K132" s="602">
        <v>2.23463687150838E-2</v>
      </c>
      <c r="L132" s="469">
        <v>4</v>
      </c>
      <c r="M132" s="395"/>
      <c r="N132" s="470"/>
      <c r="O132" s="1251" t="s">
        <v>332</v>
      </c>
      <c r="P132" s="465"/>
      <c r="Q132" s="435">
        <v>0</v>
      </c>
      <c r="R132" s="435">
        <v>0</v>
      </c>
      <c r="S132" s="466">
        <v>0</v>
      </c>
    </row>
    <row r="133" spans="1:19" ht="16.5" thickTop="1" thickBot="1">
      <c r="A133" s="1244"/>
      <c r="B133" s="1245" t="s">
        <v>1102</v>
      </c>
      <c r="C133" s="1328" t="s">
        <v>1442</v>
      </c>
      <c r="D133" s="1246" t="s">
        <v>227</v>
      </c>
      <c r="E133" s="1245" t="s">
        <v>1443</v>
      </c>
      <c r="F133" s="1245" t="s">
        <v>1444</v>
      </c>
      <c r="G133" s="675">
        <v>42121</v>
      </c>
      <c r="H133" s="1564">
        <v>14</v>
      </c>
      <c r="I133" s="893">
        <v>29.838000000000001</v>
      </c>
      <c r="J133" s="529">
        <v>29.838000000000001</v>
      </c>
      <c r="K133" s="603">
        <v>4.2105263157894736E-2</v>
      </c>
      <c r="L133" s="467">
        <v>1</v>
      </c>
      <c r="M133" s="396"/>
      <c r="N133" s="468"/>
      <c r="O133" s="1247" t="s">
        <v>332</v>
      </c>
      <c r="P133" s="463"/>
      <c r="Q133" s="434"/>
      <c r="R133" s="434">
        <v>0</v>
      </c>
      <c r="S133" s="464">
        <v>0</v>
      </c>
    </row>
    <row r="134" spans="1:19" ht="16.5" thickTop="1" thickBot="1">
      <c r="A134" s="1244"/>
      <c r="B134" s="1249" t="s">
        <v>1102</v>
      </c>
      <c r="C134" s="1329" t="s">
        <v>1676</v>
      </c>
      <c r="D134" s="1250" t="s">
        <v>227</v>
      </c>
      <c r="E134" s="1249" t="s">
        <v>1677</v>
      </c>
      <c r="F134" s="1249" t="s">
        <v>1678</v>
      </c>
      <c r="G134" s="676">
        <v>42164</v>
      </c>
      <c r="H134" s="1565">
        <v>13</v>
      </c>
      <c r="I134" s="892">
        <v>192.619</v>
      </c>
      <c r="J134" s="530">
        <v>2077.0830000000001</v>
      </c>
      <c r="K134" s="602">
        <v>0.21709006928406466</v>
      </c>
      <c r="L134" s="469">
        <v>64</v>
      </c>
      <c r="M134" s="395">
        <v>17</v>
      </c>
      <c r="N134" s="470">
        <v>7</v>
      </c>
      <c r="O134" s="1251" t="s">
        <v>591</v>
      </c>
      <c r="P134" s="465">
        <v>10</v>
      </c>
      <c r="Q134" s="435">
        <v>156.024</v>
      </c>
      <c r="R134" s="435">
        <v>9</v>
      </c>
      <c r="S134" s="466">
        <v>0.15254237288135594</v>
      </c>
    </row>
    <row r="135" spans="1:19" ht="16.5" thickTop="1" thickBot="1">
      <c r="A135" s="1244"/>
      <c r="B135" s="1245" t="s">
        <v>3172</v>
      </c>
      <c r="C135" s="1328" t="s">
        <v>3202</v>
      </c>
      <c r="D135" s="1246" t="s">
        <v>227</v>
      </c>
      <c r="E135" s="1245" t="s">
        <v>3203</v>
      </c>
      <c r="F135" s="1245" t="s">
        <v>3204</v>
      </c>
      <c r="G135" s="675">
        <v>42517</v>
      </c>
      <c r="H135" s="1564">
        <v>1</v>
      </c>
      <c r="I135" s="893"/>
      <c r="J135" s="529">
        <v>247.32499999999999</v>
      </c>
      <c r="K135" s="603">
        <v>0.46153846153846156</v>
      </c>
      <c r="L135" s="467">
        <v>34</v>
      </c>
      <c r="M135" s="396">
        <v>6</v>
      </c>
      <c r="N135" s="468">
        <v>3</v>
      </c>
      <c r="O135" s="1247" t="s">
        <v>591</v>
      </c>
      <c r="P135" s="463">
        <v>25</v>
      </c>
      <c r="Q135" s="434">
        <v>168.74</v>
      </c>
      <c r="R135" s="434">
        <v>9</v>
      </c>
      <c r="S135" s="464">
        <v>0.41860465116279072</v>
      </c>
    </row>
    <row r="136" spans="1:19" ht="16.5" thickTop="1" thickBot="1">
      <c r="A136" s="1244"/>
      <c r="B136" s="1249" t="s">
        <v>3172</v>
      </c>
      <c r="C136" s="1329" t="s">
        <v>3205</v>
      </c>
      <c r="D136" s="1250" t="s">
        <v>227</v>
      </c>
      <c r="E136" s="1249" t="s">
        <v>3206</v>
      </c>
      <c r="F136" s="1249" t="s">
        <v>2836</v>
      </c>
      <c r="G136" s="676">
        <v>42517</v>
      </c>
      <c r="H136" s="1565">
        <v>1</v>
      </c>
      <c r="I136" s="892">
        <v>33.103000000000002</v>
      </c>
      <c r="J136" s="530">
        <v>203.48699999999999</v>
      </c>
      <c r="K136" s="602">
        <v>0.33333333333333331</v>
      </c>
      <c r="L136" s="469">
        <v>23</v>
      </c>
      <c r="M136" s="395">
        <v>5</v>
      </c>
      <c r="N136" s="470">
        <v>1</v>
      </c>
      <c r="O136" s="1251" t="s">
        <v>591</v>
      </c>
      <c r="P136" s="465">
        <v>12</v>
      </c>
      <c r="Q136" s="435">
        <v>203.48699999999999</v>
      </c>
      <c r="R136" s="435">
        <v>6</v>
      </c>
      <c r="S136" s="466">
        <v>0.35294117647058826</v>
      </c>
    </row>
    <row r="137" spans="1:19" ht="16.5" thickTop="1" thickBot="1">
      <c r="A137" s="1244"/>
      <c r="B137" s="1245" t="s">
        <v>3517</v>
      </c>
      <c r="C137" s="1328" t="s">
        <v>2728</v>
      </c>
      <c r="D137" s="1246" t="s">
        <v>227</v>
      </c>
      <c r="E137" s="1245" t="s">
        <v>2729</v>
      </c>
      <c r="F137" s="1245" t="s">
        <v>2730</v>
      </c>
      <c r="G137" s="675">
        <v>42433</v>
      </c>
      <c r="H137" s="1564">
        <v>4</v>
      </c>
      <c r="I137" s="893">
        <v>71.962999999999994</v>
      </c>
      <c r="J137" s="529">
        <v>372.57</v>
      </c>
      <c r="K137" s="603">
        <v>0.38356164383561642</v>
      </c>
      <c r="L137" s="467">
        <v>13</v>
      </c>
      <c r="M137" s="396">
        <v>3</v>
      </c>
      <c r="N137" s="468"/>
      <c r="O137" s="1247" t="s">
        <v>591</v>
      </c>
      <c r="P137" s="463">
        <v>1</v>
      </c>
      <c r="Q137" s="434">
        <v>14.750999999999999</v>
      </c>
      <c r="R137" s="434">
        <v>1</v>
      </c>
      <c r="S137" s="464">
        <v>0.08</v>
      </c>
    </row>
    <row r="138" spans="1:19" ht="16.5" thickTop="1" thickBot="1">
      <c r="A138" s="1244"/>
      <c r="B138" s="1249" t="s">
        <v>47</v>
      </c>
      <c r="C138" s="1329" t="s">
        <v>866</v>
      </c>
      <c r="D138" s="1250" t="s">
        <v>227</v>
      </c>
      <c r="E138" s="1249" t="s">
        <v>867</v>
      </c>
      <c r="F138" s="1249" t="s">
        <v>868</v>
      </c>
      <c r="G138" s="676">
        <v>41901</v>
      </c>
      <c r="H138" s="1565">
        <v>21</v>
      </c>
      <c r="I138" s="892">
        <v>452.928</v>
      </c>
      <c r="J138" s="530">
        <v>1124.0550000000001</v>
      </c>
      <c r="K138" s="602">
        <v>0.34482758620689657</v>
      </c>
      <c r="L138" s="469">
        <v>10</v>
      </c>
      <c r="M138" s="395">
        <v>1</v>
      </c>
      <c r="N138" s="470">
        <v>1</v>
      </c>
      <c r="O138" s="1251" t="s">
        <v>369</v>
      </c>
      <c r="P138" s="465">
        <v>2</v>
      </c>
      <c r="Q138" s="435">
        <v>89.546999999999997</v>
      </c>
      <c r="R138" s="435">
        <v>5</v>
      </c>
      <c r="S138" s="466">
        <v>0.52631578947368418</v>
      </c>
    </row>
    <row r="139" spans="1:19" ht="16.5" thickTop="1" thickBot="1">
      <c r="A139" s="1244"/>
      <c r="B139" s="1245" t="s">
        <v>736</v>
      </c>
      <c r="C139" s="1328" t="s">
        <v>754</v>
      </c>
      <c r="D139" s="1246" t="s">
        <v>227</v>
      </c>
      <c r="E139" s="1245" t="s">
        <v>755</v>
      </c>
      <c r="F139" s="1245" t="s">
        <v>756</v>
      </c>
      <c r="G139" s="675">
        <v>41802</v>
      </c>
      <c r="H139" s="1564">
        <v>25</v>
      </c>
      <c r="I139" s="893">
        <v>855.18399999999997</v>
      </c>
      <c r="J139" s="529">
        <v>6936.3760000000002</v>
      </c>
      <c r="K139" s="603">
        <v>0.30426716141001853</v>
      </c>
      <c r="L139" s="467">
        <v>79</v>
      </c>
      <c r="M139" s="396">
        <v>10</v>
      </c>
      <c r="N139" s="468">
        <v>2</v>
      </c>
      <c r="O139" s="1247" t="s">
        <v>591</v>
      </c>
      <c r="P139" s="463">
        <v>12</v>
      </c>
      <c r="Q139" s="434">
        <v>598.42200000000003</v>
      </c>
      <c r="R139" s="434">
        <v>20</v>
      </c>
      <c r="S139" s="464">
        <v>0.26315789473684209</v>
      </c>
    </row>
    <row r="140" spans="1:19" ht="16.5" thickTop="1" thickBot="1">
      <c r="A140" s="1244"/>
      <c r="B140" s="1249" t="s">
        <v>1570</v>
      </c>
      <c r="C140" s="1329" t="s">
        <v>2315</v>
      </c>
      <c r="D140" s="1250" t="s">
        <v>227</v>
      </c>
      <c r="E140" s="1249" t="s">
        <v>2316</v>
      </c>
      <c r="F140" s="1249" t="s">
        <v>2317</v>
      </c>
      <c r="G140" s="676">
        <v>42327</v>
      </c>
      <c r="H140" s="1565">
        <v>7</v>
      </c>
      <c r="I140" s="892">
        <v>298.56700000000001</v>
      </c>
      <c r="J140" s="530">
        <v>996.91700000000003</v>
      </c>
      <c r="K140" s="602">
        <v>0.38738738738738737</v>
      </c>
      <c r="L140" s="469">
        <v>48</v>
      </c>
      <c r="M140" s="395">
        <v>13</v>
      </c>
      <c r="N140" s="470">
        <v>1</v>
      </c>
      <c r="O140" s="1251" t="s">
        <v>591</v>
      </c>
      <c r="P140" s="465">
        <v>20</v>
      </c>
      <c r="Q140" s="435">
        <v>408.42899999999997</v>
      </c>
      <c r="R140" s="435">
        <v>13</v>
      </c>
      <c r="S140" s="466">
        <v>0.34210526315789475</v>
      </c>
    </row>
    <row r="141" spans="1:19" ht="16.5" thickTop="1" thickBot="1">
      <c r="A141" s="1244"/>
      <c r="B141" s="1245" t="s">
        <v>1570</v>
      </c>
      <c r="C141" s="1328" t="s">
        <v>2318</v>
      </c>
      <c r="D141" s="1246" t="s">
        <v>227</v>
      </c>
      <c r="E141" s="1245" t="s">
        <v>2319</v>
      </c>
      <c r="F141" s="1245" t="s">
        <v>2320</v>
      </c>
      <c r="G141" s="675">
        <v>42334</v>
      </c>
      <c r="H141" s="1564">
        <v>7</v>
      </c>
      <c r="I141" s="893">
        <v>11.324999999999999</v>
      </c>
      <c r="J141" s="529">
        <v>465.95299999999997</v>
      </c>
      <c r="K141" s="603">
        <v>0.15075376884422109</v>
      </c>
      <c r="L141" s="467">
        <v>18</v>
      </c>
      <c r="M141" s="396">
        <v>3</v>
      </c>
      <c r="N141" s="468">
        <v>3</v>
      </c>
      <c r="O141" s="1247" t="s">
        <v>369</v>
      </c>
      <c r="P141" s="463"/>
      <c r="Q141" s="434"/>
      <c r="R141" s="434">
        <v>0</v>
      </c>
      <c r="S141" s="464">
        <v>0</v>
      </c>
    </row>
    <row r="142" spans="1:19" ht="16.5" thickTop="1" thickBot="1">
      <c r="A142" s="1244"/>
      <c r="B142" s="1249" t="s">
        <v>1570</v>
      </c>
      <c r="C142" s="1329" t="s">
        <v>3207</v>
      </c>
      <c r="D142" s="1250" t="s">
        <v>227</v>
      </c>
      <c r="E142" s="1249" t="s">
        <v>3208</v>
      </c>
      <c r="F142" s="1249" t="s">
        <v>3209</v>
      </c>
      <c r="G142" s="676">
        <v>42520</v>
      </c>
      <c r="H142" s="1565">
        <v>1</v>
      </c>
      <c r="I142" s="892">
        <v>10.048999999999999</v>
      </c>
      <c r="J142" s="530">
        <v>128.215</v>
      </c>
      <c r="K142" s="602">
        <v>0.35897435897435898</v>
      </c>
      <c r="L142" s="469">
        <v>21</v>
      </c>
      <c r="M142" s="395">
        <v>7</v>
      </c>
      <c r="N142" s="470">
        <v>3</v>
      </c>
      <c r="O142" s="1251" t="s">
        <v>591</v>
      </c>
      <c r="P142" s="465">
        <v>12</v>
      </c>
      <c r="Q142" s="435">
        <v>128.215</v>
      </c>
      <c r="R142" s="435">
        <v>7</v>
      </c>
      <c r="S142" s="466">
        <v>0.46666666666666667</v>
      </c>
    </row>
    <row r="143" spans="1:19" ht="16.5" thickTop="1" thickBot="1">
      <c r="A143" s="1244"/>
      <c r="B143" s="1245" t="s">
        <v>799</v>
      </c>
      <c r="C143" s="1328" t="s">
        <v>1451</v>
      </c>
      <c r="D143" s="1246" t="s">
        <v>227</v>
      </c>
      <c r="E143" s="1245" t="s">
        <v>1452</v>
      </c>
      <c r="F143" s="1245" t="s">
        <v>1453</v>
      </c>
      <c r="G143" s="675">
        <v>42118</v>
      </c>
      <c r="H143" s="1564">
        <v>14</v>
      </c>
      <c r="I143" s="893">
        <v>569.529</v>
      </c>
      <c r="J143" s="529">
        <v>3997.9830000000002</v>
      </c>
      <c r="K143" s="603">
        <v>0.33074935400516797</v>
      </c>
      <c r="L143" s="467">
        <v>71</v>
      </c>
      <c r="M143" s="396">
        <v>10</v>
      </c>
      <c r="N143" s="468">
        <v>2</v>
      </c>
      <c r="O143" s="1247" t="s">
        <v>591</v>
      </c>
      <c r="P143" s="463">
        <v>10</v>
      </c>
      <c r="Q143" s="434">
        <v>521.70899999999995</v>
      </c>
      <c r="R143" s="434">
        <v>26</v>
      </c>
      <c r="S143" s="464">
        <v>0.36363636363636365</v>
      </c>
    </row>
    <row r="144" spans="1:19" ht="16.5" thickTop="1" thickBot="1">
      <c r="A144" s="1244"/>
      <c r="B144" s="1249" t="s">
        <v>799</v>
      </c>
      <c r="C144" s="1329" t="s">
        <v>2663</v>
      </c>
      <c r="D144" s="1250" t="s">
        <v>227</v>
      </c>
      <c r="E144" s="1249" t="s">
        <v>2664</v>
      </c>
      <c r="F144" s="1249" t="s">
        <v>2665</v>
      </c>
      <c r="G144" s="676">
        <v>42424</v>
      </c>
      <c r="H144" s="1565">
        <v>4</v>
      </c>
      <c r="I144" s="892">
        <v>513.00900000000001</v>
      </c>
      <c r="J144" s="530">
        <v>1455.0719999999999</v>
      </c>
      <c r="K144" s="602">
        <v>0.43091334894613581</v>
      </c>
      <c r="L144" s="469">
        <v>84</v>
      </c>
      <c r="M144" s="395">
        <v>8</v>
      </c>
      <c r="N144" s="470">
        <v>2</v>
      </c>
      <c r="O144" s="1251" t="s">
        <v>591</v>
      </c>
      <c r="P144" s="465">
        <v>19</v>
      </c>
      <c r="Q144" s="435">
        <v>530.97299999999996</v>
      </c>
      <c r="R144" s="435">
        <v>32</v>
      </c>
      <c r="S144" s="466">
        <v>0.41025641025641024</v>
      </c>
    </row>
    <row r="145" spans="1:19" ht="16.5" thickTop="1" thickBot="1">
      <c r="A145" s="1244"/>
      <c r="B145" s="1245" t="s">
        <v>796</v>
      </c>
      <c r="C145" s="1328" t="s">
        <v>826</v>
      </c>
      <c r="D145" s="1246" t="s">
        <v>227</v>
      </c>
      <c r="E145" s="1245" t="s">
        <v>827</v>
      </c>
      <c r="F145" s="1245" t="s">
        <v>828</v>
      </c>
      <c r="G145" s="675">
        <v>41877</v>
      </c>
      <c r="H145" s="1564">
        <v>22</v>
      </c>
      <c r="I145" s="893">
        <v>665.20799999999997</v>
      </c>
      <c r="J145" s="529">
        <v>1319.6659999999999</v>
      </c>
      <c r="K145" s="603">
        <v>0.23552894211576847</v>
      </c>
      <c r="L145" s="467">
        <v>27</v>
      </c>
      <c r="M145" s="396">
        <v>5</v>
      </c>
      <c r="N145" s="468">
        <v>5</v>
      </c>
      <c r="O145" s="1247" t="s">
        <v>369</v>
      </c>
      <c r="P145" s="463">
        <v>5</v>
      </c>
      <c r="Q145" s="434">
        <v>96.691000000000003</v>
      </c>
      <c r="R145" s="434">
        <v>7</v>
      </c>
      <c r="S145" s="464">
        <v>0.2857142857142857</v>
      </c>
    </row>
    <row r="146" spans="1:19" ht="16.5" thickTop="1" thickBot="1">
      <c r="A146" s="1244"/>
      <c r="B146" s="1249" t="s">
        <v>796</v>
      </c>
      <c r="C146" s="1329" t="s">
        <v>1025</v>
      </c>
      <c r="D146" s="1250" t="s">
        <v>227</v>
      </c>
      <c r="E146" s="1249" t="s">
        <v>1026</v>
      </c>
      <c r="F146" s="1249" t="s">
        <v>1027</v>
      </c>
      <c r="G146" s="676">
        <v>42002</v>
      </c>
      <c r="H146" s="1565">
        <v>18</v>
      </c>
      <c r="I146" s="892">
        <v>540.07600000000002</v>
      </c>
      <c r="J146" s="530">
        <v>2227.8119999999999</v>
      </c>
      <c r="K146" s="602">
        <v>0.27932960893854747</v>
      </c>
      <c r="L146" s="469">
        <v>19</v>
      </c>
      <c r="M146" s="395">
        <v>2</v>
      </c>
      <c r="N146" s="470">
        <v>2</v>
      </c>
      <c r="O146" s="1251" t="s">
        <v>591</v>
      </c>
      <c r="P146" s="465">
        <v>4</v>
      </c>
      <c r="Q146" s="435">
        <v>54.515999999999998</v>
      </c>
      <c r="R146" s="435">
        <v>1</v>
      </c>
      <c r="S146" s="466">
        <v>5.8823529411764705E-2</v>
      </c>
    </row>
    <row r="147" spans="1:19" ht="16.5" thickTop="1" thickBot="1">
      <c r="A147" s="1244"/>
      <c r="B147" s="1245" t="s">
        <v>1567</v>
      </c>
      <c r="C147" s="1328" t="s">
        <v>1588</v>
      </c>
      <c r="D147" s="1246" t="s">
        <v>227</v>
      </c>
      <c r="E147" s="1245" t="s">
        <v>1589</v>
      </c>
      <c r="F147" s="1245" t="s">
        <v>1590</v>
      </c>
      <c r="G147" s="675">
        <v>42149</v>
      </c>
      <c r="H147" s="1564">
        <v>13</v>
      </c>
      <c r="I147" s="893">
        <v>1419.019</v>
      </c>
      <c r="J147" s="529">
        <v>2643.3389999999999</v>
      </c>
      <c r="K147" s="603">
        <v>0.29160530191458028</v>
      </c>
      <c r="L147" s="467">
        <v>41</v>
      </c>
      <c r="M147" s="396">
        <v>7</v>
      </c>
      <c r="N147" s="468">
        <v>4</v>
      </c>
      <c r="O147" s="1247" t="s">
        <v>591</v>
      </c>
      <c r="P147" s="463">
        <v>3</v>
      </c>
      <c r="Q147" s="434">
        <v>311.88299999999998</v>
      </c>
      <c r="R147" s="434">
        <v>3</v>
      </c>
      <c r="S147" s="464">
        <v>7.407407407407407E-2</v>
      </c>
    </row>
    <row r="148" spans="1:19" ht="16.5" thickTop="1" thickBot="1">
      <c r="A148" s="1244"/>
      <c r="B148" s="1249" t="s">
        <v>1567</v>
      </c>
      <c r="C148" s="1329" t="s">
        <v>1954</v>
      </c>
      <c r="D148" s="1250" t="s">
        <v>227</v>
      </c>
      <c r="E148" s="1249" t="s">
        <v>1955</v>
      </c>
      <c r="F148" s="1249" t="s">
        <v>1956</v>
      </c>
      <c r="G148" s="676">
        <v>42220</v>
      </c>
      <c r="H148" s="1565">
        <v>11</v>
      </c>
      <c r="I148" s="892">
        <v>617.03300000000002</v>
      </c>
      <c r="J148" s="530">
        <v>2950.9389999999999</v>
      </c>
      <c r="K148" s="602">
        <v>0.46721311475409838</v>
      </c>
      <c r="L148" s="469">
        <v>64</v>
      </c>
      <c r="M148" s="395">
        <v>10</v>
      </c>
      <c r="N148" s="470">
        <v>2</v>
      </c>
      <c r="O148" s="1251" t="s">
        <v>591</v>
      </c>
      <c r="P148" s="465">
        <v>3</v>
      </c>
      <c r="Q148" s="435">
        <v>315.91899999999998</v>
      </c>
      <c r="R148" s="435">
        <v>16</v>
      </c>
      <c r="S148" s="466">
        <v>0.25396825396825395</v>
      </c>
    </row>
    <row r="149" spans="1:19" ht="16.5" thickTop="1" thickBot="1">
      <c r="A149" s="1244"/>
      <c r="B149" s="1245" t="s">
        <v>1567</v>
      </c>
      <c r="C149" s="1328" t="s">
        <v>2230</v>
      </c>
      <c r="D149" s="1246" t="s">
        <v>227</v>
      </c>
      <c r="E149" s="1245" t="s">
        <v>2231</v>
      </c>
      <c r="F149" s="1245" t="s">
        <v>2232</v>
      </c>
      <c r="G149" s="675">
        <v>42292</v>
      </c>
      <c r="H149" s="1564">
        <v>8</v>
      </c>
      <c r="I149" s="893">
        <v>704.327</v>
      </c>
      <c r="J149" s="529">
        <v>3877.453</v>
      </c>
      <c r="K149" s="603">
        <v>0.44186046511627908</v>
      </c>
      <c r="L149" s="467">
        <v>57</v>
      </c>
      <c r="M149" s="396">
        <v>10</v>
      </c>
      <c r="N149" s="468">
        <v>3</v>
      </c>
      <c r="O149" s="1247" t="s">
        <v>591</v>
      </c>
      <c r="P149" s="463">
        <v>4</v>
      </c>
      <c r="Q149" s="434">
        <v>274.04700000000003</v>
      </c>
      <c r="R149" s="434">
        <v>28</v>
      </c>
      <c r="S149" s="464">
        <v>0.5</v>
      </c>
    </row>
    <row r="150" spans="1:19" ht="16.5" thickTop="1" thickBot="1">
      <c r="A150" s="1244"/>
      <c r="B150" s="1249" t="s">
        <v>3522</v>
      </c>
      <c r="C150" s="1329" t="s">
        <v>3619</v>
      </c>
      <c r="D150" s="1250" t="s">
        <v>227</v>
      </c>
      <c r="E150" s="1249" t="s">
        <v>3620</v>
      </c>
      <c r="F150" s="1249" t="s">
        <v>3621</v>
      </c>
      <c r="G150" s="676">
        <v>42543</v>
      </c>
      <c r="H150" s="1565">
        <v>0</v>
      </c>
      <c r="I150" s="892"/>
      <c r="J150" s="530">
        <v>32.095999999999997</v>
      </c>
      <c r="K150" s="602">
        <v>0.66666666666666663</v>
      </c>
      <c r="L150" s="469">
        <v>6</v>
      </c>
      <c r="M150" s="395">
        <v>3</v>
      </c>
      <c r="N150" s="470">
        <v>1</v>
      </c>
      <c r="O150" s="1251" t="s">
        <v>227</v>
      </c>
      <c r="P150" s="465">
        <v>6</v>
      </c>
      <c r="Q150" s="435">
        <v>32.095999999999997</v>
      </c>
      <c r="R150" s="435">
        <v>2</v>
      </c>
      <c r="S150" s="466">
        <v>0.66666666666666663</v>
      </c>
    </row>
    <row r="151" spans="1:19" ht="16.5" thickTop="1" thickBot="1">
      <c r="A151" s="1244"/>
      <c r="B151" s="1245" t="s">
        <v>3522</v>
      </c>
      <c r="C151" s="1328" t="s">
        <v>3622</v>
      </c>
      <c r="D151" s="1246" t="s">
        <v>227</v>
      </c>
      <c r="E151" s="1245" t="s">
        <v>3623</v>
      </c>
      <c r="F151" s="1245" t="s">
        <v>3624</v>
      </c>
      <c r="G151" s="675">
        <v>42545</v>
      </c>
      <c r="H151" s="1564">
        <v>0</v>
      </c>
      <c r="I151" s="893">
        <v>10.019</v>
      </c>
      <c r="J151" s="529">
        <v>20.157</v>
      </c>
      <c r="K151" s="603">
        <v>2</v>
      </c>
      <c r="L151" s="467">
        <v>2</v>
      </c>
      <c r="M151" s="396">
        <v>1</v>
      </c>
      <c r="N151" s="468">
        <v>1</v>
      </c>
      <c r="O151" s="1247" t="s">
        <v>227</v>
      </c>
      <c r="P151" s="463">
        <v>2</v>
      </c>
      <c r="Q151" s="434">
        <v>20.157</v>
      </c>
      <c r="R151" s="434">
        <v>2</v>
      </c>
      <c r="S151" s="464">
        <v>2</v>
      </c>
    </row>
    <row r="152" spans="1:19" ht="16.5" thickTop="1" thickBot="1">
      <c r="A152" s="1244"/>
      <c r="B152" s="1249" t="s">
        <v>3522</v>
      </c>
      <c r="C152" s="1329" t="s">
        <v>3625</v>
      </c>
      <c r="D152" s="1250" t="s">
        <v>227</v>
      </c>
      <c r="E152" s="1249" t="s">
        <v>3626</v>
      </c>
      <c r="F152" s="1249" t="s">
        <v>3627</v>
      </c>
      <c r="G152" s="676">
        <v>42545</v>
      </c>
      <c r="H152" s="1565">
        <v>0</v>
      </c>
      <c r="I152" s="892">
        <v>10.010999999999999</v>
      </c>
      <c r="J152" s="530">
        <v>10.010999999999999</v>
      </c>
      <c r="K152" s="602">
        <v>2</v>
      </c>
      <c r="L152" s="469">
        <v>1</v>
      </c>
      <c r="M152" s="395"/>
      <c r="N152" s="470"/>
      <c r="O152" s="1251" t="s">
        <v>227</v>
      </c>
      <c r="P152" s="465">
        <v>1</v>
      </c>
      <c r="Q152" s="435">
        <v>10.010999999999999</v>
      </c>
      <c r="R152" s="435">
        <v>1</v>
      </c>
      <c r="S152" s="466">
        <v>2</v>
      </c>
    </row>
    <row r="153" spans="1:19" ht="16.5" thickTop="1" thickBot="1">
      <c r="A153" s="1244"/>
      <c r="B153" s="1245" t="s">
        <v>177</v>
      </c>
      <c r="C153" s="1328" t="s">
        <v>701</v>
      </c>
      <c r="D153" s="1246" t="s">
        <v>227</v>
      </c>
      <c r="E153" s="1245" t="s">
        <v>727</v>
      </c>
      <c r="F153" s="1245" t="s">
        <v>712</v>
      </c>
      <c r="G153" s="675">
        <v>41789</v>
      </c>
      <c r="H153" s="1564">
        <v>25</v>
      </c>
      <c r="I153" s="893">
        <v>184.57900000000001</v>
      </c>
      <c r="J153" s="529">
        <v>2390.3130000000001</v>
      </c>
      <c r="K153" s="603">
        <v>0.32025117739403453</v>
      </c>
      <c r="L153" s="467">
        <v>23</v>
      </c>
      <c r="M153" s="396">
        <v>5</v>
      </c>
      <c r="N153" s="468">
        <v>2</v>
      </c>
      <c r="O153" s="1247" t="s">
        <v>591</v>
      </c>
      <c r="P153" s="463">
        <v>4</v>
      </c>
      <c r="Q153" s="434">
        <v>142.785</v>
      </c>
      <c r="R153" s="434">
        <v>8</v>
      </c>
      <c r="S153" s="464">
        <v>0.34782608695652173</v>
      </c>
    </row>
    <row r="154" spans="1:19" ht="16.5" thickTop="1" thickBot="1">
      <c r="A154" s="1244"/>
      <c r="B154" s="1249" t="s">
        <v>177</v>
      </c>
      <c r="C154" s="1329" t="s">
        <v>869</v>
      </c>
      <c r="D154" s="1250" t="s">
        <v>227</v>
      </c>
      <c r="E154" s="1249" t="s">
        <v>870</v>
      </c>
      <c r="F154" s="1249" t="s">
        <v>812</v>
      </c>
      <c r="G154" s="676">
        <v>41890</v>
      </c>
      <c r="H154" s="1565">
        <v>22</v>
      </c>
      <c r="I154" s="892">
        <v>835.22900000000004</v>
      </c>
      <c r="J154" s="530">
        <v>6156.0649999999996</v>
      </c>
      <c r="K154" s="602">
        <v>0.3125</v>
      </c>
      <c r="L154" s="469">
        <v>65</v>
      </c>
      <c r="M154" s="395">
        <v>11</v>
      </c>
      <c r="N154" s="470">
        <v>1</v>
      </c>
      <c r="O154" s="1251" t="s">
        <v>591</v>
      </c>
      <c r="P154" s="465">
        <v>13</v>
      </c>
      <c r="Q154" s="435">
        <v>352.07100000000003</v>
      </c>
      <c r="R154" s="435">
        <v>14</v>
      </c>
      <c r="S154" s="466">
        <v>0.23931623931623933</v>
      </c>
    </row>
    <row r="155" spans="1:19" ht="16.5" thickTop="1" thickBot="1">
      <c r="A155" s="1244"/>
      <c r="B155" s="1245" t="s">
        <v>2659</v>
      </c>
      <c r="C155" s="1328" t="s">
        <v>2731</v>
      </c>
      <c r="D155" s="1246" t="s">
        <v>227</v>
      </c>
      <c r="E155" s="1245" t="s">
        <v>2732</v>
      </c>
      <c r="F155" s="1245" t="s">
        <v>2733</v>
      </c>
      <c r="G155" s="675">
        <v>42433</v>
      </c>
      <c r="H155" s="1564">
        <v>4</v>
      </c>
      <c r="I155" s="893">
        <v>446.76900000000001</v>
      </c>
      <c r="J155" s="529">
        <v>984.8</v>
      </c>
      <c r="K155" s="603">
        <v>0.4</v>
      </c>
      <c r="L155" s="467">
        <v>28</v>
      </c>
      <c r="M155" s="396">
        <v>6</v>
      </c>
      <c r="N155" s="468"/>
      <c r="O155" s="1247" t="s">
        <v>591</v>
      </c>
      <c r="P155" s="463">
        <v>6</v>
      </c>
      <c r="Q155" s="434">
        <v>230.11</v>
      </c>
      <c r="R155" s="434">
        <v>10</v>
      </c>
      <c r="S155" s="464">
        <v>0.4</v>
      </c>
    </row>
    <row r="156" spans="1:19" ht="16.5" thickTop="1" thickBot="1">
      <c r="A156" s="1244"/>
      <c r="B156" s="1245" t="s">
        <v>3524</v>
      </c>
      <c r="C156" s="1328" t="s">
        <v>3628</v>
      </c>
      <c r="D156" s="1246" t="s">
        <v>227</v>
      </c>
      <c r="E156" s="1245" t="s">
        <v>3629</v>
      </c>
      <c r="F156" s="1245" t="s">
        <v>3630</v>
      </c>
      <c r="G156" s="675">
        <v>42536</v>
      </c>
      <c r="H156" s="1564">
        <v>0</v>
      </c>
      <c r="I156" s="893"/>
      <c r="J156" s="529">
        <v>75.093000000000004</v>
      </c>
      <c r="K156" s="603">
        <v>0.13333333333333333</v>
      </c>
      <c r="L156" s="467">
        <v>15</v>
      </c>
      <c r="M156" s="396">
        <v>7</v>
      </c>
      <c r="N156" s="468">
        <v>2</v>
      </c>
      <c r="O156" s="1247" t="s">
        <v>227</v>
      </c>
      <c r="P156" s="463">
        <v>15</v>
      </c>
      <c r="Q156" s="434">
        <v>75.093000000000004</v>
      </c>
      <c r="R156" s="434">
        <v>1</v>
      </c>
      <c r="S156" s="464">
        <v>0.13333333333333333</v>
      </c>
    </row>
    <row r="157" spans="1:19" ht="16.5" thickTop="1" thickBot="1">
      <c r="A157" s="1244"/>
      <c r="B157" s="1245" t="s">
        <v>1568</v>
      </c>
      <c r="C157" s="1328" t="s">
        <v>956</v>
      </c>
      <c r="D157" s="1246" t="s">
        <v>227</v>
      </c>
      <c r="E157" s="1245" t="s">
        <v>957</v>
      </c>
      <c r="F157" s="1245" t="s">
        <v>958</v>
      </c>
      <c r="G157" s="675">
        <v>41960</v>
      </c>
      <c r="H157" s="1564">
        <v>19</v>
      </c>
      <c r="I157" s="893">
        <v>521.84400000000005</v>
      </c>
      <c r="J157" s="529">
        <v>2380.3290000000002</v>
      </c>
      <c r="K157" s="603">
        <v>0.28431372549019607</v>
      </c>
      <c r="L157" s="467">
        <v>69</v>
      </c>
      <c r="M157" s="396">
        <v>8</v>
      </c>
      <c r="N157" s="468">
        <v>1</v>
      </c>
      <c r="O157" s="1247" t="s">
        <v>591</v>
      </c>
      <c r="P157" s="463">
        <v>11</v>
      </c>
      <c r="Q157" s="434">
        <v>231.99</v>
      </c>
      <c r="R157" s="434">
        <v>15</v>
      </c>
      <c r="S157" s="464">
        <v>0.234375</v>
      </c>
    </row>
    <row r="158" spans="1:19" ht="16.5" thickTop="1" thickBot="1">
      <c r="A158" s="1244"/>
      <c r="B158" s="1245" t="s">
        <v>1568</v>
      </c>
      <c r="C158" s="1328" t="s">
        <v>959</v>
      </c>
      <c r="D158" s="1246" t="s">
        <v>227</v>
      </c>
      <c r="E158" s="1245" t="s">
        <v>960</v>
      </c>
      <c r="F158" s="1245" t="s">
        <v>961</v>
      </c>
      <c r="G158" s="675">
        <v>41961</v>
      </c>
      <c r="H158" s="1564">
        <v>19</v>
      </c>
      <c r="I158" s="893">
        <v>189.07</v>
      </c>
      <c r="J158" s="529">
        <v>4197.7610000000004</v>
      </c>
      <c r="K158" s="603">
        <v>0.35179786200194363</v>
      </c>
      <c r="L158" s="467">
        <v>66</v>
      </c>
      <c r="M158" s="396">
        <v>7</v>
      </c>
      <c r="N158" s="468">
        <v>1</v>
      </c>
      <c r="O158" s="1247" t="s">
        <v>591</v>
      </c>
      <c r="P158" s="463">
        <v>7</v>
      </c>
      <c r="Q158" s="434">
        <v>430.52600000000001</v>
      </c>
      <c r="R158" s="434">
        <v>17</v>
      </c>
      <c r="S158" s="464">
        <v>0.27200000000000002</v>
      </c>
    </row>
    <row r="159" spans="1:19" ht="16.5" thickTop="1" thickBot="1">
      <c r="A159" s="1244"/>
      <c r="B159" s="1245" t="s">
        <v>1568</v>
      </c>
      <c r="C159" s="1328" t="s">
        <v>1865</v>
      </c>
      <c r="D159" s="1246" t="s">
        <v>227</v>
      </c>
      <c r="E159" s="1245" t="s">
        <v>1866</v>
      </c>
      <c r="F159" s="1245" t="s">
        <v>744</v>
      </c>
      <c r="G159" s="675">
        <v>42202</v>
      </c>
      <c r="H159" s="1564">
        <v>11</v>
      </c>
      <c r="I159" s="893">
        <v>94.210999999999999</v>
      </c>
      <c r="J159" s="529">
        <v>863.096</v>
      </c>
      <c r="K159" s="603">
        <v>0.23306233062330622</v>
      </c>
      <c r="L159" s="467">
        <v>15</v>
      </c>
      <c r="M159" s="396">
        <v>6</v>
      </c>
      <c r="N159" s="468">
        <v>1</v>
      </c>
      <c r="O159" s="1247" t="s">
        <v>369</v>
      </c>
      <c r="P159" s="463">
        <v>5</v>
      </c>
      <c r="Q159" s="434">
        <v>76.010000000000005</v>
      </c>
      <c r="R159" s="434">
        <v>3</v>
      </c>
      <c r="S159" s="464">
        <v>0.24</v>
      </c>
    </row>
    <row r="160" spans="1:19" ht="16.5" thickTop="1" thickBot="1">
      <c r="A160" s="1244"/>
      <c r="B160" s="1245" t="s">
        <v>1568</v>
      </c>
      <c r="C160" s="1328" t="s">
        <v>2066</v>
      </c>
      <c r="D160" s="1246" t="s">
        <v>227</v>
      </c>
      <c r="E160" s="1245" t="s">
        <v>2067</v>
      </c>
      <c r="F160" s="1245" t="s">
        <v>2068</v>
      </c>
      <c r="G160" s="675">
        <v>42271</v>
      </c>
      <c r="H160" s="1564">
        <v>9</v>
      </c>
      <c r="I160" s="893">
        <v>256.82900000000001</v>
      </c>
      <c r="J160" s="529">
        <v>6958.7259999999997</v>
      </c>
      <c r="K160" s="603">
        <v>0.37513061650992685</v>
      </c>
      <c r="L160" s="467">
        <v>136</v>
      </c>
      <c r="M160" s="396">
        <v>19</v>
      </c>
      <c r="N160" s="468">
        <v>1</v>
      </c>
      <c r="O160" s="1247" t="s">
        <v>591</v>
      </c>
      <c r="P160" s="463">
        <v>28</v>
      </c>
      <c r="Q160" s="434">
        <v>1151.6279999999999</v>
      </c>
      <c r="R160" s="434">
        <v>58</v>
      </c>
      <c r="S160" s="464">
        <v>0.47346938775510206</v>
      </c>
    </row>
    <row r="161" spans="1:19" ht="16.5" thickTop="1" thickBot="1">
      <c r="A161" s="1244"/>
      <c r="B161" s="1245" t="s">
        <v>1568</v>
      </c>
      <c r="C161" s="1328" t="s">
        <v>2907</v>
      </c>
      <c r="D161" s="1246" t="s">
        <v>227</v>
      </c>
      <c r="E161" s="1245" t="s">
        <v>2908</v>
      </c>
      <c r="F161" s="1245" t="s">
        <v>1668</v>
      </c>
      <c r="G161" s="675">
        <v>42475</v>
      </c>
      <c r="H161" s="1564">
        <v>2</v>
      </c>
      <c r="I161" s="893">
        <v>23.026</v>
      </c>
      <c r="J161" s="529">
        <v>483.49400000000003</v>
      </c>
      <c r="K161" s="603">
        <v>0.56818181818181823</v>
      </c>
      <c r="L161" s="467">
        <v>28</v>
      </c>
      <c r="M161" s="396">
        <v>6</v>
      </c>
      <c r="N161" s="468">
        <v>3</v>
      </c>
      <c r="O161" s="1247" t="s">
        <v>591</v>
      </c>
      <c r="P161" s="463">
        <v>10</v>
      </c>
      <c r="Q161" s="434">
        <v>269.74400000000003</v>
      </c>
      <c r="R161" s="434">
        <v>11</v>
      </c>
      <c r="S161" s="464">
        <v>0.47826086956521741</v>
      </c>
    </row>
    <row r="162" spans="1:19" ht="16.5" thickTop="1" thickBot="1">
      <c r="A162" s="1244"/>
      <c r="B162" s="1245" t="s">
        <v>3173</v>
      </c>
      <c r="C162" s="1328" t="s">
        <v>635</v>
      </c>
      <c r="D162" s="1246" t="s">
        <v>227</v>
      </c>
      <c r="E162" s="1245" t="s">
        <v>637</v>
      </c>
      <c r="F162" s="1245" t="s">
        <v>636</v>
      </c>
      <c r="G162" s="675">
        <v>41726</v>
      </c>
      <c r="H162" s="1564">
        <v>27</v>
      </c>
      <c r="I162" s="893">
        <v>626.53800000000001</v>
      </c>
      <c r="J162" s="529">
        <v>4543.7139999999999</v>
      </c>
      <c r="K162" s="603">
        <v>0.28934010152284262</v>
      </c>
      <c r="L162" s="467">
        <v>25</v>
      </c>
      <c r="M162" s="396">
        <v>3</v>
      </c>
      <c r="N162" s="468">
        <v>3</v>
      </c>
      <c r="O162" s="1247" t="s">
        <v>591</v>
      </c>
      <c r="P162" s="463">
        <v>10</v>
      </c>
      <c r="Q162" s="434">
        <v>167.97499999999999</v>
      </c>
      <c r="R162" s="434">
        <v>9</v>
      </c>
      <c r="S162" s="464">
        <v>0.38297872340425532</v>
      </c>
    </row>
    <row r="163" spans="1:19" ht="16.5" thickTop="1" thickBot="1">
      <c r="A163" s="1244"/>
      <c r="B163" s="1245" t="s">
        <v>3173</v>
      </c>
      <c r="C163" s="1328" t="s">
        <v>676</v>
      </c>
      <c r="D163" s="1246" t="s">
        <v>227</v>
      </c>
      <c r="E163" s="1245" t="s">
        <v>677</v>
      </c>
      <c r="F163" s="1245" t="s">
        <v>678</v>
      </c>
      <c r="G163" s="675">
        <v>42236</v>
      </c>
      <c r="H163" s="1564">
        <v>27</v>
      </c>
      <c r="I163" s="893">
        <v>1027.3689999999999</v>
      </c>
      <c r="J163" s="529">
        <v>4276.067</v>
      </c>
      <c r="K163" s="603">
        <v>0.26810990840965859</v>
      </c>
      <c r="L163" s="467">
        <v>46</v>
      </c>
      <c r="M163" s="396">
        <v>3</v>
      </c>
      <c r="N163" s="468"/>
      <c r="O163" s="1247" t="s">
        <v>591</v>
      </c>
      <c r="P163" s="463">
        <v>7</v>
      </c>
      <c r="Q163" s="434">
        <v>373.37</v>
      </c>
      <c r="R163" s="434">
        <v>18</v>
      </c>
      <c r="S163" s="464">
        <v>0.36363636363636365</v>
      </c>
    </row>
    <row r="164" spans="1:19" ht="16.5" thickTop="1" thickBot="1">
      <c r="A164" s="1244"/>
      <c r="B164" s="1245" t="s">
        <v>3173</v>
      </c>
      <c r="C164" s="1328" t="s">
        <v>703</v>
      </c>
      <c r="D164" s="1246" t="s">
        <v>227</v>
      </c>
      <c r="E164" s="1245" t="s">
        <v>728</v>
      </c>
      <c r="F164" s="1245" t="s">
        <v>714</v>
      </c>
      <c r="G164" s="675">
        <v>41782</v>
      </c>
      <c r="H164" s="1564">
        <v>25</v>
      </c>
      <c r="I164" s="893">
        <v>117.95099999999999</v>
      </c>
      <c r="J164" s="529">
        <v>4393.42</v>
      </c>
      <c r="K164" s="603">
        <v>0.30867143993635643</v>
      </c>
      <c r="L164" s="467">
        <v>77</v>
      </c>
      <c r="M164" s="396">
        <v>9</v>
      </c>
      <c r="N164" s="468">
        <v>3</v>
      </c>
      <c r="O164" s="1247" t="s">
        <v>591</v>
      </c>
      <c r="P164" s="463">
        <v>15</v>
      </c>
      <c r="Q164" s="434">
        <v>892.58299999999997</v>
      </c>
      <c r="R164" s="434">
        <v>23</v>
      </c>
      <c r="S164" s="464">
        <v>0.32167832167832167</v>
      </c>
    </row>
    <row r="165" spans="1:19" ht="16.5" thickTop="1" thickBot="1">
      <c r="A165" s="1244"/>
      <c r="B165" s="1245" t="s">
        <v>3173</v>
      </c>
      <c r="C165" s="1328" t="s">
        <v>704</v>
      </c>
      <c r="D165" s="1246" t="s">
        <v>227</v>
      </c>
      <c r="E165" s="1245" t="s">
        <v>723</v>
      </c>
      <c r="F165" s="1245" t="s">
        <v>715</v>
      </c>
      <c r="G165" s="675">
        <v>42208</v>
      </c>
      <c r="H165" s="1564">
        <v>25</v>
      </c>
      <c r="I165" s="893">
        <v>976.78700000000003</v>
      </c>
      <c r="J165" s="529">
        <v>3387.3339999999998</v>
      </c>
      <c r="K165" s="603">
        <v>0.30292294065544728</v>
      </c>
      <c r="L165" s="467">
        <v>53</v>
      </c>
      <c r="M165" s="396">
        <v>6</v>
      </c>
      <c r="N165" s="468">
        <v>3</v>
      </c>
      <c r="O165" s="1247" t="s">
        <v>591</v>
      </c>
      <c r="P165" s="463">
        <v>9</v>
      </c>
      <c r="Q165" s="434">
        <v>380.98700000000002</v>
      </c>
      <c r="R165" s="434">
        <v>17</v>
      </c>
      <c r="S165" s="464">
        <v>0.32380952380952382</v>
      </c>
    </row>
    <row r="166" spans="1:19" ht="16.5" thickTop="1" thickBot="1">
      <c r="A166" s="1244"/>
      <c r="B166" s="1245" t="s">
        <v>3173</v>
      </c>
      <c r="C166" s="1328" t="s">
        <v>2909</v>
      </c>
      <c r="D166" s="1246" t="s">
        <v>227</v>
      </c>
      <c r="E166" s="1245" t="s">
        <v>2910</v>
      </c>
      <c r="F166" s="1245" t="s">
        <v>2911</v>
      </c>
      <c r="G166" s="675">
        <v>42474</v>
      </c>
      <c r="H166" s="1564">
        <v>3</v>
      </c>
      <c r="I166" s="893">
        <v>133.982</v>
      </c>
      <c r="J166" s="529">
        <v>434.30599999999998</v>
      </c>
      <c r="K166" s="603">
        <v>0.43902439024390244</v>
      </c>
      <c r="L166" s="467">
        <v>30</v>
      </c>
      <c r="M166" s="396">
        <v>4</v>
      </c>
      <c r="N166" s="468">
        <v>1</v>
      </c>
      <c r="O166" s="1247" t="s">
        <v>591</v>
      </c>
      <c r="P166" s="463">
        <v>11</v>
      </c>
      <c r="Q166" s="434">
        <v>324.44099999999997</v>
      </c>
      <c r="R166" s="434">
        <v>12</v>
      </c>
      <c r="S166" s="464">
        <v>0.48979591836734693</v>
      </c>
    </row>
    <row r="167" spans="1:19" ht="16.5" thickTop="1" thickBot="1">
      <c r="A167" s="1244"/>
      <c r="B167" s="1249" t="s">
        <v>3174</v>
      </c>
      <c r="C167" s="1329" t="s">
        <v>1445</v>
      </c>
      <c r="D167" s="1250" t="s">
        <v>227</v>
      </c>
      <c r="E167" s="1249" t="s">
        <v>1446</v>
      </c>
      <c r="F167" s="1249" t="s">
        <v>1447</v>
      </c>
      <c r="G167" s="676">
        <v>42117</v>
      </c>
      <c r="H167" s="1565">
        <v>14</v>
      </c>
      <c r="I167" s="892">
        <v>408.58300000000003</v>
      </c>
      <c r="J167" s="530">
        <v>1839.421</v>
      </c>
      <c r="K167" s="602">
        <v>0.31197097944377267</v>
      </c>
      <c r="L167" s="469">
        <v>70</v>
      </c>
      <c r="M167" s="395">
        <v>6</v>
      </c>
      <c r="N167" s="470">
        <v>3</v>
      </c>
      <c r="O167" s="1251" t="s">
        <v>591</v>
      </c>
      <c r="P167" s="465">
        <v>29</v>
      </c>
      <c r="Q167" s="435">
        <v>279.45299999999997</v>
      </c>
      <c r="R167" s="435">
        <v>24</v>
      </c>
      <c r="S167" s="466">
        <v>0.43243243243243246</v>
      </c>
    </row>
    <row r="168" spans="1:19" ht="16.5" thickTop="1" thickBot="1">
      <c r="A168" s="1244"/>
      <c r="B168" s="1245" t="s">
        <v>3174</v>
      </c>
      <c r="C168" s="1328" t="s">
        <v>1448</v>
      </c>
      <c r="D168" s="1246" t="s">
        <v>227</v>
      </c>
      <c r="E168" s="1245" t="s">
        <v>1449</v>
      </c>
      <c r="F168" s="1245" t="s">
        <v>1450</v>
      </c>
      <c r="G168" s="675">
        <v>42117</v>
      </c>
      <c r="H168" s="1564">
        <v>14</v>
      </c>
      <c r="I168" s="893">
        <v>1057.1959999999999</v>
      </c>
      <c r="J168" s="529">
        <v>4506.1360000000004</v>
      </c>
      <c r="K168" s="603">
        <v>0.28964757709251099</v>
      </c>
      <c r="L168" s="467">
        <v>196</v>
      </c>
      <c r="M168" s="396">
        <v>19</v>
      </c>
      <c r="N168" s="468">
        <v>6</v>
      </c>
      <c r="O168" s="1247" t="s">
        <v>591</v>
      </c>
      <c r="P168" s="463">
        <v>93</v>
      </c>
      <c r="Q168" s="434">
        <v>874.51300000000003</v>
      </c>
      <c r="R168" s="434">
        <v>60</v>
      </c>
      <c r="S168" s="464">
        <v>0.38709677419354838</v>
      </c>
    </row>
    <row r="169" spans="1:19" ht="16.5" thickTop="1" thickBot="1">
      <c r="A169" s="1244"/>
      <c r="B169" s="1249" t="s">
        <v>3174</v>
      </c>
      <c r="C169" s="1329" t="s">
        <v>1862</v>
      </c>
      <c r="D169" s="1250" t="s">
        <v>227</v>
      </c>
      <c r="E169" s="1249" t="s">
        <v>1863</v>
      </c>
      <c r="F169" s="1249" t="s">
        <v>1864</v>
      </c>
      <c r="G169" s="676">
        <v>42199</v>
      </c>
      <c r="H169" s="1565">
        <v>12</v>
      </c>
      <c r="I169" s="892">
        <v>168.23099999999999</v>
      </c>
      <c r="J169" s="530">
        <v>611.447</v>
      </c>
      <c r="K169" s="602">
        <v>0.21176470588235294</v>
      </c>
      <c r="L169" s="469">
        <v>20</v>
      </c>
      <c r="M169" s="395">
        <v>3</v>
      </c>
      <c r="N169" s="470">
        <v>3</v>
      </c>
      <c r="O169" s="1251" t="s">
        <v>332</v>
      </c>
      <c r="P169" s="465">
        <v>5</v>
      </c>
      <c r="Q169" s="435">
        <v>41.651000000000003</v>
      </c>
      <c r="R169" s="435">
        <v>3</v>
      </c>
      <c r="S169" s="466">
        <v>0.17142857142857143</v>
      </c>
    </row>
    <row r="170" spans="1:19" ht="16.5" thickTop="1" thickBot="1">
      <c r="A170" s="1244"/>
      <c r="B170" s="1245" t="s">
        <v>2710</v>
      </c>
      <c r="C170" s="1328" t="s">
        <v>2734</v>
      </c>
      <c r="D170" s="1246" t="s">
        <v>227</v>
      </c>
      <c r="E170" s="1245" t="s">
        <v>2735</v>
      </c>
      <c r="F170" s="1245" t="s">
        <v>1644</v>
      </c>
      <c r="G170" s="675">
        <v>41367</v>
      </c>
      <c r="H170" s="1564">
        <v>39</v>
      </c>
      <c r="I170" s="893">
        <v>55.962000000000003</v>
      </c>
      <c r="J170" s="529">
        <v>150.6</v>
      </c>
      <c r="K170" s="603">
        <v>0.3</v>
      </c>
      <c r="L170" s="467">
        <v>8</v>
      </c>
      <c r="M170" s="396">
        <v>3</v>
      </c>
      <c r="N170" s="468"/>
      <c r="O170" s="1247" t="s">
        <v>332</v>
      </c>
      <c r="P170" s="463">
        <v>6</v>
      </c>
      <c r="Q170" s="434">
        <v>130.26499999999999</v>
      </c>
      <c r="R170" s="434">
        <v>2</v>
      </c>
      <c r="S170" s="464">
        <v>0.4</v>
      </c>
    </row>
    <row r="171" spans="1:19" ht="16.5" thickTop="1" thickBot="1">
      <c r="A171" s="1244"/>
      <c r="B171" s="1249" t="s">
        <v>2710</v>
      </c>
      <c r="C171" s="1329" t="s">
        <v>2064</v>
      </c>
      <c r="D171" s="1250" t="s">
        <v>227</v>
      </c>
      <c r="E171" s="1249" t="s">
        <v>2065</v>
      </c>
      <c r="F171" s="1249" t="s">
        <v>1644</v>
      </c>
      <c r="G171" s="676">
        <v>42251</v>
      </c>
      <c r="H171" s="1565">
        <v>10</v>
      </c>
      <c r="I171" s="892">
        <v>212.45500000000001</v>
      </c>
      <c r="J171" s="530">
        <v>2370.797</v>
      </c>
      <c r="K171" s="602">
        <v>0.38775510204081631</v>
      </c>
      <c r="L171" s="469">
        <v>62</v>
      </c>
      <c r="M171" s="395">
        <v>11</v>
      </c>
      <c r="N171" s="470"/>
      <c r="O171" s="1251" t="s">
        <v>591</v>
      </c>
      <c r="P171" s="465"/>
      <c r="Q171" s="435">
        <v>114.205</v>
      </c>
      <c r="R171" s="435">
        <v>10</v>
      </c>
      <c r="S171" s="466">
        <v>0.16129032258064516</v>
      </c>
    </row>
    <row r="172" spans="1:19" ht="16.5" thickTop="1" thickBot="1">
      <c r="A172" s="1244"/>
      <c r="B172" s="1245" t="s">
        <v>2710</v>
      </c>
      <c r="C172" s="1328" t="s">
        <v>2912</v>
      </c>
      <c r="D172" s="1246" t="s">
        <v>227</v>
      </c>
      <c r="E172" s="1245" t="s">
        <v>2913</v>
      </c>
      <c r="F172" s="1245" t="s">
        <v>2914</v>
      </c>
      <c r="G172" s="675">
        <v>42479</v>
      </c>
      <c r="H172" s="1564">
        <v>2</v>
      </c>
      <c r="I172" s="893">
        <v>12.9</v>
      </c>
      <c r="J172" s="529">
        <v>963.42899999999997</v>
      </c>
      <c r="K172" s="603">
        <v>0.502092050209205</v>
      </c>
      <c r="L172" s="467">
        <v>75</v>
      </c>
      <c r="M172" s="396">
        <v>21</v>
      </c>
      <c r="N172" s="468"/>
      <c r="O172" s="1247" t="s">
        <v>591</v>
      </c>
      <c r="P172" s="463">
        <v>28</v>
      </c>
      <c r="Q172" s="434">
        <v>348.12599999999998</v>
      </c>
      <c r="R172" s="434">
        <v>26</v>
      </c>
      <c r="S172" s="464">
        <v>0.42622950819672129</v>
      </c>
    </row>
    <row r="173" spans="1:19" ht="16.5" thickTop="1" thickBot="1">
      <c r="A173" s="1244"/>
      <c r="B173" s="1249" t="s">
        <v>2710</v>
      </c>
      <c r="C173" s="1329" t="s">
        <v>3213</v>
      </c>
      <c r="D173" s="1250" t="s">
        <v>227</v>
      </c>
      <c r="E173" s="1249" t="s">
        <v>3214</v>
      </c>
      <c r="F173" s="1249" t="s">
        <v>3215</v>
      </c>
      <c r="G173" s="676">
        <v>42508</v>
      </c>
      <c r="H173" s="1565">
        <v>1</v>
      </c>
      <c r="I173" s="892">
        <v>16.364999999999998</v>
      </c>
      <c r="J173" s="530">
        <v>77.474999999999994</v>
      </c>
      <c r="K173" s="602">
        <v>0.36363636363636365</v>
      </c>
      <c r="L173" s="469">
        <v>13</v>
      </c>
      <c r="M173" s="395">
        <v>4</v>
      </c>
      <c r="N173" s="470">
        <v>1</v>
      </c>
      <c r="O173" s="1251" t="s">
        <v>591</v>
      </c>
      <c r="P173" s="465">
        <v>5</v>
      </c>
      <c r="Q173" s="435">
        <v>77.474999999999994</v>
      </c>
      <c r="R173" s="435">
        <v>5</v>
      </c>
      <c r="S173" s="466">
        <v>0.47619047619047616</v>
      </c>
    </row>
    <row r="174" spans="1:19" ht="16.5" thickTop="1" thickBot="1">
      <c r="A174" s="1244"/>
      <c r="B174" s="1245" t="s">
        <v>1572</v>
      </c>
      <c r="C174" s="1328" t="s">
        <v>1313</v>
      </c>
      <c r="D174" s="1246" t="s">
        <v>227</v>
      </c>
      <c r="E174" s="1245" t="s">
        <v>1314</v>
      </c>
      <c r="F174" s="1245" t="s">
        <v>1315</v>
      </c>
      <c r="G174" s="675">
        <v>42048</v>
      </c>
      <c r="H174" s="1564">
        <v>17</v>
      </c>
      <c r="I174" s="893">
        <v>246.67</v>
      </c>
      <c r="J174" s="529">
        <v>3083.2280000000001</v>
      </c>
      <c r="K174" s="603">
        <v>0.29024583663758924</v>
      </c>
      <c r="L174" s="467">
        <v>105</v>
      </c>
      <c r="M174" s="396">
        <v>10</v>
      </c>
      <c r="N174" s="468">
        <v>2</v>
      </c>
      <c r="O174" s="1247" t="s">
        <v>591</v>
      </c>
      <c r="P174" s="463">
        <v>40</v>
      </c>
      <c r="Q174" s="434">
        <v>314.548</v>
      </c>
      <c r="R174" s="434">
        <v>21</v>
      </c>
      <c r="S174" s="464">
        <v>0.2441860465116279</v>
      </c>
    </row>
    <row r="175" spans="1:19" ht="16.5" thickTop="1" thickBot="1">
      <c r="A175" s="1244"/>
      <c r="B175" s="1249" t="s">
        <v>1104</v>
      </c>
      <c r="C175" s="1329" t="s">
        <v>1186</v>
      </c>
      <c r="D175" s="1250" t="s">
        <v>227</v>
      </c>
      <c r="E175" s="1249" t="s">
        <v>1187</v>
      </c>
      <c r="F175" s="1249" t="s">
        <v>1188</v>
      </c>
      <c r="G175" s="676">
        <v>42031</v>
      </c>
      <c r="H175" s="1565">
        <v>17</v>
      </c>
      <c r="I175" s="892">
        <v>339.05700000000002</v>
      </c>
      <c r="J175" s="530">
        <v>4348.4089999999997</v>
      </c>
      <c r="K175" s="602">
        <v>0.28534868841970568</v>
      </c>
      <c r="L175" s="469">
        <v>88</v>
      </c>
      <c r="M175" s="395">
        <v>13</v>
      </c>
      <c r="N175" s="470">
        <v>3</v>
      </c>
      <c r="O175" s="1251" t="s">
        <v>591</v>
      </c>
      <c r="P175" s="465">
        <v>12</v>
      </c>
      <c r="Q175" s="435">
        <v>687.22799999999995</v>
      </c>
      <c r="R175" s="435">
        <v>25</v>
      </c>
      <c r="S175" s="466">
        <v>0.2808988764044944</v>
      </c>
    </row>
    <row r="176" spans="1:19" ht="16.5" thickTop="1" thickBot="1">
      <c r="A176" s="1244"/>
      <c r="B176" s="1245" t="s">
        <v>1104</v>
      </c>
      <c r="C176" s="1328" t="s">
        <v>1189</v>
      </c>
      <c r="D176" s="1246" t="s">
        <v>227</v>
      </c>
      <c r="E176" s="1245" t="s">
        <v>1190</v>
      </c>
      <c r="F176" s="1245" t="s">
        <v>1191</v>
      </c>
      <c r="G176" s="675">
        <v>42033</v>
      </c>
      <c r="H176" s="1564">
        <v>17</v>
      </c>
      <c r="I176" s="893"/>
      <c r="J176" s="529">
        <v>2124.1869999999999</v>
      </c>
      <c r="K176" s="603">
        <v>0.21837837837837837</v>
      </c>
      <c r="L176" s="467">
        <v>55</v>
      </c>
      <c r="M176" s="396">
        <v>5</v>
      </c>
      <c r="N176" s="468">
        <v>1</v>
      </c>
      <c r="O176" s="1247" t="s">
        <v>591</v>
      </c>
      <c r="P176" s="463">
        <v>15</v>
      </c>
      <c r="Q176" s="434">
        <v>119.748</v>
      </c>
      <c r="R176" s="434">
        <v>9</v>
      </c>
      <c r="S176" s="464">
        <v>0.17821782178217821</v>
      </c>
    </row>
    <row r="177" spans="1:22" ht="16.5" thickTop="1" thickBot="1">
      <c r="A177" s="1244"/>
      <c r="B177" s="1249" t="s">
        <v>1104</v>
      </c>
      <c r="C177" s="1329" t="s">
        <v>2069</v>
      </c>
      <c r="D177" s="1250" t="s">
        <v>227</v>
      </c>
      <c r="E177" s="1249" t="s">
        <v>2070</v>
      </c>
      <c r="F177" s="1249" t="s">
        <v>2071</v>
      </c>
      <c r="G177" s="676">
        <v>42271</v>
      </c>
      <c r="H177" s="1565">
        <v>9</v>
      </c>
      <c r="I177" s="892">
        <v>396.55099999999999</v>
      </c>
      <c r="J177" s="530">
        <v>1497.1410000000001</v>
      </c>
      <c r="K177" s="602">
        <v>0.4113785557986871</v>
      </c>
      <c r="L177" s="469">
        <v>53</v>
      </c>
      <c r="M177" s="395">
        <v>5</v>
      </c>
      <c r="N177" s="470"/>
      <c r="O177" s="1251" t="s">
        <v>591</v>
      </c>
      <c r="P177" s="465">
        <v>10</v>
      </c>
      <c r="Q177" s="435">
        <v>248.08799999999999</v>
      </c>
      <c r="R177" s="435">
        <v>21</v>
      </c>
      <c r="S177" s="466">
        <v>0.42424242424242425</v>
      </c>
    </row>
    <row r="178" spans="1:22" ht="16.5" thickTop="1" thickBot="1">
      <c r="A178" s="1244"/>
      <c r="B178" s="1245" t="s">
        <v>648</v>
      </c>
      <c r="C178" s="1328" t="s">
        <v>709</v>
      </c>
      <c r="D178" s="1246" t="s">
        <v>227</v>
      </c>
      <c r="E178" s="1245" t="s">
        <v>730</v>
      </c>
      <c r="F178" s="1245" t="s">
        <v>721</v>
      </c>
      <c r="G178" s="675">
        <v>41788</v>
      </c>
      <c r="H178" s="1564">
        <v>25</v>
      </c>
      <c r="I178" s="893">
        <v>104.5565</v>
      </c>
      <c r="J178" s="529">
        <v>2080.4630000000002</v>
      </c>
      <c r="K178" s="603">
        <v>0.22079314040728831</v>
      </c>
      <c r="L178" s="467">
        <v>61</v>
      </c>
      <c r="M178" s="396">
        <v>10</v>
      </c>
      <c r="N178" s="468">
        <v>1</v>
      </c>
      <c r="O178" s="1247" t="s">
        <v>591</v>
      </c>
      <c r="P178" s="463">
        <v>4</v>
      </c>
      <c r="Q178" s="434">
        <v>129.38059999999999</v>
      </c>
      <c r="R178" s="434">
        <v>4</v>
      </c>
      <c r="S178" s="464">
        <v>6.7796610169491525E-2</v>
      </c>
    </row>
    <row r="179" spans="1:22" ht="16.5" thickTop="1" thickBot="1">
      <c r="A179" s="1244"/>
      <c r="B179" s="1249" t="s">
        <v>648</v>
      </c>
      <c r="C179" s="1329" t="s">
        <v>3217</v>
      </c>
      <c r="D179" s="1250" t="s">
        <v>227</v>
      </c>
      <c r="E179" s="1249" t="s">
        <v>3218</v>
      </c>
      <c r="F179" s="1249" t="s">
        <v>3219</v>
      </c>
      <c r="G179" s="676">
        <v>42496</v>
      </c>
      <c r="H179" s="1565">
        <v>2</v>
      </c>
      <c r="I179" s="892">
        <v>10.069000000000001</v>
      </c>
      <c r="J179" s="530">
        <v>31.035</v>
      </c>
      <c r="K179" s="602">
        <v>0.1875</v>
      </c>
      <c r="L179" s="469">
        <v>11</v>
      </c>
      <c r="M179" s="395">
        <v>2</v>
      </c>
      <c r="N179" s="470"/>
      <c r="O179" s="1251" t="s">
        <v>332</v>
      </c>
      <c r="P179" s="465">
        <v>1</v>
      </c>
      <c r="Q179" s="435"/>
      <c r="R179" s="435">
        <v>0</v>
      </c>
      <c r="S179" s="466">
        <v>0</v>
      </c>
    </row>
    <row r="180" spans="1:22" ht="16.5" thickTop="1" thickBot="1">
      <c r="A180" s="1244"/>
      <c r="B180" s="1245" t="s">
        <v>648</v>
      </c>
      <c r="C180" s="1328" t="s">
        <v>3220</v>
      </c>
      <c r="D180" s="1246" t="s">
        <v>227</v>
      </c>
      <c r="E180" s="1245" t="s">
        <v>3221</v>
      </c>
      <c r="F180" s="1245" t="s">
        <v>3222</v>
      </c>
      <c r="G180" s="675">
        <v>42496</v>
      </c>
      <c r="H180" s="1564">
        <v>2</v>
      </c>
      <c r="I180" s="893">
        <v>20.562000000000001</v>
      </c>
      <c r="J180" s="529">
        <v>98.897999999999996</v>
      </c>
      <c r="K180" s="603">
        <v>0.38095238095238093</v>
      </c>
      <c r="L180" s="467">
        <v>18</v>
      </c>
      <c r="M180" s="396">
        <v>6</v>
      </c>
      <c r="N180" s="468">
        <v>1</v>
      </c>
      <c r="O180" s="1247" t="s">
        <v>591</v>
      </c>
      <c r="P180" s="463">
        <v>6</v>
      </c>
      <c r="Q180" s="434">
        <v>58.808</v>
      </c>
      <c r="R180" s="434">
        <v>4</v>
      </c>
      <c r="S180" s="464">
        <v>0.26666666666666666</v>
      </c>
    </row>
    <row r="181" spans="1:22" ht="16.5" thickTop="1" thickBot="1">
      <c r="A181" s="1244"/>
      <c r="B181" s="1245"/>
      <c r="C181" s="1328"/>
      <c r="D181" s="1246"/>
      <c r="E181" s="1245"/>
      <c r="F181" s="1245"/>
      <c r="G181" s="675"/>
      <c r="H181" s="1564"/>
      <c r="I181" s="893"/>
      <c r="J181" s="529"/>
      <c r="K181" s="603"/>
      <c r="L181" s="467"/>
      <c r="M181" s="396"/>
      <c r="N181" s="468"/>
      <c r="O181" s="1247"/>
      <c r="P181" s="463"/>
      <c r="Q181" s="434"/>
      <c r="R181" s="434"/>
      <c r="S181" s="464"/>
    </row>
    <row r="182" spans="1:22" ht="18.75" customHeight="1" thickTop="1">
      <c r="A182" s="1244"/>
      <c r="B182" s="1252" t="s">
        <v>393</v>
      </c>
      <c r="C182" s="1253"/>
      <c r="D182" s="1254"/>
      <c r="E182" s="1255"/>
      <c r="F182" s="1256"/>
      <c r="G182" s="1256"/>
      <c r="H182" s="1257"/>
      <c r="I182" s="397"/>
      <c r="J182" s="398"/>
      <c r="K182" s="398"/>
      <c r="L182" s="398"/>
      <c r="M182" s="1258"/>
      <c r="N182" s="1259"/>
      <c r="O182" s="1259"/>
      <c r="P182" s="1258"/>
      <c r="Q182" s="399"/>
      <c r="R182" s="1260"/>
      <c r="S182" s="1260"/>
      <c r="T182" s="1260"/>
      <c r="U182" s="1261"/>
      <c r="V182" s="1261"/>
    </row>
    <row r="183" spans="1:22" ht="17.25" customHeight="1">
      <c r="A183" s="1244"/>
      <c r="B183" s="1252" t="s">
        <v>393</v>
      </c>
      <c r="C183" s="1253"/>
      <c r="D183" s="1254"/>
      <c r="E183" s="1255"/>
      <c r="F183" s="1256"/>
      <c r="G183" s="1256"/>
      <c r="H183" s="1257"/>
      <c r="I183" s="397"/>
      <c r="J183" s="398"/>
      <c r="K183" s="398"/>
      <c r="L183" s="398"/>
      <c r="M183" s="1258"/>
      <c r="N183" s="1259"/>
      <c r="O183" s="1259"/>
      <c r="P183" s="1258"/>
      <c r="Q183" s="399"/>
      <c r="R183" s="1260"/>
      <c r="S183" s="1260"/>
      <c r="T183" s="1260"/>
      <c r="U183" s="1261"/>
      <c r="V183" s="1261"/>
    </row>
    <row r="184" spans="1:22" ht="19.5" thickBot="1">
      <c r="A184" s="1262"/>
      <c r="B184" s="1252" t="s">
        <v>393</v>
      </c>
      <c r="C184" s="1263" t="s">
        <v>893</v>
      </c>
      <c r="D184" s="1264"/>
      <c r="E184" s="1264"/>
      <c r="F184" s="1265"/>
      <c r="G184" s="1265"/>
      <c r="I184" s="1266" t="s">
        <v>589</v>
      </c>
      <c r="J184" s="1267"/>
      <c r="K184" s="1268"/>
      <c r="L184" s="1269" t="s">
        <v>88</v>
      </c>
      <c r="M184" s="1270"/>
      <c r="N184" s="1271"/>
      <c r="O184" s="1272"/>
      <c r="P184" s="1735">
        <f>P61</f>
        <v>42947</v>
      </c>
      <c r="Q184" s="1737" t="str">
        <f>Q61</f>
        <v>'s Performance</v>
      </c>
      <c r="R184" s="1274"/>
      <c r="S184" s="1275"/>
      <c r="T184" s="1264"/>
      <c r="U184" s="1261"/>
      <c r="V184" s="1261"/>
    </row>
    <row r="185" spans="1:22" ht="43.5" customHeight="1" thickTop="1" thickBot="1">
      <c r="A185" s="1244" t="s">
        <v>15</v>
      </c>
      <c r="B185" s="1276" t="s">
        <v>267</v>
      </c>
      <c r="C185" s="1276" t="s">
        <v>268</v>
      </c>
      <c r="D185" s="1276" t="s">
        <v>894</v>
      </c>
      <c r="E185" s="1276" t="s">
        <v>301</v>
      </c>
      <c r="F185" s="1276" t="s">
        <v>270</v>
      </c>
      <c r="G185" s="1276" t="s">
        <v>271</v>
      </c>
      <c r="H185" s="1276" t="s">
        <v>69</v>
      </c>
      <c r="I185" s="1277" t="s">
        <v>303</v>
      </c>
      <c r="J185" s="1278" t="s">
        <v>313</v>
      </c>
      <c r="K185" s="1279" t="s">
        <v>314</v>
      </c>
      <c r="L185" s="1277" t="s">
        <v>240</v>
      </c>
      <c r="M185" s="1279" t="s">
        <v>315</v>
      </c>
      <c r="N185" s="1280" t="s">
        <v>497</v>
      </c>
      <c r="O185" s="1281"/>
      <c r="P185" s="1277" t="s">
        <v>308</v>
      </c>
      <c r="Q185" s="1278" t="s">
        <v>2</v>
      </c>
      <c r="R185" s="1282" t="s">
        <v>78</v>
      </c>
      <c r="S185" s="1283"/>
      <c r="T185" s="1264"/>
      <c r="U185" s="1284"/>
      <c r="V185" s="1284"/>
    </row>
    <row r="186" spans="1:22" ht="16.5" customHeight="1" thickTop="1" thickBot="1">
      <c r="A186" s="1244" t="s">
        <v>135</v>
      </c>
      <c r="B186" s="1249" t="s">
        <v>1563</v>
      </c>
      <c r="C186" s="1285" t="s">
        <v>1426</v>
      </c>
      <c r="D186" s="1285" t="s">
        <v>1454</v>
      </c>
      <c r="E186" s="1249" t="s">
        <v>2915</v>
      </c>
      <c r="F186" s="1249" t="s">
        <v>1455</v>
      </c>
      <c r="G186" s="785">
        <v>42114</v>
      </c>
      <c r="H186" s="886">
        <v>14</v>
      </c>
      <c r="I186" s="891">
        <v>1022.734</v>
      </c>
      <c r="J186" s="530">
        <v>2261.9589999999998</v>
      </c>
      <c r="K186" s="786">
        <v>65</v>
      </c>
      <c r="L186" s="787">
        <v>35</v>
      </c>
      <c r="M186" s="786">
        <v>2</v>
      </c>
      <c r="N186" s="981" t="s">
        <v>590</v>
      </c>
      <c r="O186" s="1286" t="s">
        <v>227</v>
      </c>
      <c r="P186" s="787">
        <v>3</v>
      </c>
      <c r="Q186" s="530">
        <v>325.49</v>
      </c>
      <c r="R186" s="911">
        <v>11</v>
      </c>
      <c r="S186" s="912"/>
      <c r="T186" s="1264"/>
      <c r="U186" s="1261"/>
    </row>
    <row r="187" spans="1:22" ht="14.25" customHeight="1" thickTop="1" thickBot="1">
      <c r="A187" s="1244" t="s">
        <v>135</v>
      </c>
      <c r="B187" s="1245" t="s">
        <v>1563</v>
      </c>
      <c r="C187" s="1287" t="s">
        <v>1426</v>
      </c>
      <c r="D187" s="1287" t="s">
        <v>1456</v>
      </c>
      <c r="E187" s="1245" t="s">
        <v>1546</v>
      </c>
      <c r="F187" s="1245" t="s">
        <v>1457</v>
      </c>
      <c r="G187" s="528">
        <v>42118</v>
      </c>
      <c r="H187" s="885">
        <v>14</v>
      </c>
      <c r="I187" s="890">
        <v>296.85899999999998</v>
      </c>
      <c r="J187" s="529">
        <v>3681.576</v>
      </c>
      <c r="K187" s="783">
        <v>116</v>
      </c>
      <c r="L187" s="784">
        <v>56</v>
      </c>
      <c r="M187" s="783">
        <v>1</v>
      </c>
      <c r="N187" s="980" t="s">
        <v>590</v>
      </c>
      <c r="O187" s="1288" t="s">
        <v>227</v>
      </c>
      <c r="P187" s="784">
        <v>8</v>
      </c>
      <c r="Q187" s="529">
        <v>494.30399999999997</v>
      </c>
      <c r="R187" s="913">
        <v>22</v>
      </c>
      <c r="S187" s="914"/>
      <c r="T187" s="1264"/>
      <c r="U187" s="1261"/>
    </row>
    <row r="188" spans="1:22" ht="14.25" customHeight="1" thickTop="1" thickBot="1">
      <c r="A188" s="1244" t="s">
        <v>135</v>
      </c>
      <c r="B188" s="1249" t="s">
        <v>1563</v>
      </c>
      <c r="C188" s="1285" t="s">
        <v>1426</v>
      </c>
      <c r="D188" s="1285" t="s">
        <v>1611</v>
      </c>
      <c r="E188" s="1249" t="s">
        <v>2916</v>
      </c>
      <c r="F188" s="1249" t="s">
        <v>1612</v>
      </c>
      <c r="G188" s="785">
        <v>42151</v>
      </c>
      <c r="H188" s="886">
        <v>13</v>
      </c>
      <c r="I188" s="891">
        <v>612.94299999999998</v>
      </c>
      <c r="J188" s="530">
        <v>716.64</v>
      </c>
      <c r="K188" s="786">
        <v>26</v>
      </c>
      <c r="L188" s="787">
        <v>10</v>
      </c>
      <c r="M188" s="786">
        <v>1</v>
      </c>
      <c r="N188" s="981" t="s">
        <v>590</v>
      </c>
      <c r="O188" s="1286" t="s">
        <v>227</v>
      </c>
      <c r="P188" s="787">
        <v>1</v>
      </c>
      <c r="Q188" s="530">
        <v>55.584000000000003</v>
      </c>
      <c r="R188" s="911">
        <v>3</v>
      </c>
      <c r="S188" s="912"/>
      <c r="T188" s="1264"/>
      <c r="U188" s="1261"/>
    </row>
    <row r="189" spans="1:22" ht="14.25" customHeight="1" thickTop="1" thickBot="1">
      <c r="A189" s="1244" t="s">
        <v>135</v>
      </c>
      <c r="B189" s="1245" t="s">
        <v>1099</v>
      </c>
      <c r="C189" s="1287" t="s">
        <v>1016</v>
      </c>
      <c r="D189" s="1287" t="s">
        <v>1213</v>
      </c>
      <c r="E189" s="1245" t="s">
        <v>2917</v>
      </c>
      <c r="F189" s="1245" t="s">
        <v>1214</v>
      </c>
      <c r="G189" s="528">
        <v>42033</v>
      </c>
      <c r="H189" s="885">
        <v>17</v>
      </c>
      <c r="I189" s="890">
        <v>196.69399999999999</v>
      </c>
      <c r="J189" s="529">
        <v>388.10500000000002</v>
      </c>
      <c r="K189" s="783">
        <v>15</v>
      </c>
      <c r="L189" s="784">
        <v>10</v>
      </c>
      <c r="M189" s="783">
        <v>1</v>
      </c>
      <c r="N189" s="980" t="s">
        <v>332</v>
      </c>
      <c r="O189" s="1288" t="s">
        <v>227</v>
      </c>
      <c r="P189" s="784">
        <v>0</v>
      </c>
      <c r="Q189" s="529">
        <v>12.772</v>
      </c>
      <c r="R189" s="913">
        <v>1</v>
      </c>
      <c r="S189" s="914"/>
      <c r="T189" s="1264"/>
      <c r="U189" s="1261"/>
    </row>
    <row r="190" spans="1:22" ht="14.25" customHeight="1" thickTop="1" thickBot="1">
      <c r="A190" s="1244" t="s">
        <v>135</v>
      </c>
      <c r="B190" s="1249" t="s">
        <v>1099</v>
      </c>
      <c r="C190" s="1285" t="s">
        <v>1016</v>
      </c>
      <c r="D190" s="1285" t="s">
        <v>1458</v>
      </c>
      <c r="E190" s="1249" t="s">
        <v>1547</v>
      </c>
      <c r="F190" s="1249" t="s">
        <v>1459</v>
      </c>
      <c r="G190" s="785">
        <v>42115</v>
      </c>
      <c r="H190" s="886">
        <v>14</v>
      </c>
      <c r="I190" s="891">
        <v>28.283000000000001</v>
      </c>
      <c r="J190" s="530">
        <v>323.93599999999998</v>
      </c>
      <c r="K190" s="786">
        <v>21</v>
      </c>
      <c r="L190" s="787">
        <v>8</v>
      </c>
      <c r="M190" s="786">
        <v>1</v>
      </c>
      <c r="N190" s="981" t="s">
        <v>332</v>
      </c>
      <c r="O190" s="1286" t="s">
        <v>227</v>
      </c>
      <c r="P190" s="787">
        <v>0</v>
      </c>
      <c r="Q190" s="530">
        <v>66.456000000000003</v>
      </c>
      <c r="R190" s="911">
        <v>4</v>
      </c>
      <c r="S190" s="912"/>
      <c r="T190" s="1264"/>
      <c r="U190" s="1261"/>
    </row>
    <row r="191" spans="1:22" ht="14.25" customHeight="1" thickTop="1" thickBot="1">
      <c r="A191" s="1244" t="s">
        <v>135</v>
      </c>
      <c r="B191" s="1245" t="s">
        <v>1099</v>
      </c>
      <c r="C191" s="1287" t="s">
        <v>1019</v>
      </c>
      <c r="D191" s="1287" t="s">
        <v>1031</v>
      </c>
      <c r="E191" s="1245" t="s">
        <v>1032</v>
      </c>
      <c r="F191" s="1245" t="s">
        <v>1033</v>
      </c>
      <c r="G191" s="528">
        <v>41982</v>
      </c>
      <c r="H191" s="885">
        <v>19</v>
      </c>
      <c r="I191" s="890">
        <v>817.50699999999995</v>
      </c>
      <c r="J191" s="529">
        <v>3450.096</v>
      </c>
      <c r="K191" s="783">
        <v>99</v>
      </c>
      <c r="L191" s="784">
        <v>27</v>
      </c>
      <c r="M191" s="783">
        <v>2</v>
      </c>
      <c r="N191" s="980" t="s">
        <v>590</v>
      </c>
      <c r="O191" s="1288" t="s">
        <v>227</v>
      </c>
      <c r="P191" s="784">
        <v>0</v>
      </c>
      <c r="Q191" s="529">
        <v>177.489</v>
      </c>
      <c r="R191" s="913">
        <v>6</v>
      </c>
      <c r="S191" s="914"/>
      <c r="T191" s="1264"/>
      <c r="U191" s="1261"/>
    </row>
    <row r="192" spans="1:22" ht="14.25" customHeight="1" thickTop="1" thickBot="1">
      <c r="A192" s="1244" t="s">
        <v>135</v>
      </c>
      <c r="B192" s="1249" t="s">
        <v>1099</v>
      </c>
      <c r="C192" s="1285" t="s">
        <v>1019</v>
      </c>
      <c r="D192" s="1285" t="s">
        <v>1215</v>
      </c>
      <c r="E192" s="1249" t="s">
        <v>2321</v>
      </c>
      <c r="F192" s="1249" t="s">
        <v>1216</v>
      </c>
      <c r="G192" s="785">
        <v>42010</v>
      </c>
      <c r="H192" s="886">
        <v>18</v>
      </c>
      <c r="I192" s="891">
        <v>1403.45</v>
      </c>
      <c r="J192" s="530">
        <v>2029.645</v>
      </c>
      <c r="K192" s="786">
        <v>58</v>
      </c>
      <c r="L192" s="787">
        <v>18</v>
      </c>
      <c r="M192" s="786">
        <v>1</v>
      </c>
      <c r="N192" s="981" t="s">
        <v>590</v>
      </c>
      <c r="O192" s="1286" t="s">
        <v>227</v>
      </c>
      <c r="P192" s="787">
        <v>0</v>
      </c>
      <c r="Q192" s="530">
        <v>78.352000000000004</v>
      </c>
      <c r="R192" s="911">
        <v>4</v>
      </c>
      <c r="S192" s="912"/>
      <c r="T192" s="1264"/>
      <c r="U192" s="1261"/>
    </row>
    <row r="193" spans="1:21" ht="14.25" customHeight="1" thickTop="1" thickBot="1">
      <c r="A193" s="1244" t="s">
        <v>244</v>
      </c>
      <c r="B193" s="1245" t="s">
        <v>1099</v>
      </c>
      <c r="C193" s="1287" t="s">
        <v>1019</v>
      </c>
      <c r="D193" s="1287" t="s">
        <v>2443</v>
      </c>
      <c r="E193" s="1245" t="s">
        <v>2444</v>
      </c>
      <c r="F193" s="1245" t="s">
        <v>2445</v>
      </c>
      <c r="G193" s="528">
        <v>42360</v>
      </c>
      <c r="H193" s="885">
        <v>6</v>
      </c>
      <c r="I193" s="890">
        <v>103.42700000000001</v>
      </c>
      <c r="J193" s="529">
        <v>417.05599999999998</v>
      </c>
      <c r="K193" s="783">
        <v>21</v>
      </c>
      <c r="L193" s="784">
        <v>7</v>
      </c>
      <c r="M193" s="783">
        <v>1</v>
      </c>
      <c r="N193" s="980" t="s">
        <v>590</v>
      </c>
      <c r="O193" s="1288" t="s">
        <v>227</v>
      </c>
      <c r="P193" s="784">
        <v>0</v>
      </c>
      <c r="Q193" s="529">
        <v>122.288</v>
      </c>
      <c r="R193" s="913">
        <v>4</v>
      </c>
      <c r="S193" s="914"/>
      <c r="T193" s="1264"/>
      <c r="U193" s="1261"/>
    </row>
    <row r="194" spans="1:21" ht="15.75" customHeight="1" thickTop="1" thickBot="1">
      <c r="A194" s="1244" t="s">
        <v>244</v>
      </c>
      <c r="B194" s="1249" t="s">
        <v>1100</v>
      </c>
      <c r="C194" s="1285" t="s">
        <v>1307</v>
      </c>
      <c r="D194" s="1285" t="s">
        <v>985</v>
      </c>
      <c r="E194" s="1249" t="s">
        <v>2571</v>
      </c>
      <c r="F194" s="1249" t="s">
        <v>986</v>
      </c>
      <c r="G194" s="785">
        <v>41957</v>
      </c>
      <c r="H194" s="886">
        <v>20</v>
      </c>
      <c r="I194" s="891">
        <v>636.19799999999998</v>
      </c>
      <c r="J194" s="530">
        <v>1527.145</v>
      </c>
      <c r="K194" s="786">
        <v>85</v>
      </c>
      <c r="L194" s="787">
        <v>41</v>
      </c>
      <c r="M194" s="786">
        <v>0</v>
      </c>
      <c r="N194" s="981" t="s">
        <v>590</v>
      </c>
      <c r="O194" s="1286" t="s">
        <v>227</v>
      </c>
      <c r="P194" s="787">
        <v>19</v>
      </c>
      <c r="Q194" s="530">
        <v>292.98399999999998</v>
      </c>
      <c r="R194" s="911">
        <v>20</v>
      </c>
      <c r="S194" s="912"/>
      <c r="T194" s="1264"/>
      <c r="U194" s="1261"/>
    </row>
    <row r="195" spans="1:21" ht="14.25" customHeight="1" thickTop="1" thickBot="1">
      <c r="A195" s="1244" t="s">
        <v>244</v>
      </c>
      <c r="B195" s="1245" t="s">
        <v>1100</v>
      </c>
      <c r="C195" s="1287" t="s">
        <v>1307</v>
      </c>
      <c r="D195" s="1287" t="s">
        <v>987</v>
      </c>
      <c r="E195" s="1245" t="s">
        <v>1591</v>
      </c>
      <c r="F195" s="1245" t="s">
        <v>988</v>
      </c>
      <c r="G195" s="528">
        <v>41957</v>
      </c>
      <c r="H195" s="885">
        <v>20</v>
      </c>
      <c r="I195" s="890">
        <v>243.453</v>
      </c>
      <c r="J195" s="529">
        <v>609.41399999999999</v>
      </c>
      <c r="K195" s="783">
        <v>58</v>
      </c>
      <c r="L195" s="784">
        <v>9</v>
      </c>
      <c r="M195" s="783">
        <v>1</v>
      </c>
      <c r="N195" s="980" t="s">
        <v>369</v>
      </c>
      <c r="O195" s="1288" t="s">
        <v>227</v>
      </c>
      <c r="P195" s="784">
        <v>0</v>
      </c>
      <c r="Q195" s="529">
        <v>71.94</v>
      </c>
      <c r="R195" s="913">
        <v>4</v>
      </c>
      <c r="S195" s="914"/>
      <c r="T195" s="1264"/>
      <c r="U195" s="1261"/>
    </row>
    <row r="196" spans="1:21" ht="14.25" customHeight="1" thickTop="1" thickBot="1">
      <c r="A196" s="1244" t="s">
        <v>135</v>
      </c>
      <c r="B196" s="1249" t="s">
        <v>1100</v>
      </c>
      <c r="C196" s="1285" t="s">
        <v>1307</v>
      </c>
      <c r="D196" s="1285" t="s">
        <v>990</v>
      </c>
      <c r="E196" s="1249" t="s">
        <v>1960</v>
      </c>
      <c r="F196" s="1249" t="s">
        <v>991</v>
      </c>
      <c r="G196" s="785">
        <v>41960</v>
      </c>
      <c r="H196" s="886">
        <v>19</v>
      </c>
      <c r="I196" s="891">
        <v>159.51900000000001</v>
      </c>
      <c r="J196" s="530">
        <v>455.66800000000001</v>
      </c>
      <c r="K196" s="786">
        <v>32</v>
      </c>
      <c r="L196" s="787">
        <v>5</v>
      </c>
      <c r="M196" s="786">
        <v>1</v>
      </c>
      <c r="N196" s="981" t="s">
        <v>369</v>
      </c>
      <c r="O196" s="1286" t="s">
        <v>227</v>
      </c>
      <c r="P196" s="787">
        <v>1</v>
      </c>
      <c r="Q196" s="530"/>
      <c r="R196" s="911">
        <v>0</v>
      </c>
      <c r="S196" s="912"/>
      <c r="T196" s="1264"/>
      <c r="U196" s="1261"/>
    </row>
    <row r="197" spans="1:21" ht="14.25" customHeight="1" thickTop="1" thickBot="1">
      <c r="A197" s="1244" t="s">
        <v>135</v>
      </c>
      <c r="B197" s="1245" t="s">
        <v>1100</v>
      </c>
      <c r="C197" s="1287" t="s">
        <v>1307</v>
      </c>
      <c r="D197" s="1287" t="s">
        <v>2055</v>
      </c>
      <c r="E197" s="1245" t="s">
        <v>2056</v>
      </c>
      <c r="F197" s="1245" t="s">
        <v>2057</v>
      </c>
      <c r="G197" s="528">
        <v>42271</v>
      </c>
      <c r="H197" s="885">
        <v>9</v>
      </c>
      <c r="I197" s="890">
        <v>35.667999999999999</v>
      </c>
      <c r="J197" s="529"/>
      <c r="K197" s="783">
        <v>0</v>
      </c>
      <c r="L197" s="784">
        <v>4</v>
      </c>
      <c r="M197" s="783">
        <v>0</v>
      </c>
      <c r="N197" s="980" t="s">
        <v>332</v>
      </c>
      <c r="O197" s="1288" t="s">
        <v>227</v>
      </c>
      <c r="P197" s="784">
        <v>0</v>
      </c>
      <c r="Q197" s="529"/>
      <c r="R197" s="913">
        <v>0</v>
      </c>
      <c r="S197" s="914"/>
      <c r="T197" s="1264"/>
      <c r="U197" s="1261"/>
    </row>
    <row r="198" spans="1:21" ht="14.25" customHeight="1" thickTop="1" thickBot="1">
      <c r="A198" s="1244" t="s">
        <v>135</v>
      </c>
      <c r="B198" s="1249" t="s">
        <v>1100</v>
      </c>
      <c r="C198" s="1285" t="s">
        <v>1307</v>
      </c>
      <c r="D198" s="1285" t="s">
        <v>2250</v>
      </c>
      <c r="E198" s="1249" t="s">
        <v>2918</v>
      </c>
      <c r="F198" s="1249" t="s">
        <v>2251</v>
      </c>
      <c r="G198" s="785">
        <v>42387</v>
      </c>
      <c r="H198" s="886">
        <v>9</v>
      </c>
      <c r="I198" s="891">
        <v>722.9</v>
      </c>
      <c r="J198" s="530">
        <v>556.53099999999995</v>
      </c>
      <c r="K198" s="786">
        <v>48</v>
      </c>
      <c r="L198" s="787">
        <v>31</v>
      </c>
      <c r="M198" s="786">
        <v>1</v>
      </c>
      <c r="N198" s="981" t="s">
        <v>590</v>
      </c>
      <c r="O198" s="1286" t="s">
        <v>227</v>
      </c>
      <c r="P198" s="787">
        <v>12</v>
      </c>
      <c r="Q198" s="530">
        <v>185.88399999999999</v>
      </c>
      <c r="R198" s="911">
        <v>12</v>
      </c>
      <c r="S198" s="912"/>
      <c r="T198" s="1264"/>
      <c r="U198" s="1261"/>
    </row>
    <row r="199" spans="1:21" ht="14.25" customHeight="1" thickTop="1" thickBot="1">
      <c r="A199" s="1244" t="s">
        <v>135</v>
      </c>
      <c r="B199" s="1245" t="s">
        <v>1100</v>
      </c>
      <c r="C199" s="1287" t="s">
        <v>1307</v>
      </c>
      <c r="D199" s="1287" t="s">
        <v>3631</v>
      </c>
      <c r="E199" s="1245" t="s">
        <v>3632</v>
      </c>
      <c r="F199" s="1245" t="s">
        <v>3633</v>
      </c>
      <c r="G199" s="528">
        <v>42531</v>
      </c>
      <c r="H199" s="885">
        <v>1</v>
      </c>
      <c r="I199" s="890">
        <v>15.106</v>
      </c>
      <c r="J199" s="529">
        <v>83.902000000000001</v>
      </c>
      <c r="K199" s="783">
        <v>5</v>
      </c>
      <c r="L199" s="784">
        <v>14</v>
      </c>
      <c r="M199" s="783">
        <v>1</v>
      </c>
      <c r="N199" s="980" t="s">
        <v>590</v>
      </c>
      <c r="O199" s="1288" t="s">
        <v>227</v>
      </c>
      <c r="P199" s="784">
        <v>9</v>
      </c>
      <c r="Q199" s="529">
        <v>83.902000000000001</v>
      </c>
      <c r="R199" s="913">
        <v>5</v>
      </c>
      <c r="S199" s="914"/>
      <c r="T199" s="1264"/>
      <c r="U199" s="1261"/>
    </row>
    <row r="200" spans="1:21" ht="14.25" customHeight="1" thickTop="1" thickBot="1">
      <c r="A200" s="1244" t="s">
        <v>135</v>
      </c>
      <c r="B200" s="1249" t="s">
        <v>1100</v>
      </c>
      <c r="C200" s="1285" t="s">
        <v>2736</v>
      </c>
      <c r="D200" s="1285" t="s">
        <v>2774</v>
      </c>
      <c r="E200" s="1249" t="s">
        <v>2775</v>
      </c>
      <c r="F200" s="1249" t="s">
        <v>2776</v>
      </c>
      <c r="G200" s="785">
        <v>42452</v>
      </c>
      <c r="H200" s="886">
        <v>3</v>
      </c>
      <c r="I200" s="891">
        <v>49.24</v>
      </c>
      <c r="J200" s="530">
        <v>222.297</v>
      </c>
      <c r="K200" s="786">
        <v>11</v>
      </c>
      <c r="L200" s="787">
        <v>14</v>
      </c>
      <c r="M200" s="786">
        <v>2</v>
      </c>
      <c r="N200" s="981" t="s">
        <v>590</v>
      </c>
      <c r="O200" s="1286" t="s">
        <v>227</v>
      </c>
      <c r="P200" s="787">
        <v>4</v>
      </c>
      <c r="Q200" s="530">
        <v>55.564999999999998</v>
      </c>
      <c r="R200" s="911">
        <v>5</v>
      </c>
      <c r="S200" s="912"/>
      <c r="T200" s="1264"/>
      <c r="U200" s="1261"/>
    </row>
    <row r="201" spans="1:21" ht="14.25" customHeight="1" thickTop="1" thickBot="1">
      <c r="A201" s="1244" t="s">
        <v>135</v>
      </c>
      <c r="B201" s="1245" t="s">
        <v>1100</v>
      </c>
      <c r="C201" s="1287" t="s">
        <v>2736</v>
      </c>
      <c r="D201" s="1287" t="s">
        <v>2955</v>
      </c>
      <c r="E201" s="1245" t="s">
        <v>2956</v>
      </c>
      <c r="F201" s="1245" t="s">
        <v>2957</v>
      </c>
      <c r="G201" s="528">
        <v>42468</v>
      </c>
      <c r="H201" s="885">
        <v>3</v>
      </c>
      <c r="I201" s="890">
        <v>21.457999999999998</v>
      </c>
      <c r="J201" s="529">
        <v>14.298</v>
      </c>
      <c r="K201" s="783">
        <v>3</v>
      </c>
      <c r="L201" s="784">
        <v>11</v>
      </c>
      <c r="M201" s="783">
        <v>2</v>
      </c>
      <c r="N201" s="980" t="s">
        <v>332</v>
      </c>
      <c r="O201" s="1288" t="s">
        <v>227</v>
      </c>
      <c r="P201" s="784">
        <v>3</v>
      </c>
      <c r="Q201" s="529"/>
      <c r="R201" s="913">
        <v>0</v>
      </c>
      <c r="S201" s="914"/>
      <c r="T201" s="1264"/>
      <c r="U201" s="1261"/>
    </row>
    <row r="202" spans="1:21" ht="14.25" customHeight="1" thickTop="1" thickBot="1">
      <c r="A202" s="1244" t="s">
        <v>135</v>
      </c>
      <c r="B202" s="1249" t="s">
        <v>1419</v>
      </c>
      <c r="C202" s="1285" t="s">
        <v>1429</v>
      </c>
      <c r="D202" s="1285" t="s">
        <v>1472</v>
      </c>
      <c r="E202" s="1249" t="s">
        <v>1548</v>
      </c>
      <c r="F202" s="1249" t="s">
        <v>1473</v>
      </c>
      <c r="G202" s="785">
        <v>42111</v>
      </c>
      <c r="H202" s="886">
        <v>14</v>
      </c>
      <c r="I202" s="891">
        <v>256.12400000000002</v>
      </c>
      <c r="J202" s="530">
        <v>1459.6690000000001</v>
      </c>
      <c r="K202" s="786">
        <v>107</v>
      </c>
      <c r="L202" s="787">
        <v>37</v>
      </c>
      <c r="M202" s="786">
        <v>1</v>
      </c>
      <c r="N202" s="981" t="s">
        <v>590</v>
      </c>
      <c r="O202" s="1286" t="s">
        <v>227</v>
      </c>
      <c r="P202" s="787">
        <v>1</v>
      </c>
      <c r="Q202" s="530">
        <v>158.17699999999999</v>
      </c>
      <c r="R202" s="911">
        <v>8</v>
      </c>
      <c r="S202" s="912"/>
      <c r="T202" s="1264"/>
      <c r="U202" s="1261"/>
    </row>
    <row r="203" spans="1:21" ht="14.25" customHeight="1" thickTop="1" thickBot="1">
      <c r="A203" s="1244" t="s">
        <v>135</v>
      </c>
      <c r="B203" s="1245" t="s">
        <v>1419</v>
      </c>
      <c r="C203" s="1287" t="s">
        <v>1429</v>
      </c>
      <c r="D203" s="1287" t="s">
        <v>1474</v>
      </c>
      <c r="E203" s="1245" t="s">
        <v>2919</v>
      </c>
      <c r="F203" s="1245" t="s">
        <v>1475</v>
      </c>
      <c r="G203" s="528">
        <v>42111</v>
      </c>
      <c r="H203" s="885">
        <v>14</v>
      </c>
      <c r="I203" s="890">
        <v>652.66300000000001</v>
      </c>
      <c r="J203" s="529">
        <v>1051.579</v>
      </c>
      <c r="K203" s="783">
        <v>72</v>
      </c>
      <c r="L203" s="784">
        <v>23</v>
      </c>
      <c r="M203" s="783">
        <v>2</v>
      </c>
      <c r="N203" s="980" t="s">
        <v>590</v>
      </c>
      <c r="O203" s="1288" t="s">
        <v>227</v>
      </c>
      <c r="P203" s="784">
        <v>0</v>
      </c>
      <c r="Q203" s="529">
        <v>143.999</v>
      </c>
      <c r="R203" s="913">
        <v>7</v>
      </c>
      <c r="S203" s="914"/>
      <c r="T203" s="1264"/>
      <c r="U203" s="1261"/>
    </row>
    <row r="204" spans="1:21" ht="14.25" customHeight="1" thickTop="1" thickBot="1">
      <c r="A204" s="1244" t="s">
        <v>135</v>
      </c>
      <c r="B204" s="1249" t="s">
        <v>1419</v>
      </c>
      <c r="C204" s="1285" t="s">
        <v>3580</v>
      </c>
      <c r="D204" s="1285" t="s">
        <v>3634</v>
      </c>
      <c r="E204" s="1249" t="s">
        <v>3635</v>
      </c>
      <c r="F204" s="1249" t="s">
        <v>3636</v>
      </c>
      <c r="G204" s="785">
        <v>42531</v>
      </c>
      <c r="H204" s="886">
        <v>1</v>
      </c>
      <c r="I204" s="891"/>
      <c r="J204" s="530">
        <v>433.82</v>
      </c>
      <c r="K204" s="786">
        <v>11</v>
      </c>
      <c r="L204" s="787">
        <v>16</v>
      </c>
      <c r="M204" s="786">
        <v>2</v>
      </c>
      <c r="N204" s="981" t="s">
        <v>590</v>
      </c>
      <c r="O204" s="1286" t="s">
        <v>227</v>
      </c>
      <c r="P204" s="787">
        <v>16</v>
      </c>
      <c r="Q204" s="530">
        <v>433.82</v>
      </c>
      <c r="R204" s="911">
        <v>11</v>
      </c>
      <c r="S204" s="912"/>
      <c r="T204" s="1264"/>
      <c r="U204" s="1261"/>
    </row>
    <row r="205" spans="1:21" ht="14.25" customHeight="1" thickTop="1" thickBot="1">
      <c r="A205" s="1244" t="s">
        <v>244</v>
      </c>
      <c r="B205" s="1245" t="s">
        <v>1103</v>
      </c>
      <c r="C205" s="1287" t="s">
        <v>227</v>
      </c>
      <c r="D205" s="1287" t="s">
        <v>1681</v>
      </c>
      <c r="E205" s="1245" t="s">
        <v>1682</v>
      </c>
      <c r="F205" s="1245" t="s">
        <v>1683</v>
      </c>
      <c r="G205" s="528">
        <v>42185</v>
      </c>
      <c r="H205" s="885">
        <v>12</v>
      </c>
      <c r="I205" s="890">
        <v>60.475999999999999</v>
      </c>
      <c r="J205" s="529">
        <v>367.07299999999998</v>
      </c>
      <c r="K205" s="783">
        <v>15</v>
      </c>
      <c r="L205" s="784">
        <v>11</v>
      </c>
      <c r="M205" s="783">
        <v>1</v>
      </c>
      <c r="N205" s="980" t="s">
        <v>369</v>
      </c>
      <c r="O205" s="1288" t="s">
        <v>227</v>
      </c>
      <c r="P205" s="784">
        <v>1</v>
      </c>
      <c r="Q205" s="529">
        <v>11.077</v>
      </c>
      <c r="R205" s="913">
        <v>1</v>
      </c>
      <c r="S205" s="914"/>
      <c r="T205" s="1264"/>
      <c r="U205" s="1261"/>
    </row>
    <row r="206" spans="1:21" ht="14.25" customHeight="1" thickTop="1" thickBot="1">
      <c r="A206" s="1244"/>
      <c r="B206" s="1249" t="s">
        <v>1103</v>
      </c>
      <c r="C206" s="1285" t="s">
        <v>227</v>
      </c>
      <c r="D206" s="1285" t="s">
        <v>2322</v>
      </c>
      <c r="E206" s="1249" t="s">
        <v>2323</v>
      </c>
      <c r="F206" s="1249" t="s">
        <v>2324</v>
      </c>
      <c r="G206" s="785">
        <v>42334</v>
      </c>
      <c r="H206" s="886">
        <v>7</v>
      </c>
      <c r="I206" s="891">
        <v>275.10599999999999</v>
      </c>
      <c r="J206" s="530">
        <v>567.77300000000002</v>
      </c>
      <c r="K206" s="786">
        <v>39</v>
      </c>
      <c r="L206" s="787">
        <v>24</v>
      </c>
      <c r="M206" s="786">
        <v>2</v>
      </c>
      <c r="N206" s="981" t="s">
        <v>590</v>
      </c>
      <c r="O206" s="1286" t="s">
        <v>227</v>
      </c>
      <c r="P206" s="787">
        <v>2</v>
      </c>
      <c r="Q206" s="530">
        <v>27.562000000000001</v>
      </c>
      <c r="R206" s="911">
        <v>3</v>
      </c>
      <c r="S206" s="912"/>
      <c r="T206" s="1264"/>
      <c r="U206" s="1261"/>
    </row>
    <row r="207" spans="1:21" ht="14.25" customHeight="1" thickTop="1" thickBot="1">
      <c r="A207" s="1244"/>
      <c r="B207" s="1245" t="s">
        <v>1103</v>
      </c>
      <c r="C207" s="1287" t="s">
        <v>1351</v>
      </c>
      <c r="D207" s="1287" t="s">
        <v>1592</v>
      </c>
      <c r="E207" s="1245" t="s">
        <v>1593</v>
      </c>
      <c r="F207" s="1245" t="s">
        <v>1594</v>
      </c>
      <c r="G207" s="528">
        <v>42152</v>
      </c>
      <c r="H207" s="885">
        <v>13</v>
      </c>
      <c r="I207" s="890">
        <v>809.19200000000001</v>
      </c>
      <c r="J207" s="529">
        <v>1526.7059999999999</v>
      </c>
      <c r="K207" s="783">
        <v>65</v>
      </c>
      <c r="L207" s="784">
        <v>22</v>
      </c>
      <c r="M207" s="783">
        <v>2</v>
      </c>
      <c r="N207" s="980" t="s">
        <v>590</v>
      </c>
      <c r="O207" s="1288" t="s">
        <v>227</v>
      </c>
      <c r="P207" s="784">
        <v>1</v>
      </c>
      <c r="Q207" s="529"/>
      <c r="R207" s="913">
        <v>0</v>
      </c>
      <c r="S207" s="914"/>
      <c r="T207" s="1264"/>
      <c r="U207" s="1261"/>
    </row>
    <row r="208" spans="1:21" ht="14.25" customHeight="1" thickTop="1" thickBot="1">
      <c r="A208" s="1244"/>
      <c r="B208" s="1249" t="s">
        <v>900</v>
      </c>
      <c r="C208" s="1285" t="s">
        <v>1171</v>
      </c>
      <c r="D208" s="1285" t="s">
        <v>1684</v>
      </c>
      <c r="E208" s="1249" t="s">
        <v>1685</v>
      </c>
      <c r="F208" s="1249" t="s">
        <v>1686</v>
      </c>
      <c r="G208" s="785">
        <v>42159</v>
      </c>
      <c r="H208" s="886">
        <v>13</v>
      </c>
      <c r="I208" s="891">
        <v>92.884</v>
      </c>
      <c r="J208" s="530">
        <v>205.149</v>
      </c>
      <c r="K208" s="786">
        <v>14</v>
      </c>
      <c r="L208" s="787">
        <v>11</v>
      </c>
      <c r="M208" s="786">
        <v>1</v>
      </c>
      <c r="N208" s="981" t="s">
        <v>332</v>
      </c>
      <c r="O208" s="1286" t="s">
        <v>227</v>
      </c>
      <c r="P208" s="787">
        <v>1</v>
      </c>
      <c r="Q208" s="530"/>
      <c r="R208" s="911">
        <v>0</v>
      </c>
      <c r="S208" s="912"/>
      <c r="T208" s="1264"/>
      <c r="U208" s="1261"/>
    </row>
    <row r="209" spans="1:21" ht="14.25" customHeight="1" thickTop="1" thickBot="1">
      <c r="A209" s="1244"/>
      <c r="B209" s="1245" t="s">
        <v>900</v>
      </c>
      <c r="C209" s="1287" t="s">
        <v>1310</v>
      </c>
      <c r="D209" s="1287" t="s">
        <v>1321</v>
      </c>
      <c r="E209" s="1245" t="s">
        <v>3637</v>
      </c>
      <c r="F209" s="1245" t="s">
        <v>1322</v>
      </c>
      <c r="G209" s="528">
        <v>42059</v>
      </c>
      <c r="H209" s="885">
        <v>16</v>
      </c>
      <c r="I209" s="890">
        <v>2886.3240000000001</v>
      </c>
      <c r="J209" s="529">
        <v>3250.4290000000001</v>
      </c>
      <c r="K209" s="783">
        <v>40</v>
      </c>
      <c r="L209" s="784">
        <v>17</v>
      </c>
      <c r="M209" s="783">
        <v>1</v>
      </c>
      <c r="N209" s="980" t="s">
        <v>590</v>
      </c>
      <c r="O209" s="1288" t="s">
        <v>227</v>
      </c>
      <c r="P209" s="784">
        <v>0</v>
      </c>
      <c r="Q209" s="529">
        <v>715.54</v>
      </c>
      <c r="R209" s="913">
        <v>8</v>
      </c>
      <c r="S209" s="914"/>
      <c r="T209" s="1264"/>
      <c r="U209" s="1261"/>
    </row>
    <row r="210" spans="1:21" ht="14.25" customHeight="1" thickTop="1" thickBot="1">
      <c r="A210" s="1244"/>
      <c r="B210" s="1249" t="s">
        <v>900</v>
      </c>
      <c r="C210" s="1285" t="s">
        <v>1310</v>
      </c>
      <c r="D210" s="1285" t="s">
        <v>1323</v>
      </c>
      <c r="E210" s="1249" t="s">
        <v>2920</v>
      </c>
      <c r="F210" s="1249" t="s">
        <v>1324</v>
      </c>
      <c r="G210" s="785">
        <v>42083</v>
      </c>
      <c r="H210" s="886">
        <v>16</v>
      </c>
      <c r="I210" s="891">
        <v>3101.902</v>
      </c>
      <c r="J210" s="530">
        <v>5990.9459999999999</v>
      </c>
      <c r="K210" s="786">
        <v>57</v>
      </c>
      <c r="L210" s="787">
        <v>21</v>
      </c>
      <c r="M210" s="786">
        <v>2</v>
      </c>
      <c r="N210" s="981" t="s">
        <v>590</v>
      </c>
      <c r="O210" s="1286" t="s">
        <v>227</v>
      </c>
      <c r="P210" s="787">
        <v>1</v>
      </c>
      <c r="Q210" s="530">
        <v>410.56400000000002</v>
      </c>
      <c r="R210" s="911">
        <v>10</v>
      </c>
      <c r="S210" s="912"/>
      <c r="T210" s="1264"/>
      <c r="U210" s="1261"/>
    </row>
    <row r="211" spans="1:21" ht="14.25" customHeight="1" thickTop="1" thickBot="1">
      <c r="A211" s="1244"/>
      <c r="B211" s="1245" t="s">
        <v>900</v>
      </c>
      <c r="C211" s="1287" t="s">
        <v>1951</v>
      </c>
      <c r="D211" s="1287" t="s">
        <v>1961</v>
      </c>
      <c r="E211" s="1245" t="s">
        <v>1962</v>
      </c>
      <c r="F211" s="1245" t="s">
        <v>1963</v>
      </c>
      <c r="G211" s="528">
        <v>42242</v>
      </c>
      <c r="H211" s="885">
        <v>10</v>
      </c>
      <c r="I211" s="890">
        <v>769.81899999999996</v>
      </c>
      <c r="J211" s="529">
        <v>879.61500000000001</v>
      </c>
      <c r="K211" s="783">
        <v>16</v>
      </c>
      <c r="L211" s="784">
        <v>11</v>
      </c>
      <c r="M211" s="783">
        <v>2</v>
      </c>
      <c r="N211" s="980" t="s">
        <v>590</v>
      </c>
      <c r="O211" s="1288" t="s">
        <v>227</v>
      </c>
      <c r="P211" s="784">
        <v>0</v>
      </c>
      <c r="Q211" s="529"/>
      <c r="R211" s="913">
        <v>0</v>
      </c>
      <c r="S211" s="914"/>
      <c r="T211" s="1264"/>
      <c r="U211" s="1261"/>
    </row>
    <row r="212" spans="1:21" ht="14.25" customHeight="1" thickTop="1" thickBot="1">
      <c r="A212" s="1244"/>
      <c r="B212" s="1249" t="s">
        <v>649</v>
      </c>
      <c r="C212" s="1285" t="s">
        <v>710</v>
      </c>
      <c r="D212" s="1285" t="s">
        <v>690</v>
      </c>
      <c r="E212" s="1249" t="s">
        <v>2572</v>
      </c>
      <c r="F212" s="1249" t="s">
        <v>691</v>
      </c>
      <c r="G212" s="785">
        <v>41757</v>
      </c>
      <c r="H212" s="886">
        <v>26</v>
      </c>
      <c r="I212" s="891">
        <v>97.248500000000007</v>
      </c>
      <c r="J212" s="530">
        <v>684.52250000000004</v>
      </c>
      <c r="K212" s="786">
        <v>19</v>
      </c>
      <c r="L212" s="787">
        <v>13</v>
      </c>
      <c r="M212" s="786">
        <v>1</v>
      </c>
      <c r="N212" s="981" t="s">
        <v>369</v>
      </c>
      <c r="O212" s="1286" t="s">
        <v>227</v>
      </c>
      <c r="P212" s="787">
        <v>1</v>
      </c>
      <c r="Q212" s="530">
        <v>182.68299999999999</v>
      </c>
      <c r="R212" s="911">
        <v>3</v>
      </c>
      <c r="S212" s="912"/>
      <c r="T212" s="1264"/>
      <c r="U212" s="1261"/>
    </row>
    <row r="213" spans="1:21" ht="14.25" customHeight="1" thickTop="1" thickBot="1">
      <c r="A213" s="1244"/>
      <c r="B213" s="1245" t="s">
        <v>649</v>
      </c>
      <c r="C213" s="1287" t="s">
        <v>710</v>
      </c>
      <c r="D213" s="1287" t="s">
        <v>1393</v>
      </c>
      <c r="E213" s="1245" t="s">
        <v>3485</v>
      </c>
      <c r="F213" s="1245" t="s">
        <v>1394</v>
      </c>
      <c r="G213" s="528">
        <v>42093</v>
      </c>
      <c r="H213" s="885">
        <v>15</v>
      </c>
      <c r="I213" s="890">
        <v>2050.0659999999998</v>
      </c>
      <c r="J213" s="529">
        <v>2133.607</v>
      </c>
      <c r="K213" s="783">
        <v>44</v>
      </c>
      <c r="L213" s="784">
        <v>26</v>
      </c>
      <c r="M213" s="783">
        <v>2</v>
      </c>
      <c r="N213" s="980" t="s">
        <v>590</v>
      </c>
      <c r="O213" s="1288" t="s">
        <v>227</v>
      </c>
      <c r="P213" s="784">
        <v>3</v>
      </c>
      <c r="Q213" s="529">
        <v>180.91200000000001</v>
      </c>
      <c r="R213" s="913">
        <v>7</v>
      </c>
      <c r="S213" s="914"/>
      <c r="T213" s="1264"/>
      <c r="U213" s="1261"/>
    </row>
    <row r="214" spans="1:21" ht="14.25" customHeight="1" thickTop="1" thickBot="1">
      <c r="A214" s="1244"/>
      <c r="B214" s="1249" t="s">
        <v>2900</v>
      </c>
      <c r="C214" s="1285" t="s">
        <v>3583</v>
      </c>
      <c r="D214" s="1285" t="s">
        <v>3638</v>
      </c>
      <c r="E214" s="1249" t="s">
        <v>3639</v>
      </c>
      <c r="F214" s="1249" t="s">
        <v>3640</v>
      </c>
      <c r="G214" s="785">
        <v>42543</v>
      </c>
      <c r="H214" s="886">
        <v>0</v>
      </c>
      <c r="I214" s="891"/>
      <c r="J214" s="530"/>
      <c r="K214" s="786">
        <v>0</v>
      </c>
      <c r="L214" s="787">
        <v>1</v>
      </c>
      <c r="M214" s="786">
        <v>0</v>
      </c>
      <c r="N214" s="981" t="s">
        <v>227</v>
      </c>
      <c r="O214" s="1286" t="s">
        <v>227</v>
      </c>
      <c r="P214" s="787">
        <v>1</v>
      </c>
      <c r="Q214" s="530"/>
      <c r="R214" s="911">
        <v>0</v>
      </c>
      <c r="S214" s="912"/>
      <c r="T214" s="1264"/>
      <c r="U214" s="1261"/>
    </row>
    <row r="215" spans="1:21" ht="14.25" customHeight="1" thickTop="1" thickBot="1">
      <c r="A215" s="1244"/>
      <c r="B215" s="1245" t="s">
        <v>2900</v>
      </c>
      <c r="C215" s="1287" t="s">
        <v>3583</v>
      </c>
      <c r="D215" s="1287" t="s">
        <v>3641</v>
      </c>
      <c r="E215" s="1245" t="s">
        <v>3642</v>
      </c>
      <c r="F215" s="1245" t="s">
        <v>3643</v>
      </c>
      <c r="G215" s="528">
        <v>42543</v>
      </c>
      <c r="H215" s="885">
        <v>0</v>
      </c>
      <c r="I215" s="890"/>
      <c r="J215" s="529"/>
      <c r="K215" s="783">
        <v>0</v>
      </c>
      <c r="L215" s="784">
        <v>10</v>
      </c>
      <c r="M215" s="783">
        <v>5</v>
      </c>
      <c r="N215" s="980" t="s">
        <v>227</v>
      </c>
      <c r="O215" s="1288" t="s">
        <v>227</v>
      </c>
      <c r="P215" s="784">
        <v>10</v>
      </c>
      <c r="Q215" s="529"/>
      <c r="R215" s="913">
        <v>0</v>
      </c>
      <c r="S215" s="914"/>
      <c r="T215" s="1264"/>
      <c r="U215" s="1261"/>
    </row>
    <row r="216" spans="1:21" ht="14.25" customHeight="1" thickTop="1" thickBot="1">
      <c r="A216" s="1244"/>
      <c r="B216" s="1249" t="s">
        <v>2046</v>
      </c>
      <c r="C216" s="1285" t="s">
        <v>2058</v>
      </c>
      <c r="D216" s="1285" t="s">
        <v>2072</v>
      </c>
      <c r="E216" s="1249" t="s">
        <v>2073</v>
      </c>
      <c r="F216" s="1249" t="s">
        <v>2074</v>
      </c>
      <c r="G216" s="785">
        <v>42271</v>
      </c>
      <c r="H216" s="886">
        <v>9</v>
      </c>
      <c r="I216" s="891">
        <v>80.995999999999995</v>
      </c>
      <c r="J216" s="530">
        <v>670.49350000000004</v>
      </c>
      <c r="K216" s="786">
        <v>33</v>
      </c>
      <c r="L216" s="787">
        <v>13</v>
      </c>
      <c r="M216" s="786">
        <v>2</v>
      </c>
      <c r="N216" s="981" t="s">
        <v>590</v>
      </c>
      <c r="O216" s="1286" t="s">
        <v>227</v>
      </c>
      <c r="P216" s="787">
        <v>0</v>
      </c>
      <c r="Q216" s="530">
        <v>92.477500000000006</v>
      </c>
      <c r="R216" s="911">
        <v>2</v>
      </c>
      <c r="S216" s="912"/>
      <c r="T216" s="1264"/>
      <c r="U216" s="1261"/>
    </row>
    <row r="217" spans="1:21" ht="14.25" customHeight="1" thickTop="1" thickBot="1">
      <c r="A217" s="1244"/>
      <c r="B217" s="1245" t="s">
        <v>2046</v>
      </c>
      <c r="C217" s="1287" t="s">
        <v>2058</v>
      </c>
      <c r="D217" s="1287" t="s">
        <v>2233</v>
      </c>
      <c r="E217" s="1245" t="s">
        <v>2234</v>
      </c>
      <c r="F217" s="1245" t="s">
        <v>2235</v>
      </c>
      <c r="G217" s="528">
        <v>42299</v>
      </c>
      <c r="H217" s="885">
        <v>8</v>
      </c>
      <c r="I217" s="890">
        <v>55.762</v>
      </c>
      <c r="J217" s="529">
        <v>740.327</v>
      </c>
      <c r="K217" s="783">
        <v>41</v>
      </c>
      <c r="L217" s="784">
        <v>14</v>
      </c>
      <c r="M217" s="783">
        <v>2</v>
      </c>
      <c r="N217" s="980" t="s">
        <v>590</v>
      </c>
      <c r="O217" s="1288" t="s">
        <v>227</v>
      </c>
      <c r="P217" s="784">
        <v>1</v>
      </c>
      <c r="Q217" s="529">
        <v>130.74299999999999</v>
      </c>
      <c r="R217" s="913">
        <v>9</v>
      </c>
      <c r="S217" s="914"/>
      <c r="T217" s="1264"/>
      <c r="U217" s="1261"/>
    </row>
    <row r="218" spans="1:21" ht="14.25" customHeight="1" thickTop="1" thickBot="1">
      <c r="A218" s="1244"/>
      <c r="B218" s="1249" t="s">
        <v>2046</v>
      </c>
      <c r="C218" s="1285" t="s">
        <v>2058</v>
      </c>
      <c r="D218" s="1285" t="s">
        <v>2446</v>
      </c>
      <c r="E218" s="1249" t="s">
        <v>2447</v>
      </c>
      <c r="F218" s="1249" t="s">
        <v>2448</v>
      </c>
      <c r="G218" s="785">
        <v>42353</v>
      </c>
      <c r="H218" s="886">
        <v>6</v>
      </c>
      <c r="I218" s="891">
        <v>1028.3330000000001</v>
      </c>
      <c r="J218" s="530">
        <v>1271.319</v>
      </c>
      <c r="K218" s="786">
        <v>39</v>
      </c>
      <c r="L218" s="787">
        <v>23</v>
      </c>
      <c r="M218" s="786">
        <v>3</v>
      </c>
      <c r="N218" s="981" t="s">
        <v>590</v>
      </c>
      <c r="O218" s="1286" t="s">
        <v>227</v>
      </c>
      <c r="P218" s="787">
        <v>3</v>
      </c>
      <c r="Q218" s="530">
        <v>455.84899999999999</v>
      </c>
      <c r="R218" s="911">
        <v>9</v>
      </c>
      <c r="S218" s="912"/>
      <c r="T218" s="1264"/>
      <c r="U218" s="1261"/>
    </row>
    <row r="219" spans="1:21" ht="14.25" customHeight="1" thickTop="1" thickBot="1">
      <c r="A219" s="1244"/>
      <c r="B219" s="1245" t="s">
        <v>2046</v>
      </c>
      <c r="C219" s="1287" t="s">
        <v>2058</v>
      </c>
      <c r="D219" s="1287" t="s">
        <v>3239</v>
      </c>
      <c r="E219" s="1245" t="s">
        <v>3486</v>
      </c>
      <c r="F219" s="1245" t="s">
        <v>3240</v>
      </c>
      <c r="G219" s="528">
        <v>42496</v>
      </c>
      <c r="H219" s="885">
        <v>2</v>
      </c>
      <c r="I219" s="890">
        <v>282.22899999999998</v>
      </c>
      <c r="J219" s="529">
        <v>454.8</v>
      </c>
      <c r="K219" s="783">
        <v>26</v>
      </c>
      <c r="L219" s="784">
        <v>42</v>
      </c>
      <c r="M219" s="783">
        <v>3</v>
      </c>
      <c r="N219" s="980" t="s">
        <v>590</v>
      </c>
      <c r="O219" s="1288" t="s">
        <v>227</v>
      </c>
      <c r="P219" s="784">
        <v>22</v>
      </c>
      <c r="Q219" s="529">
        <v>454.8</v>
      </c>
      <c r="R219" s="913">
        <v>18</v>
      </c>
      <c r="S219" s="914"/>
      <c r="T219" s="1264"/>
      <c r="U219" s="1261"/>
    </row>
    <row r="220" spans="1:21" ht="14.25" customHeight="1" thickTop="1" thickBot="1">
      <c r="A220" s="1244"/>
      <c r="B220" s="1249" t="s">
        <v>2046</v>
      </c>
      <c r="C220" s="1285" t="s">
        <v>2061</v>
      </c>
      <c r="D220" s="1285" t="s">
        <v>2075</v>
      </c>
      <c r="E220" s="1249" t="s">
        <v>2076</v>
      </c>
      <c r="F220" s="1249" t="s">
        <v>2077</v>
      </c>
      <c r="G220" s="785">
        <v>42271</v>
      </c>
      <c r="H220" s="886">
        <v>9</v>
      </c>
      <c r="I220" s="891">
        <v>214.09399999999999</v>
      </c>
      <c r="J220" s="530">
        <v>317.19099999999997</v>
      </c>
      <c r="K220" s="786">
        <v>17</v>
      </c>
      <c r="L220" s="787">
        <v>8</v>
      </c>
      <c r="M220" s="786">
        <v>2</v>
      </c>
      <c r="N220" s="981" t="s">
        <v>369</v>
      </c>
      <c r="O220" s="1286" t="s">
        <v>227</v>
      </c>
      <c r="P220" s="787">
        <v>3</v>
      </c>
      <c r="Q220" s="530">
        <v>97.472999999999999</v>
      </c>
      <c r="R220" s="911">
        <v>3</v>
      </c>
      <c r="S220" s="912"/>
      <c r="T220" s="1264"/>
      <c r="U220" s="1261"/>
    </row>
    <row r="221" spans="1:21" ht="14.25" customHeight="1" thickTop="1" thickBot="1">
      <c r="A221" s="1244"/>
      <c r="B221" s="1245" t="s">
        <v>2046</v>
      </c>
      <c r="C221" s="1287" t="s">
        <v>2061</v>
      </c>
      <c r="D221" s="1287" t="s">
        <v>2078</v>
      </c>
      <c r="E221" s="1245" t="s">
        <v>2079</v>
      </c>
      <c r="F221" s="1245" t="s">
        <v>2080</v>
      </c>
      <c r="G221" s="528">
        <v>42271</v>
      </c>
      <c r="H221" s="885">
        <v>9</v>
      </c>
      <c r="I221" s="890">
        <v>237.50700000000001</v>
      </c>
      <c r="J221" s="529">
        <v>491.88499999999999</v>
      </c>
      <c r="K221" s="783">
        <v>33</v>
      </c>
      <c r="L221" s="784">
        <v>15</v>
      </c>
      <c r="M221" s="783">
        <v>3</v>
      </c>
      <c r="N221" s="980" t="s">
        <v>590</v>
      </c>
      <c r="O221" s="1288" t="s">
        <v>227</v>
      </c>
      <c r="P221" s="784">
        <v>2</v>
      </c>
      <c r="Q221" s="529">
        <v>59.951999999999998</v>
      </c>
      <c r="R221" s="913">
        <v>2</v>
      </c>
      <c r="S221" s="914"/>
      <c r="T221" s="1264"/>
      <c r="U221" s="1261"/>
    </row>
    <row r="222" spans="1:21" ht="14.25" customHeight="1" thickTop="1" thickBot="1">
      <c r="A222" s="1244"/>
      <c r="B222" s="1249" t="s">
        <v>2046</v>
      </c>
      <c r="C222" s="1285" t="s">
        <v>2061</v>
      </c>
      <c r="D222" s="1285" t="s">
        <v>2081</v>
      </c>
      <c r="E222" s="1249" t="s">
        <v>2082</v>
      </c>
      <c r="F222" s="1249" t="s">
        <v>1735</v>
      </c>
      <c r="G222" s="785">
        <v>42271</v>
      </c>
      <c r="H222" s="886">
        <v>9</v>
      </c>
      <c r="I222" s="891">
        <v>360.32799999999997</v>
      </c>
      <c r="J222" s="530">
        <v>1561.7090000000001</v>
      </c>
      <c r="K222" s="786">
        <v>76</v>
      </c>
      <c r="L222" s="787">
        <v>25</v>
      </c>
      <c r="M222" s="786">
        <v>3</v>
      </c>
      <c r="N222" s="981" t="s">
        <v>590</v>
      </c>
      <c r="O222" s="1286" t="s">
        <v>227</v>
      </c>
      <c r="P222" s="787">
        <v>5</v>
      </c>
      <c r="Q222" s="530">
        <v>409.363</v>
      </c>
      <c r="R222" s="911">
        <v>13</v>
      </c>
      <c r="S222" s="912"/>
      <c r="T222" s="1264"/>
      <c r="U222" s="1261"/>
    </row>
    <row r="223" spans="1:21" ht="14.25" customHeight="1" thickTop="1" thickBot="1">
      <c r="A223" s="1244"/>
      <c r="B223" s="1245" t="s">
        <v>2046</v>
      </c>
      <c r="C223" s="1287" t="s">
        <v>2061</v>
      </c>
      <c r="D223" s="1287" t="s">
        <v>3251</v>
      </c>
      <c r="E223" s="1245" t="s">
        <v>3487</v>
      </c>
      <c r="F223" s="1245" t="s">
        <v>3252</v>
      </c>
      <c r="G223" s="528">
        <v>42508</v>
      </c>
      <c r="H223" s="885">
        <v>1</v>
      </c>
      <c r="I223" s="890">
        <v>21.302</v>
      </c>
      <c r="J223" s="529">
        <v>30.555</v>
      </c>
      <c r="K223" s="783">
        <v>5</v>
      </c>
      <c r="L223" s="784">
        <v>11</v>
      </c>
      <c r="M223" s="783">
        <v>1</v>
      </c>
      <c r="N223" s="980" t="s">
        <v>590</v>
      </c>
      <c r="O223" s="1288" t="s">
        <v>227</v>
      </c>
      <c r="P223" s="784">
        <v>4</v>
      </c>
      <c r="Q223" s="529">
        <v>30.555</v>
      </c>
      <c r="R223" s="913">
        <v>3</v>
      </c>
      <c r="S223" s="914"/>
      <c r="T223" s="1264"/>
      <c r="U223" s="1261"/>
    </row>
    <row r="224" spans="1:21" ht="14.25" customHeight="1" thickTop="1" thickBot="1">
      <c r="A224" s="1244"/>
      <c r="B224" s="1249" t="s">
        <v>179</v>
      </c>
      <c r="C224" s="1285" t="s">
        <v>227</v>
      </c>
      <c r="D224" s="1285" t="s">
        <v>3644</v>
      </c>
      <c r="E224" s="1249" t="s">
        <v>3645</v>
      </c>
      <c r="F224" s="1249" t="s">
        <v>3646</v>
      </c>
      <c r="G224" s="785">
        <v>42548</v>
      </c>
      <c r="H224" s="886">
        <v>0</v>
      </c>
      <c r="I224" s="891"/>
      <c r="J224" s="530"/>
      <c r="K224" s="786">
        <v>0</v>
      </c>
      <c r="L224" s="787">
        <v>7</v>
      </c>
      <c r="M224" s="786">
        <v>1</v>
      </c>
      <c r="N224" s="981" t="s">
        <v>227</v>
      </c>
      <c r="O224" s="1286" t="s">
        <v>227</v>
      </c>
      <c r="P224" s="787">
        <v>7</v>
      </c>
      <c r="Q224" s="530"/>
      <c r="R224" s="911">
        <v>0</v>
      </c>
      <c r="S224" s="912"/>
      <c r="T224" s="1264"/>
      <c r="U224" s="1261"/>
    </row>
    <row r="225" spans="1:21" ht="14.25" customHeight="1" thickTop="1" thickBot="1">
      <c r="A225" s="1244"/>
      <c r="B225" s="1245" t="s">
        <v>179</v>
      </c>
      <c r="C225" s="1287" t="s">
        <v>452</v>
      </c>
      <c r="D225" s="1287" t="s">
        <v>454</v>
      </c>
      <c r="E225" s="1245" t="s">
        <v>456</v>
      </c>
      <c r="F225" s="1245" t="s">
        <v>455</v>
      </c>
      <c r="G225" s="528">
        <v>41551</v>
      </c>
      <c r="H225" s="885">
        <v>33</v>
      </c>
      <c r="I225" s="890">
        <v>567.10199999999998</v>
      </c>
      <c r="J225" s="529">
        <v>2716.5569999999998</v>
      </c>
      <c r="K225" s="783">
        <v>133</v>
      </c>
      <c r="L225" s="784">
        <v>32</v>
      </c>
      <c r="M225" s="783">
        <v>1</v>
      </c>
      <c r="N225" s="980" t="s">
        <v>332</v>
      </c>
      <c r="O225" s="1288" t="s">
        <v>227</v>
      </c>
      <c r="P225" s="784">
        <v>6</v>
      </c>
      <c r="Q225" s="529">
        <v>373.7</v>
      </c>
      <c r="R225" s="913">
        <v>20</v>
      </c>
      <c r="S225" s="914"/>
      <c r="T225" s="1264"/>
      <c r="U225" s="1261"/>
    </row>
    <row r="226" spans="1:21" ht="14.25" customHeight="1" thickTop="1" thickBot="1">
      <c r="A226" s="1244"/>
      <c r="B226" s="1249" t="s">
        <v>179</v>
      </c>
      <c r="C226" s="1285" t="s">
        <v>452</v>
      </c>
      <c r="D226" s="1285" t="s">
        <v>1056</v>
      </c>
      <c r="E226" s="1249" t="s">
        <v>2236</v>
      </c>
      <c r="F226" s="1249" t="s">
        <v>1057</v>
      </c>
      <c r="G226" s="785">
        <v>41998</v>
      </c>
      <c r="H226" s="886">
        <v>18</v>
      </c>
      <c r="I226" s="891">
        <v>604.85199999999998</v>
      </c>
      <c r="J226" s="530">
        <v>1645.1130000000001</v>
      </c>
      <c r="K226" s="786">
        <v>86</v>
      </c>
      <c r="L226" s="787">
        <v>17</v>
      </c>
      <c r="M226" s="786">
        <v>1</v>
      </c>
      <c r="N226" s="981" t="s">
        <v>590</v>
      </c>
      <c r="O226" s="1286" t="s">
        <v>227</v>
      </c>
      <c r="P226" s="787">
        <v>2</v>
      </c>
      <c r="Q226" s="530">
        <v>108.758</v>
      </c>
      <c r="R226" s="911">
        <v>8</v>
      </c>
      <c r="S226" s="912"/>
      <c r="T226" s="1264"/>
      <c r="U226" s="1261"/>
    </row>
    <row r="227" spans="1:21" ht="14.25" customHeight="1" thickTop="1" thickBot="1">
      <c r="A227" s="1244"/>
      <c r="B227" s="1245" t="s">
        <v>179</v>
      </c>
      <c r="C227" s="1287" t="s">
        <v>452</v>
      </c>
      <c r="D227" s="1287" t="s">
        <v>1478</v>
      </c>
      <c r="E227" s="1245" t="s">
        <v>1549</v>
      </c>
      <c r="F227" s="1245" t="s">
        <v>1479</v>
      </c>
      <c r="G227" s="528">
        <v>42111</v>
      </c>
      <c r="H227" s="885">
        <v>14</v>
      </c>
      <c r="I227" s="890">
        <v>25.472999999999999</v>
      </c>
      <c r="J227" s="529">
        <v>1691.2370000000001</v>
      </c>
      <c r="K227" s="783">
        <v>64</v>
      </c>
      <c r="L227" s="784">
        <v>2</v>
      </c>
      <c r="M227" s="783">
        <v>1</v>
      </c>
      <c r="N227" s="980" t="s">
        <v>590</v>
      </c>
      <c r="O227" s="1288" t="s">
        <v>227</v>
      </c>
      <c r="P227" s="784">
        <v>0</v>
      </c>
      <c r="Q227" s="529"/>
      <c r="R227" s="913">
        <v>0</v>
      </c>
      <c r="S227" s="914"/>
      <c r="T227" s="1264"/>
      <c r="U227" s="1261"/>
    </row>
    <row r="228" spans="1:21" ht="14.25" customHeight="1" thickTop="1" thickBot="1">
      <c r="A228" s="1244"/>
      <c r="B228" s="1249" t="s">
        <v>179</v>
      </c>
      <c r="C228" s="1285" t="s">
        <v>452</v>
      </c>
      <c r="D228" s="1285" t="s">
        <v>1909</v>
      </c>
      <c r="E228" s="1249" t="s">
        <v>2573</v>
      </c>
      <c r="F228" s="1249" t="s">
        <v>1910</v>
      </c>
      <c r="G228" s="785">
        <v>42293</v>
      </c>
      <c r="H228" s="886">
        <v>12</v>
      </c>
      <c r="I228" s="891">
        <v>646.65099999999995</v>
      </c>
      <c r="J228" s="530">
        <v>690.46299999999997</v>
      </c>
      <c r="K228" s="786">
        <v>39</v>
      </c>
      <c r="L228" s="787">
        <v>7</v>
      </c>
      <c r="M228" s="786">
        <v>0</v>
      </c>
      <c r="N228" s="981" t="s">
        <v>590</v>
      </c>
      <c r="O228" s="1286" t="s">
        <v>227</v>
      </c>
      <c r="P228" s="787">
        <v>0</v>
      </c>
      <c r="Q228" s="530">
        <v>6.6740000000000004</v>
      </c>
      <c r="R228" s="911">
        <v>2</v>
      </c>
      <c r="S228" s="912"/>
      <c r="T228" s="1264"/>
      <c r="U228" s="1261"/>
    </row>
    <row r="229" spans="1:21" ht="14.25" customHeight="1" thickTop="1" thickBot="1">
      <c r="A229" s="1244"/>
      <c r="B229" s="1245" t="s">
        <v>179</v>
      </c>
      <c r="C229" s="1287" t="s">
        <v>452</v>
      </c>
      <c r="D229" s="1287" t="s">
        <v>1870</v>
      </c>
      <c r="E229" s="1245" t="s">
        <v>1871</v>
      </c>
      <c r="F229" s="1245" t="s">
        <v>1872</v>
      </c>
      <c r="G229" s="528">
        <v>42208</v>
      </c>
      <c r="H229" s="885">
        <v>11</v>
      </c>
      <c r="I229" s="890">
        <v>26.655000000000001</v>
      </c>
      <c r="J229" s="529">
        <v>622.15899999999999</v>
      </c>
      <c r="K229" s="783">
        <v>41</v>
      </c>
      <c r="L229" s="784">
        <v>8</v>
      </c>
      <c r="M229" s="783">
        <v>1</v>
      </c>
      <c r="N229" s="980" t="s">
        <v>590</v>
      </c>
      <c r="O229" s="1288" t="s">
        <v>227</v>
      </c>
      <c r="P229" s="784">
        <v>0</v>
      </c>
      <c r="Q229" s="529"/>
      <c r="R229" s="913">
        <v>0</v>
      </c>
      <c r="S229" s="914"/>
      <c r="T229" s="1264"/>
      <c r="U229" s="1261"/>
    </row>
    <row r="230" spans="1:21" ht="14.25" customHeight="1" thickTop="1" thickBot="1">
      <c r="A230" s="1244"/>
      <c r="B230" s="1249" t="s">
        <v>179</v>
      </c>
      <c r="C230" s="1285" t="s">
        <v>452</v>
      </c>
      <c r="D230" s="1285" t="s">
        <v>3259</v>
      </c>
      <c r="E230" s="1249" t="s">
        <v>3488</v>
      </c>
      <c r="F230" s="1249" t="s">
        <v>3260</v>
      </c>
      <c r="G230" s="785">
        <v>42509</v>
      </c>
      <c r="H230" s="886">
        <v>1</v>
      </c>
      <c r="I230" s="891"/>
      <c r="J230" s="530">
        <v>120.70099999999999</v>
      </c>
      <c r="K230" s="786">
        <v>3</v>
      </c>
      <c r="L230" s="787">
        <v>5</v>
      </c>
      <c r="M230" s="786">
        <v>1</v>
      </c>
      <c r="N230" s="981" t="s">
        <v>590</v>
      </c>
      <c r="O230" s="1286" t="s">
        <v>227</v>
      </c>
      <c r="P230" s="787">
        <v>2</v>
      </c>
      <c r="Q230" s="530">
        <v>120.70099999999999</v>
      </c>
      <c r="R230" s="911">
        <v>3</v>
      </c>
      <c r="S230" s="912"/>
      <c r="T230" s="1264"/>
      <c r="U230" s="1261"/>
    </row>
    <row r="231" spans="1:21" ht="14.25" customHeight="1" thickTop="1" thickBot="1">
      <c r="A231" s="1244"/>
      <c r="B231" s="1245" t="s">
        <v>179</v>
      </c>
      <c r="C231" s="1287" t="s">
        <v>452</v>
      </c>
      <c r="D231" s="1287" t="s">
        <v>3647</v>
      </c>
      <c r="E231" s="1245" t="s">
        <v>3648</v>
      </c>
      <c r="F231" s="1245" t="s">
        <v>2310</v>
      </c>
      <c r="G231" s="528">
        <v>42536</v>
      </c>
      <c r="H231" s="885">
        <v>0</v>
      </c>
      <c r="I231" s="890">
        <v>14.1</v>
      </c>
      <c r="J231" s="529">
        <v>14.1</v>
      </c>
      <c r="K231" s="783">
        <v>1</v>
      </c>
      <c r="L231" s="784">
        <v>3</v>
      </c>
      <c r="M231" s="783">
        <v>1</v>
      </c>
      <c r="N231" s="980" t="s">
        <v>227</v>
      </c>
      <c r="O231" s="1288" t="s">
        <v>227</v>
      </c>
      <c r="P231" s="784">
        <v>3</v>
      </c>
      <c r="Q231" s="529">
        <v>14.1</v>
      </c>
      <c r="R231" s="913">
        <v>1</v>
      </c>
      <c r="S231" s="914"/>
      <c r="T231" s="1264"/>
      <c r="U231" s="1261"/>
    </row>
    <row r="232" spans="1:21" ht="14.25" customHeight="1" thickTop="1" thickBot="1">
      <c r="A232" s="1244"/>
      <c r="B232" s="1249" t="s">
        <v>179</v>
      </c>
      <c r="C232" s="1285" t="s">
        <v>1856</v>
      </c>
      <c r="D232" s="1285" t="s">
        <v>1873</v>
      </c>
      <c r="E232" s="1249" t="s">
        <v>1874</v>
      </c>
      <c r="F232" s="1249" t="s">
        <v>1875</v>
      </c>
      <c r="G232" s="785">
        <v>42199</v>
      </c>
      <c r="H232" s="886">
        <v>12</v>
      </c>
      <c r="I232" s="891">
        <v>49.875999999999998</v>
      </c>
      <c r="J232" s="530">
        <v>3181.7049999999999</v>
      </c>
      <c r="K232" s="786">
        <v>59</v>
      </c>
      <c r="L232" s="787">
        <v>15</v>
      </c>
      <c r="M232" s="786">
        <v>3</v>
      </c>
      <c r="N232" s="981" t="s">
        <v>590</v>
      </c>
      <c r="O232" s="1286" t="s">
        <v>227</v>
      </c>
      <c r="P232" s="787">
        <v>3</v>
      </c>
      <c r="Q232" s="530">
        <v>82.53</v>
      </c>
      <c r="R232" s="911">
        <v>13</v>
      </c>
      <c r="S232" s="912"/>
      <c r="T232" s="1264"/>
      <c r="U232" s="1261"/>
    </row>
    <row r="233" spans="1:21" ht="14.25" customHeight="1" thickTop="1" thickBot="1">
      <c r="A233" s="1244"/>
      <c r="B233" s="1245" t="s">
        <v>179</v>
      </c>
      <c r="C233" s="1287" t="s">
        <v>2903</v>
      </c>
      <c r="D233" s="1287" t="s">
        <v>2921</v>
      </c>
      <c r="E233" s="1245" t="s">
        <v>2922</v>
      </c>
      <c r="F233" s="1245" t="s">
        <v>2923</v>
      </c>
      <c r="G233" s="528">
        <v>42473</v>
      </c>
      <c r="H233" s="885">
        <v>3</v>
      </c>
      <c r="I233" s="890">
        <v>50.673999999999999</v>
      </c>
      <c r="J233" s="529">
        <v>362.22899999999998</v>
      </c>
      <c r="K233" s="783">
        <v>30</v>
      </c>
      <c r="L233" s="784">
        <v>42</v>
      </c>
      <c r="M233" s="783">
        <v>6</v>
      </c>
      <c r="N233" s="980" t="s">
        <v>590</v>
      </c>
      <c r="O233" s="1288" t="s">
        <v>227</v>
      </c>
      <c r="P233" s="784">
        <v>25</v>
      </c>
      <c r="Q233" s="529">
        <v>311.73899999999998</v>
      </c>
      <c r="R233" s="913">
        <v>20</v>
      </c>
      <c r="S233" s="914"/>
      <c r="T233" s="1264"/>
      <c r="U233" s="1261"/>
    </row>
    <row r="234" spans="1:21" ht="14.25" customHeight="1" thickTop="1" thickBot="1">
      <c r="A234" s="1244"/>
      <c r="B234" s="1249" t="s">
        <v>179</v>
      </c>
      <c r="C234" s="1285" t="s">
        <v>2903</v>
      </c>
      <c r="D234" s="1285" t="s">
        <v>2924</v>
      </c>
      <c r="E234" s="1249" t="s">
        <v>2925</v>
      </c>
      <c r="F234" s="1249" t="s">
        <v>2926</v>
      </c>
      <c r="G234" s="785">
        <v>42473</v>
      </c>
      <c r="H234" s="886">
        <v>3</v>
      </c>
      <c r="I234" s="891"/>
      <c r="J234" s="530">
        <v>464.68799999999999</v>
      </c>
      <c r="K234" s="786">
        <v>23</v>
      </c>
      <c r="L234" s="787">
        <v>31</v>
      </c>
      <c r="M234" s="786">
        <v>2</v>
      </c>
      <c r="N234" s="981" t="s">
        <v>590</v>
      </c>
      <c r="O234" s="1286" t="s">
        <v>227</v>
      </c>
      <c r="P234" s="787">
        <v>14</v>
      </c>
      <c r="Q234" s="530">
        <v>287.72199999999998</v>
      </c>
      <c r="R234" s="911">
        <v>11</v>
      </c>
      <c r="S234" s="912"/>
      <c r="T234" s="1264"/>
      <c r="U234" s="1261"/>
    </row>
    <row r="235" spans="1:21" ht="14.25" customHeight="1" thickTop="1" thickBot="1">
      <c r="A235" s="1244"/>
      <c r="B235" s="1245" t="s">
        <v>179</v>
      </c>
      <c r="C235" s="1287" t="s">
        <v>2903</v>
      </c>
      <c r="D235" s="1287" t="s">
        <v>2927</v>
      </c>
      <c r="E235" s="1245" t="s">
        <v>2928</v>
      </c>
      <c r="F235" s="1245" t="s">
        <v>2929</v>
      </c>
      <c r="G235" s="528">
        <v>42473</v>
      </c>
      <c r="H235" s="885">
        <v>3</v>
      </c>
      <c r="I235" s="890">
        <v>113.119</v>
      </c>
      <c r="J235" s="529">
        <v>175.28299999999999</v>
      </c>
      <c r="K235" s="783">
        <v>10</v>
      </c>
      <c r="L235" s="784">
        <v>17</v>
      </c>
      <c r="M235" s="783">
        <v>3</v>
      </c>
      <c r="N235" s="980" t="s">
        <v>590</v>
      </c>
      <c r="O235" s="1288" t="s">
        <v>227</v>
      </c>
      <c r="P235" s="784">
        <v>9</v>
      </c>
      <c r="Q235" s="529">
        <v>149.363</v>
      </c>
      <c r="R235" s="913">
        <v>5</v>
      </c>
      <c r="S235" s="914"/>
      <c r="T235" s="1264"/>
      <c r="U235" s="1261"/>
    </row>
    <row r="236" spans="1:21" ht="14.25" customHeight="1" thickTop="1" thickBot="1">
      <c r="A236" s="1244"/>
      <c r="B236" s="1249" t="s">
        <v>179</v>
      </c>
      <c r="C236" s="1285" t="s">
        <v>2903</v>
      </c>
      <c r="D236" s="1285" t="s">
        <v>2930</v>
      </c>
      <c r="E236" s="1249" t="s">
        <v>2931</v>
      </c>
      <c r="F236" s="1249" t="s">
        <v>2932</v>
      </c>
      <c r="G236" s="785">
        <v>42481</v>
      </c>
      <c r="H236" s="886">
        <v>2</v>
      </c>
      <c r="I236" s="891">
        <v>10.127000000000001</v>
      </c>
      <c r="J236" s="530">
        <v>205.381</v>
      </c>
      <c r="K236" s="786">
        <v>15</v>
      </c>
      <c r="L236" s="787">
        <v>23</v>
      </c>
      <c r="M236" s="786">
        <v>5</v>
      </c>
      <c r="N236" s="981" t="s">
        <v>590</v>
      </c>
      <c r="O236" s="1286" t="s">
        <v>227</v>
      </c>
      <c r="P236" s="787">
        <v>15</v>
      </c>
      <c r="Q236" s="530">
        <v>161.93100000000001</v>
      </c>
      <c r="R236" s="911">
        <v>8</v>
      </c>
      <c r="S236" s="912"/>
      <c r="T236" s="1264"/>
      <c r="U236" s="1261"/>
    </row>
    <row r="237" spans="1:21" ht="14.25" customHeight="1" thickTop="1" thickBot="1">
      <c r="A237" s="1244"/>
      <c r="B237" s="1245" t="s">
        <v>179</v>
      </c>
      <c r="C237" s="1287" t="s">
        <v>2903</v>
      </c>
      <c r="D237" s="1287" t="s">
        <v>2933</v>
      </c>
      <c r="E237" s="1245" t="s">
        <v>2934</v>
      </c>
      <c r="F237" s="1245" t="s">
        <v>2935</v>
      </c>
      <c r="G237" s="528">
        <v>42485</v>
      </c>
      <c r="H237" s="885">
        <v>2</v>
      </c>
      <c r="I237" s="890">
        <v>87.039000000000001</v>
      </c>
      <c r="J237" s="529">
        <v>288.63400000000001</v>
      </c>
      <c r="K237" s="783">
        <v>15</v>
      </c>
      <c r="L237" s="784">
        <v>22</v>
      </c>
      <c r="M237" s="783">
        <v>5</v>
      </c>
      <c r="N237" s="980" t="s">
        <v>590</v>
      </c>
      <c r="O237" s="1288" t="s">
        <v>227</v>
      </c>
      <c r="P237" s="784">
        <v>11</v>
      </c>
      <c r="Q237" s="529">
        <v>191.34299999999999</v>
      </c>
      <c r="R237" s="913">
        <v>9</v>
      </c>
      <c r="S237" s="914"/>
      <c r="T237" s="1264"/>
      <c r="U237" s="1261"/>
    </row>
    <row r="238" spans="1:21" ht="14.25" customHeight="1" thickTop="1" thickBot="1">
      <c r="A238" s="1244"/>
      <c r="B238" s="1249" t="s">
        <v>179</v>
      </c>
      <c r="C238" s="1285" t="s">
        <v>2903</v>
      </c>
      <c r="D238" s="1285" t="s">
        <v>3278</v>
      </c>
      <c r="E238" s="1249" t="s">
        <v>3489</v>
      </c>
      <c r="F238" s="1249" t="s">
        <v>3279</v>
      </c>
      <c r="G238" s="785">
        <v>42509</v>
      </c>
      <c r="H238" s="886">
        <v>1</v>
      </c>
      <c r="I238" s="891"/>
      <c r="J238" s="530">
        <v>83.099000000000004</v>
      </c>
      <c r="K238" s="786">
        <v>5</v>
      </c>
      <c r="L238" s="787">
        <v>17</v>
      </c>
      <c r="M238" s="786">
        <v>4</v>
      </c>
      <c r="N238" s="981" t="s">
        <v>590</v>
      </c>
      <c r="O238" s="1286" t="s">
        <v>227</v>
      </c>
      <c r="P238" s="787">
        <v>13</v>
      </c>
      <c r="Q238" s="530">
        <v>83.099000000000004</v>
      </c>
      <c r="R238" s="911">
        <v>4</v>
      </c>
      <c r="S238" s="912"/>
      <c r="T238" s="1264"/>
      <c r="U238" s="1261"/>
    </row>
    <row r="239" spans="1:21" ht="14.25" customHeight="1" thickTop="1" thickBot="1">
      <c r="A239" s="1244"/>
      <c r="B239" s="1245" t="s">
        <v>179</v>
      </c>
      <c r="C239" s="1287" t="s">
        <v>3193</v>
      </c>
      <c r="D239" s="1287" t="s">
        <v>3288</v>
      </c>
      <c r="E239" s="1245" t="s">
        <v>3490</v>
      </c>
      <c r="F239" s="1245" t="s">
        <v>3289</v>
      </c>
      <c r="G239" s="528">
        <v>42508</v>
      </c>
      <c r="H239" s="885">
        <v>1</v>
      </c>
      <c r="I239" s="890">
        <v>68.17</v>
      </c>
      <c r="J239" s="529">
        <v>71.480999999999995</v>
      </c>
      <c r="K239" s="783">
        <v>7</v>
      </c>
      <c r="L239" s="784">
        <v>15</v>
      </c>
      <c r="M239" s="783">
        <v>3</v>
      </c>
      <c r="N239" s="980" t="s">
        <v>590</v>
      </c>
      <c r="O239" s="1288" t="s">
        <v>227</v>
      </c>
      <c r="P239" s="784">
        <v>4</v>
      </c>
      <c r="Q239" s="529">
        <v>71.480999999999995</v>
      </c>
      <c r="R239" s="913">
        <v>3</v>
      </c>
      <c r="S239" s="914"/>
      <c r="T239" s="1264"/>
      <c r="U239" s="1261"/>
    </row>
    <row r="240" spans="1:21" ht="14.25" customHeight="1" thickTop="1" thickBot="1">
      <c r="A240" s="1244"/>
      <c r="B240" s="1249" t="s">
        <v>179</v>
      </c>
      <c r="C240" s="1285" t="s">
        <v>3589</v>
      </c>
      <c r="D240" s="1285" t="s">
        <v>3649</v>
      </c>
      <c r="E240" s="1249" t="s">
        <v>3650</v>
      </c>
      <c r="F240" s="1249" t="s">
        <v>3651</v>
      </c>
      <c r="G240" s="785">
        <v>42542</v>
      </c>
      <c r="H240" s="886">
        <v>0</v>
      </c>
      <c r="I240" s="891"/>
      <c r="J240" s="530">
        <v>25.001000000000001</v>
      </c>
      <c r="K240" s="786">
        <v>1</v>
      </c>
      <c r="L240" s="787">
        <v>7</v>
      </c>
      <c r="M240" s="786">
        <v>3</v>
      </c>
      <c r="N240" s="981" t="s">
        <v>227</v>
      </c>
      <c r="O240" s="1286" t="s">
        <v>227</v>
      </c>
      <c r="P240" s="787">
        <v>7</v>
      </c>
      <c r="Q240" s="530">
        <v>25.001000000000001</v>
      </c>
      <c r="R240" s="911">
        <v>1</v>
      </c>
      <c r="S240" s="912"/>
      <c r="T240" s="1264"/>
      <c r="U240" s="1261"/>
    </row>
    <row r="241" spans="1:21" ht="14.25" customHeight="1" thickTop="1" thickBot="1">
      <c r="A241" s="1244"/>
      <c r="B241" s="1245" t="s">
        <v>179</v>
      </c>
      <c r="C241" s="1287" t="s">
        <v>3589</v>
      </c>
      <c r="D241" s="1287" t="s">
        <v>3652</v>
      </c>
      <c r="E241" s="1245" t="s">
        <v>3653</v>
      </c>
      <c r="F241" s="1245" t="s">
        <v>3654</v>
      </c>
      <c r="G241" s="528">
        <v>42548</v>
      </c>
      <c r="H241" s="885">
        <v>0</v>
      </c>
      <c r="I241" s="890"/>
      <c r="J241" s="529"/>
      <c r="K241" s="783">
        <v>0</v>
      </c>
      <c r="L241" s="784">
        <v>1</v>
      </c>
      <c r="M241" s="783">
        <v>0</v>
      </c>
      <c r="N241" s="980" t="s">
        <v>227</v>
      </c>
      <c r="O241" s="1288" t="s">
        <v>227</v>
      </c>
      <c r="P241" s="784">
        <v>1</v>
      </c>
      <c r="Q241" s="529"/>
      <c r="R241" s="913">
        <v>0</v>
      </c>
      <c r="S241" s="914"/>
      <c r="T241" s="1264"/>
      <c r="U241" s="1261"/>
    </row>
    <row r="242" spans="1:21" ht="14.25" customHeight="1" thickTop="1" thickBot="1">
      <c r="A242" s="1244"/>
      <c r="B242" s="1249" t="s">
        <v>179</v>
      </c>
      <c r="C242" s="1285" t="s">
        <v>3595</v>
      </c>
      <c r="D242" s="1285" t="s">
        <v>3655</v>
      </c>
      <c r="E242" s="1249" t="s">
        <v>3656</v>
      </c>
      <c r="F242" s="1249" t="s">
        <v>3657</v>
      </c>
      <c r="G242" s="785">
        <v>42548</v>
      </c>
      <c r="H242" s="886">
        <v>0</v>
      </c>
      <c r="I242" s="891"/>
      <c r="J242" s="530"/>
      <c r="K242" s="786">
        <v>0</v>
      </c>
      <c r="L242" s="787">
        <v>1</v>
      </c>
      <c r="M242" s="786">
        <v>0</v>
      </c>
      <c r="N242" s="981" t="s">
        <v>227</v>
      </c>
      <c r="O242" s="1286" t="s">
        <v>227</v>
      </c>
      <c r="P242" s="787">
        <v>1</v>
      </c>
      <c r="Q242" s="530"/>
      <c r="R242" s="911">
        <v>0</v>
      </c>
      <c r="S242" s="912"/>
      <c r="T242" s="1264"/>
      <c r="U242" s="1261"/>
    </row>
    <row r="243" spans="1:21" ht="14.25" customHeight="1" thickTop="1" thickBot="1">
      <c r="A243" s="1244"/>
      <c r="B243" s="1245" t="s">
        <v>3518</v>
      </c>
      <c r="C243" s="1287" t="s">
        <v>803</v>
      </c>
      <c r="D243" s="1287" t="s">
        <v>916</v>
      </c>
      <c r="E243" s="1245" t="s">
        <v>917</v>
      </c>
      <c r="F243" s="1245" t="s">
        <v>918</v>
      </c>
      <c r="G243" s="528">
        <v>41936</v>
      </c>
      <c r="H243" s="885">
        <v>20</v>
      </c>
      <c r="I243" s="890">
        <v>107.633</v>
      </c>
      <c r="J243" s="529">
        <v>2047.346</v>
      </c>
      <c r="K243" s="783">
        <v>69</v>
      </c>
      <c r="L243" s="784">
        <v>23</v>
      </c>
      <c r="M243" s="783">
        <v>2</v>
      </c>
      <c r="N243" s="980" t="s">
        <v>590</v>
      </c>
      <c r="O243" s="1288" t="s">
        <v>227</v>
      </c>
      <c r="P243" s="784">
        <v>5</v>
      </c>
      <c r="Q243" s="529">
        <v>344.15199999999999</v>
      </c>
      <c r="R243" s="913">
        <v>8</v>
      </c>
      <c r="S243" s="914"/>
      <c r="T243" s="1264"/>
      <c r="U243" s="1261"/>
    </row>
    <row r="244" spans="1:21" ht="14.25" customHeight="1" thickTop="1" thickBot="1">
      <c r="A244" s="1244"/>
      <c r="B244" s="1249" t="s">
        <v>3518</v>
      </c>
      <c r="C244" s="1285" t="s">
        <v>803</v>
      </c>
      <c r="D244" s="1285" t="s">
        <v>1217</v>
      </c>
      <c r="E244" s="1249" t="s">
        <v>3658</v>
      </c>
      <c r="F244" s="1249" t="s">
        <v>1218</v>
      </c>
      <c r="G244" s="785">
        <v>42033</v>
      </c>
      <c r="H244" s="886">
        <v>17</v>
      </c>
      <c r="I244" s="891">
        <v>1240.1289999999999</v>
      </c>
      <c r="J244" s="530">
        <v>1672.1669999999999</v>
      </c>
      <c r="K244" s="786">
        <v>36</v>
      </c>
      <c r="L244" s="787">
        <v>15</v>
      </c>
      <c r="M244" s="786">
        <v>1</v>
      </c>
      <c r="N244" s="981" t="s">
        <v>590</v>
      </c>
      <c r="O244" s="1286" t="s">
        <v>227</v>
      </c>
      <c r="P244" s="787">
        <v>5</v>
      </c>
      <c r="Q244" s="530">
        <v>264.78199999999998</v>
      </c>
      <c r="R244" s="911">
        <v>6</v>
      </c>
      <c r="S244" s="912"/>
      <c r="T244" s="1264"/>
      <c r="U244" s="1261"/>
    </row>
    <row r="245" spans="1:21" ht="14.25" customHeight="1" thickTop="1" thickBot="1">
      <c r="A245" s="1244"/>
      <c r="B245" s="1245" t="s">
        <v>3168</v>
      </c>
      <c r="C245" s="1287" t="s">
        <v>3601</v>
      </c>
      <c r="D245" s="1287" t="s">
        <v>3659</v>
      </c>
      <c r="E245" s="1245" t="s">
        <v>3660</v>
      </c>
      <c r="F245" s="1245" t="s">
        <v>3661</v>
      </c>
      <c r="G245" s="528">
        <v>42534</v>
      </c>
      <c r="H245" s="885">
        <v>1</v>
      </c>
      <c r="I245" s="890">
        <v>40.860999999999997</v>
      </c>
      <c r="J245" s="529">
        <v>40.860999999999997</v>
      </c>
      <c r="K245" s="783">
        <v>2</v>
      </c>
      <c r="L245" s="784">
        <v>10</v>
      </c>
      <c r="M245" s="783">
        <v>1</v>
      </c>
      <c r="N245" s="980" t="s">
        <v>590</v>
      </c>
      <c r="O245" s="1288" t="s">
        <v>227</v>
      </c>
      <c r="P245" s="784">
        <v>10</v>
      </c>
      <c r="Q245" s="529">
        <v>40.860999999999997</v>
      </c>
      <c r="R245" s="913">
        <v>2</v>
      </c>
      <c r="S245" s="914"/>
      <c r="T245" s="1264"/>
      <c r="U245" s="1261"/>
    </row>
    <row r="246" spans="1:21" ht="14.25" customHeight="1" thickTop="1" thickBot="1">
      <c r="A246" s="1244"/>
      <c r="B246" s="1249" t="s">
        <v>3520</v>
      </c>
      <c r="C246" s="1285" t="s">
        <v>668</v>
      </c>
      <c r="D246" s="1285" t="s">
        <v>839</v>
      </c>
      <c r="E246" s="1249" t="s">
        <v>1687</v>
      </c>
      <c r="F246" s="1249" t="s">
        <v>840</v>
      </c>
      <c r="G246" s="785">
        <v>41954</v>
      </c>
      <c r="H246" s="886">
        <v>23</v>
      </c>
      <c r="I246" s="891">
        <v>1835.2750000000001</v>
      </c>
      <c r="J246" s="530">
        <v>3423.8249999999998</v>
      </c>
      <c r="K246" s="786">
        <v>80</v>
      </c>
      <c r="L246" s="787">
        <v>21</v>
      </c>
      <c r="M246" s="786">
        <v>2</v>
      </c>
      <c r="N246" s="981" t="s">
        <v>590</v>
      </c>
      <c r="O246" s="1286" t="s">
        <v>227</v>
      </c>
      <c r="P246" s="787">
        <v>5</v>
      </c>
      <c r="Q246" s="530">
        <v>656.33500000000004</v>
      </c>
      <c r="R246" s="911">
        <v>12</v>
      </c>
      <c r="S246" s="912"/>
      <c r="T246" s="1264"/>
      <c r="U246" s="1261"/>
    </row>
    <row r="247" spans="1:21" ht="14.25" customHeight="1" thickTop="1" thickBot="1">
      <c r="A247" s="1244"/>
      <c r="B247" s="1245" t="s">
        <v>3520</v>
      </c>
      <c r="C247" s="1287" t="s">
        <v>668</v>
      </c>
      <c r="D247" s="1287" t="s">
        <v>1222</v>
      </c>
      <c r="E247" s="1245" t="s">
        <v>1876</v>
      </c>
      <c r="F247" s="1245" t="s">
        <v>1223</v>
      </c>
      <c r="G247" s="528">
        <v>42198</v>
      </c>
      <c r="H247" s="885">
        <v>18</v>
      </c>
      <c r="I247" s="890">
        <v>229.65799999999999</v>
      </c>
      <c r="J247" s="529">
        <v>2061.5920000000001</v>
      </c>
      <c r="K247" s="783">
        <v>60</v>
      </c>
      <c r="L247" s="784">
        <v>13</v>
      </c>
      <c r="M247" s="783">
        <v>1</v>
      </c>
      <c r="N247" s="980" t="s">
        <v>590</v>
      </c>
      <c r="O247" s="1288" t="s">
        <v>227</v>
      </c>
      <c r="P247" s="784">
        <v>1</v>
      </c>
      <c r="Q247" s="529">
        <v>71.16</v>
      </c>
      <c r="R247" s="913">
        <v>6</v>
      </c>
      <c r="S247" s="914"/>
      <c r="T247" s="1264"/>
      <c r="U247" s="1261"/>
    </row>
    <row r="248" spans="1:21" ht="14.25" customHeight="1" thickTop="1" thickBot="1">
      <c r="A248" s="1244"/>
      <c r="B248" s="1249" t="s">
        <v>3520</v>
      </c>
      <c r="C248" s="1285" t="s">
        <v>668</v>
      </c>
      <c r="D248" s="1285" t="s">
        <v>2739</v>
      </c>
      <c r="E248" s="1249" t="s">
        <v>2740</v>
      </c>
      <c r="F248" s="1249" t="s">
        <v>2741</v>
      </c>
      <c r="G248" s="785">
        <v>42446</v>
      </c>
      <c r="H248" s="886">
        <v>3</v>
      </c>
      <c r="I248" s="891">
        <v>14.99</v>
      </c>
      <c r="J248" s="530">
        <v>14.99</v>
      </c>
      <c r="K248" s="786">
        <v>1</v>
      </c>
      <c r="L248" s="787">
        <v>1</v>
      </c>
      <c r="M248" s="786">
        <v>0</v>
      </c>
      <c r="N248" s="981" t="s">
        <v>332</v>
      </c>
      <c r="O248" s="1286" t="s">
        <v>227</v>
      </c>
      <c r="P248" s="787">
        <v>0</v>
      </c>
      <c r="Q248" s="530"/>
      <c r="R248" s="911">
        <v>0</v>
      </c>
      <c r="S248" s="912"/>
      <c r="T248" s="1264"/>
      <c r="U248" s="1261"/>
    </row>
    <row r="249" spans="1:21" ht="14.25" customHeight="1" thickTop="1" thickBot="1">
      <c r="A249" s="1244"/>
      <c r="B249" s="1245" t="s">
        <v>3520</v>
      </c>
      <c r="C249" s="1287" t="s">
        <v>1354</v>
      </c>
      <c r="D249" s="1287" t="s">
        <v>2083</v>
      </c>
      <c r="E249" s="1245" t="s">
        <v>2084</v>
      </c>
      <c r="F249" s="1245" t="s">
        <v>2085</v>
      </c>
      <c r="G249" s="528">
        <v>42271</v>
      </c>
      <c r="H249" s="885">
        <v>9</v>
      </c>
      <c r="I249" s="890">
        <v>122.23</v>
      </c>
      <c r="J249" s="529">
        <v>546.20500000000004</v>
      </c>
      <c r="K249" s="783">
        <v>30</v>
      </c>
      <c r="L249" s="784">
        <v>7</v>
      </c>
      <c r="M249" s="783">
        <v>1</v>
      </c>
      <c r="N249" s="980" t="s">
        <v>590</v>
      </c>
      <c r="O249" s="1288" t="s">
        <v>227</v>
      </c>
      <c r="P249" s="784">
        <v>0</v>
      </c>
      <c r="Q249" s="529">
        <v>31.823</v>
      </c>
      <c r="R249" s="913">
        <v>4</v>
      </c>
      <c r="S249" s="914"/>
      <c r="T249" s="1264"/>
      <c r="U249" s="1261"/>
    </row>
    <row r="250" spans="1:21" ht="14.25" customHeight="1" thickTop="1" thickBot="1">
      <c r="A250" s="1244"/>
      <c r="B250" s="1249" t="s">
        <v>2708</v>
      </c>
      <c r="C250" s="1285" t="s">
        <v>227</v>
      </c>
      <c r="D250" s="1285" t="s">
        <v>2742</v>
      </c>
      <c r="E250" s="1249" t="s">
        <v>2743</v>
      </c>
      <c r="F250" s="1249" t="s">
        <v>2744</v>
      </c>
      <c r="G250" s="785">
        <v>42457</v>
      </c>
      <c r="H250" s="886">
        <v>3</v>
      </c>
      <c r="I250" s="891"/>
      <c r="J250" s="530">
        <v>55.518999999999998</v>
      </c>
      <c r="K250" s="786">
        <v>6</v>
      </c>
      <c r="L250" s="787">
        <v>10</v>
      </c>
      <c r="M250" s="786">
        <v>2</v>
      </c>
      <c r="N250" s="981" t="s">
        <v>369</v>
      </c>
      <c r="O250" s="1286" t="s">
        <v>227</v>
      </c>
      <c r="P250" s="787">
        <v>1</v>
      </c>
      <c r="Q250" s="530"/>
      <c r="R250" s="911">
        <v>0</v>
      </c>
      <c r="S250" s="912"/>
      <c r="T250" s="1264"/>
      <c r="U250" s="1261"/>
    </row>
    <row r="251" spans="1:21" ht="14.25" customHeight="1" thickTop="1" thickBot="1">
      <c r="A251" s="1244"/>
      <c r="B251" s="1245" t="s">
        <v>2708</v>
      </c>
      <c r="C251" s="1287" t="s">
        <v>227</v>
      </c>
      <c r="D251" s="1287" t="s">
        <v>3662</v>
      </c>
      <c r="E251" s="1245" t="s">
        <v>3663</v>
      </c>
      <c r="F251" s="1245" t="s">
        <v>3664</v>
      </c>
      <c r="G251" s="528">
        <v>42529</v>
      </c>
      <c r="H251" s="885">
        <v>1</v>
      </c>
      <c r="I251" s="890"/>
      <c r="J251" s="529"/>
      <c r="K251" s="783">
        <v>0</v>
      </c>
      <c r="L251" s="784">
        <v>8</v>
      </c>
      <c r="M251" s="783">
        <v>1</v>
      </c>
      <c r="N251" s="980" t="s">
        <v>332</v>
      </c>
      <c r="O251" s="1288" t="s">
        <v>227</v>
      </c>
      <c r="P251" s="784">
        <v>1</v>
      </c>
      <c r="Q251" s="529"/>
      <c r="R251" s="913">
        <v>0</v>
      </c>
      <c r="S251" s="914"/>
      <c r="T251" s="1264"/>
      <c r="U251" s="1261"/>
    </row>
    <row r="252" spans="1:21" ht="14.25" customHeight="1" thickTop="1" thickBot="1">
      <c r="A252" s="1244"/>
      <c r="B252" s="1249" t="s">
        <v>2708</v>
      </c>
      <c r="C252" s="1285" t="s">
        <v>2905</v>
      </c>
      <c r="D252" s="1285" t="s">
        <v>2938</v>
      </c>
      <c r="E252" s="1249" t="s">
        <v>2939</v>
      </c>
      <c r="F252" s="1249" t="s">
        <v>2379</v>
      </c>
      <c r="G252" s="785">
        <v>42474</v>
      </c>
      <c r="H252" s="886">
        <v>3</v>
      </c>
      <c r="I252" s="891">
        <v>8.3119999999999994</v>
      </c>
      <c r="J252" s="530">
        <v>56.314</v>
      </c>
      <c r="K252" s="786">
        <v>4</v>
      </c>
      <c r="L252" s="787">
        <v>9</v>
      </c>
      <c r="M252" s="786">
        <v>3</v>
      </c>
      <c r="N252" s="981" t="s">
        <v>369</v>
      </c>
      <c r="O252" s="1286" t="s">
        <v>227</v>
      </c>
      <c r="P252" s="787">
        <v>2</v>
      </c>
      <c r="Q252" s="530">
        <v>16.713999999999999</v>
      </c>
      <c r="R252" s="911">
        <v>1</v>
      </c>
      <c r="S252" s="912"/>
      <c r="T252" s="1264"/>
      <c r="U252" s="1261"/>
    </row>
    <row r="253" spans="1:21" ht="14.25" customHeight="1" thickTop="1" thickBot="1">
      <c r="A253" s="1244"/>
      <c r="B253" s="1245" t="s">
        <v>2708</v>
      </c>
      <c r="C253" s="1287" t="s">
        <v>3196</v>
      </c>
      <c r="D253" s="1287" t="s">
        <v>3305</v>
      </c>
      <c r="E253" s="1245" t="s">
        <v>3491</v>
      </c>
      <c r="F253" s="1245" t="s">
        <v>3306</v>
      </c>
      <c r="G253" s="528">
        <v>42516</v>
      </c>
      <c r="H253" s="885">
        <v>1</v>
      </c>
      <c r="I253" s="890">
        <v>104.444</v>
      </c>
      <c r="J253" s="529">
        <v>159.102</v>
      </c>
      <c r="K253" s="783">
        <v>6</v>
      </c>
      <c r="L253" s="784">
        <v>10</v>
      </c>
      <c r="M253" s="783">
        <v>2</v>
      </c>
      <c r="N253" s="980" t="s">
        <v>590</v>
      </c>
      <c r="O253" s="1288" t="s">
        <v>227</v>
      </c>
      <c r="P253" s="784">
        <v>4</v>
      </c>
      <c r="Q253" s="529">
        <v>159.102</v>
      </c>
      <c r="R253" s="913">
        <v>4</v>
      </c>
      <c r="S253" s="914"/>
      <c r="T253" s="1264"/>
      <c r="U253" s="1261"/>
    </row>
    <row r="254" spans="1:21" ht="14.25" customHeight="1" thickTop="1" thickBot="1">
      <c r="A254" s="1244"/>
      <c r="B254" s="1249" t="s">
        <v>2708</v>
      </c>
      <c r="C254" s="1285" t="s">
        <v>3196</v>
      </c>
      <c r="D254" s="1285" t="s">
        <v>3665</v>
      </c>
      <c r="E254" s="1249" t="s">
        <v>3666</v>
      </c>
      <c r="F254" s="1249" t="s">
        <v>3667</v>
      </c>
      <c r="G254" s="785">
        <v>42536</v>
      </c>
      <c r="H254" s="886">
        <v>0</v>
      </c>
      <c r="I254" s="891">
        <v>10.066000000000001</v>
      </c>
      <c r="J254" s="530">
        <v>30.561</v>
      </c>
      <c r="K254" s="786">
        <v>3</v>
      </c>
      <c r="L254" s="787">
        <v>6</v>
      </c>
      <c r="M254" s="786">
        <v>1</v>
      </c>
      <c r="N254" s="981" t="s">
        <v>227</v>
      </c>
      <c r="O254" s="1286" t="s">
        <v>227</v>
      </c>
      <c r="P254" s="787">
        <v>5</v>
      </c>
      <c r="Q254" s="530">
        <v>30.561</v>
      </c>
      <c r="R254" s="911">
        <v>3</v>
      </c>
      <c r="S254" s="912"/>
      <c r="T254" s="1264"/>
      <c r="U254" s="1261"/>
    </row>
    <row r="255" spans="1:21" ht="14.25" customHeight="1" thickTop="1" thickBot="1">
      <c r="A255" s="1244"/>
      <c r="B255" s="1245" t="s">
        <v>2708</v>
      </c>
      <c r="C255" s="1287" t="s">
        <v>3199</v>
      </c>
      <c r="D255" s="1287" t="s">
        <v>3313</v>
      </c>
      <c r="E255" s="1245" t="s">
        <v>3492</v>
      </c>
      <c r="F255" s="1245" t="s">
        <v>3314</v>
      </c>
      <c r="G255" s="528">
        <v>42516</v>
      </c>
      <c r="H255" s="885">
        <v>1</v>
      </c>
      <c r="I255" s="890">
        <v>28.231999999999999</v>
      </c>
      <c r="J255" s="529">
        <v>36.872999999999998</v>
      </c>
      <c r="K255" s="783">
        <v>4</v>
      </c>
      <c r="L255" s="784">
        <v>7</v>
      </c>
      <c r="M255" s="783">
        <v>1</v>
      </c>
      <c r="N255" s="980" t="s">
        <v>590</v>
      </c>
      <c r="O255" s="1288" t="s">
        <v>227</v>
      </c>
      <c r="P255" s="784">
        <v>1</v>
      </c>
      <c r="Q255" s="529">
        <v>36.872999999999998</v>
      </c>
      <c r="R255" s="913">
        <v>3</v>
      </c>
      <c r="S255" s="914"/>
      <c r="T255" s="1264"/>
      <c r="U255" s="1261"/>
    </row>
    <row r="256" spans="1:21" ht="14.25" customHeight="1" thickTop="1" thickBot="1">
      <c r="A256" s="1244"/>
      <c r="B256" s="1249" t="s">
        <v>2708</v>
      </c>
      <c r="C256" s="1285" t="s">
        <v>3604</v>
      </c>
      <c r="D256" s="1285" t="s">
        <v>3668</v>
      </c>
      <c r="E256" s="1249" t="s">
        <v>3669</v>
      </c>
      <c r="F256" s="1249" t="s">
        <v>1059</v>
      </c>
      <c r="G256" s="785">
        <v>42529</v>
      </c>
      <c r="H256" s="886">
        <v>1</v>
      </c>
      <c r="I256" s="891"/>
      <c r="J256" s="530">
        <v>235.21299999999999</v>
      </c>
      <c r="K256" s="786">
        <v>11</v>
      </c>
      <c r="L256" s="787">
        <v>18</v>
      </c>
      <c r="M256" s="786">
        <v>4</v>
      </c>
      <c r="N256" s="981" t="s">
        <v>590</v>
      </c>
      <c r="O256" s="1286" t="s">
        <v>227</v>
      </c>
      <c r="P256" s="787">
        <v>18</v>
      </c>
      <c r="Q256" s="530">
        <v>235.21299999999999</v>
      </c>
      <c r="R256" s="911">
        <v>11</v>
      </c>
      <c r="S256" s="912"/>
      <c r="T256" s="1264"/>
      <c r="U256" s="1261"/>
    </row>
    <row r="257" spans="1:21" ht="14.25" customHeight="1" thickTop="1" thickBot="1">
      <c r="A257" s="1244"/>
      <c r="B257" s="1245" t="s">
        <v>2708</v>
      </c>
      <c r="C257" s="1287" t="s">
        <v>3607</v>
      </c>
      <c r="D257" s="1287" t="s">
        <v>3670</v>
      </c>
      <c r="E257" s="1245" t="s">
        <v>3671</v>
      </c>
      <c r="F257" s="1245" t="s">
        <v>3672</v>
      </c>
      <c r="G257" s="528">
        <v>42529</v>
      </c>
      <c r="H257" s="885">
        <v>1</v>
      </c>
      <c r="I257" s="890">
        <v>9.01</v>
      </c>
      <c r="J257" s="529">
        <v>105.355</v>
      </c>
      <c r="K257" s="783">
        <v>8</v>
      </c>
      <c r="L257" s="784">
        <v>17</v>
      </c>
      <c r="M257" s="783">
        <v>3</v>
      </c>
      <c r="N257" s="980" t="s">
        <v>590</v>
      </c>
      <c r="O257" s="1288" t="s">
        <v>227</v>
      </c>
      <c r="P257" s="784">
        <v>17</v>
      </c>
      <c r="Q257" s="529">
        <v>105.355</v>
      </c>
      <c r="R257" s="913">
        <v>8</v>
      </c>
      <c r="S257" s="914"/>
      <c r="T257" s="1264"/>
      <c r="U257" s="1261"/>
    </row>
    <row r="258" spans="1:21" ht="14.25" customHeight="1" thickTop="1" thickBot="1">
      <c r="A258" s="1244"/>
      <c r="B258" s="1249" t="s">
        <v>2708</v>
      </c>
      <c r="C258" s="1285" t="s">
        <v>3607</v>
      </c>
      <c r="D258" s="1285" t="s">
        <v>3673</v>
      </c>
      <c r="E258" s="1249" t="s">
        <v>3674</v>
      </c>
      <c r="F258" s="1249" t="s">
        <v>3675</v>
      </c>
      <c r="G258" s="785">
        <v>42529</v>
      </c>
      <c r="H258" s="886">
        <v>1</v>
      </c>
      <c r="I258" s="891"/>
      <c r="J258" s="530">
        <v>238.458</v>
      </c>
      <c r="K258" s="786">
        <v>4</v>
      </c>
      <c r="L258" s="787">
        <v>7</v>
      </c>
      <c r="M258" s="786">
        <v>3</v>
      </c>
      <c r="N258" s="981" t="s">
        <v>590</v>
      </c>
      <c r="O258" s="1286" t="s">
        <v>227</v>
      </c>
      <c r="P258" s="787">
        <v>7</v>
      </c>
      <c r="Q258" s="530">
        <v>238.458</v>
      </c>
      <c r="R258" s="911">
        <v>4</v>
      </c>
      <c r="S258" s="912"/>
      <c r="T258" s="1264"/>
      <c r="U258" s="1261"/>
    </row>
    <row r="259" spans="1:21" ht="14.25" customHeight="1" thickTop="1" thickBot="1">
      <c r="A259" s="1244"/>
      <c r="B259" s="1245" t="s">
        <v>2708</v>
      </c>
      <c r="C259" s="1287" t="s">
        <v>3607</v>
      </c>
      <c r="D259" s="1287" t="s">
        <v>3676</v>
      </c>
      <c r="E259" s="1245" t="s">
        <v>3677</v>
      </c>
      <c r="F259" s="1245" t="s">
        <v>3678</v>
      </c>
      <c r="G259" s="528">
        <v>42529</v>
      </c>
      <c r="H259" s="885">
        <v>1</v>
      </c>
      <c r="I259" s="890">
        <v>45.908000000000001</v>
      </c>
      <c r="J259" s="529">
        <v>66.406999999999996</v>
      </c>
      <c r="K259" s="783">
        <v>7</v>
      </c>
      <c r="L259" s="784">
        <v>9</v>
      </c>
      <c r="M259" s="783">
        <v>1</v>
      </c>
      <c r="N259" s="980" t="s">
        <v>590</v>
      </c>
      <c r="O259" s="1288" t="s">
        <v>227</v>
      </c>
      <c r="P259" s="784">
        <v>9</v>
      </c>
      <c r="Q259" s="529">
        <v>66.406999999999996</v>
      </c>
      <c r="R259" s="913">
        <v>7</v>
      </c>
      <c r="S259" s="914"/>
      <c r="T259" s="1264"/>
      <c r="U259" s="1261"/>
    </row>
    <row r="260" spans="1:21" ht="14.25" customHeight="1" thickTop="1" thickBot="1">
      <c r="A260" s="1244"/>
      <c r="B260" s="1249" t="s">
        <v>2708</v>
      </c>
      <c r="C260" s="1285" t="s">
        <v>3610</v>
      </c>
      <c r="D260" s="1285" t="s">
        <v>2936</v>
      </c>
      <c r="E260" s="1249" t="s">
        <v>2937</v>
      </c>
      <c r="F260" s="1249" t="s">
        <v>2781</v>
      </c>
      <c r="G260" s="785">
        <v>42473</v>
      </c>
      <c r="H260" s="886">
        <v>3</v>
      </c>
      <c r="I260" s="891"/>
      <c r="J260" s="530">
        <v>139.387</v>
      </c>
      <c r="K260" s="786">
        <v>1</v>
      </c>
      <c r="L260" s="787">
        <v>8</v>
      </c>
      <c r="M260" s="786">
        <v>2</v>
      </c>
      <c r="N260" s="981" t="s">
        <v>590</v>
      </c>
      <c r="O260" s="1286" t="s">
        <v>227</v>
      </c>
      <c r="P260" s="787">
        <v>4</v>
      </c>
      <c r="Q260" s="530"/>
      <c r="R260" s="911">
        <v>0</v>
      </c>
      <c r="S260" s="912"/>
      <c r="T260" s="1264"/>
      <c r="U260" s="1261"/>
    </row>
    <row r="261" spans="1:21" ht="14.25" customHeight="1" thickTop="1" thickBot="1">
      <c r="A261" s="1244"/>
      <c r="B261" s="1245" t="s">
        <v>1015</v>
      </c>
      <c r="C261" s="1287" t="s">
        <v>227</v>
      </c>
      <c r="D261" s="1287" t="s">
        <v>1195</v>
      </c>
      <c r="E261" s="1245" t="s">
        <v>1196</v>
      </c>
      <c r="F261" s="1245" t="s">
        <v>1197</v>
      </c>
      <c r="G261" s="528">
        <v>42033</v>
      </c>
      <c r="H261" s="885">
        <v>17</v>
      </c>
      <c r="I261" s="890">
        <v>288.03300000000002</v>
      </c>
      <c r="J261" s="529">
        <v>1624.4259999999999</v>
      </c>
      <c r="K261" s="783">
        <v>107</v>
      </c>
      <c r="L261" s="784">
        <v>43</v>
      </c>
      <c r="M261" s="783">
        <v>3</v>
      </c>
      <c r="N261" s="980" t="s">
        <v>590</v>
      </c>
      <c r="O261" s="1288" t="s">
        <v>227</v>
      </c>
      <c r="P261" s="784">
        <v>8</v>
      </c>
      <c r="Q261" s="529">
        <v>108.373</v>
      </c>
      <c r="R261" s="913">
        <v>9</v>
      </c>
      <c r="S261" s="914"/>
      <c r="T261" s="1264"/>
      <c r="U261" s="1261"/>
    </row>
    <row r="262" spans="1:21" ht="14.25" customHeight="1" thickTop="1" thickBot="1">
      <c r="A262" s="1244"/>
      <c r="B262" s="1249" t="s">
        <v>1015</v>
      </c>
      <c r="C262" s="1285" t="s">
        <v>1369</v>
      </c>
      <c r="D262" s="1285" t="s">
        <v>1968</v>
      </c>
      <c r="E262" s="1249" t="s">
        <v>1969</v>
      </c>
      <c r="F262" s="1249" t="s">
        <v>1970</v>
      </c>
      <c r="G262" s="785">
        <v>42240</v>
      </c>
      <c r="H262" s="886">
        <v>10</v>
      </c>
      <c r="I262" s="891">
        <v>296.77600000000001</v>
      </c>
      <c r="J262" s="530">
        <v>1500.61</v>
      </c>
      <c r="K262" s="786">
        <v>82</v>
      </c>
      <c r="L262" s="787">
        <v>27</v>
      </c>
      <c r="M262" s="786">
        <v>2</v>
      </c>
      <c r="N262" s="981" t="s">
        <v>590</v>
      </c>
      <c r="O262" s="1286" t="s">
        <v>227</v>
      </c>
      <c r="P262" s="787">
        <v>4</v>
      </c>
      <c r="Q262" s="530">
        <v>213.87700000000001</v>
      </c>
      <c r="R262" s="911">
        <v>10</v>
      </c>
      <c r="S262" s="912"/>
      <c r="T262" s="1264"/>
      <c r="U262" s="1261"/>
    </row>
    <row r="263" spans="1:21" ht="14.25" customHeight="1" thickTop="1" thickBot="1">
      <c r="A263" s="1244"/>
      <c r="B263" s="1245" t="s">
        <v>825</v>
      </c>
      <c r="C263" s="1287" t="s">
        <v>227</v>
      </c>
      <c r="D263" s="1287" t="s">
        <v>2325</v>
      </c>
      <c r="E263" s="1245" t="s">
        <v>2326</v>
      </c>
      <c r="F263" s="1245" t="s">
        <v>675</v>
      </c>
      <c r="G263" s="528">
        <v>42321</v>
      </c>
      <c r="H263" s="885">
        <v>8</v>
      </c>
      <c r="I263" s="890">
        <v>178.89</v>
      </c>
      <c r="J263" s="529">
        <v>277.11700000000002</v>
      </c>
      <c r="K263" s="783">
        <v>13</v>
      </c>
      <c r="L263" s="784">
        <v>5</v>
      </c>
      <c r="M263" s="783">
        <v>1</v>
      </c>
      <c r="N263" s="980" t="s">
        <v>369</v>
      </c>
      <c r="O263" s="1288" t="s">
        <v>227</v>
      </c>
      <c r="P263" s="784">
        <v>0</v>
      </c>
      <c r="Q263" s="529"/>
      <c r="R263" s="913">
        <v>0</v>
      </c>
      <c r="S263" s="914"/>
      <c r="T263" s="1264"/>
      <c r="U263" s="1261"/>
    </row>
    <row r="264" spans="1:21" ht="14.25" customHeight="1" thickTop="1" thickBot="1">
      <c r="A264" s="1244"/>
      <c r="B264" s="1249" t="s">
        <v>825</v>
      </c>
      <c r="C264" s="1285" t="s">
        <v>227</v>
      </c>
      <c r="D264" s="1285" t="s">
        <v>2449</v>
      </c>
      <c r="E264" s="1249" t="s">
        <v>2450</v>
      </c>
      <c r="F264" s="1249" t="s">
        <v>2451</v>
      </c>
      <c r="G264" s="785">
        <v>42347</v>
      </c>
      <c r="H264" s="886">
        <v>7</v>
      </c>
      <c r="I264" s="891">
        <v>244.137</v>
      </c>
      <c r="J264" s="530">
        <v>418.25299999999999</v>
      </c>
      <c r="K264" s="786">
        <v>23</v>
      </c>
      <c r="L264" s="787">
        <v>13</v>
      </c>
      <c r="M264" s="786">
        <v>2</v>
      </c>
      <c r="N264" s="981" t="s">
        <v>590</v>
      </c>
      <c r="O264" s="1286" t="s">
        <v>227</v>
      </c>
      <c r="P264" s="787">
        <v>1</v>
      </c>
      <c r="Q264" s="530">
        <v>29.303000000000001</v>
      </c>
      <c r="R264" s="911">
        <v>3</v>
      </c>
      <c r="S264" s="912"/>
      <c r="T264" s="1264"/>
      <c r="U264" s="1261"/>
    </row>
    <row r="265" spans="1:21" ht="14.25" customHeight="1" thickTop="1" thickBot="1">
      <c r="A265" s="1244"/>
      <c r="B265" s="1245" t="s">
        <v>825</v>
      </c>
      <c r="C265" s="1287" t="s">
        <v>227</v>
      </c>
      <c r="D265" s="1287" t="s">
        <v>2745</v>
      </c>
      <c r="E265" s="1245" t="s">
        <v>2746</v>
      </c>
      <c r="F265" s="1245" t="s">
        <v>921</v>
      </c>
      <c r="G265" s="528">
        <v>42432</v>
      </c>
      <c r="H265" s="885">
        <v>4</v>
      </c>
      <c r="I265" s="890">
        <v>53.121000000000002</v>
      </c>
      <c r="J265" s="529">
        <v>122.149</v>
      </c>
      <c r="K265" s="783">
        <v>15</v>
      </c>
      <c r="L265" s="784">
        <v>16</v>
      </c>
      <c r="M265" s="783">
        <v>3</v>
      </c>
      <c r="N265" s="980" t="s">
        <v>369</v>
      </c>
      <c r="O265" s="1288" t="s">
        <v>227</v>
      </c>
      <c r="P265" s="784">
        <v>1</v>
      </c>
      <c r="Q265" s="529">
        <v>37.606000000000002</v>
      </c>
      <c r="R265" s="913">
        <v>1</v>
      </c>
      <c r="S265" s="914"/>
      <c r="T265" s="1264"/>
      <c r="U265" s="1261"/>
    </row>
    <row r="266" spans="1:21" ht="14.25" customHeight="1" thickTop="1" thickBot="1">
      <c r="A266" s="1244"/>
      <c r="B266" s="1249" t="s">
        <v>825</v>
      </c>
      <c r="C266" s="1285" t="s">
        <v>2719</v>
      </c>
      <c r="D266" s="1285" t="s">
        <v>3328</v>
      </c>
      <c r="E266" s="1249" t="s">
        <v>3493</v>
      </c>
      <c r="F266" s="1249" t="s">
        <v>3329</v>
      </c>
      <c r="G266" s="785">
        <v>42509</v>
      </c>
      <c r="H266" s="886">
        <v>1</v>
      </c>
      <c r="I266" s="891">
        <v>101.723</v>
      </c>
      <c r="J266" s="530">
        <v>376.58699999999999</v>
      </c>
      <c r="K266" s="786">
        <v>13</v>
      </c>
      <c r="L266" s="787">
        <v>15</v>
      </c>
      <c r="M266" s="786">
        <v>3</v>
      </c>
      <c r="N266" s="981" t="s">
        <v>590</v>
      </c>
      <c r="O266" s="1286" t="s">
        <v>227</v>
      </c>
      <c r="P266" s="787">
        <v>8</v>
      </c>
      <c r="Q266" s="530">
        <v>376.58699999999999</v>
      </c>
      <c r="R266" s="911">
        <v>11</v>
      </c>
      <c r="S266" s="912"/>
      <c r="T266" s="1264"/>
      <c r="U266" s="1261"/>
    </row>
    <row r="267" spans="1:21" ht="14.25" customHeight="1" thickTop="1" thickBot="1">
      <c r="A267" s="1244"/>
      <c r="B267" s="1245" t="s">
        <v>902</v>
      </c>
      <c r="C267" s="1287" t="s">
        <v>910</v>
      </c>
      <c r="D267" s="1287" t="s">
        <v>919</v>
      </c>
      <c r="E267" s="1245" t="s">
        <v>920</v>
      </c>
      <c r="F267" s="1245" t="s">
        <v>921</v>
      </c>
      <c r="G267" s="528">
        <v>41940</v>
      </c>
      <c r="H267" s="885">
        <v>20</v>
      </c>
      <c r="I267" s="890">
        <v>48.01</v>
      </c>
      <c r="J267" s="529">
        <v>2296.3380000000002</v>
      </c>
      <c r="K267" s="783">
        <v>107</v>
      </c>
      <c r="L267" s="784">
        <v>38</v>
      </c>
      <c r="M267" s="783">
        <v>5</v>
      </c>
      <c r="N267" s="980" t="s">
        <v>590</v>
      </c>
      <c r="O267" s="1288" t="s">
        <v>227</v>
      </c>
      <c r="P267" s="784">
        <v>5</v>
      </c>
      <c r="Q267" s="529">
        <v>443.40300000000002</v>
      </c>
      <c r="R267" s="913">
        <v>17</v>
      </c>
      <c r="S267" s="914"/>
      <c r="T267" s="1264"/>
      <c r="U267" s="1261"/>
    </row>
    <row r="268" spans="1:21" ht="14.25" customHeight="1" thickTop="1" thickBot="1">
      <c r="A268" s="1244"/>
      <c r="B268" s="1249" t="s">
        <v>902</v>
      </c>
      <c r="C268" s="1285" t="s">
        <v>910</v>
      </c>
      <c r="D268" s="1285" t="s">
        <v>1035</v>
      </c>
      <c r="E268" s="1249" t="s">
        <v>1036</v>
      </c>
      <c r="F268" s="1249" t="s">
        <v>1037</v>
      </c>
      <c r="G268" s="785">
        <v>41976</v>
      </c>
      <c r="H268" s="886">
        <v>19</v>
      </c>
      <c r="I268" s="891">
        <v>417.42200000000003</v>
      </c>
      <c r="J268" s="530">
        <v>850.64300000000003</v>
      </c>
      <c r="K268" s="786">
        <v>35</v>
      </c>
      <c r="L268" s="787">
        <v>9</v>
      </c>
      <c r="M268" s="786">
        <v>0</v>
      </c>
      <c r="N268" s="981" t="s">
        <v>590</v>
      </c>
      <c r="O268" s="1286" t="s">
        <v>227</v>
      </c>
      <c r="P268" s="787">
        <v>0</v>
      </c>
      <c r="Q268" s="530">
        <v>95.274000000000001</v>
      </c>
      <c r="R268" s="911">
        <v>3</v>
      </c>
      <c r="S268" s="912"/>
      <c r="T268" s="1264"/>
      <c r="U268" s="1261"/>
    </row>
    <row r="269" spans="1:21" ht="14.25" customHeight="1" thickTop="1" thickBot="1">
      <c r="A269" s="1244"/>
      <c r="B269" s="1245" t="s">
        <v>902</v>
      </c>
      <c r="C269" s="1287" t="s">
        <v>910</v>
      </c>
      <c r="D269" s="1287" t="s">
        <v>1061</v>
      </c>
      <c r="E269" s="1245" t="s">
        <v>1595</v>
      </c>
      <c r="F269" s="1245" t="s">
        <v>1062</v>
      </c>
      <c r="G269" s="528">
        <v>41999</v>
      </c>
      <c r="H269" s="885">
        <v>18</v>
      </c>
      <c r="I269" s="890">
        <v>92.259</v>
      </c>
      <c r="J269" s="529">
        <v>433.221</v>
      </c>
      <c r="K269" s="783">
        <v>20</v>
      </c>
      <c r="L269" s="784">
        <v>6</v>
      </c>
      <c r="M269" s="783">
        <v>1</v>
      </c>
      <c r="N269" s="980" t="s">
        <v>369</v>
      </c>
      <c r="O269" s="1288" t="s">
        <v>227</v>
      </c>
      <c r="P269" s="784">
        <v>0</v>
      </c>
      <c r="Q269" s="529">
        <v>26.338000000000001</v>
      </c>
      <c r="R269" s="913">
        <v>2</v>
      </c>
      <c r="S269" s="914"/>
      <c r="T269" s="1264"/>
      <c r="U269" s="1261"/>
    </row>
    <row r="270" spans="1:21" ht="14.25" customHeight="1" thickTop="1" thickBot="1">
      <c r="A270" s="1244"/>
      <c r="B270" s="1249" t="s">
        <v>902</v>
      </c>
      <c r="C270" s="1285" t="s">
        <v>910</v>
      </c>
      <c r="D270" s="1285" t="s">
        <v>1372</v>
      </c>
      <c r="E270" s="1249" t="s">
        <v>1373</v>
      </c>
      <c r="F270" s="1249" t="s">
        <v>1374</v>
      </c>
      <c r="G270" s="785">
        <v>42088</v>
      </c>
      <c r="H270" s="886">
        <v>15</v>
      </c>
      <c r="I270" s="891">
        <v>43.962000000000003</v>
      </c>
      <c r="J270" s="530">
        <v>2205.9140000000002</v>
      </c>
      <c r="K270" s="786">
        <v>45</v>
      </c>
      <c r="L270" s="787">
        <v>22</v>
      </c>
      <c r="M270" s="786">
        <v>4</v>
      </c>
      <c r="N270" s="981" t="s">
        <v>590</v>
      </c>
      <c r="O270" s="1286" t="s">
        <v>227</v>
      </c>
      <c r="P270" s="787">
        <v>5</v>
      </c>
      <c r="Q270" s="530">
        <v>220.80199999999999</v>
      </c>
      <c r="R270" s="911">
        <v>9</v>
      </c>
      <c r="S270" s="912"/>
      <c r="T270" s="1264"/>
      <c r="U270" s="1261"/>
    </row>
    <row r="271" spans="1:21" ht="14.25" customHeight="1" thickTop="1" thickBot="1">
      <c r="A271" s="1244"/>
      <c r="B271" s="1245" t="s">
        <v>902</v>
      </c>
      <c r="C271" s="1287" t="s">
        <v>1859</v>
      </c>
      <c r="D271" s="1287" t="s">
        <v>3679</v>
      </c>
      <c r="E271" s="1245" t="s">
        <v>3680</v>
      </c>
      <c r="F271" s="1245" t="s">
        <v>3681</v>
      </c>
      <c r="G271" s="528">
        <v>42536</v>
      </c>
      <c r="H271" s="885">
        <v>0</v>
      </c>
      <c r="I271" s="890"/>
      <c r="J271" s="529">
        <v>105.255</v>
      </c>
      <c r="K271" s="783">
        <v>3</v>
      </c>
      <c r="L271" s="784">
        <v>6</v>
      </c>
      <c r="M271" s="783">
        <v>2</v>
      </c>
      <c r="N271" s="980" t="s">
        <v>227</v>
      </c>
      <c r="O271" s="1288" t="s">
        <v>227</v>
      </c>
      <c r="P271" s="784">
        <v>4</v>
      </c>
      <c r="Q271" s="529">
        <v>105.255</v>
      </c>
      <c r="R271" s="913">
        <v>3</v>
      </c>
      <c r="S271" s="914"/>
      <c r="T271" s="1264"/>
      <c r="U271" s="1261"/>
    </row>
    <row r="272" spans="1:21" ht="14.25" customHeight="1" thickTop="1" thickBot="1">
      <c r="A272" s="1244"/>
      <c r="B272" s="1249" t="s">
        <v>3170</v>
      </c>
      <c r="C272" s="1285" t="s">
        <v>227</v>
      </c>
      <c r="D272" s="1285" t="s">
        <v>214</v>
      </c>
      <c r="E272" s="1249" t="s">
        <v>2090</v>
      </c>
      <c r="F272" s="1249" t="s">
        <v>215</v>
      </c>
      <c r="G272" s="785">
        <v>41373</v>
      </c>
      <c r="H272" s="886">
        <v>39</v>
      </c>
      <c r="I272" s="891">
        <v>742.15300000000002</v>
      </c>
      <c r="J272" s="530">
        <v>1039.5229999999999</v>
      </c>
      <c r="K272" s="786">
        <v>45</v>
      </c>
      <c r="L272" s="787">
        <v>18</v>
      </c>
      <c r="M272" s="786">
        <v>1</v>
      </c>
      <c r="N272" s="981" t="s">
        <v>332</v>
      </c>
      <c r="O272" s="1286" t="s">
        <v>227</v>
      </c>
      <c r="P272" s="787">
        <v>1</v>
      </c>
      <c r="Q272" s="530">
        <v>21.603000000000002</v>
      </c>
      <c r="R272" s="911">
        <v>2</v>
      </c>
      <c r="S272" s="912"/>
      <c r="T272" s="1264"/>
      <c r="U272" s="1261"/>
    </row>
    <row r="273" spans="1:21" ht="14.25" customHeight="1" thickTop="1" thickBot="1">
      <c r="A273" s="1244"/>
      <c r="B273" s="1245" t="s">
        <v>3170</v>
      </c>
      <c r="C273" s="1287" t="s">
        <v>227</v>
      </c>
      <c r="D273" s="1287" t="s">
        <v>213</v>
      </c>
      <c r="E273" s="1245" t="s">
        <v>310</v>
      </c>
      <c r="F273" s="1245" t="s">
        <v>216</v>
      </c>
      <c r="G273" s="528">
        <v>41389</v>
      </c>
      <c r="H273" s="885">
        <v>39</v>
      </c>
      <c r="I273" s="890">
        <v>466.21699999999998</v>
      </c>
      <c r="J273" s="529">
        <v>1519.0060000000001</v>
      </c>
      <c r="K273" s="783">
        <v>65</v>
      </c>
      <c r="L273" s="784">
        <v>27</v>
      </c>
      <c r="M273" s="783">
        <v>0</v>
      </c>
      <c r="N273" s="980" t="s">
        <v>332</v>
      </c>
      <c r="O273" s="1288" t="s">
        <v>227</v>
      </c>
      <c r="P273" s="784">
        <v>1</v>
      </c>
      <c r="Q273" s="529">
        <v>41.280999999999999</v>
      </c>
      <c r="R273" s="913">
        <v>3</v>
      </c>
      <c r="S273" s="914"/>
      <c r="T273" s="1264"/>
      <c r="U273" s="1261"/>
    </row>
    <row r="274" spans="1:21" ht="14.25" customHeight="1" thickTop="1" thickBot="1">
      <c r="A274" s="1244"/>
      <c r="B274" s="1249" t="s">
        <v>3170</v>
      </c>
      <c r="C274" s="1285" t="s">
        <v>227</v>
      </c>
      <c r="D274" s="1285" t="s">
        <v>1877</v>
      </c>
      <c r="E274" s="1249" t="s">
        <v>1878</v>
      </c>
      <c r="F274" s="1249" t="s">
        <v>1879</v>
      </c>
      <c r="G274" s="785">
        <v>42201</v>
      </c>
      <c r="H274" s="886">
        <v>11</v>
      </c>
      <c r="I274" s="891">
        <v>2004.9880000000001</v>
      </c>
      <c r="J274" s="530">
        <v>5626.69</v>
      </c>
      <c r="K274" s="786">
        <v>185</v>
      </c>
      <c r="L274" s="787">
        <v>70</v>
      </c>
      <c r="M274" s="786">
        <v>5</v>
      </c>
      <c r="N274" s="981" t="s">
        <v>590</v>
      </c>
      <c r="O274" s="1286" t="s">
        <v>227</v>
      </c>
      <c r="P274" s="787">
        <v>6</v>
      </c>
      <c r="Q274" s="530">
        <v>786.15599999999995</v>
      </c>
      <c r="R274" s="911">
        <v>15</v>
      </c>
      <c r="S274" s="912"/>
      <c r="T274" s="1264"/>
      <c r="U274" s="1261"/>
    </row>
    <row r="275" spans="1:21" ht="14.25" customHeight="1" thickTop="1" thickBot="1">
      <c r="A275" s="1244"/>
      <c r="B275" s="1245" t="s">
        <v>3170</v>
      </c>
      <c r="C275" s="1287" t="s">
        <v>360</v>
      </c>
      <c r="D275" s="1287" t="s">
        <v>444</v>
      </c>
      <c r="E275" s="1245" t="s">
        <v>764</v>
      </c>
      <c r="F275" s="1245" t="s">
        <v>445</v>
      </c>
      <c r="G275" s="528">
        <v>41541</v>
      </c>
      <c r="H275" s="885">
        <v>33</v>
      </c>
      <c r="I275" s="890">
        <v>564.16800000000001</v>
      </c>
      <c r="J275" s="529">
        <v>1169.3920000000001</v>
      </c>
      <c r="K275" s="783">
        <v>46</v>
      </c>
      <c r="L275" s="784">
        <v>12</v>
      </c>
      <c r="M275" s="783">
        <v>1</v>
      </c>
      <c r="N275" s="980" t="s">
        <v>332</v>
      </c>
      <c r="O275" s="1288" t="s">
        <v>227</v>
      </c>
      <c r="P275" s="784">
        <v>1</v>
      </c>
      <c r="Q275" s="529">
        <v>63.582000000000001</v>
      </c>
      <c r="R275" s="913">
        <v>3</v>
      </c>
      <c r="S275" s="914"/>
      <c r="T275" s="1264"/>
      <c r="U275" s="1261"/>
    </row>
    <row r="276" spans="1:21" ht="14.25" customHeight="1" thickTop="1" thickBot="1">
      <c r="A276" s="1244"/>
      <c r="B276" s="1249" t="s">
        <v>3170</v>
      </c>
      <c r="C276" s="1285" t="s">
        <v>360</v>
      </c>
      <c r="D276" s="1285" t="s">
        <v>769</v>
      </c>
      <c r="E276" s="1249" t="s">
        <v>1596</v>
      </c>
      <c r="F276" s="1249" t="s">
        <v>770</v>
      </c>
      <c r="G276" s="785">
        <v>41815</v>
      </c>
      <c r="H276" s="886">
        <v>24</v>
      </c>
      <c r="I276" s="891">
        <v>231.34800000000001</v>
      </c>
      <c r="J276" s="530">
        <v>1005.808</v>
      </c>
      <c r="K276" s="786">
        <v>26</v>
      </c>
      <c r="L276" s="787">
        <v>8</v>
      </c>
      <c r="M276" s="786">
        <v>1</v>
      </c>
      <c r="N276" s="981" t="s">
        <v>590</v>
      </c>
      <c r="O276" s="1286" t="s">
        <v>227</v>
      </c>
      <c r="P276" s="787">
        <v>0</v>
      </c>
      <c r="Q276" s="530"/>
      <c r="R276" s="911">
        <v>0</v>
      </c>
      <c r="S276" s="912"/>
      <c r="T276" s="1264"/>
      <c r="U276" s="1261"/>
    </row>
    <row r="277" spans="1:21" ht="14.25" customHeight="1" thickTop="1" thickBot="1">
      <c r="A277" s="1244"/>
      <c r="B277" s="1245" t="s">
        <v>3171</v>
      </c>
      <c r="C277" s="1287" t="s">
        <v>667</v>
      </c>
      <c r="D277" s="1287" t="s">
        <v>1867</v>
      </c>
      <c r="E277" s="1245" t="s">
        <v>1868</v>
      </c>
      <c r="F277" s="1245" t="s">
        <v>1869</v>
      </c>
      <c r="G277" s="528">
        <v>42201</v>
      </c>
      <c r="H277" s="885">
        <v>11</v>
      </c>
      <c r="I277" s="890">
        <v>159.589</v>
      </c>
      <c r="J277" s="529">
        <v>406.62299999999999</v>
      </c>
      <c r="K277" s="783">
        <v>20</v>
      </c>
      <c r="L277" s="784">
        <v>10</v>
      </c>
      <c r="M277" s="783">
        <v>1</v>
      </c>
      <c r="N277" s="980" t="s">
        <v>369</v>
      </c>
      <c r="O277" s="1288" t="s">
        <v>227</v>
      </c>
      <c r="P277" s="784">
        <v>1</v>
      </c>
      <c r="Q277" s="529"/>
      <c r="R277" s="913">
        <v>0</v>
      </c>
      <c r="S277" s="914"/>
      <c r="T277" s="1264"/>
      <c r="U277" s="1261"/>
    </row>
    <row r="278" spans="1:21" ht="14.25" customHeight="1" thickTop="1" thickBot="1">
      <c r="A278" s="1244"/>
      <c r="B278" s="1249" t="s">
        <v>642</v>
      </c>
      <c r="C278" s="1285" t="s">
        <v>227</v>
      </c>
      <c r="D278" s="1285" t="s">
        <v>759</v>
      </c>
      <c r="E278" s="1249" t="s">
        <v>760</v>
      </c>
      <c r="F278" s="1249" t="s">
        <v>761</v>
      </c>
      <c r="G278" s="785">
        <v>41806</v>
      </c>
      <c r="H278" s="886">
        <v>24</v>
      </c>
      <c r="I278" s="891">
        <v>766.47500000000002</v>
      </c>
      <c r="J278" s="530">
        <v>759.37599999999998</v>
      </c>
      <c r="K278" s="786">
        <v>23</v>
      </c>
      <c r="L278" s="787">
        <v>5</v>
      </c>
      <c r="M278" s="786">
        <v>0</v>
      </c>
      <c r="N278" s="981" t="s">
        <v>590</v>
      </c>
      <c r="O278" s="1286" t="s">
        <v>227</v>
      </c>
      <c r="P278" s="787">
        <v>0</v>
      </c>
      <c r="Q278" s="530">
        <v>25.251999999999999</v>
      </c>
      <c r="R278" s="911">
        <v>1</v>
      </c>
      <c r="S278" s="912"/>
      <c r="T278" s="1264"/>
      <c r="U278" s="1261"/>
    </row>
    <row r="279" spans="1:21" ht="14.25" customHeight="1" thickTop="1" thickBot="1">
      <c r="A279" s="1244"/>
      <c r="B279" s="1245" t="s">
        <v>642</v>
      </c>
      <c r="C279" s="1287" t="s">
        <v>2227</v>
      </c>
      <c r="D279" s="1287" t="s">
        <v>2237</v>
      </c>
      <c r="E279" s="1245" t="s">
        <v>2238</v>
      </c>
      <c r="F279" s="1245" t="s">
        <v>2239</v>
      </c>
      <c r="G279" s="528">
        <v>42305</v>
      </c>
      <c r="H279" s="885">
        <v>8</v>
      </c>
      <c r="I279" s="890">
        <v>624.69299999999998</v>
      </c>
      <c r="J279" s="529">
        <v>805.279</v>
      </c>
      <c r="K279" s="783">
        <v>35</v>
      </c>
      <c r="L279" s="784">
        <v>14</v>
      </c>
      <c r="M279" s="783">
        <v>1</v>
      </c>
      <c r="N279" s="980" t="s">
        <v>590</v>
      </c>
      <c r="O279" s="1288" t="s">
        <v>227</v>
      </c>
      <c r="P279" s="784">
        <v>2</v>
      </c>
      <c r="Q279" s="529">
        <v>138.303</v>
      </c>
      <c r="R279" s="913">
        <v>5</v>
      </c>
      <c r="S279" s="914"/>
      <c r="T279" s="1264"/>
      <c r="U279" s="1261"/>
    </row>
    <row r="280" spans="1:21" ht="14.25" customHeight="1" thickTop="1" thickBot="1">
      <c r="A280" s="1244"/>
      <c r="B280" s="1249" t="s">
        <v>642</v>
      </c>
      <c r="C280" s="1285" t="s">
        <v>2568</v>
      </c>
      <c r="D280" s="1285" t="s">
        <v>706</v>
      </c>
      <c r="E280" s="1249" t="s">
        <v>724</v>
      </c>
      <c r="F280" s="1249" t="s">
        <v>717</v>
      </c>
      <c r="G280" s="785">
        <v>41768</v>
      </c>
      <c r="H280" s="886">
        <v>26</v>
      </c>
      <c r="I280" s="891">
        <v>423.28100000000001</v>
      </c>
      <c r="J280" s="530">
        <v>835.87900000000002</v>
      </c>
      <c r="K280" s="786">
        <v>40</v>
      </c>
      <c r="L280" s="787">
        <v>16</v>
      </c>
      <c r="M280" s="786">
        <v>2</v>
      </c>
      <c r="N280" s="981" t="s">
        <v>590</v>
      </c>
      <c r="O280" s="1286" t="s">
        <v>227</v>
      </c>
      <c r="P280" s="787">
        <v>1</v>
      </c>
      <c r="Q280" s="530">
        <v>32.789000000000001</v>
      </c>
      <c r="R280" s="911">
        <v>4</v>
      </c>
      <c r="S280" s="912"/>
      <c r="T280" s="1264"/>
      <c r="U280" s="1261"/>
    </row>
    <row r="281" spans="1:21" ht="14.25" customHeight="1" thickTop="1" thickBot="1">
      <c r="A281" s="1244"/>
      <c r="B281" s="1245" t="s">
        <v>642</v>
      </c>
      <c r="C281" s="1287" t="s">
        <v>2568</v>
      </c>
      <c r="D281" s="1287" t="s">
        <v>1489</v>
      </c>
      <c r="E281" s="1245" t="s">
        <v>1550</v>
      </c>
      <c r="F281" s="1245" t="s">
        <v>1490</v>
      </c>
      <c r="G281" s="528">
        <v>42109</v>
      </c>
      <c r="H281" s="885">
        <v>14</v>
      </c>
      <c r="I281" s="890">
        <v>394.31400000000002</v>
      </c>
      <c r="J281" s="529">
        <v>1097.431</v>
      </c>
      <c r="K281" s="783">
        <v>12</v>
      </c>
      <c r="L281" s="784">
        <v>3</v>
      </c>
      <c r="M281" s="783">
        <v>1</v>
      </c>
      <c r="N281" s="980" t="s">
        <v>590</v>
      </c>
      <c r="O281" s="1288" t="s">
        <v>227</v>
      </c>
      <c r="P281" s="784">
        <v>0</v>
      </c>
      <c r="Q281" s="529">
        <v>164.422</v>
      </c>
      <c r="R281" s="913">
        <v>1</v>
      </c>
      <c r="S281" s="914"/>
      <c r="T281" s="1264"/>
      <c r="U281" s="1261"/>
    </row>
    <row r="282" spans="1:21" ht="14.25" customHeight="1" thickTop="1" thickBot="1">
      <c r="A282" s="1244"/>
      <c r="B282" s="1249" t="s">
        <v>642</v>
      </c>
      <c r="C282" s="1285" t="s">
        <v>2568</v>
      </c>
      <c r="D282" s="1285" t="s">
        <v>1491</v>
      </c>
      <c r="E282" s="1249" t="s">
        <v>1551</v>
      </c>
      <c r="F282" s="1249" t="s">
        <v>1492</v>
      </c>
      <c r="G282" s="785">
        <v>42116</v>
      </c>
      <c r="H282" s="886">
        <v>14</v>
      </c>
      <c r="I282" s="891">
        <v>479.36099999999999</v>
      </c>
      <c r="J282" s="530">
        <v>784.85</v>
      </c>
      <c r="K282" s="786">
        <v>33</v>
      </c>
      <c r="L282" s="787">
        <v>10</v>
      </c>
      <c r="M282" s="786">
        <v>2</v>
      </c>
      <c r="N282" s="981" t="s">
        <v>590</v>
      </c>
      <c r="O282" s="1286" t="s">
        <v>227</v>
      </c>
      <c r="P282" s="787">
        <v>1</v>
      </c>
      <c r="Q282" s="530">
        <v>61.328000000000003</v>
      </c>
      <c r="R282" s="911">
        <v>4</v>
      </c>
      <c r="S282" s="912"/>
      <c r="T282" s="1264"/>
      <c r="U282" s="1261"/>
    </row>
    <row r="283" spans="1:21" ht="14.25" customHeight="1" thickTop="1" thickBot="1">
      <c r="A283" s="1244"/>
      <c r="B283" s="1245" t="s">
        <v>91</v>
      </c>
      <c r="C283" s="1287" t="s">
        <v>227</v>
      </c>
      <c r="D283" s="1287" t="s">
        <v>114</v>
      </c>
      <c r="E283" s="1245" t="s">
        <v>1880</v>
      </c>
      <c r="F283" s="1245" t="s">
        <v>324</v>
      </c>
      <c r="G283" s="528">
        <v>41248</v>
      </c>
      <c r="H283" s="885">
        <v>43</v>
      </c>
      <c r="I283" s="890">
        <v>104.758</v>
      </c>
      <c r="J283" s="529">
        <v>3142.1419999999998</v>
      </c>
      <c r="K283" s="783">
        <v>78</v>
      </c>
      <c r="L283" s="784">
        <v>20</v>
      </c>
      <c r="M283" s="783">
        <v>0</v>
      </c>
      <c r="N283" s="980" t="s">
        <v>332</v>
      </c>
      <c r="O283" s="1288" t="s">
        <v>227</v>
      </c>
      <c r="P283" s="784">
        <v>1</v>
      </c>
      <c r="Q283" s="529">
        <v>245.49299999999999</v>
      </c>
      <c r="R283" s="913">
        <v>7</v>
      </c>
      <c r="S283" s="914"/>
      <c r="T283" s="1264"/>
      <c r="U283" s="1261"/>
    </row>
    <row r="284" spans="1:21" ht="14.25" customHeight="1" thickTop="1" thickBot="1">
      <c r="A284" s="1244"/>
      <c r="B284" s="1249" t="s">
        <v>91</v>
      </c>
      <c r="C284" s="1285" t="s">
        <v>227</v>
      </c>
      <c r="D284" s="1285" t="s">
        <v>446</v>
      </c>
      <c r="E284" s="1249" t="s">
        <v>447</v>
      </c>
      <c r="F284" s="1249" t="s">
        <v>448</v>
      </c>
      <c r="G284" s="785">
        <v>41530</v>
      </c>
      <c r="H284" s="886">
        <v>34</v>
      </c>
      <c r="I284" s="891">
        <v>328.15699999999998</v>
      </c>
      <c r="J284" s="530">
        <v>441.99400000000003</v>
      </c>
      <c r="K284" s="786">
        <v>15</v>
      </c>
      <c r="L284" s="787">
        <v>5</v>
      </c>
      <c r="M284" s="786">
        <v>1</v>
      </c>
      <c r="N284" s="981" t="s">
        <v>332</v>
      </c>
      <c r="O284" s="1286" t="s">
        <v>227</v>
      </c>
      <c r="P284" s="787">
        <v>0</v>
      </c>
      <c r="Q284" s="530">
        <v>153.06100000000001</v>
      </c>
      <c r="R284" s="911">
        <v>2</v>
      </c>
      <c r="S284" s="912"/>
      <c r="T284" s="1264"/>
      <c r="U284" s="1261"/>
    </row>
    <row r="285" spans="1:21" ht="14.25" customHeight="1" thickTop="1" thickBot="1">
      <c r="A285" s="1244"/>
      <c r="B285" s="1245" t="s">
        <v>91</v>
      </c>
      <c r="C285" s="1287" t="s">
        <v>227</v>
      </c>
      <c r="D285" s="1287" t="s">
        <v>679</v>
      </c>
      <c r="E285" s="1245" t="s">
        <v>680</v>
      </c>
      <c r="F285" s="1245" t="s">
        <v>681</v>
      </c>
      <c r="G285" s="528">
        <v>41740</v>
      </c>
      <c r="H285" s="885">
        <v>27</v>
      </c>
      <c r="I285" s="890">
        <v>42.387999999999998</v>
      </c>
      <c r="J285" s="529">
        <v>2214.279</v>
      </c>
      <c r="K285" s="783">
        <v>92</v>
      </c>
      <c r="L285" s="784">
        <v>45</v>
      </c>
      <c r="M285" s="783">
        <v>0</v>
      </c>
      <c r="N285" s="980" t="s">
        <v>590</v>
      </c>
      <c r="O285" s="1288" t="s">
        <v>227</v>
      </c>
      <c r="P285" s="784">
        <v>3</v>
      </c>
      <c r="Q285" s="529">
        <v>184.744</v>
      </c>
      <c r="R285" s="913">
        <v>10</v>
      </c>
      <c r="S285" s="914"/>
      <c r="T285" s="1264"/>
      <c r="U285" s="1261"/>
    </row>
    <row r="286" spans="1:21" ht="14.25" customHeight="1" thickTop="1" thickBot="1">
      <c r="A286" s="1244"/>
      <c r="B286" s="1249" t="s">
        <v>91</v>
      </c>
      <c r="C286" s="1285" t="s">
        <v>227</v>
      </c>
      <c r="D286" s="1285" t="s">
        <v>843</v>
      </c>
      <c r="E286" s="1249" t="s">
        <v>2091</v>
      </c>
      <c r="F286" s="1249" t="s">
        <v>844</v>
      </c>
      <c r="G286" s="785">
        <v>42195</v>
      </c>
      <c r="H286" s="886">
        <v>23</v>
      </c>
      <c r="I286" s="891">
        <v>1318.182</v>
      </c>
      <c r="J286" s="530">
        <v>2878.3879999999999</v>
      </c>
      <c r="K286" s="786">
        <v>71</v>
      </c>
      <c r="L286" s="787">
        <v>19</v>
      </c>
      <c r="M286" s="786">
        <v>2</v>
      </c>
      <c r="N286" s="981" t="s">
        <v>590</v>
      </c>
      <c r="O286" s="1286" t="s">
        <v>227</v>
      </c>
      <c r="P286" s="787">
        <v>1</v>
      </c>
      <c r="Q286" s="530">
        <v>245.49299999999999</v>
      </c>
      <c r="R286" s="911">
        <v>7</v>
      </c>
      <c r="S286" s="912"/>
      <c r="T286" s="1264"/>
      <c r="U286" s="1261"/>
    </row>
    <row r="287" spans="1:21" ht="14.25" customHeight="1" thickTop="1" thickBot="1">
      <c r="A287" s="1244"/>
      <c r="B287" s="1245" t="s">
        <v>91</v>
      </c>
      <c r="C287" s="1287" t="s">
        <v>227</v>
      </c>
      <c r="D287" s="1287" t="s">
        <v>851</v>
      </c>
      <c r="E287" s="1245" t="s">
        <v>3494</v>
      </c>
      <c r="F287" s="1245" t="s">
        <v>852</v>
      </c>
      <c r="G287" s="528">
        <v>41878</v>
      </c>
      <c r="H287" s="885">
        <v>22</v>
      </c>
      <c r="I287" s="890">
        <v>298.755</v>
      </c>
      <c r="J287" s="529">
        <v>524.16999999999996</v>
      </c>
      <c r="K287" s="783">
        <v>31</v>
      </c>
      <c r="L287" s="784">
        <v>15</v>
      </c>
      <c r="M287" s="783">
        <v>1</v>
      </c>
      <c r="N287" s="980" t="s">
        <v>369</v>
      </c>
      <c r="O287" s="1288" t="s">
        <v>227</v>
      </c>
      <c r="P287" s="784">
        <v>3</v>
      </c>
      <c r="Q287" s="529">
        <v>88.393000000000001</v>
      </c>
      <c r="R287" s="913">
        <v>5</v>
      </c>
      <c r="S287" s="914"/>
      <c r="T287" s="1264"/>
      <c r="U287" s="1261"/>
    </row>
    <row r="288" spans="1:21" ht="14.25" customHeight="1" thickTop="1" thickBot="1">
      <c r="A288" s="1244"/>
      <c r="B288" s="1249" t="s">
        <v>91</v>
      </c>
      <c r="C288" s="1285" t="s">
        <v>227</v>
      </c>
      <c r="D288" s="1285" t="s">
        <v>888</v>
      </c>
      <c r="E288" s="1249" t="s">
        <v>2452</v>
      </c>
      <c r="F288" s="1249" t="s">
        <v>561</v>
      </c>
      <c r="G288" s="785">
        <v>41906</v>
      </c>
      <c r="H288" s="886">
        <v>21</v>
      </c>
      <c r="I288" s="891">
        <v>314.86</v>
      </c>
      <c r="J288" s="530">
        <v>1355.1179999999999</v>
      </c>
      <c r="K288" s="786">
        <v>49</v>
      </c>
      <c r="L288" s="787">
        <v>29</v>
      </c>
      <c r="M288" s="786">
        <v>3</v>
      </c>
      <c r="N288" s="981" t="s">
        <v>590</v>
      </c>
      <c r="O288" s="1286" t="s">
        <v>227</v>
      </c>
      <c r="P288" s="787">
        <v>0</v>
      </c>
      <c r="Q288" s="530">
        <v>96.350999999999999</v>
      </c>
      <c r="R288" s="911">
        <v>5</v>
      </c>
      <c r="S288" s="912"/>
      <c r="T288" s="1264"/>
      <c r="U288" s="1261"/>
    </row>
    <row r="289" spans="1:21" ht="14.25" customHeight="1" thickTop="1" thickBot="1">
      <c r="A289" s="1244"/>
      <c r="B289" s="1245" t="s">
        <v>91</v>
      </c>
      <c r="C289" s="1287" t="s">
        <v>227</v>
      </c>
      <c r="D289" s="1287" t="s">
        <v>1022</v>
      </c>
      <c r="E289" s="1245" t="s">
        <v>1023</v>
      </c>
      <c r="F289" s="1245" t="s">
        <v>1024</v>
      </c>
      <c r="G289" s="528">
        <v>41989</v>
      </c>
      <c r="H289" s="885">
        <v>18</v>
      </c>
      <c r="I289" s="890">
        <v>104.645</v>
      </c>
      <c r="J289" s="529"/>
      <c r="K289" s="783">
        <v>0</v>
      </c>
      <c r="L289" s="784">
        <v>2</v>
      </c>
      <c r="M289" s="783">
        <v>0</v>
      </c>
      <c r="N289" s="980" t="s">
        <v>332</v>
      </c>
      <c r="O289" s="1288" t="s">
        <v>227</v>
      </c>
      <c r="P289" s="784">
        <v>0</v>
      </c>
      <c r="Q289" s="529"/>
      <c r="R289" s="913">
        <v>0</v>
      </c>
      <c r="S289" s="914"/>
      <c r="T289" s="1264"/>
      <c r="U289" s="1261"/>
    </row>
    <row r="290" spans="1:21" ht="14.25" customHeight="1" thickTop="1" thickBot="1">
      <c r="A290" s="1244"/>
      <c r="B290" s="1249" t="s">
        <v>91</v>
      </c>
      <c r="C290" s="1285" t="s">
        <v>272</v>
      </c>
      <c r="D290" s="1285" t="s">
        <v>316</v>
      </c>
      <c r="E290" s="1249" t="s">
        <v>317</v>
      </c>
      <c r="F290" s="1249" t="s">
        <v>318</v>
      </c>
      <c r="G290" s="785">
        <v>41467</v>
      </c>
      <c r="H290" s="886">
        <v>36</v>
      </c>
      <c r="I290" s="891">
        <v>125.77200000000001</v>
      </c>
      <c r="J290" s="530">
        <v>1368.4749999999999</v>
      </c>
      <c r="K290" s="786">
        <v>62</v>
      </c>
      <c r="L290" s="787">
        <v>20</v>
      </c>
      <c r="M290" s="786">
        <v>1</v>
      </c>
      <c r="N290" s="981" t="s">
        <v>332</v>
      </c>
      <c r="O290" s="1286" t="s">
        <v>227</v>
      </c>
      <c r="P290" s="787">
        <v>2</v>
      </c>
      <c r="Q290" s="530">
        <v>88.106999999999999</v>
      </c>
      <c r="R290" s="911">
        <v>3</v>
      </c>
      <c r="S290" s="912"/>
      <c r="T290" s="1264"/>
      <c r="U290" s="1261"/>
    </row>
    <row r="291" spans="1:21" ht="14.25" customHeight="1" thickTop="1" thickBot="1">
      <c r="A291" s="1244"/>
      <c r="B291" s="1245" t="s">
        <v>91</v>
      </c>
      <c r="C291" s="1287" t="s">
        <v>272</v>
      </c>
      <c r="D291" s="1287" t="s">
        <v>467</v>
      </c>
      <c r="E291" s="1245" t="s">
        <v>471</v>
      </c>
      <c r="F291" s="1245" t="s">
        <v>469</v>
      </c>
      <c r="G291" s="528">
        <v>41603</v>
      </c>
      <c r="H291" s="885">
        <v>31</v>
      </c>
      <c r="I291" s="890">
        <v>158.91800000000001</v>
      </c>
      <c r="J291" s="529">
        <v>158.91800000000001</v>
      </c>
      <c r="K291" s="783">
        <v>8</v>
      </c>
      <c r="L291" s="784">
        <v>4</v>
      </c>
      <c r="M291" s="783">
        <v>0</v>
      </c>
      <c r="N291" s="980" t="s">
        <v>332</v>
      </c>
      <c r="O291" s="1288" t="s">
        <v>227</v>
      </c>
      <c r="P291" s="784">
        <v>1</v>
      </c>
      <c r="Q291" s="529">
        <v>10.266999999999999</v>
      </c>
      <c r="R291" s="913">
        <v>1</v>
      </c>
      <c r="S291" s="914"/>
      <c r="T291" s="1264"/>
      <c r="U291" s="1261"/>
    </row>
    <row r="292" spans="1:21" ht="14.25" customHeight="1" thickTop="1" thickBot="1">
      <c r="A292" s="1244"/>
      <c r="B292" s="1249" t="s">
        <v>91</v>
      </c>
      <c r="C292" s="1285" t="s">
        <v>272</v>
      </c>
      <c r="D292" s="1285" t="s">
        <v>489</v>
      </c>
      <c r="E292" s="1249" t="s">
        <v>1690</v>
      </c>
      <c r="F292" s="1249" t="s">
        <v>328</v>
      </c>
      <c r="G292" s="785">
        <v>41927</v>
      </c>
      <c r="H292" s="886">
        <v>31</v>
      </c>
      <c r="I292" s="891">
        <v>52.317999999999998</v>
      </c>
      <c r="J292" s="530">
        <v>215.86</v>
      </c>
      <c r="K292" s="786">
        <v>11</v>
      </c>
      <c r="L292" s="787">
        <v>5</v>
      </c>
      <c r="M292" s="786">
        <v>1</v>
      </c>
      <c r="N292" s="981" t="s">
        <v>332</v>
      </c>
      <c r="O292" s="1286" t="s">
        <v>227</v>
      </c>
      <c r="P292" s="787">
        <v>0</v>
      </c>
      <c r="Q292" s="530"/>
      <c r="R292" s="911">
        <v>0</v>
      </c>
      <c r="S292" s="912"/>
      <c r="T292" s="1264"/>
      <c r="U292" s="1261"/>
    </row>
    <row r="293" spans="1:21" ht="14.25" customHeight="1" thickTop="1" thickBot="1">
      <c r="A293" s="1244"/>
      <c r="B293" s="1245" t="s">
        <v>91</v>
      </c>
      <c r="C293" s="1287" t="s">
        <v>272</v>
      </c>
      <c r="D293" s="1287" t="s">
        <v>638</v>
      </c>
      <c r="E293" s="1245" t="s">
        <v>1038</v>
      </c>
      <c r="F293" s="1245" t="s">
        <v>634</v>
      </c>
      <c r="G293" s="528">
        <v>41768</v>
      </c>
      <c r="H293" s="885">
        <v>28</v>
      </c>
      <c r="I293" s="890">
        <v>112.425</v>
      </c>
      <c r="J293" s="529">
        <v>173.01499999999999</v>
      </c>
      <c r="K293" s="783">
        <v>11</v>
      </c>
      <c r="L293" s="784">
        <v>5</v>
      </c>
      <c r="M293" s="783">
        <v>1</v>
      </c>
      <c r="N293" s="980" t="s">
        <v>332</v>
      </c>
      <c r="O293" s="1288" t="s">
        <v>227</v>
      </c>
      <c r="P293" s="784">
        <v>2</v>
      </c>
      <c r="Q293" s="529">
        <v>88.106999999999999</v>
      </c>
      <c r="R293" s="913">
        <v>3</v>
      </c>
      <c r="S293" s="914"/>
      <c r="T293" s="1264"/>
      <c r="U293" s="1261"/>
    </row>
    <row r="294" spans="1:21" ht="14.25" customHeight="1" thickTop="1" thickBot="1">
      <c r="A294" s="1244"/>
      <c r="B294" s="1249" t="s">
        <v>91</v>
      </c>
      <c r="C294" s="1285" t="s">
        <v>487</v>
      </c>
      <c r="D294" s="1285" t="s">
        <v>220</v>
      </c>
      <c r="E294" s="1249" t="s">
        <v>312</v>
      </c>
      <c r="F294" s="1249" t="s">
        <v>221</v>
      </c>
      <c r="G294" s="785">
        <v>41375</v>
      </c>
      <c r="H294" s="886">
        <v>39</v>
      </c>
      <c r="I294" s="891">
        <v>579.14700000000005</v>
      </c>
      <c r="J294" s="530">
        <v>845.00099999999998</v>
      </c>
      <c r="K294" s="786">
        <v>25</v>
      </c>
      <c r="L294" s="787">
        <v>15</v>
      </c>
      <c r="M294" s="786">
        <v>2</v>
      </c>
      <c r="N294" s="981" t="s">
        <v>332</v>
      </c>
      <c r="O294" s="1286" t="s">
        <v>227</v>
      </c>
      <c r="P294" s="787">
        <v>0</v>
      </c>
      <c r="Q294" s="530"/>
      <c r="R294" s="911">
        <v>0</v>
      </c>
      <c r="S294" s="912"/>
      <c r="T294" s="1264"/>
      <c r="U294" s="1261"/>
    </row>
    <row r="295" spans="1:21" ht="14.25" customHeight="1" thickTop="1" thickBot="1">
      <c r="A295" s="1244"/>
      <c r="B295" s="1245" t="s">
        <v>91</v>
      </c>
      <c r="C295" s="1287" t="s">
        <v>490</v>
      </c>
      <c r="D295" s="1287" t="s">
        <v>492</v>
      </c>
      <c r="E295" s="1245" t="s">
        <v>922</v>
      </c>
      <c r="F295" s="1245" t="s">
        <v>493</v>
      </c>
      <c r="G295" s="528">
        <v>41632</v>
      </c>
      <c r="H295" s="885">
        <v>30</v>
      </c>
      <c r="I295" s="890">
        <v>2018.7919999999999</v>
      </c>
      <c r="J295" s="529">
        <v>2814.7829999999999</v>
      </c>
      <c r="K295" s="783">
        <v>89</v>
      </c>
      <c r="L295" s="784">
        <v>23</v>
      </c>
      <c r="M295" s="783">
        <v>0</v>
      </c>
      <c r="N295" s="980" t="s">
        <v>590</v>
      </c>
      <c r="O295" s="1288" t="s">
        <v>227</v>
      </c>
      <c r="P295" s="784">
        <v>0</v>
      </c>
      <c r="Q295" s="529">
        <v>348.279</v>
      </c>
      <c r="R295" s="913">
        <v>10</v>
      </c>
      <c r="S295" s="914"/>
      <c r="T295" s="1264"/>
      <c r="U295" s="1261"/>
    </row>
    <row r="296" spans="1:21" ht="14.25" customHeight="1" thickTop="1" thickBot="1">
      <c r="A296" s="1244"/>
      <c r="B296" s="1249" t="s">
        <v>91</v>
      </c>
      <c r="C296" s="1285" t="s">
        <v>490</v>
      </c>
      <c r="D296" s="1285" t="s">
        <v>882</v>
      </c>
      <c r="E296" s="1249" t="s">
        <v>2747</v>
      </c>
      <c r="F296" s="1249" t="s">
        <v>883</v>
      </c>
      <c r="G296" s="785">
        <v>41922</v>
      </c>
      <c r="H296" s="886">
        <v>22</v>
      </c>
      <c r="I296" s="891">
        <v>793.73800000000006</v>
      </c>
      <c r="J296" s="530">
        <v>895.29100000000005</v>
      </c>
      <c r="K296" s="786">
        <v>41</v>
      </c>
      <c r="L296" s="787">
        <v>11</v>
      </c>
      <c r="M296" s="786">
        <v>1</v>
      </c>
      <c r="N296" s="981" t="s">
        <v>590</v>
      </c>
      <c r="O296" s="1286" t="s">
        <v>227</v>
      </c>
      <c r="P296" s="787">
        <v>0</v>
      </c>
      <c r="Q296" s="530">
        <v>62.484999999999999</v>
      </c>
      <c r="R296" s="911">
        <v>5</v>
      </c>
      <c r="S296" s="912"/>
      <c r="T296" s="1264"/>
      <c r="U296" s="1261"/>
    </row>
    <row r="297" spans="1:21" ht="14.25" customHeight="1" thickTop="1" thickBot="1">
      <c r="A297" s="1244"/>
      <c r="B297" s="1245" t="s">
        <v>91</v>
      </c>
      <c r="C297" s="1287" t="s">
        <v>490</v>
      </c>
      <c r="D297" s="1287" t="s">
        <v>1629</v>
      </c>
      <c r="E297" s="1245" t="s">
        <v>2574</v>
      </c>
      <c r="F297" s="1245" t="s">
        <v>1630</v>
      </c>
      <c r="G297" s="528">
        <v>42146</v>
      </c>
      <c r="H297" s="885">
        <v>13</v>
      </c>
      <c r="I297" s="890">
        <v>1179.577</v>
      </c>
      <c r="J297" s="529">
        <v>1405.8440000000001</v>
      </c>
      <c r="K297" s="783">
        <v>46</v>
      </c>
      <c r="L297" s="784">
        <v>12</v>
      </c>
      <c r="M297" s="783">
        <v>1</v>
      </c>
      <c r="N297" s="980" t="s">
        <v>590</v>
      </c>
      <c r="O297" s="1288" t="s">
        <v>227</v>
      </c>
      <c r="P297" s="784">
        <v>0</v>
      </c>
      <c r="Q297" s="529">
        <v>31.106000000000002</v>
      </c>
      <c r="R297" s="913">
        <v>2</v>
      </c>
      <c r="S297" s="914"/>
      <c r="T297" s="1264"/>
      <c r="U297" s="1261"/>
    </row>
    <row r="298" spans="1:21" ht="14.25" customHeight="1" thickTop="1" thickBot="1">
      <c r="A298" s="1244"/>
      <c r="B298" s="1249" t="s">
        <v>91</v>
      </c>
      <c r="C298" s="1285" t="s">
        <v>1434</v>
      </c>
      <c r="D298" s="1285" t="s">
        <v>1631</v>
      </c>
      <c r="E298" s="1249" t="s">
        <v>2575</v>
      </c>
      <c r="F298" s="1249" t="s">
        <v>1632</v>
      </c>
      <c r="G298" s="785">
        <v>42150</v>
      </c>
      <c r="H298" s="886">
        <v>13</v>
      </c>
      <c r="I298" s="891">
        <v>460.32</v>
      </c>
      <c r="J298" s="530">
        <v>723.779</v>
      </c>
      <c r="K298" s="786">
        <v>56</v>
      </c>
      <c r="L298" s="787">
        <v>16</v>
      </c>
      <c r="M298" s="786">
        <v>1</v>
      </c>
      <c r="N298" s="981" t="s">
        <v>590</v>
      </c>
      <c r="O298" s="1286" t="s">
        <v>227</v>
      </c>
      <c r="P298" s="787">
        <v>1</v>
      </c>
      <c r="Q298" s="530">
        <v>77.012</v>
      </c>
      <c r="R298" s="911">
        <v>7</v>
      </c>
      <c r="S298" s="912"/>
      <c r="T298" s="1264"/>
      <c r="U298" s="1261"/>
    </row>
    <row r="299" spans="1:21" ht="14.25" customHeight="1" thickTop="1" thickBot="1">
      <c r="A299" s="1244"/>
      <c r="B299" s="1245" t="s">
        <v>91</v>
      </c>
      <c r="C299" s="1287" t="s">
        <v>1585</v>
      </c>
      <c r="D299" s="1287" t="s">
        <v>1497</v>
      </c>
      <c r="E299" s="1245" t="s">
        <v>1552</v>
      </c>
      <c r="F299" s="1245" t="s">
        <v>1498</v>
      </c>
      <c r="G299" s="528">
        <v>42117</v>
      </c>
      <c r="H299" s="885">
        <v>14</v>
      </c>
      <c r="I299" s="890">
        <v>253.47</v>
      </c>
      <c r="J299" s="529">
        <v>688.21699999999998</v>
      </c>
      <c r="K299" s="783">
        <v>57</v>
      </c>
      <c r="L299" s="784">
        <v>16</v>
      </c>
      <c r="M299" s="783">
        <v>3</v>
      </c>
      <c r="N299" s="980" t="s">
        <v>369</v>
      </c>
      <c r="O299" s="1288" t="s">
        <v>227</v>
      </c>
      <c r="P299" s="784">
        <v>0</v>
      </c>
      <c r="Q299" s="529">
        <v>47.338999999999999</v>
      </c>
      <c r="R299" s="913">
        <v>5</v>
      </c>
      <c r="S299" s="914"/>
      <c r="T299" s="1264"/>
      <c r="U299" s="1261"/>
    </row>
    <row r="300" spans="1:21" ht="14.25" customHeight="1" thickTop="1" thickBot="1">
      <c r="A300" s="1244"/>
      <c r="B300" s="1249" t="s">
        <v>734</v>
      </c>
      <c r="C300" s="1285" t="s">
        <v>748</v>
      </c>
      <c r="D300" s="1285" t="s">
        <v>773</v>
      </c>
      <c r="E300" s="1249" t="s">
        <v>809</v>
      </c>
      <c r="F300" s="1249" t="s">
        <v>774</v>
      </c>
      <c r="G300" s="785">
        <v>41808</v>
      </c>
      <c r="H300" s="886">
        <v>24</v>
      </c>
      <c r="I300" s="891">
        <v>164.66200000000001</v>
      </c>
      <c r="J300" s="530">
        <v>588.654</v>
      </c>
      <c r="K300" s="786">
        <v>40</v>
      </c>
      <c r="L300" s="787">
        <v>10</v>
      </c>
      <c r="M300" s="786">
        <v>3</v>
      </c>
      <c r="N300" s="981" t="s">
        <v>369</v>
      </c>
      <c r="O300" s="1286" t="s">
        <v>227</v>
      </c>
      <c r="P300" s="787">
        <v>0</v>
      </c>
      <c r="Q300" s="530">
        <v>45.423999999999999</v>
      </c>
      <c r="R300" s="911">
        <v>3</v>
      </c>
      <c r="S300" s="912"/>
      <c r="T300" s="1264"/>
      <c r="U300" s="1261"/>
    </row>
    <row r="301" spans="1:21" ht="14.25" customHeight="1" thickTop="1" thickBot="1">
      <c r="A301" s="1244"/>
      <c r="B301" s="1245" t="s">
        <v>734</v>
      </c>
      <c r="C301" s="1287" t="s">
        <v>748</v>
      </c>
      <c r="D301" s="1287" t="s">
        <v>874</v>
      </c>
      <c r="E301" s="1245" t="s">
        <v>875</v>
      </c>
      <c r="F301" s="1245" t="s">
        <v>876</v>
      </c>
      <c r="G301" s="528">
        <v>41900</v>
      </c>
      <c r="H301" s="885">
        <v>21</v>
      </c>
      <c r="I301" s="890">
        <v>343.19200000000001</v>
      </c>
      <c r="J301" s="529">
        <v>680.423</v>
      </c>
      <c r="K301" s="783">
        <v>41</v>
      </c>
      <c r="L301" s="784">
        <v>11</v>
      </c>
      <c r="M301" s="783">
        <v>1</v>
      </c>
      <c r="N301" s="980" t="s">
        <v>369</v>
      </c>
      <c r="O301" s="1288" t="s">
        <v>227</v>
      </c>
      <c r="P301" s="784">
        <v>0</v>
      </c>
      <c r="Q301" s="529">
        <v>5.9669999999999996</v>
      </c>
      <c r="R301" s="913">
        <v>1</v>
      </c>
      <c r="S301" s="914"/>
      <c r="T301" s="1264"/>
      <c r="U301" s="1261"/>
    </row>
    <row r="302" spans="1:21" ht="14.25" customHeight="1" thickTop="1" thickBot="1">
      <c r="A302" s="1244"/>
      <c r="B302" s="1249" t="s">
        <v>734</v>
      </c>
      <c r="C302" s="1285" t="s">
        <v>748</v>
      </c>
      <c r="D302" s="1285" t="s">
        <v>923</v>
      </c>
      <c r="E302" s="1249" t="s">
        <v>924</v>
      </c>
      <c r="F302" s="1249" t="s">
        <v>925</v>
      </c>
      <c r="G302" s="785">
        <v>41942</v>
      </c>
      <c r="H302" s="886">
        <v>20</v>
      </c>
      <c r="I302" s="891">
        <v>1220.0989999999999</v>
      </c>
      <c r="J302" s="530">
        <v>2734.2570000000001</v>
      </c>
      <c r="K302" s="786">
        <v>120</v>
      </c>
      <c r="L302" s="787">
        <v>47</v>
      </c>
      <c r="M302" s="786">
        <v>5</v>
      </c>
      <c r="N302" s="981" t="s">
        <v>590</v>
      </c>
      <c r="O302" s="1286" t="s">
        <v>227</v>
      </c>
      <c r="P302" s="787">
        <v>6</v>
      </c>
      <c r="Q302" s="530">
        <v>259.113</v>
      </c>
      <c r="R302" s="911">
        <v>14</v>
      </c>
      <c r="S302" s="912"/>
      <c r="T302" s="1264"/>
      <c r="U302" s="1261"/>
    </row>
    <row r="303" spans="1:21" ht="14.25" customHeight="1" thickTop="1" thickBot="1">
      <c r="A303" s="1244"/>
      <c r="B303" s="1245" t="s">
        <v>734</v>
      </c>
      <c r="C303" s="1287" t="s">
        <v>748</v>
      </c>
      <c r="D303" s="1287" t="s">
        <v>926</v>
      </c>
      <c r="E303" s="1245" t="s">
        <v>927</v>
      </c>
      <c r="F303" s="1245" t="s">
        <v>928</v>
      </c>
      <c r="G303" s="528">
        <v>41943</v>
      </c>
      <c r="H303" s="885">
        <v>20</v>
      </c>
      <c r="I303" s="890">
        <v>340.56900000000002</v>
      </c>
      <c r="J303" s="529">
        <v>365.56900000000002</v>
      </c>
      <c r="K303" s="783">
        <v>20</v>
      </c>
      <c r="L303" s="784">
        <v>12</v>
      </c>
      <c r="M303" s="783">
        <v>0</v>
      </c>
      <c r="N303" s="980" t="s">
        <v>332</v>
      </c>
      <c r="O303" s="1288" t="s">
        <v>227</v>
      </c>
      <c r="P303" s="784">
        <v>2</v>
      </c>
      <c r="Q303" s="529">
        <v>42.743000000000002</v>
      </c>
      <c r="R303" s="913">
        <v>3</v>
      </c>
      <c r="S303" s="914"/>
      <c r="T303" s="1264"/>
      <c r="U303" s="1261"/>
    </row>
    <row r="304" spans="1:21" ht="14.25" customHeight="1" thickTop="1" thickBot="1">
      <c r="A304" s="1244"/>
      <c r="B304" s="1249" t="s">
        <v>734</v>
      </c>
      <c r="C304" s="1285" t="s">
        <v>748</v>
      </c>
      <c r="D304" s="1285" t="s">
        <v>964</v>
      </c>
      <c r="E304" s="1249" t="s">
        <v>965</v>
      </c>
      <c r="F304" s="1249" t="s">
        <v>966</v>
      </c>
      <c r="G304" s="785">
        <v>41963</v>
      </c>
      <c r="H304" s="886">
        <v>19</v>
      </c>
      <c r="I304" s="891">
        <v>172.232</v>
      </c>
      <c r="J304" s="530">
        <v>694.98199999999997</v>
      </c>
      <c r="K304" s="786">
        <v>31</v>
      </c>
      <c r="L304" s="787">
        <v>13</v>
      </c>
      <c r="M304" s="786">
        <v>2</v>
      </c>
      <c r="N304" s="981" t="s">
        <v>369</v>
      </c>
      <c r="O304" s="1286" t="s">
        <v>227</v>
      </c>
      <c r="P304" s="787">
        <v>2</v>
      </c>
      <c r="Q304" s="530">
        <v>20.055</v>
      </c>
      <c r="R304" s="911">
        <v>1</v>
      </c>
      <c r="S304" s="912"/>
      <c r="T304" s="1264"/>
      <c r="U304" s="1261"/>
    </row>
    <row r="305" spans="1:21" ht="14.25" customHeight="1" thickTop="1" thickBot="1">
      <c r="A305" s="1244"/>
      <c r="B305" s="1245" t="s">
        <v>734</v>
      </c>
      <c r="C305" s="1287" t="s">
        <v>748</v>
      </c>
      <c r="D305" s="1287" t="s">
        <v>1691</v>
      </c>
      <c r="E305" s="1245" t="s">
        <v>1692</v>
      </c>
      <c r="F305" s="1245" t="s">
        <v>1693</v>
      </c>
      <c r="G305" s="528">
        <v>42040</v>
      </c>
      <c r="H305" s="885">
        <v>17</v>
      </c>
      <c r="I305" s="890">
        <v>1871.981</v>
      </c>
      <c r="J305" s="529">
        <v>2964.43</v>
      </c>
      <c r="K305" s="783">
        <v>51</v>
      </c>
      <c r="L305" s="784">
        <v>11</v>
      </c>
      <c r="M305" s="783">
        <v>2</v>
      </c>
      <c r="N305" s="980" t="s">
        <v>590</v>
      </c>
      <c r="O305" s="1288" t="s">
        <v>227</v>
      </c>
      <c r="P305" s="784">
        <v>0</v>
      </c>
      <c r="Q305" s="529">
        <v>20.001000000000001</v>
      </c>
      <c r="R305" s="913">
        <v>1</v>
      </c>
      <c r="S305" s="914"/>
      <c r="T305" s="1264"/>
      <c r="U305" s="1261"/>
    </row>
    <row r="306" spans="1:21" ht="14.25" customHeight="1" thickTop="1" thickBot="1">
      <c r="A306" s="1244"/>
      <c r="B306" s="1249" t="s">
        <v>734</v>
      </c>
      <c r="C306" s="1285" t="s">
        <v>748</v>
      </c>
      <c r="D306" s="1285" t="s">
        <v>1881</v>
      </c>
      <c r="E306" s="1249" t="s">
        <v>1882</v>
      </c>
      <c r="F306" s="1249" t="s">
        <v>1883</v>
      </c>
      <c r="G306" s="785">
        <v>42208</v>
      </c>
      <c r="H306" s="886">
        <v>11</v>
      </c>
      <c r="I306" s="891">
        <v>42.052</v>
      </c>
      <c r="J306" s="530">
        <v>528.255</v>
      </c>
      <c r="K306" s="786">
        <v>32</v>
      </c>
      <c r="L306" s="787">
        <v>14</v>
      </c>
      <c r="M306" s="786">
        <v>4</v>
      </c>
      <c r="N306" s="981" t="s">
        <v>369</v>
      </c>
      <c r="O306" s="1286" t="s">
        <v>227</v>
      </c>
      <c r="P306" s="787">
        <v>5</v>
      </c>
      <c r="Q306" s="530">
        <v>35.625</v>
      </c>
      <c r="R306" s="911">
        <v>3</v>
      </c>
      <c r="S306" s="912"/>
      <c r="T306" s="1264"/>
      <c r="U306" s="1261"/>
    </row>
    <row r="307" spans="1:21" ht="14.25" customHeight="1" thickTop="1" thickBot="1">
      <c r="A307" s="1244"/>
      <c r="B307" s="1245" t="s">
        <v>734</v>
      </c>
      <c r="C307" s="1287" t="s">
        <v>748</v>
      </c>
      <c r="D307" s="1287" t="s">
        <v>2092</v>
      </c>
      <c r="E307" s="1245" t="s">
        <v>2093</v>
      </c>
      <c r="F307" s="1245" t="s">
        <v>2094</v>
      </c>
      <c r="G307" s="528">
        <v>42265</v>
      </c>
      <c r="H307" s="885">
        <v>9</v>
      </c>
      <c r="I307" s="890">
        <v>244.08199999999999</v>
      </c>
      <c r="J307" s="529">
        <v>302.41800000000001</v>
      </c>
      <c r="K307" s="783">
        <v>16</v>
      </c>
      <c r="L307" s="784">
        <v>4</v>
      </c>
      <c r="M307" s="783">
        <v>0</v>
      </c>
      <c r="N307" s="980" t="s">
        <v>369</v>
      </c>
      <c r="O307" s="1288" t="s">
        <v>227</v>
      </c>
      <c r="P307" s="784">
        <v>0</v>
      </c>
      <c r="Q307" s="529"/>
      <c r="R307" s="913">
        <v>0</v>
      </c>
      <c r="S307" s="914"/>
      <c r="T307" s="1264"/>
      <c r="U307" s="1261"/>
    </row>
    <row r="308" spans="1:21" ht="14.25" customHeight="1" thickTop="1" thickBot="1">
      <c r="A308" s="1244"/>
      <c r="B308" s="1249" t="s">
        <v>734</v>
      </c>
      <c r="C308" s="1285" t="s">
        <v>748</v>
      </c>
      <c r="D308" s="1285" t="s">
        <v>3682</v>
      </c>
      <c r="E308" s="1249" t="s">
        <v>3683</v>
      </c>
      <c r="F308" s="1249" t="s">
        <v>3684</v>
      </c>
      <c r="G308" s="785">
        <v>42536</v>
      </c>
      <c r="H308" s="886">
        <v>0</v>
      </c>
      <c r="I308" s="891">
        <v>11.308</v>
      </c>
      <c r="J308" s="530">
        <v>11.308</v>
      </c>
      <c r="K308" s="786">
        <v>1</v>
      </c>
      <c r="L308" s="787">
        <v>1</v>
      </c>
      <c r="M308" s="786">
        <v>0</v>
      </c>
      <c r="N308" s="981" t="s">
        <v>227</v>
      </c>
      <c r="O308" s="1286" t="s">
        <v>227</v>
      </c>
      <c r="P308" s="787">
        <v>1</v>
      </c>
      <c r="Q308" s="530">
        <v>11.308</v>
      </c>
      <c r="R308" s="911">
        <v>1</v>
      </c>
      <c r="S308" s="912"/>
      <c r="T308" s="1264"/>
      <c r="U308" s="1261"/>
    </row>
    <row r="309" spans="1:21" ht="14.25" customHeight="1" thickTop="1" thickBot="1">
      <c r="A309" s="1244"/>
      <c r="B309" s="1245" t="s">
        <v>735</v>
      </c>
      <c r="C309" s="1287" t="s">
        <v>751</v>
      </c>
      <c r="D309" s="1287" t="s">
        <v>775</v>
      </c>
      <c r="E309" s="1245" t="s">
        <v>873</v>
      </c>
      <c r="F309" s="1245" t="s">
        <v>776</v>
      </c>
      <c r="G309" s="528">
        <v>41807</v>
      </c>
      <c r="H309" s="885">
        <v>24</v>
      </c>
      <c r="I309" s="890">
        <v>3201.1260000000002</v>
      </c>
      <c r="J309" s="529">
        <v>5999.643</v>
      </c>
      <c r="K309" s="783">
        <v>99</v>
      </c>
      <c r="L309" s="784">
        <v>19</v>
      </c>
      <c r="M309" s="783">
        <v>2</v>
      </c>
      <c r="N309" s="980" t="s">
        <v>590</v>
      </c>
      <c r="O309" s="1288" t="s">
        <v>227</v>
      </c>
      <c r="P309" s="784">
        <v>1</v>
      </c>
      <c r="Q309" s="529">
        <v>649.81600000000003</v>
      </c>
      <c r="R309" s="913">
        <v>11</v>
      </c>
      <c r="S309" s="914"/>
      <c r="T309" s="1264"/>
      <c r="U309" s="1261"/>
    </row>
    <row r="310" spans="1:21" ht="14.25" customHeight="1" thickTop="1" thickBot="1">
      <c r="A310" s="1244"/>
      <c r="B310" s="1249" t="s">
        <v>735</v>
      </c>
      <c r="C310" s="1285" t="s">
        <v>751</v>
      </c>
      <c r="D310" s="1285" t="s">
        <v>1375</v>
      </c>
      <c r="E310" s="1249" t="s">
        <v>1376</v>
      </c>
      <c r="F310" s="1249" t="s">
        <v>1377</v>
      </c>
      <c r="G310" s="785">
        <v>42082</v>
      </c>
      <c r="H310" s="886">
        <v>15</v>
      </c>
      <c r="I310" s="891">
        <v>901.06299999999999</v>
      </c>
      <c r="J310" s="530">
        <v>3681.4050000000002</v>
      </c>
      <c r="K310" s="786">
        <v>68</v>
      </c>
      <c r="L310" s="787">
        <v>14</v>
      </c>
      <c r="M310" s="786">
        <v>1</v>
      </c>
      <c r="N310" s="981" t="s">
        <v>590</v>
      </c>
      <c r="O310" s="1286" t="s">
        <v>227</v>
      </c>
      <c r="P310" s="787">
        <v>2</v>
      </c>
      <c r="Q310" s="530">
        <v>134.98599999999999</v>
      </c>
      <c r="R310" s="911">
        <v>5</v>
      </c>
      <c r="S310" s="912"/>
      <c r="T310" s="1264"/>
      <c r="U310" s="1261"/>
    </row>
    <row r="311" spans="1:21" ht="14.25" customHeight="1" thickTop="1" thickBot="1">
      <c r="A311" s="1244"/>
      <c r="B311" s="1249" t="s">
        <v>735</v>
      </c>
      <c r="C311" s="1285" t="s">
        <v>751</v>
      </c>
      <c r="D311" s="1285" t="s">
        <v>1366</v>
      </c>
      <c r="E311" s="1249" t="s">
        <v>1367</v>
      </c>
      <c r="F311" s="1249" t="s">
        <v>1368</v>
      </c>
      <c r="G311" s="785">
        <v>42082</v>
      </c>
      <c r="H311" s="886">
        <v>15</v>
      </c>
      <c r="I311" s="891">
        <v>80.626000000000005</v>
      </c>
      <c r="J311" s="530">
        <v>595.98900000000003</v>
      </c>
      <c r="K311" s="786">
        <v>23</v>
      </c>
      <c r="L311" s="787">
        <v>5</v>
      </c>
      <c r="M311" s="786">
        <v>1</v>
      </c>
      <c r="N311" s="981" t="s">
        <v>369</v>
      </c>
      <c r="O311" s="1286" t="s">
        <v>227</v>
      </c>
      <c r="P311" s="787">
        <v>0</v>
      </c>
      <c r="Q311" s="530">
        <v>13.374000000000001</v>
      </c>
      <c r="R311" s="911">
        <v>1</v>
      </c>
      <c r="S311" s="912"/>
      <c r="T311" s="1264"/>
      <c r="U311" s="1261"/>
    </row>
    <row r="312" spans="1:21" ht="14.25" customHeight="1" thickTop="1" thickBot="1">
      <c r="A312" s="1244"/>
      <c r="B312" s="1245" t="s">
        <v>735</v>
      </c>
      <c r="C312" s="1287" t="s">
        <v>751</v>
      </c>
      <c r="D312" s="1287" t="s">
        <v>1504</v>
      </c>
      <c r="E312" s="1245" t="s">
        <v>1553</v>
      </c>
      <c r="F312" s="1245" t="s">
        <v>1505</v>
      </c>
      <c r="G312" s="528">
        <v>42116</v>
      </c>
      <c r="H312" s="885">
        <v>14</v>
      </c>
      <c r="I312" s="890">
        <v>1647.567</v>
      </c>
      <c r="J312" s="529">
        <v>1811.2850000000001</v>
      </c>
      <c r="K312" s="783">
        <v>47</v>
      </c>
      <c r="L312" s="784">
        <v>22</v>
      </c>
      <c r="M312" s="783">
        <v>4</v>
      </c>
      <c r="N312" s="980" t="s">
        <v>590</v>
      </c>
      <c r="O312" s="1288" t="s">
        <v>227</v>
      </c>
      <c r="P312" s="784">
        <v>1</v>
      </c>
      <c r="Q312" s="529">
        <v>192.5</v>
      </c>
      <c r="R312" s="913">
        <v>13</v>
      </c>
      <c r="S312" s="914"/>
      <c r="T312" s="1264"/>
      <c r="U312" s="1261"/>
    </row>
    <row r="313" spans="1:21" ht="14.25" customHeight="1" thickTop="1" thickBot="1">
      <c r="A313" s="1244"/>
      <c r="B313" s="1249" t="s">
        <v>735</v>
      </c>
      <c r="C313" s="1285" t="s">
        <v>751</v>
      </c>
      <c r="D313" s="1285" t="s">
        <v>1598</v>
      </c>
      <c r="E313" s="1249" t="s">
        <v>1599</v>
      </c>
      <c r="F313" s="1249" t="s">
        <v>1600</v>
      </c>
      <c r="G313" s="785">
        <v>42144</v>
      </c>
      <c r="H313" s="886">
        <v>13</v>
      </c>
      <c r="I313" s="891">
        <v>2605.2280000000001</v>
      </c>
      <c r="J313" s="530">
        <v>2647.7139999999999</v>
      </c>
      <c r="K313" s="786">
        <v>42</v>
      </c>
      <c r="L313" s="787">
        <v>10</v>
      </c>
      <c r="M313" s="786">
        <v>0</v>
      </c>
      <c r="N313" s="981" t="s">
        <v>590</v>
      </c>
      <c r="O313" s="1286" t="s">
        <v>227</v>
      </c>
      <c r="P313" s="787">
        <v>2</v>
      </c>
      <c r="Q313" s="530">
        <v>62.512</v>
      </c>
      <c r="R313" s="911">
        <v>4</v>
      </c>
      <c r="S313" s="912"/>
      <c r="T313" s="1264"/>
      <c r="U313" s="1261"/>
    </row>
    <row r="314" spans="1:21" ht="14.25" customHeight="1" thickTop="1" thickBot="1">
      <c r="A314" s="1244"/>
      <c r="B314" s="1245" t="s">
        <v>798</v>
      </c>
      <c r="C314" s="1287" t="s">
        <v>806</v>
      </c>
      <c r="D314" s="1287" t="s">
        <v>833</v>
      </c>
      <c r="E314" s="1245" t="s">
        <v>834</v>
      </c>
      <c r="F314" s="1245" t="s">
        <v>835</v>
      </c>
      <c r="G314" s="528">
        <v>41864</v>
      </c>
      <c r="H314" s="885">
        <v>23</v>
      </c>
      <c r="I314" s="890">
        <v>116.176</v>
      </c>
      <c r="J314" s="529">
        <v>902.65200000000004</v>
      </c>
      <c r="K314" s="783">
        <v>61</v>
      </c>
      <c r="L314" s="784">
        <v>20</v>
      </c>
      <c r="M314" s="783">
        <v>0</v>
      </c>
      <c r="N314" s="980" t="s">
        <v>590</v>
      </c>
      <c r="O314" s="1288" t="s">
        <v>227</v>
      </c>
      <c r="P314" s="784">
        <v>1</v>
      </c>
      <c r="Q314" s="529">
        <v>32.408999999999999</v>
      </c>
      <c r="R314" s="913">
        <v>3</v>
      </c>
      <c r="S314" s="914"/>
      <c r="T314" s="1264"/>
      <c r="U314" s="1261"/>
    </row>
    <row r="315" spans="1:21" ht="14.25" customHeight="1" thickTop="1" thickBot="1">
      <c r="A315" s="1244"/>
      <c r="B315" s="1249" t="s">
        <v>798</v>
      </c>
      <c r="C315" s="1285" t="s">
        <v>806</v>
      </c>
      <c r="D315" s="1285" t="s">
        <v>864</v>
      </c>
      <c r="E315" s="1249" t="s">
        <v>865</v>
      </c>
      <c r="F315" s="1249" t="s">
        <v>683</v>
      </c>
      <c r="G315" s="785">
        <v>41906</v>
      </c>
      <c r="H315" s="886">
        <v>21</v>
      </c>
      <c r="I315" s="891">
        <v>1387.797</v>
      </c>
      <c r="J315" s="530">
        <v>2586.9029999999998</v>
      </c>
      <c r="K315" s="786">
        <v>60</v>
      </c>
      <c r="L315" s="787">
        <v>11</v>
      </c>
      <c r="M315" s="786">
        <v>1</v>
      </c>
      <c r="N315" s="981" t="s">
        <v>590</v>
      </c>
      <c r="O315" s="1286" t="s">
        <v>227</v>
      </c>
      <c r="P315" s="787">
        <v>0</v>
      </c>
      <c r="Q315" s="530">
        <v>65.733999999999995</v>
      </c>
      <c r="R315" s="911">
        <v>4</v>
      </c>
      <c r="S315" s="912"/>
      <c r="T315" s="1264"/>
      <c r="U315" s="1261"/>
    </row>
    <row r="316" spans="1:21" ht="14.25" customHeight="1" thickTop="1" thickBot="1">
      <c r="A316" s="1244"/>
      <c r="B316" s="1245" t="s">
        <v>798</v>
      </c>
      <c r="C316" s="1287" t="s">
        <v>806</v>
      </c>
      <c r="D316" s="1287" t="s">
        <v>975</v>
      </c>
      <c r="E316" s="1245" t="s">
        <v>976</v>
      </c>
      <c r="F316" s="1245" t="s">
        <v>977</v>
      </c>
      <c r="G316" s="528">
        <v>41970</v>
      </c>
      <c r="H316" s="885">
        <v>19</v>
      </c>
      <c r="I316" s="890">
        <v>377.08100000000002</v>
      </c>
      <c r="J316" s="529">
        <v>546.96600000000001</v>
      </c>
      <c r="K316" s="783">
        <v>39</v>
      </c>
      <c r="L316" s="784">
        <v>13</v>
      </c>
      <c r="M316" s="783">
        <v>1</v>
      </c>
      <c r="N316" s="980" t="s">
        <v>369</v>
      </c>
      <c r="O316" s="1288" t="s">
        <v>227</v>
      </c>
      <c r="P316" s="784">
        <v>3</v>
      </c>
      <c r="Q316" s="529">
        <v>58.677</v>
      </c>
      <c r="R316" s="913">
        <v>1</v>
      </c>
      <c r="S316" s="914"/>
      <c r="T316" s="1264"/>
      <c r="U316" s="1261"/>
    </row>
    <row r="317" spans="1:21" ht="14.25" customHeight="1" thickTop="1" thickBot="1">
      <c r="A317" s="1244"/>
      <c r="B317" s="1249" t="s">
        <v>798</v>
      </c>
      <c r="C317" s="1285" t="s">
        <v>806</v>
      </c>
      <c r="D317" s="1285" t="s">
        <v>1088</v>
      </c>
      <c r="E317" s="1249" t="s">
        <v>2578</v>
      </c>
      <c r="F317" s="1249" t="s">
        <v>1089</v>
      </c>
      <c r="G317" s="785">
        <v>41977</v>
      </c>
      <c r="H317" s="886">
        <v>19</v>
      </c>
      <c r="I317" s="891">
        <v>370.07400000000001</v>
      </c>
      <c r="J317" s="530">
        <v>578.21299999999997</v>
      </c>
      <c r="K317" s="786">
        <v>45</v>
      </c>
      <c r="L317" s="787">
        <v>16</v>
      </c>
      <c r="M317" s="786">
        <v>2</v>
      </c>
      <c r="N317" s="981" t="s">
        <v>369</v>
      </c>
      <c r="O317" s="1286" t="s">
        <v>227</v>
      </c>
      <c r="P317" s="787">
        <v>1</v>
      </c>
      <c r="Q317" s="530">
        <v>19.771000000000001</v>
      </c>
      <c r="R317" s="911">
        <v>2</v>
      </c>
      <c r="S317" s="912"/>
      <c r="T317" s="1264"/>
      <c r="U317" s="1261"/>
    </row>
    <row r="318" spans="1:21" ht="14.25" customHeight="1" thickTop="1" thickBot="1">
      <c r="A318" s="1244"/>
      <c r="B318" s="1245" t="s">
        <v>798</v>
      </c>
      <c r="C318" s="1287" t="s">
        <v>806</v>
      </c>
      <c r="D318" s="1287" t="s">
        <v>1378</v>
      </c>
      <c r="E318" s="1245" t="s">
        <v>1379</v>
      </c>
      <c r="F318" s="1245" t="s">
        <v>1380</v>
      </c>
      <c r="G318" s="528">
        <v>42088</v>
      </c>
      <c r="H318" s="885">
        <v>15</v>
      </c>
      <c r="I318" s="890">
        <v>120.17400000000001</v>
      </c>
      <c r="J318" s="529">
        <v>2254.2339999999999</v>
      </c>
      <c r="K318" s="783">
        <v>59</v>
      </c>
      <c r="L318" s="784">
        <v>33</v>
      </c>
      <c r="M318" s="783">
        <v>5</v>
      </c>
      <c r="N318" s="980" t="s">
        <v>590</v>
      </c>
      <c r="O318" s="1288" t="s">
        <v>227</v>
      </c>
      <c r="P318" s="784">
        <v>2</v>
      </c>
      <c r="Q318" s="529">
        <v>156.26400000000001</v>
      </c>
      <c r="R318" s="913">
        <v>9</v>
      </c>
      <c r="S318" s="914"/>
      <c r="T318" s="1264"/>
      <c r="U318" s="1261"/>
    </row>
    <row r="319" spans="1:21" ht="14.25" customHeight="1" thickTop="1" thickBot="1">
      <c r="A319" s="1244"/>
      <c r="B319" s="1249" t="s">
        <v>798</v>
      </c>
      <c r="C319" s="1285" t="s">
        <v>806</v>
      </c>
      <c r="D319" s="1285" t="s">
        <v>1710</v>
      </c>
      <c r="E319" s="1249" t="s">
        <v>1711</v>
      </c>
      <c r="F319" s="1249" t="s">
        <v>1712</v>
      </c>
      <c r="G319" s="785">
        <v>42179</v>
      </c>
      <c r="H319" s="886">
        <v>12</v>
      </c>
      <c r="I319" s="891">
        <v>441.83800000000002</v>
      </c>
      <c r="J319" s="530">
        <v>1515.1780000000001</v>
      </c>
      <c r="K319" s="786">
        <v>46</v>
      </c>
      <c r="L319" s="787">
        <v>28</v>
      </c>
      <c r="M319" s="786">
        <v>2</v>
      </c>
      <c r="N319" s="981" t="s">
        <v>590</v>
      </c>
      <c r="O319" s="1286" t="s">
        <v>227</v>
      </c>
      <c r="P319" s="787">
        <v>5</v>
      </c>
      <c r="Q319" s="530">
        <v>76.161000000000001</v>
      </c>
      <c r="R319" s="911">
        <v>2</v>
      </c>
      <c r="S319" s="912"/>
      <c r="T319" s="1264"/>
      <c r="U319" s="1261"/>
    </row>
    <row r="320" spans="1:21" ht="14.25" customHeight="1" thickTop="1" thickBot="1">
      <c r="A320" s="1244"/>
      <c r="B320" s="1245" t="s">
        <v>798</v>
      </c>
      <c r="C320" s="1287" t="s">
        <v>3210</v>
      </c>
      <c r="D320" s="1287" t="s">
        <v>1536</v>
      </c>
      <c r="E320" s="1245" t="s">
        <v>1562</v>
      </c>
      <c r="F320" s="1245" t="s">
        <v>1537</v>
      </c>
      <c r="G320" s="528">
        <v>42114</v>
      </c>
      <c r="H320" s="885">
        <v>14</v>
      </c>
      <c r="I320" s="890">
        <v>75.406999999999996</v>
      </c>
      <c r="J320" s="529">
        <v>3062.1660000000002</v>
      </c>
      <c r="K320" s="783">
        <v>97</v>
      </c>
      <c r="L320" s="784">
        <v>22</v>
      </c>
      <c r="M320" s="783">
        <v>4</v>
      </c>
      <c r="N320" s="980" t="s">
        <v>590</v>
      </c>
      <c r="O320" s="1288" t="s">
        <v>227</v>
      </c>
      <c r="P320" s="784">
        <v>2</v>
      </c>
      <c r="Q320" s="529">
        <v>296.12</v>
      </c>
      <c r="R320" s="913">
        <v>8</v>
      </c>
      <c r="S320" s="914"/>
      <c r="T320" s="1264"/>
      <c r="U320" s="1261"/>
    </row>
    <row r="321" spans="1:21" ht="14.25" customHeight="1" thickTop="1" thickBot="1">
      <c r="A321" s="1244"/>
      <c r="B321" s="1249" t="s">
        <v>798</v>
      </c>
      <c r="C321" s="1285" t="s">
        <v>3210</v>
      </c>
      <c r="D321" s="1285" t="s">
        <v>1708</v>
      </c>
      <c r="E321" s="1249" t="s">
        <v>1709</v>
      </c>
      <c r="F321" s="1249" t="s">
        <v>1161</v>
      </c>
      <c r="G321" s="785">
        <v>42170</v>
      </c>
      <c r="H321" s="886">
        <v>12</v>
      </c>
      <c r="I321" s="891">
        <v>132.03399999999999</v>
      </c>
      <c r="J321" s="530">
        <v>504.45600000000002</v>
      </c>
      <c r="K321" s="786">
        <v>16</v>
      </c>
      <c r="L321" s="787">
        <v>16</v>
      </c>
      <c r="M321" s="786">
        <v>1</v>
      </c>
      <c r="N321" s="981" t="s">
        <v>369</v>
      </c>
      <c r="O321" s="1286" t="s">
        <v>227</v>
      </c>
      <c r="P321" s="787">
        <v>0</v>
      </c>
      <c r="Q321" s="530">
        <v>108.94</v>
      </c>
      <c r="R321" s="911">
        <v>2</v>
      </c>
      <c r="S321" s="912"/>
      <c r="T321" s="1264"/>
      <c r="U321" s="1261"/>
    </row>
    <row r="322" spans="1:21" ht="14.25" customHeight="1" thickTop="1" thickBot="1">
      <c r="A322" s="1244"/>
      <c r="B322" s="1245" t="s">
        <v>798</v>
      </c>
      <c r="C322" s="1287" t="s">
        <v>3210</v>
      </c>
      <c r="D322" s="1287" t="s">
        <v>2246</v>
      </c>
      <c r="E322" s="1245" t="s">
        <v>2247</v>
      </c>
      <c r="F322" s="1245" t="s">
        <v>2248</v>
      </c>
      <c r="G322" s="528">
        <v>42290</v>
      </c>
      <c r="H322" s="885">
        <v>9</v>
      </c>
      <c r="I322" s="890">
        <v>69.554000000000002</v>
      </c>
      <c r="J322" s="529">
        <v>178.66</v>
      </c>
      <c r="K322" s="783">
        <v>10</v>
      </c>
      <c r="L322" s="784">
        <v>8</v>
      </c>
      <c r="M322" s="783">
        <v>1</v>
      </c>
      <c r="N322" s="980" t="s">
        <v>332</v>
      </c>
      <c r="O322" s="1288" t="s">
        <v>227</v>
      </c>
      <c r="P322" s="784">
        <v>1</v>
      </c>
      <c r="Q322" s="529"/>
      <c r="R322" s="913">
        <v>0</v>
      </c>
      <c r="S322" s="914"/>
      <c r="T322" s="1264"/>
      <c r="U322" s="1261"/>
    </row>
    <row r="323" spans="1:21" ht="14.25" customHeight="1" thickTop="1" thickBot="1">
      <c r="A323" s="1244"/>
      <c r="B323" s="1249" t="s">
        <v>798</v>
      </c>
      <c r="C323" s="1285" t="s">
        <v>3210</v>
      </c>
      <c r="D323" s="1285" t="s">
        <v>3437</v>
      </c>
      <c r="E323" s="1249" t="s">
        <v>3505</v>
      </c>
      <c r="F323" s="1249" t="s">
        <v>3438</v>
      </c>
      <c r="G323" s="785">
        <v>42496</v>
      </c>
      <c r="H323" s="886">
        <v>2</v>
      </c>
      <c r="I323" s="891">
        <v>357.29599999999999</v>
      </c>
      <c r="J323" s="530">
        <v>282.47199999999998</v>
      </c>
      <c r="K323" s="786">
        <v>13</v>
      </c>
      <c r="L323" s="787">
        <v>12</v>
      </c>
      <c r="M323" s="786">
        <v>2</v>
      </c>
      <c r="N323" s="981" t="s">
        <v>590</v>
      </c>
      <c r="O323" s="1286" t="s">
        <v>227</v>
      </c>
      <c r="P323" s="787">
        <v>1</v>
      </c>
      <c r="Q323" s="530">
        <v>282.47199999999998</v>
      </c>
      <c r="R323" s="911">
        <v>7</v>
      </c>
      <c r="S323" s="912"/>
      <c r="T323" s="1264"/>
      <c r="U323" s="1261"/>
    </row>
    <row r="324" spans="1:21" ht="14.25" customHeight="1" thickTop="1" thickBot="1">
      <c r="A324" s="1244"/>
      <c r="B324" s="1245" t="s">
        <v>949</v>
      </c>
      <c r="C324" s="1287" t="s">
        <v>953</v>
      </c>
      <c r="D324" s="1287" t="s">
        <v>1381</v>
      </c>
      <c r="E324" s="1245" t="s">
        <v>1382</v>
      </c>
      <c r="F324" s="1245" t="s">
        <v>1383</v>
      </c>
      <c r="G324" s="528">
        <v>42094</v>
      </c>
      <c r="H324" s="885">
        <v>15</v>
      </c>
      <c r="I324" s="890">
        <v>104.849</v>
      </c>
      <c r="J324" s="529">
        <v>262.46850000000001</v>
      </c>
      <c r="K324" s="783">
        <v>17</v>
      </c>
      <c r="L324" s="784">
        <v>5</v>
      </c>
      <c r="M324" s="783">
        <v>1</v>
      </c>
      <c r="N324" s="980" t="s">
        <v>332</v>
      </c>
      <c r="O324" s="1288" t="s">
        <v>227</v>
      </c>
      <c r="P324" s="784">
        <v>0</v>
      </c>
      <c r="Q324" s="529">
        <v>30.203499999999998</v>
      </c>
      <c r="R324" s="913">
        <v>3</v>
      </c>
      <c r="S324" s="914"/>
      <c r="T324" s="1264"/>
      <c r="U324" s="1261"/>
    </row>
    <row r="325" spans="1:21" ht="14.25" customHeight="1" thickTop="1" thickBot="1">
      <c r="A325" s="1244"/>
      <c r="B325" s="1249" t="s">
        <v>949</v>
      </c>
      <c r="C325" s="1285" t="s">
        <v>953</v>
      </c>
      <c r="D325" s="1285" t="s">
        <v>1509</v>
      </c>
      <c r="E325" s="1249" t="s">
        <v>1554</v>
      </c>
      <c r="F325" s="1249" t="s">
        <v>1510</v>
      </c>
      <c r="G325" s="785">
        <v>42110</v>
      </c>
      <c r="H325" s="886">
        <v>14</v>
      </c>
      <c r="I325" s="891">
        <v>54.362000000000002</v>
      </c>
      <c r="J325" s="530">
        <v>2303.0340000000001</v>
      </c>
      <c r="K325" s="786">
        <v>43</v>
      </c>
      <c r="L325" s="787">
        <v>13</v>
      </c>
      <c r="M325" s="786">
        <v>2</v>
      </c>
      <c r="N325" s="981" t="s">
        <v>590</v>
      </c>
      <c r="O325" s="1286" t="s">
        <v>227</v>
      </c>
      <c r="P325" s="787">
        <v>5</v>
      </c>
      <c r="Q325" s="530">
        <v>156.08600000000001</v>
      </c>
      <c r="R325" s="911">
        <v>7</v>
      </c>
      <c r="S325" s="912"/>
      <c r="T325" s="1264"/>
      <c r="U325" s="1261"/>
    </row>
    <row r="326" spans="1:21" ht="14.25" customHeight="1" thickTop="1" thickBot="1">
      <c r="A326" s="1244"/>
      <c r="B326" s="1245" t="s">
        <v>949</v>
      </c>
      <c r="C326" s="1287" t="s">
        <v>1357</v>
      </c>
      <c r="D326" s="1287" t="s">
        <v>1198</v>
      </c>
      <c r="E326" s="1245" t="s">
        <v>1199</v>
      </c>
      <c r="F326" s="1245" t="s">
        <v>1200</v>
      </c>
      <c r="G326" s="528">
        <v>42027</v>
      </c>
      <c r="H326" s="885">
        <v>17</v>
      </c>
      <c r="I326" s="890">
        <v>0</v>
      </c>
      <c r="J326" s="529">
        <v>478.036</v>
      </c>
      <c r="K326" s="783">
        <v>39</v>
      </c>
      <c r="L326" s="784">
        <v>14</v>
      </c>
      <c r="M326" s="783">
        <v>1</v>
      </c>
      <c r="N326" s="980" t="s">
        <v>369</v>
      </c>
      <c r="O326" s="1288" t="s">
        <v>227</v>
      </c>
      <c r="P326" s="784">
        <v>1</v>
      </c>
      <c r="Q326" s="529">
        <v>15.326000000000001</v>
      </c>
      <c r="R326" s="913">
        <v>0</v>
      </c>
      <c r="S326" s="914"/>
      <c r="T326" s="1264"/>
      <c r="U326" s="1261"/>
    </row>
    <row r="327" spans="1:21" ht="14.25" customHeight="1" thickTop="1" thickBot="1">
      <c r="A327" s="1244"/>
      <c r="B327" s="1249" t="s">
        <v>949</v>
      </c>
      <c r="C327" s="1285" t="s">
        <v>1357</v>
      </c>
      <c r="D327" s="1285" t="s">
        <v>1201</v>
      </c>
      <c r="E327" s="1249" t="s">
        <v>1202</v>
      </c>
      <c r="F327" s="1249" t="s">
        <v>1203</v>
      </c>
      <c r="G327" s="785">
        <v>42027</v>
      </c>
      <c r="H327" s="886">
        <v>17</v>
      </c>
      <c r="I327" s="891">
        <v>114.98399999999999</v>
      </c>
      <c r="J327" s="530">
        <v>470.37099999999998</v>
      </c>
      <c r="K327" s="786">
        <v>38</v>
      </c>
      <c r="L327" s="787">
        <v>12</v>
      </c>
      <c r="M327" s="786">
        <v>2</v>
      </c>
      <c r="N327" s="981" t="s">
        <v>369</v>
      </c>
      <c r="O327" s="1286" t="s">
        <v>227</v>
      </c>
      <c r="P327" s="787">
        <v>1</v>
      </c>
      <c r="Q327" s="530">
        <v>15.326000000000001</v>
      </c>
      <c r="R327" s="911">
        <v>0</v>
      </c>
      <c r="S327" s="912"/>
      <c r="T327" s="1264"/>
      <c r="U327" s="1261"/>
    </row>
    <row r="328" spans="1:21" ht="14.25" customHeight="1" thickTop="1" thickBot="1">
      <c r="A328" s="1244"/>
      <c r="B328" s="1245" t="s">
        <v>949</v>
      </c>
      <c r="C328" s="1287" t="s">
        <v>1357</v>
      </c>
      <c r="D328" s="1287" t="s">
        <v>1230</v>
      </c>
      <c r="E328" s="1245" t="s">
        <v>1384</v>
      </c>
      <c r="F328" s="1245" t="s">
        <v>1231</v>
      </c>
      <c r="G328" s="528">
        <v>42027</v>
      </c>
      <c r="H328" s="885">
        <v>17</v>
      </c>
      <c r="I328" s="890">
        <v>1190.0889999999999</v>
      </c>
      <c r="J328" s="529">
        <v>1884.085</v>
      </c>
      <c r="K328" s="783">
        <v>64</v>
      </c>
      <c r="L328" s="784">
        <v>15</v>
      </c>
      <c r="M328" s="783">
        <v>1</v>
      </c>
      <c r="N328" s="980" t="s">
        <v>590</v>
      </c>
      <c r="O328" s="1288" t="s">
        <v>227</v>
      </c>
      <c r="P328" s="784">
        <v>2</v>
      </c>
      <c r="Q328" s="529">
        <v>105.11499999999999</v>
      </c>
      <c r="R328" s="913">
        <v>5</v>
      </c>
      <c r="S328" s="914"/>
      <c r="T328" s="1264"/>
      <c r="U328" s="1261"/>
    </row>
    <row r="329" spans="1:21" ht="14.25" customHeight="1" thickTop="1" thickBot="1">
      <c r="A329" s="1244"/>
      <c r="B329" s="1249" t="s">
        <v>903</v>
      </c>
      <c r="C329" s="1285" t="s">
        <v>913</v>
      </c>
      <c r="D329" s="1285" t="s">
        <v>1042</v>
      </c>
      <c r="E329" s="1249" t="s">
        <v>1043</v>
      </c>
      <c r="F329" s="1249" t="s">
        <v>719</v>
      </c>
      <c r="G329" s="785">
        <v>41995</v>
      </c>
      <c r="H329" s="886">
        <v>18</v>
      </c>
      <c r="I329" s="891">
        <v>86.171000000000006</v>
      </c>
      <c r="J329" s="530">
        <v>86.171000000000006</v>
      </c>
      <c r="K329" s="786">
        <v>3</v>
      </c>
      <c r="L329" s="787">
        <v>2</v>
      </c>
      <c r="M329" s="786">
        <v>0</v>
      </c>
      <c r="N329" s="981" t="s">
        <v>332</v>
      </c>
      <c r="O329" s="1286" t="s">
        <v>227</v>
      </c>
      <c r="P329" s="787">
        <v>0</v>
      </c>
      <c r="Q329" s="530"/>
      <c r="R329" s="911">
        <v>0</v>
      </c>
      <c r="S329" s="912"/>
      <c r="T329" s="1264"/>
      <c r="U329" s="1261"/>
    </row>
    <row r="330" spans="1:21" ht="14.25" customHeight="1" thickTop="1" thickBot="1">
      <c r="A330" s="1244"/>
      <c r="B330" s="1245" t="s">
        <v>903</v>
      </c>
      <c r="C330" s="1287" t="s">
        <v>913</v>
      </c>
      <c r="D330" s="1287" t="s">
        <v>1406</v>
      </c>
      <c r="E330" s="1245" t="s">
        <v>3685</v>
      </c>
      <c r="F330" s="1245" t="s">
        <v>1407</v>
      </c>
      <c r="G330" s="528">
        <v>42082</v>
      </c>
      <c r="H330" s="885">
        <v>15</v>
      </c>
      <c r="I330" s="890">
        <v>181.745</v>
      </c>
      <c r="J330" s="529">
        <v>427.42500000000001</v>
      </c>
      <c r="K330" s="783">
        <v>17</v>
      </c>
      <c r="L330" s="784">
        <v>8</v>
      </c>
      <c r="M330" s="783">
        <v>1</v>
      </c>
      <c r="N330" s="980" t="s">
        <v>369</v>
      </c>
      <c r="O330" s="1288" t="s">
        <v>227</v>
      </c>
      <c r="P330" s="784">
        <v>0</v>
      </c>
      <c r="Q330" s="529">
        <v>111.248</v>
      </c>
      <c r="R330" s="913">
        <v>1</v>
      </c>
      <c r="S330" s="914"/>
      <c r="T330" s="1264"/>
      <c r="U330" s="1261"/>
    </row>
    <row r="331" spans="1:21" ht="14.25" customHeight="1" thickTop="1" thickBot="1">
      <c r="A331" s="1244"/>
      <c r="B331" s="1249" t="s">
        <v>903</v>
      </c>
      <c r="C331" s="1285" t="s">
        <v>913</v>
      </c>
      <c r="D331" s="1285" t="s">
        <v>1513</v>
      </c>
      <c r="E331" s="1249" t="s">
        <v>1555</v>
      </c>
      <c r="F331" s="1249" t="s">
        <v>1514</v>
      </c>
      <c r="G331" s="785">
        <v>42108</v>
      </c>
      <c r="H331" s="886">
        <v>15</v>
      </c>
      <c r="I331" s="891">
        <v>112.197</v>
      </c>
      <c r="J331" s="530">
        <v>201.14400000000001</v>
      </c>
      <c r="K331" s="786">
        <v>14</v>
      </c>
      <c r="L331" s="787">
        <v>3</v>
      </c>
      <c r="M331" s="786">
        <v>0</v>
      </c>
      <c r="N331" s="981" t="s">
        <v>332</v>
      </c>
      <c r="O331" s="1286" t="s">
        <v>227</v>
      </c>
      <c r="P331" s="787">
        <v>0</v>
      </c>
      <c r="Q331" s="530"/>
      <c r="R331" s="911">
        <v>0</v>
      </c>
      <c r="S331" s="912"/>
      <c r="T331" s="1264"/>
      <c r="U331" s="1261"/>
    </row>
    <row r="332" spans="1:21" ht="14.25" customHeight="1" thickTop="1" thickBot="1">
      <c r="A332" s="1244"/>
      <c r="B332" s="1245" t="s">
        <v>903</v>
      </c>
      <c r="C332" s="1287" t="s">
        <v>913</v>
      </c>
      <c r="D332" s="1287" t="s">
        <v>2330</v>
      </c>
      <c r="E332" s="1245" t="s">
        <v>2331</v>
      </c>
      <c r="F332" s="1245" t="s">
        <v>2332</v>
      </c>
      <c r="G332" s="528">
        <v>42332</v>
      </c>
      <c r="H332" s="885">
        <v>7</v>
      </c>
      <c r="I332" s="890">
        <v>568.73</v>
      </c>
      <c r="J332" s="529">
        <v>1304.8530000000001</v>
      </c>
      <c r="K332" s="783">
        <v>25</v>
      </c>
      <c r="L332" s="784">
        <v>19</v>
      </c>
      <c r="M332" s="783">
        <v>1</v>
      </c>
      <c r="N332" s="980" t="s">
        <v>590</v>
      </c>
      <c r="O332" s="1288" t="s">
        <v>227</v>
      </c>
      <c r="P332" s="784">
        <v>1</v>
      </c>
      <c r="Q332" s="529">
        <v>328.22899999999998</v>
      </c>
      <c r="R332" s="913">
        <v>7</v>
      </c>
      <c r="S332" s="914"/>
      <c r="T332" s="1264"/>
      <c r="U332" s="1261"/>
    </row>
    <row r="333" spans="1:21" ht="14.25" customHeight="1" thickTop="1" thickBot="1">
      <c r="A333" s="1244"/>
      <c r="B333" s="1249" t="s">
        <v>903</v>
      </c>
      <c r="C333" s="1285" t="s">
        <v>1039</v>
      </c>
      <c r="D333" s="1285" t="s">
        <v>1076</v>
      </c>
      <c r="E333" s="1249" t="s">
        <v>3495</v>
      </c>
      <c r="F333" s="1249" t="s">
        <v>1077</v>
      </c>
      <c r="G333" s="785">
        <v>42003</v>
      </c>
      <c r="H333" s="886">
        <v>18</v>
      </c>
      <c r="I333" s="891">
        <v>1321.9069999999999</v>
      </c>
      <c r="J333" s="530">
        <v>1831.6990000000001</v>
      </c>
      <c r="K333" s="786">
        <v>55</v>
      </c>
      <c r="L333" s="787">
        <v>27</v>
      </c>
      <c r="M333" s="786">
        <v>3</v>
      </c>
      <c r="N333" s="981" t="s">
        <v>590</v>
      </c>
      <c r="O333" s="1286" t="s">
        <v>227</v>
      </c>
      <c r="P333" s="787">
        <v>1</v>
      </c>
      <c r="Q333" s="530">
        <v>333.22800000000001</v>
      </c>
      <c r="R333" s="911">
        <v>14</v>
      </c>
      <c r="S333" s="912"/>
      <c r="T333" s="1264"/>
      <c r="U333" s="1261"/>
    </row>
    <row r="334" spans="1:21" ht="14.25" customHeight="1" thickTop="1" thickBot="1">
      <c r="A334" s="1244"/>
      <c r="B334" s="1245" t="s">
        <v>903</v>
      </c>
      <c r="C334" s="1287" t="s">
        <v>1039</v>
      </c>
      <c r="D334" s="1287" t="s">
        <v>1331</v>
      </c>
      <c r="E334" s="1245" t="s">
        <v>2576</v>
      </c>
      <c r="F334" s="1245" t="s">
        <v>1332</v>
      </c>
      <c r="G334" s="528">
        <v>42166</v>
      </c>
      <c r="H334" s="885">
        <v>17</v>
      </c>
      <c r="I334" s="890">
        <v>1079.8989999999999</v>
      </c>
      <c r="J334" s="529">
        <v>1173.3309999999999</v>
      </c>
      <c r="K334" s="783">
        <v>40</v>
      </c>
      <c r="L334" s="784">
        <v>8</v>
      </c>
      <c r="M334" s="783">
        <v>1</v>
      </c>
      <c r="N334" s="980" t="s">
        <v>590</v>
      </c>
      <c r="O334" s="1288" t="s">
        <v>227</v>
      </c>
      <c r="P334" s="784">
        <v>0</v>
      </c>
      <c r="Q334" s="529">
        <v>41.548000000000002</v>
      </c>
      <c r="R334" s="913">
        <v>2</v>
      </c>
      <c r="S334" s="914"/>
      <c r="T334" s="1264"/>
      <c r="U334" s="1261"/>
    </row>
    <row r="335" spans="1:21" ht="14.25" customHeight="1" thickTop="1" thickBot="1">
      <c r="A335" s="1244"/>
      <c r="B335" s="1249" t="s">
        <v>903</v>
      </c>
      <c r="C335" s="1285" t="s">
        <v>1039</v>
      </c>
      <c r="D335" s="1285" t="s">
        <v>2453</v>
      </c>
      <c r="E335" s="1249" t="s">
        <v>2454</v>
      </c>
      <c r="F335" s="1249" t="s">
        <v>2455</v>
      </c>
      <c r="G335" s="785">
        <v>42352</v>
      </c>
      <c r="H335" s="886">
        <v>7</v>
      </c>
      <c r="I335" s="891">
        <v>570.69500000000005</v>
      </c>
      <c r="J335" s="530">
        <v>756.30600000000004</v>
      </c>
      <c r="K335" s="786">
        <v>23</v>
      </c>
      <c r="L335" s="787">
        <v>7</v>
      </c>
      <c r="M335" s="786">
        <v>1</v>
      </c>
      <c r="N335" s="981" t="s">
        <v>590</v>
      </c>
      <c r="O335" s="1286" t="s">
        <v>227</v>
      </c>
      <c r="P335" s="787">
        <v>0</v>
      </c>
      <c r="Q335" s="530">
        <v>117.56699999999999</v>
      </c>
      <c r="R335" s="911">
        <v>2</v>
      </c>
      <c r="S335" s="912"/>
      <c r="T335" s="1264"/>
      <c r="U335" s="1261"/>
    </row>
    <row r="336" spans="1:21" ht="14.25" customHeight="1" thickTop="1" thickBot="1">
      <c r="A336" s="1244"/>
      <c r="B336" s="1245" t="s">
        <v>903</v>
      </c>
      <c r="C336" s="1287" t="s">
        <v>1177</v>
      </c>
      <c r="D336" s="1287" t="s">
        <v>1204</v>
      </c>
      <c r="E336" s="1245" t="s">
        <v>1205</v>
      </c>
      <c r="F336" s="1245" t="s">
        <v>1206</v>
      </c>
      <c r="G336" s="528">
        <v>42013</v>
      </c>
      <c r="H336" s="885">
        <v>18</v>
      </c>
      <c r="I336" s="890">
        <v>517.17899999999997</v>
      </c>
      <c r="J336" s="529">
        <v>484.45600000000002</v>
      </c>
      <c r="K336" s="783">
        <v>21</v>
      </c>
      <c r="L336" s="784">
        <v>4</v>
      </c>
      <c r="M336" s="783">
        <v>0</v>
      </c>
      <c r="N336" s="980" t="s">
        <v>369</v>
      </c>
      <c r="O336" s="1288" t="s">
        <v>227</v>
      </c>
      <c r="P336" s="784">
        <v>1</v>
      </c>
      <c r="Q336" s="529">
        <v>60.366999999999997</v>
      </c>
      <c r="R336" s="913">
        <v>2</v>
      </c>
      <c r="S336" s="914"/>
      <c r="T336" s="1264"/>
      <c r="U336" s="1261"/>
    </row>
    <row r="337" spans="1:21" ht="14.25" customHeight="1" thickTop="1" thickBot="1">
      <c r="A337" s="1244"/>
      <c r="B337" s="1249" t="s">
        <v>903</v>
      </c>
      <c r="C337" s="1285" t="s">
        <v>1177</v>
      </c>
      <c r="D337" s="1285" t="s">
        <v>2164</v>
      </c>
      <c r="E337" s="1249" t="s">
        <v>2940</v>
      </c>
      <c r="F337" s="1249" t="s">
        <v>2165</v>
      </c>
      <c r="G337" s="785">
        <v>42251</v>
      </c>
      <c r="H337" s="886">
        <v>10</v>
      </c>
      <c r="I337" s="891">
        <v>505.15</v>
      </c>
      <c r="J337" s="530">
        <v>822.77300000000002</v>
      </c>
      <c r="K337" s="786">
        <v>42</v>
      </c>
      <c r="L337" s="787">
        <v>22</v>
      </c>
      <c r="M337" s="786">
        <v>1</v>
      </c>
      <c r="N337" s="981" t="s">
        <v>590</v>
      </c>
      <c r="O337" s="1286" t="s">
        <v>227</v>
      </c>
      <c r="P337" s="787">
        <v>2</v>
      </c>
      <c r="Q337" s="530">
        <v>132.959</v>
      </c>
      <c r="R337" s="911">
        <v>4</v>
      </c>
      <c r="S337" s="912"/>
      <c r="T337" s="1264"/>
      <c r="U337" s="1261"/>
    </row>
    <row r="338" spans="1:21" ht="14.25" customHeight="1" thickTop="1" thickBot="1">
      <c r="A338" s="1244"/>
      <c r="B338" s="1245" t="s">
        <v>903</v>
      </c>
      <c r="C338" s="1287" t="s">
        <v>1177</v>
      </c>
      <c r="D338" s="1287" t="s">
        <v>3352</v>
      </c>
      <c r="E338" s="1245" t="s">
        <v>3496</v>
      </c>
      <c r="F338" s="1245" t="s">
        <v>3353</v>
      </c>
      <c r="G338" s="528">
        <v>42508</v>
      </c>
      <c r="H338" s="885">
        <v>1</v>
      </c>
      <c r="I338" s="890">
        <v>26.928999999999998</v>
      </c>
      <c r="J338" s="529">
        <v>120.401</v>
      </c>
      <c r="K338" s="783">
        <v>6</v>
      </c>
      <c r="L338" s="784">
        <v>7</v>
      </c>
      <c r="M338" s="783">
        <v>2</v>
      </c>
      <c r="N338" s="980" t="s">
        <v>590</v>
      </c>
      <c r="O338" s="1288" t="s">
        <v>227</v>
      </c>
      <c r="P338" s="784">
        <v>2</v>
      </c>
      <c r="Q338" s="529">
        <v>120.401</v>
      </c>
      <c r="R338" s="913">
        <v>4</v>
      </c>
      <c r="S338" s="914"/>
      <c r="T338" s="1264"/>
      <c r="U338" s="1261"/>
    </row>
    <row r="339" spans="1:21" ht="14.25" customHeight="1" thickTop="1" thickBot="1">
      <c r="A339" s="1244"/>
      <c r="B339" s="1249" t="s">
        <v>1101</v>
      </c>
      <c r="C339" s="1285" t="s">
        <v>227</v>
      </c>
      <c r="D339" s="1285" t="s">
        <v>1516</v>
      </c>
      <c r="E339" s="1249" t="s">
        <v>1556</v>
      </c>
      <c r="F339" s="1249" t="s">
        <v>1517</v>
      </c>
      <c r="G339" s="785">
        <v>42111</v>
      </c>
      <c r="H339" s="886">
        <v>14</v>
      </c>
      <c r="I339" s="891">
        <v>495.99400000000003</v>
      </c>
      <c r="J339" s="530">
        <v>696.13599999999997</v>
      </c>
      <c r="K339" s="786">
        <v>31</v>
      </c>
      <c r="L339" s="787">
        <v>12</v>
      </c>
      <c r="M339" s="786">
        <v>3</v>
      </c>
      <c r="N339" s="981" t="s">
        <v>369</v>
      </c>
      <c r="O339" s="1286" t="s">
        <v>227</v>
      </c>
      <c r="P339" s="787">
        <v>0</v>
      </c>
      <c r="Q339" s="530">
        <v>34.939</v>
      </c>
      <c r="R339" s="911">
        <v>1</v>
      </c>
      <c r="S339" s="912"/>
      <c r="T339" s="1264"/>
      <c r="U339" s="1261"/>
    </row>
    <row r="340" spans="1:21" ht="14.25" customHeight="1" thickTop="1" thickBot="1">
      <c r="A340" s="1244"/>
      <c r="B340" s="1245" t="s">
        <v>1101</v>
      </c>
      <c r="C340" s="1287" t="s">
        <v>1180</v>
      </c>
      <c r="D340" s="1287" t="s">
        <v>1333</v>
      </c>
      <c r="E340" s="1245" t="s">
        <v>3686</v>
      </c>
      <c r="F340" s="1245" t="s">
        <v>1334</v>
      </c>
      <c r="G340" s="528">
        <v>42048</v>
      </c>
      <c r="H340" s="885">
        <v>17</v>
      </c>
      <c r="I340" s="890">
        <v>824.41</v>
      </c>
      <c r="J340" s="529">
        <v>1116.559</v>
      </c>
      <c r="K340" s="783">
        <v>38</v>
      </c>
      <c r="L340" s="784">
        <v>32</v>
      </c>
      <c r="M340" s="783">
        <v>2</v>
      </c>
      <c r="N340" s="980" t="s">
        <v>590</v>
      </c>
      <c r="O340" s="1288" t="s">
        <v>227</v>
      </c>
      <c r="P340" s="784">
        <v>10</v>
      </c>
      <c r="Q340" s="529">
        <v>315.66399999999999</v>
      </c>
      <c r="R340" s="913">
        <v>8</v>
      </c>
      <c r="S340" s="914"/>
      <c r="T340" s="1264"/>
      <c r="U340" s="1261"/>
    </row>
    <row r="341" spans="1:21" ht="14.25" customHeight="1" thickTop="1" thickBot="1">
      <c r="A341" s="1244"/>
      <c r="B341" s="1249" t="s">
        <v>1101</v>
      </c>
      <c r="C341" s="1285" t="s">
        <v>2722</v>
      </c>
      <c r="D341" s="1285" t="s">
        <v>2748</v>
      </c>
      <c r="E341" s="1249" t="s">
        <v>2749</v>
      </c>
      <c r="F341" s="1249" t="s">
        <v>2750</v>
      </c>
      <c r="G341" s="785">
        <v>42459</v>
      </c>
      <c r="H341" s="886">
        <v>3</v>
      </c>
      <c r="I341" s="891">
        <v>56.235999999999997</v>
      </c>
      <c r="J341" s="530">
        <v>26.207000000000001</v>
      </c>
      <c r="K341" s="786">
        <v>4</v>
      </c>
      <c r="L341" s="787">
        <v>8</v>
      </c>
      <c r="M341" s="786">
        <v>2</v>
      </c>
      <c r="N341" s="981" t="s">
        <v>332</v>
      </c>
      <c r="O341" s="1286" t="s">
        <v>227</v>
      </c>
      <c r="P341" s="787">
        <v>0</v>
      </c>
      <c r="Q341" s="530"/>
      <c r="R341" s="911">
        <v>0</v>
      </c>
      <c r="S341" s="912"/>
      <c r="T341" s="1264"/>
      <c r="U341" s="1261"/>
    </row>
    <row r="342" spans="1:21" ht="14.25" customHeight="1" thickTop="1" thickBot="1">
      <c r="A342" s="1244"/>
      <c r="B342" s="1245" t="s">
        <v>1101</v>
      </c>
      <c r="C342" s="1287" t="s">
        <v>3616</v>
      </c>
      <c r="D342" s="1287" t="s">
        <v>3687</v>
      </c>
      <c r="E342" s="1245" t="s">
        <v>3688</v>
      </c>
      <c r="F342" s="1245" t="s">
        <v>3689</v>
      </c>
      <c r="G342" s="528">
        <v>42537</v>
      </c>
      <c r="H342" s="885">
        <v>0</v>
      </c>
      <c r="I342" s="890">
        <v>23.591999999999999</v>
      </c>
      <c r="J342" s="529">
        <v>23.591999999999999</v>
      </c>
      <c r="K342" s="783">
        <v>2</v>
      </c>
      <c r="L342" s="784">
        <v>8</v>
      </c>
      <c r="M342" s="783">
        <v>3</v>
      </c>
      <c r="N342" s="980" t="s">
        <v>227</v>
      </c>
      <c r="O342" s="1288" t="s">
        <v>227</v>
      </c>
      <c r="P342" s="784">
        <v>8</v>
      </c>
      <c r="Q342" s="529">
        <v>23.591999999999999</v>
      </c>
      <c r="R342" s="913">
        <v>2</v>
      </c>
      <c r="S342" s="914"/>
      <c r="T342" s="1264"/>
      <c r="U342" s="1261"/>
    </row>
    <row r="343" spans="1:21" ht="14.25" customHeight="1" thickTop="1" thickBot="1">
      <c r="A343" s="1244"/>
      <c r="B343" s="1249" t="s">
        <v>1102</v>
      </c>
      <c r="C343" s="1285" t="s">
        <v>1183</v>
      </c>
      <c r="D343" s="1285" t="s">
        <v>1207</v>
      </c>
      <c r="E343" s="1249" t="s">
        <v>1208</v>
      </c>
      <c r="F343" s="1249" t="s">
        <v>1209</v>
      </c>
      <c r="G343" s="785">
        <v>42018</v>
      </c>
      <c r="H343" s="886">
        <v>18</v>
      </c>
      <c r="I343" s="891">
        <v>2833.0259999999998</v>
      </c>
      <c r="J343" s="530">
        <v>3484.66</v>
      </c>
      <c r="K343" s="786">
        <v>84</v>
      </c>
      <c r="L343" s="787">
        <v>41</v>
      </c>
      <c r="M343" s="786">
        <v>1</v>
      </c>
      <c r="N343" s="981" t="s">
        <v>590</v>
      </c>
      <c r="O343" s="1286" t="s">
        <v>227</v>
      </c>
      <c r="P343" s="787">
        <v>4</v>
      </c>
      <c r="Q343" s="530">
        <v>172.655</v>
      </c>
      <c r="R343" s="911">
        <v>6</v>
      </c>
      <c r="S343" s="912"/>
      <c r="T343" s="1264"/>
      <c r="U343" s="1261"/>
    </row>
    <row r="344" spans="1:21" ht="14.25" customHeight="1" thickTop="1" thickBot="1">
      <c r="A344" s="1244"/>
      <c r="B344" s="1245" t="s">
        <v>1102</v>
      </c>
      <c r="C344" s="1287" t="s">
        <v>1183</v>
      </c>
      <c r="D344" s="1287" t="s">
        <v>2456</v>
      </c>
      <c r="E344" s="1245" t="s">
        <v>2457</v>
      </c>
      <c r="F344" s="1245" t="s">
        <v>2458</v>
      </c>
      <c r="G344" s="528">
        <v>42363</v>
      </c>
      <c r="H344" s="885">
        <v>6</v>
      </c>
      <c r="I344" s="890">
        <v>78.495999999999995</v>
      </c>
      <c r="J344" s="529">
        <v>142.672</v>
      </c>
      <c r="K344" s="783">
        <v>10</v>
      </c>
      <c r="L344" s="784">
        <v>11</v>
      </c>
      <c r="M344" s="783">
        <v>1</v>
      </c>
      <c r="N344" s="980" t="s">
        <v>369</v>
      </c>
      <c r="O344" s="1288" t="s">
        <v>227</v>
      </c>
      <c r="P344" s="784">
        <v>0</v>
      </c>
      <c r="Q344" s="529"/>
      <c r="R344" s="913">
        <v>0</v>
      </c>
      <c r="S344" s="914"/>
      <c r="T344" s="1264"/>
      <c r="U344" s="1261"/>
    </row>
    <row r="345" spans="1:21" ht="14.25" customHeight="1" thickTop="1" thickBot="1">
      <c r="A345" s="1244"/>
      <c r="B345" s="1249" t="s">
        <v>1102</v>
      </c>
      <c r="C345" s="1285" t="s">
        <v>1676</v>
      </c>
      <c r="D345" s="1285" t="s">
        <v>1696</v>
      </c>
      <c r="E345" s="1249" t="s">
        <v>1697</v>
      </c>
      <c r="F345" s="1249" t="s">
        <v>1698</v>
      </c>
      <c r="G345" s="785">
        <v>42164</v>
      </c>
      <c r="H345" s="886">
        <v>13</v>
      </c>
      <c r="I345" s="891">
        <v>169.33600000000001</v>
      </c>
      <c r="J345" s="530">
        <v>315.94400000000002</v>
      </c>
      <c r="K345" s="786">
        <v>22</v>
      </c>
      <c r="L345" s="787">
        <v>6</v>
      </c>
      <c r="M345" s="786">
        <v>1</v>
      </c>
      <c r="N345" s="981" t="s">
        <v>332</v>
      </c>
      <c r="O345" s="1286" t="s">
        <v>227</v>
      </c>
      <c r="P345" s="787">
        <v>0</v>
      </c>
      <c r="Q345" s="530">
        <v>14.303000000000001</v>
      </c>
      <c r="R345" s="911">
        <v>2</v>
      </c>
      <c r="S345" s="912"/>
      <c r="T345" s="1264"/>
      <c r="U345" s="1261"/>
    </row>
    <row r="346" spans="1:21" ht="14.25" customHeight="1" thickTop="1" thickBot="1">
      <c r="A346" s="1244"/>
      <c r="B346" s="1245" t="s">
        <v>1102</v>
      </c>
      <c r="C346" s="1287" t="s">
        <v>1676</v>
      </c>
      <c r="D346" s="1287" t="s">
        <v>1884</v>
      </c>
      <c r="E346" s="1245" t="s">
        <v>1885</v>
      </c>
      <c r="F346" s="1245" t="s">
        <v>1886</v>
      </c>
      <c r="G346" s="528">
        <v>42202</v>
      </c>
      <c r="H346" s="885">
        <v>11</v>
      </c>
      <c r="I346" s="890">
        <v>70.872</v>
      </c>
      <c r="J346" s="529">
        <v>482.87700000000001</v>
      </c>
      <c r="K346" s="783">
        <v>34</v>
      </c>
      <c r="L346" s="784">
        <v>20</v>
      </c>
      <c r="M346" s="783">
        <v>5</v>
      </c>
      <c r="N346" s="980" t="s">
        <v>369</v>
      </c>
      <c r="O346" s="1288" t="s">
        <v>227</v>
      </c>
      <c r="P346" s="784">
        <v>0</v>
      </c>
      <c r="Q346" s="529">
        <v>11.999000000000001</v>
      </c>
      <c r="R346" s="913">
        <v>0</v>
      </c>
      <c r="S346" s="914"/>
      <c r="T346" s="1264"/>
      <c r="U346" s="1261"/>
    </row>
    <row r="347" spans="1:21" ht="14.25" customHeight="1" thickTop="1" thickBot="1">
      <c r="A347" s="1244"/>
      <c r="B347" s="1249" t="s">
        <v>1102</v>
      </c>
      <c r="C347" s="1285" t="s">
        <v>1676</v>
      </c>
      <c r="D347" s="1285" t="s">
        <v>3690</v>
      </c>
      <c r="E347" s="1249" t="s">
        <v>3691</v>
      </c>
      <c r="F347" s="1249" t="s">
        <v>3692</v>
      </c>
      <c r="G347" s="785">
        <v>42549</v>
      </c>
      <c r="H347" s="886"/>
      <c r="I347" s="891"/>
      <c r="J347" s="530"/>
      <c r="K347" s="786">
        <v>0</v>
      </c>
      <c r="L347" s="787">
        <v>3</v>
      </c>
      <c r="M347" s="786">
        <v>1</v>
      </c>
      <c r="N347" s="981" t="s">
        <v>332</v>
      </c>
      <c r="O347" s="1286" t="s">
        <v>227</v>
      </c>
      <c r="P347" s="787">
        <v>3</v>
      </c>
      <c r="Q347" s="530"/>
      <c r="R347" s="911">
        <v>0</v>
      </c>
      <c r="S347" s="912"/>
      <c r="T347" s="1264"/>
      <c r="U347" s="1261"/>
    </row>
    <row r="348" spans="1:21" ht="14.25" customHeight="1" thickTop="1" thickBot="1">
      <c r="A348" s="1244"/>
      <c r="B348" s="1245" t="s">
        <v>3172</v>
      </c>
      <c r="C348" s="1287" t="s">
        <v>3202</v>
      </c>
      <c r="D348" s="1287" t="s">
        <v>3362</v>
      </c>
      <c r="E348" s="1245" t="s">
        <v>3498</v>
      </c>
      <c r="F348" s="1245" t="s">
        <v>3363</v>
      </c>
      <c r="G348" s="528">
        <v>42517</v>
      </c>
      <c r="H348" s="885">
        <v>1</v>
      </c>
      <c r="I348" s="890">
        <v>146.86799999999999</v>
      </c>
      <c r="J348" s="529">
        <v>121.923</v>
      </c>
      <c r="K348" s="783">
        <v>9</v>
      </c>
      <c r="L348" s="784">
        <v>21</v>
      </c>
      <c r="M348" s="783">
        <v>2</v>
      </c>
      <c r="N348" s="980" t="s">
        <v>590</v>
      </c>
      <c r="O348" s="1288" t="s">
        <v>227</v>
      </c>
      <c r="P348" s="784">
        <v>13</v>
      </c>
      <c r="Q348" s="529">
        <v>121.923</v>
      </c>
      <c r="R348" s="913">
        <v>6</v>
      </c>
      <c r="S348" s="914"/>
      <c r="T348" s="1264"/>
      <c r="U348" s="1261"/>
    </row>
    <row r="349" spans="1:21" ht="14.25" customHeight="1" thickTop="1" thickBot="1">
      <c r="A349" s="1244"/>
      <c r="B349" s="1249" t="s">
        <v>3172</v>
      </c>
      <c r="C349" s="1285" t="s">
        <v>3205</v>
      </c>
      <c r="D349" s="1285" t="s">
        <v>3360</v>
      </c>
      <c r="E349" s="1249" t="s">
        <v>3497</v>
      </c>
      <c r="F349" s="1249" t="s">
        <v>3361</v>
      </c>
      <c r="G349" s="785">
        <v>42510</v>
      </c>
      <c r="H349" s="886">
        <v>1</v>
      </c>
      <c r="I349" s="891">
        <v>70.614000000000004</v>
      </c>
      <c r="J349" s="530">
        <v>23.454999999999998</v>
      </c>
      <c r="K349" s="786">
        <v>4</v>
      </c>
      <c r="L349" s="787">
        <v>7</v>
      </c>
      <c r="M349" s="786">
        <v>0</v>
      </c>
      <c r="N349" s="981" t="s">
        <v>590</v>
      </c>
      <c r="O349" s="1286" t="s">
        <v>227</v>
      </c>
      <c r="P349" s="787">
        <v>4</v>
      </c>
      <c r="Q349" s="530">
        <v>23.454999999999998</v>
      </c>
      <c r="R349" s="911">
        <v>2</v>
      </c>
      <c r="S349" s="912"/>
      <c r="T349" s="1264"/>
      <c r="U349" s="1261"/>
    </row>
    <row r="350" spans="1:21" ht="14.25" customHeight="1" thickTop="1" thickBot="1">
      <c r="A350" s="1244"/>
      <c r="B350" s="1245" t="s">
        <v>3172</v>
      </c>
      <c r="C350" s="1287" t="s">
        <v>3205</v>
      </c>
      <c r="D350" s="1287" t="s">
        <v>3693</v>
      </c>
      <c r="E350" s="1245" t="s">
        <v>3694</v>
      </c>
      <c r="F350" s="1245" t="s">
        <v>3011</v>
      </c>
      <c r="G350" s="528">
        <v>42537</v>
      </c>
      <c r="H350" s="885">
        <v>0</v>
      </c>
      <c r="I350" s="890">
        <v>61.542999999999999</v>
      </c>
      <c r="J350" s="529">
        <v>61.542999999999999</v>
      </c>
      <c r="K350" s="783">
        <v>2</v>
      </c>
      <c r="L350" s="784">
        <v>8</v>
      </c>
      <c r="M350" s="783">
        <v>2</v>
      </c>
      <c r="N350" s="980" t="s">
        <v>227</v>
      </c>
      <c r="O350" s="1288" t="s">
        <v>227</v>
      </c>
      <c r="P350" s="784">
        <v>5</v>
      </c>
      <c r="Q350" s="529">
        <v>61.542999999999999</v>
      </c>
      <c r="R350" s="913">
        <v>2</v>
      </c>
      <c r="S350" s="914"/>
      <c r="T350" s="1264"/>
      <c r="U350" s="1261"/>
    </row>
    <row r="351" spans="1:21" ht="14.25" customHeight="1" thickTop="1" thickBot="1">
      <c r="A351" s="1244"/>
      <c r="B351" s="1249" t="s">
        <v>3517</v>
      </c>
      <c r="C351" s="1285" t="s">
        <v>227</v>
      </c>
      <c r="D351" s="1285" t="s">
        <v>2754</v>
      </c>
      <c r="E351" s="1249" t="s">
        <v>2755</v>
      </c>
      <c r="F351" s="1249" t="s">
        <v>2756</v>
      </c>
      <c r="G351" s="785">
        <v>42433</v>
      </c>
      <c r="H351" s="886">
        <v>4</v>
      </c>
      <c r="I351" s="891">
        <v>215.036</v>
      </c>
      <c r="J351" s="530">
        <v>69.436999999999998</v>
      </c>
      <c r="K351" s="786">
        <v>11</v>
      </c>
      <c r="L351" s="787">
        <v>8</v>
      </c>
      <c r="M351" s="786">
        <v>1</v>
      </c>
      <c r="N351" s="981" t="s">
        <v>332</v>
      </c>
      <c r="O351" s="1286" t="s">
        <v>227</v>
      </c>
      <c r="P351" s="787">
        <v>1</v>
      </c>
      <c r="Q351" s="530">
        <v>18.501000000000001</v>
      </c>
      <c r="R351" s="911">
        <v>1</v>
      </c>
      <c r="S351" s="912"/>
      <c r="T351" s="1264"/>
      <c r="U351" s="1261"/>
    </row>
    <row r="352" spans="1:21" ht="14.25" customHeight="1" thickTop="1" thickBot="1">
      <c r="A352" s="1244"/>
      <c r="B352" s="1245" t="s">
        <v>3517</v>
      </c>
      <c r="C352" s="1287" t="s">
        <v>227</v>
      </c>
      <c r="D352" s="1287" t="s">
        <v>2777</v>
      </c>
      <c r="E352" s="1245" t="s">
        <v>2778</v>
      </c>
      <c r="F352" s="1245" t="s">
        <v>2779</v>
      </c>
      <c r="G352" s="528">
        <v>42433</v>
      </c>
      <c r="H352" s="885">
        <v>4</v>
      </c>
      <c r="I352" s="890">
        <v>10.365</v>
      </c>
      <c r="J352" s="529">
        <v>76.795000000000002</v>
      </c>
      <c r="K352" s="783">
        <v>3</v>
      </c>
      <c r="L352" s="784">
        <v>9</v>
      </c>
      <c r="M352" s="783">
        <v>1</v>
      </c>
      <c r="N352" s="980" t="s">
        <v>332</v>
      </c>
      <c r="O352" s="1288" t="s">
        <v>227</v>
      </c>
      <c r="P352" s="784">
        <v>0</v>
      </c>
      <c r="Q352" s="529">
        <v>10.365</v>
      </c>
      <c r="R352" s="913">
        <v>1</v>
      </c>
      <c r="S352" s="914"/>
      <c r="T352" s="1264"/>
      <c r="U352" s="1261"/>
    </row>
    <row r="353" spans="1:21" ht="14.25" customHeight="1" thickTop="1" thickBot="1">
      <c r="A353" s="1244"/>
      <c r="B353" s="1249" t="s">
        <v>3517</v>
      </c>
      <c r="C353" s="1285" t="s">
        <v>2728</v>
      </c>
      <c r="D353" s="1285" t="s">
        <v>2757</v>
      </c>
      <c r="E353" s="1249" t="s">
        <v>2758</v>
      </c>
      <c r="F353" s="1249" t="s">
        <v>2473</v>
      </c>
      <c r="G353" s="785">
        <v>42445</v>
      </c>
      <c r="H353" s="886">
        <v>3</v>
      </c>
      <c r="I353" s="891">
        <v>244.84700000000001</v>
      </c>
      <c r="J353" s="530">
        <v>199.07499999999999</v>
      </c>
      <c r="K353" s="786">
        <v>9</v>
      </c>
      <c r="L353" s="787">
        <v>11</v>
      </c>
      <c r="M353" s="786">
        <v>2</v>
      </c>
      <c r="N353" s="981" t="s">
        <v>590</v>
      </c>
      <c r="O353" s="1286" t="s">
        <v>227</v>
      </c>
      <c r="P353" s="787">
        <v>1</v>
      </c>
      <c r="Q353" s="530">
        <v>14.750999999999999</v>
      </c>
      <c r="R353" s="911">
        <v>1</v>
      </c>
      <c r="S353" s="912"/>
      <c r="T353" s="1264"/>
      <c r="U353" s="1261"/>
    </row>
    <row r="354" spans="1:21" ht="14.25" customHeight="1" thickTop="1" thickBot="1">
      <c r="A354" s="1244"/>
      <c r="B354" s="1245" t="s">
        <v>47</v>
      </c>
      <c r="C354" s="1287" t="s">
        <v>227</v>
      </c>
      <c r="D354" s="1287" t="s">
        <v>23</v>
      </c>
      <c r="E354" s="1245" t="s">
        <v>327</v>
      </c>
      <c r="F354" s="1245" t="s">
        <v>302</v>
      </c>
      <c r="G354" s="528">
        <v>41009</v>
      </c>
      <c r="H354" s="885">
        <v>51</v>
      </c>
      <c r="I354" s="890">
        <v>250.369</v>
      </c>
      <c r="J354" s="529">
        <v>536.20100000000002</v>
      </c>
      <c r="K354" s="783">
        <v>23</v>
      </c>
      <c r="L354" s="784">
        <v>9</v>
      </c>
      <c r="M354" s="783">
        <v>1</v>
      </c>
      <c r="N354" s="980" t="s">
        <v>332</v>
      </c>
      <c r="O354" s="1288" t="s">
        <v>227</v>
      </c>
      <c r="P354" s="784">
        <v>0</v>
      </c>
      <c r="Q354" s="529">
        <v>90.338999999999999</v>
      </c>
      <c r="R354" s="913">
        <v>3</v>
      </c>
      <c r="S354" s="914"/>
      <c r="T354" s="1264"/>
      <c r="U354" s="1261"/>
    </row>
    <row r="355" spans="1:21" ht="14.25" customHeight="1" thickTop="1" thickBot="1">
      <c r="A355" s="1244"/>
      <c r="B355" s="1249" t="s">
        <v>47</v>
      </c>
      <c r="C355" s="1285" t="s">
        <v>227</v>
      </c>
      <c r="D355" s="1285" t="s">
        <v>24</v>
      </c>
      <c r="E355" s="1249" t="s">
        <v>763</v>
      </c>
      <c r="F355" s="1249" t="s">
        <v>329</v>
      </c>
      <c r="G355" s="785">
        <v>41009</v>
      </c>
      <c r="H355" s="886">
        <v>51</v>
      </c>
      <c r="I355" s="891">
        <v>2311.451</v>
      </c>
      <c r="J355" s="530">
        <v>3397.1089999999999</v>
      </c>
      <c r="K355" s="786">
        <v>54</v>
      </c>
      <c r="L355" s="787">
        <v>13</v>
      </c>
      <c r="M355" s="786">
        <v>2</v>
      </c>
      <c r="N355" s="981" t="s">
        <v>332</v>
      </c>
      <c r="O355" s="1286" t="s">
        <v>227</v>
      </c>
      <c r="P355" s="787">
        <v>0</v>
      </c>
      <c r="Q355" s="530">
        <v>201.96</v>
      </c>
      <c r="R355" s="911">
        <v>6</v>
      </c>
      <c r="S355" s="912"/>
      <c r="T355" s="1264"/>
      <c r="U355" s="1261"/>
    </row>
    <row r="356" spans="1:21" ht="14.25" customHeight="1" thickTop="1" thickBot="1">
      <c r="A356" s="1244"/>
      <c r="B356" s="1245" t="s">
        <v>736</v>
      </c>
      <c r="C356" s="1287" t="s">
        <v>227</v>
      </c>
      <c r="D356" s="1287" t="s">
        <v>810</v>
      </c>
      <c r="E356" s="1245" t="s">
        <v>811</v>
      </c>
      <c r="F356" s="1245" t="s">
        <v>812</v>
      </c>
      <c r="G356" s="528">
        <v>41822</v>
      </c>
      <c r="H356" s="885">
        <v>24</v>
      </c>
      <c r="I356" s="890">
        <v>241.84399999999999</v>
      </c>
      <c r="J356" s="529">
        <v>3898.665</v>
      </c>
      <c r="K356" s="783">
        <v>61</v>
      </c>
      <c r="L356" s="784">
        <v>22</v>
      </c>
      <c r="M356" s="783">
        <v>0</v>
      </c>
      <c r="N356" s="980" t="s">
        <v>590</v>
      </c>
      <c r="O356" s="1288" t="s">
        <v>227</v>
      </c>
      <c r="P356" s="784">
        <v>0</v>
      </c>
      <c r="Q356" s="529">
        <v>50.1</v>
      </c>
      <c r="R356" s="913">
        <v>3</v>
      </c>
      <c r="S356" s="914"/>
      <c r="T356" s="1264"/>
      <c r="U356" s="1261"/>
    </row>
    <row r="357" spans="1:21" ht="14.25" customHeight="1" thickTop="1" thickBot="1">
      <c r="A357" s="1244"/>
      <c r="B357" s="1249" t="s">
        <v>736</v>
      </c>
      <c r="C357" s="1285" t="s">
        <v>227</v>
      </c>
      <c r="D357" s="1285" t="s">
        <v>1524</v>
      </c>
      <c r="E357" s="1249" t="s">
        <v>1558</v>
      </c>
      <c r="F357" s="1249" t="s">
        <v>1525</v>
      </c>
      <c r="G357" s="785">
        <v>42108</v>
      </c>
      <c r="H357" s="886">
        <v>15</v>
      </c>
      <c r="I357" s="891">
        <v>417.72199999999998</v>
      </c>
      <c r="J357" s="530">
        <v>637.71299999999997</v>
      </c>
      <c r="K357" s="786">
        <v>23</v>
      </c>
      <c r="L357" s="787">
        <v>10</v>
      </c>
      <c r="M357" s="786">
        <v>1</v>
      </c>
      <c r="N357" s="981" t="s">
        <v>369</v>
      </c>
      <c r="O357" s="1286" t="s">
        <v>227</v>
      </c>
      <c r="P357" s="787">
        <v>0</v>
      </c>
      <c r="Q357" s="530">
        <v>6.7610000000000001</v>
      </c>
      <c r="R357" s="911">
        <v>0</v>
      </c>
      <c r="S357" s="912"/>
      <c r="T357" s="1264"/>
      <c r="U357" s="1261"/>
    </row>
    <row r="358" spans="1:21" ht="14.25" customHeight="1" thickTop="1" thickBot="1">
      <c r="A358" s="1244"/>
      <c r="B358" s="1245" t="s">
        <v>736</v>
      </c>
      <c r="C358" s="1287" t="s">
        <v>227</v>
      </c>
      <c r="D358" s="1287" t="s">
        <v>1522</v>
      </c>
      <c r="E358" s="1245" t="s">
        <v>2459</v>
      </c>
      <c r="F358" s="1245" t="s">
        <v>1523</v>
      </c>
      <c r="G358" s="528">
        <v>42262</v>
      </c>
      <c r="H358" s="885">
        <v>14</v>
      </c>
      <c r="I358" s="890">
        <v>192.10300000000001</v>
      </c>
      <c r="J358" s="529">
        <v>489.46100000000001</v>
      </c>
      <c r="K358" s="783">
        <v>19</v>
      </c>
      <c r="L358" s="784">
        <v>9</v>
      </c>
      <c r="M358" s="783">
        <v>1</v>
      </c>
      <c r="N358" s="980" t="s">
        <v>369</v>
      </c>
      <c r="O358" s="1288" t="s">
        <v>227</v>
      </c>
      <c r="P358" s="784">
        <v>0</v>
      </c>
      <c r="Q358" s="529">
        <v>22.957999999999998</v>
      </c>
      <c r="R358" s="913">
        <v>2</v>
      </c>
      <c r="S358" s="914"/>
      <c r="T358" s="1264"/>
      <c r="U358" s="1261"/>
    </row>
    <row r="359" spans="1:21" ht="14.25" customHeight="1" thickTop="1" thickBot="1">
      <c r="A359" s="1244"/>
      <c r="B359" s="1249" t="s">
        <v>736</v>
      </c>
      <c r="C359" s="1285" t="s">
        <v>754</v>
      </c>
      <c r="D359" s="1285" t="s">
        <v>783</v>
      </c>
      <c r="E359" s="1249" t="s">
        <v>1557</v>
      </c>
      <c r="F359" s="1249" t="s">
        <v>784</v>
      </c>
      <c r="G359" s="785">
        <v>41795</v>
      </c>
      <c r="H359" s="886">
        <v>25</v>
      </c>
      <c r="I359" s="891">
        <v>1184.6759999999999</v>
      </c>
      <c r="J359" s="530">
        <v>1795.989</v>
      </c>
      <c r="K359" s="786">
        <v>74</v>
      </c>
      <c r="L359" s="787">
        <v>30</v>
      </c>
      <c r="M359" s="786">
        <v>4</v>
      </c>
      <c r="N359" s="981" t="s">
        <v>590</v>
      </c>
      <c r="O359" s="1286" t="s">
        <v>227</v>
      </c>
      <c r="P359" s="787">
        <v>3</v>
      </c>
      <c r="Q359" s="530">
        <v>204.012</v>
      </c>
      <c r="R359" s="911">
        <v>6</v>
      </c>
      <c r="S359" s="912"/>
      <c r="T359" s="1264"/>
      <c r="U359" s="1261"/>
    </row>
    <row r="360" spans="1:21" ht="14.25" customHeight="1" thickTop="1" thickBot="1">
      <c r="A360" s="1244"/>
      <c r="B360" s="1245" t="s">
        <v>736</v>
      </c>
      <c r="C360" s="1287" t="s">
        <v>754</v>
      </c>
      <c r="D360" s="1287" t="s">
        <v>1250</v>
      </c>
      <c r="E360" s="1245" t="s">
        <v>2577</v>
      </c>
      <c r="F360" s="1245" t="s">
        <v>1251</v>
      </c>
      <c r="G360" s="528">
        <v>42178</v>
      </c>
      <c r="H360" s="885">
        <v>18</v>
      </c>
      <c r="I360" s="890">
        <v>91.433000000000007</v>
      </c>
      <c r="J360" s="529">
        <v>395.20800000000003</v>
      </c>
      <c r="K360" s="783">
        <v>13</v>
      </c>
      <c r="L360" s="784">
        <v>11</v>
      </c>
      <c r="M360" s="783">
        <v>1</v>
      </c>
      <c r="N360" s="980" t="s">
        <v>332</v>
      </c>
      <c r="O360" s="1288" t="s">
        <v>227</v>
      </c>
      <c r="P360" s="784">
        <v>0</v>
      </c>
      <c r="Q360" s="529">
        <v>7.2119999999999997</v>
      </c>
      <c r="R360" s="913">
        <v>1</v>
      </c>
      <c r="S360" s="914"/>
      <c r="T360" s="1264"/>
      <c r="U360" s="1261"/>
    </row>
    <row r="361" spans="1:21" ht="14.25" customHeight="1" thickTop="1" thickBot="1">
      <c r="A361" s="1244"/>
      <c r="B361" s="1249" t="s">
        <v>736</v>
      </c>
      <c r="C361" s="1285" t="s">
        <v>754</v>
      </c>
      <c r="D361" s="1285" t="s">
        <v>1887</v>
      </c>
      <c r="E361" s="1249" t="s">
        <v>1888</v>
      </c>
      <c r="F361" s="1249" t="s">
        <v>1889</v>
      </c>
      <c r="G361" s="785">
        <v>42206</v>
      </c>
      <c r="H361" s="886">
        <v>11</v>
      </c>
      <c r="I361" s="891">
        <v>28.14</v>
      </c>
      <c r="J361" s="530">
        <v>49.575000000000003</v>
      </c>
      <c r="K361" s="786">
        <v>3</v>
      </c>
      <c r="L361" s="787">
        <v>3</v>
      </c>
      <c r="M361" s="786">
        <v>0</v>
      </c>
      <c r="N361" s="981" t="s">
        <v>332</v>
      </c>
      <c r="O361" s="1286" t="s">
        <v>227</v>
      </c>
      <c r="P361" s="787">
        <v>0</v>
      </c>
      <c r="Q361" s="530"/>
      <c r="R361" s="911">
        <v>0</v>
      </c>
      <c r="S361" s="912"/>
      <c r="T361" s="1264"/>
      <c r="U361" s="1261"/>
    </row>
    <row r="362" spans="1:21" ht="14.25" customHeight="1" thickTop="1" thickBot="1">
      <c r="A362" s="1244"/>
      <c r="B362" s="1245" t="s">
        <v>1570</v>
      </c>
      <c r="C362" s="1287" t="s">
        <v>227</v>
      </c>
      <c r="D362" s="1287" t="s">
        <v>1971</v>
      </c>
      <c r="E362" s="1245" t="s">
        <v>1972</v>
      </c>
      <c r="F362" s="1245" t="s">
        <v>1973</v>
      </c>
      <c r="G362" s="528">
        <v>41940</v>
      </c>
      <c r="H362" s="885">
        <v>20</v>
      </c>
      <c r="I362" s="890">
        <v>239.65799999999999</v>
      </c>
      <c r="J362" s="529">
        <v>789.95500000000004</v>
      </c>
      <c r="K362" s="783">
        <v>37</v>
      </c>
      <c r="L362" s="784">
        <v>10</v>
      </c>
      <c r="M362" s="783">
        <v>2</v>
      </c>
      <c r="N362" s="980" t="s">
        <v>590</v>
      </c>
      <c r="O362" s="1288" t="s">
        <v>227</v>
      </c>
      <c r="P362" s="784">
        <v>0</v>
      </c>
      <c r="Q362" s="529"/>
      <c r="R362" s="913">
        <v>0</v>
      </c>
      <c r="S362" s="914"/>
      <c r="T362" s="1264"/>
      <c r="U362" s="1261"/>
    </row>
    <row r="363" spans="1:21" ht="14.25" customHeight="1" thickTop="1" thickBot="1">
      <c r="A363" s="1244"/>
      <c r="B363" s="1249" t="s">
        <v>1570</v>
      </c>
      <c r="C363" s="1285" t="s">
        <v>227</v>
      </c>
      <c r="D363" s="1285" t="s">
        <v>1699</v>
      </c>
      <c r="E363" s="1249" t="s">
        <v>1700</v>
      </c>
      <c r="F363" s="1249" t="s">
        <v>1701</v>
      </c>
      <c r="G363" s="785">
        <v>42174</v>
      </c>
      <c r="H363" s="886">
        <v>12</v>
      </c>
      <c r="I363" s="891">
        <v>33.005000000000003</v>
      </c>
      <c r="J363" s="530">
        <v>1391.9079999999999</v>
      </c>
      <c r="K363" s="786">
        <v>91</v>
      </c>
      <c r="L363" s="787">
        <v>21</v>
      </c>
      <c r="M363" s="786">
        <v>4</v>
      </c>
      <c r="N363" s="981" t="s">
        <v>590</v>
      </c>
      <c r="O363" s="1286" t="s">
        <v>227</v>
      </c>
      <c r="P363" s="787">
        <v>1</v>
      </c>
      <c r="Q363" s="530">
        <v>57.438000000000002</v>
      </c>
      <c r="R363" s="911">
        <v>5</v>
      </c>
      <c r="S363" s="912"/>
      <c r="T363" s="1264"/>
      <c r="U363" s="1261"/>
    </row>
    <row r="364" spans="1:21" ht="14.25" customHeight="1" thickTop="1" thickBot="1">
      <c r="A364" s="1244"/>
      <c r="B364" s="1245" t="s">
        <v>1570</v>
      </c>
      <c r="C364" s="1287" t="s">
        <v>227</v>
      </c>
      <c r="D364" s="1287" t="s">
        <v>1974</v>
      </c>
      <c r="E364" s="1245" t="s">
        <v>1975</v>
      </c>
      <c r="F364" s="1245" t="s">
        <v>1976</v>
      </c>
      <c r="G364" s="528">
        <v>42220</v>
      </c>
      <c r="H364" s="885">
        <v>11</v>
      </c>
      <c r="I364" s="890">
        <v>24.361999999999998</v>
      </c>
      <c r="J364" s="529">
        <v>536.76599999999996</v>
      </c>
      <c r="K364" s="783">
        <v>52</v>
      </c>
      <c r="L364" s="784">
        <v>8</v>
      </c>
      <c r="M364" s="783">
        <v>0</v>
      </c>
      <c r="N364" s="980" t="s">
        <v>369</v>
      </c>
      <c r="O364" s="1288" t="s">
        <v>227</v>
      </c>
      <c r="P364" s="784">
        <v>0</v>
      </c>
      <c r="Q364" s="529">
        <v>20.21</v>
      </c>
      <c r="R364" s="913">
        <v>3</v>
      </c>
      <c r="S364" s="914"/>
      <c r="T364" s="1264"/>
      <c r="U364" s="1261"/>
    </row>
    <row r="365" spans="1:21" ht="14.25" customHeight="1" thickTop="1" thickBot="1">
      <c r="A365" s="1244"/>
      <c r="B365" s="1249" t="s">
        <v>1570</v>
      </c>
      <c r="C365" s="1285" t="s">
        <v>227</v>
      </c>
      <c r="D365" s="1285" t="s">
        <v>2751</v>
      </c>
      <c r="E365" s="1249" t="s">
        <v>2752</v>
      </c>
      <c r="F365" s="1249" t="s">
        <v>2753</v>
      </c>
      <c r="G365" s="785">
        <v>42454</v>
      </c>
      <c r="H365" s="886">
        <v>3</v>
      </c>
      <c r="I365" s="891">
        <v>277.87599999999998</v>
      </c>
      <c r="J365" s="530">
        <v>361.72399999999999</v>
      </c>
      <c r="K365" s="786">
        <v>16</v>
      </c>
      <c r="L365" s="787">
        <v>13</v>
      </c>
      <c r="M365" s="786">
        <v>2</v>
      </c>
      <c r="N365" s="981" t="s">
        <v>590</v>
      </c>
      <c r="O365" s="1286" t="s">
        <v>227</v>
      </c>
      <c r="P365" s="787">
        <v>3</v>
      </c>
      <c r="Q365" s="530">
        <v>109.68600000000001</v>
      </c>
      <c r="R365" s="911">
        <v>4</v>
      </c>
      <c r="S365" s="912"/>
      <c r="T365" s="1264"/>
      <c r="U365" s="1261"/>
    </row>
    <row r="366" spans="1:21" ht="14.25" customHeight="1" thickTop="1" thickBot="1">
      <c r="A366" s="1244"/>
      <c r="B366" s="1245" t="s">
        <v>1570</v>
      </c>
      <c r="C366" s="1287" t="s">
        <v>2315</v>
      </c>
      <c r="D366" s="1287" t="s">
        <v>2333</v>
      </c>
      <c r="E366" s="1245" t="s">
        <v>2334</v>
      </c>
      <c r="F366" s="1245" t="s">
        <v>2335</v>
      </c>
      <c r="G366" s="528">
        <v>42327</v>
      </c>
      <c r="H366" s="885">
        <v>7</v>
      </c>
      <c r="I366" s="890">
        <v>37.398000000000003</v>
      </c>
      <c r="J366" s="529">
        <v>298.25099999999998</v>
      </c>
      <c r="K366" s="783">
        <v>23</v>
      </c>
      <c r="L366" s="784">
        <v>11</v>
      </c>
      <c r="M366" s="783">
        <v>2</v>
      </c>
      <c r="N366" s="980" t="s">
        <v>369</v>
      </c>
      <c r="O366" s="1288" t="s">
        <v>227</v>
      </c>
      <c r="P366" s="784">
        <v>0</v>
      </c>
      <c r="Q366" s="529">
        <v>24.475000000000001</v>
      </c>
      <c r="R366" s="913">
        <v>3</v>
      </c>
      <c r="S366" s="914"/>
      <c r="T366" s="1264"/>
      <c r="U366" s="1261"/>
    </row>
    <row r="367" spans="1:21" ht="14.25" customHeight="1" thickTop="1" thickBot="1">
      <c r="A367" s="1244"/>
      <c r="B367" s="1249" t="s">
        <v>1570</v>
      </c>
      <c r="C367" s="1285" t="s">
        <v>2315</v>
      </c>
      <c r="D367" s="1285" t="s">
        <v>3374</v>
      </c>
      <c r="E367" s="1249" t="s">
        <v>3499</v>
      </c>
      <c r="F367" s="1249" t="s">
        <v>3375</v>
      </c>
      <c r="G367" s="785">
        <v>42517</v>
      </c>
      <c r="H367" s="886">
        <v>1</v>
      </c>
      <c r="I367" s="891"/>
      <c r="J367" s="530">
        <v>360.221</v>
      </c>
      <c r="K367" s="786">
        <v>8</v>
      </c>
      <c r="L367" s="787">
        <v>16</v>
      </c>
      <c r="M367" s="786">
        <v>4</v>
      </c>
      <c r="N367" s="981" t="s">
        <v>590</v>
      </c>
      <c r="O367" s="1286" t="s">
        <v>227</v>
      </c>
      <c r="P367" s="787">
        <v>5</v>
      </c>
      <c r="Q367" s="530">
        <v>360.221</v>
      </c>
      <c r="R367" s="911">
        <v>7</v>
      </c>
      <c r="S367" s="912"/>
      <c r="T367" s="1264"/>
      <c r="U367" s="1261"/>
    </row>
    <row r="368" spans="1:21" ht="14.25" customHeight="1" thickTop="1" thickBot="1">
      <c r="A368" s="1244"/>
      <c r="B368" s="1245" t="s">
        <v>1570</v>
      </c>
      <c r="C368" s="1287" t="s">
        <v>2315</v>
      </c>
      <c r="D368" s="1287" t="s">
        <v>3380</v>
      </c>
      <c r="E368" s="1245" t="s">
        <v>3500</v>
      </c>
      <c r="F368" s="1245" t="s">
        <v>3381</v>
      </c>
      <c r="G368" s="528">
        <v>42517</v>
      </c>
      <c r="H368" s="885">
        <v>1</v>
      </c>
      <c r="I368" s="890">
        <v>18.167999999999999</v>
      </c>
      <c r="J368" s="529">
        <v>10.074</v>
      </c>
      <c r="K368" s="783">
        <v>2</v>
      </c>
      <c r="L368" s="784">
        <v>13</v>
      </c>
      <c r="M368" s="783">
        <v>3</v>
      </c>
      <c r="N368" s="980" t="s">
        <v>369</v>
      </c>
      <c r="O368" s="1288" t="s">
        <v>227</v>
      </c>
      <c r="P368" s="784">
        <v>12</v>
      </c>
      <c r="Q368" s="529">
        <v>10.074</v>
      </c>
      <c r="R368" s="913">
        <v>1</v>
      </c>
      <c r="S368" s="914"/>
      <c r="T368" s="1264"/>
      <c r="U368" s="1261"/>
    </row>
    <row r="369" spans="1:21" ht="14.25" customHeight="1" thickTop="1" thickBot="1">
      <c r="A369" s="1244"/>
      <c r="B369" s="1249" t="s">
        <v>1570</v>
      </c>
      <c r="C369" s="1285" t="s">
        <v>2442</v>
      </c>
      <c r="D369" s="1285" t="s">
        <v>2460</v>
      </c>
      <c r="E369" s="1249" t="s">
        <v>2461</v>
      </c>
      <c r="F369" s="1249" t="s">
        <v>2462</v>
      </c>
      <c r="G369" s="785">
        <v>42368</v>
      </c>
      <c r="H369" s="886">
        <v>6</v>
      </c>
      <c r="I369" s="891"/>
      <c r="J369" s="530">
        <v>231.48699999999999</v>
      </c>
      <c r="K369" s="786">
        <v>15</v>
      </c>
      <c r="L369" s="787">
        <v>9</v>
      </c>
      <c r="M369" s="786">
        <v>1</v>
      </c>
      <c r="N369" s="981" t="s">
        <v>369</v>
      </c>
      <c r="O369" s="1286" t="s">
        <v>227</v>
      </c>
      <c r="P369" s="787">
        <v>1</v>
      </c>
      <c r="Q369" s="530">
        <v>11.215</v>
      </c>
      <c r="R369" s="911">
        <v>1</v>
      </c>
      <c r="S369" s="912"/>
      <c r="T369" s="1264"/>
      <c r="U369" s="1261"/>
    </row>
    <row r="370" spans="1:21" ht="14.25" customHeight="1" thickTop="1" thickBot="1">
      <c r="A370" s="1244"/>
      <c r="B370" s="1245" t="s">
        <v>1570</v>
      </c>
      <c r="C370" s="1287" t="s">
        <v>3207</v>
      </c>
      <c r="D370" s="1287" t="s">
        <v>3384</v>
      </c>
      <c r="E370" s="1245" t="s">
        <v>3501</v>
      </c>
      <c r="F370" s="1245" t="s">
        <v>636</v>
      </c>
      <c r="G370" s="528">
        <v>42517</v>
      </c>
      <c r="H370" s="885">
        <v>1</v>
      </c>
      <c r="I370" s="890"/>
      <c r="J370" s="529">
        <v>99.144999999999996</v>
      </c>
      <c r="K370" s="783">
        <v>4</v>
      </c>
      <c r="L370" s="784">
        <v>11</v>
      </c>
      <c r="M370" s="783">
        <v>3</v>
      </c>
      <c r="N370" s="980" t="s">
        <v>590</v>
      </c>
      <c r="O370" s="1288" t="s">
        <v>227</v>
      </c>
      <c r="P370" s="784">
        <v>3</v>
      </c>
      <c r="Q370" s="529">
        <v>99.144999999999996</v>
      </c>
      <c r="R370" s="913">
        <v>4</v>
      </c>
      <c r="S370" s="914"/>
      <c r="T370" s="1264"/>
      <c r="U370" s="1261"/>
    </row>
    <row r="371" spans="1:21" ht="14.25" customHeight="1" thickTop="1" thickBot="1">
      <c r="A371" s="1244"/>
      <c r="B371" s="1249" t="s">
        <v>799</v>
      </c>
      <c r="C371" s="1285" t="s">
        <v>227</v>
      </c>
      <c r="D371" s="1285" t="s">
        <v>969</v>
      </c>
      <c r="E371" s="1249" t="s">
        <v>970</v>
      </c>
      <c r="F371" s="1249" t="s">
        <v>971</v>
      </c>
      <c r="G371" s="785">
        <v>41961</v>
      </c>
      <c r="H371" s="886">
        <v>19</v>
      </c>
      <c r="I371" s="891">
        <v>423.03699999999998</v>
      </c>
      <c r="J371" s="530">
        <v>1711.0640000000001</v>
      </c>
      <c r="K371" s="786">
        <v>58</v>
      </c>
      <c r="L371" s="787">
        <v>20</v>
      </c>
      <c r="M371" s="786">
        <v>3</v>
      </c>
      <c r="N371" s="981" t="s">
        <v>590</v>
      </c>
      <c r="O371" s="1286" t="s">
        <v>227</v>
      </c>
      <c r="P371" s="787">
        <v>2</v>
      </c>
      <c r="Q371" s="530">
        <v>154.37799999999999</v>
      </c>
      <c r="R371" s="911">
        <v>5</v>
      </c>
      <c r="S371" s="912"/>
      <c r="T371" s="1264"/>
      <c r="U371" s="1261"/>
    </row>
    <row r="372" spans="1:21" ht="14.25" customHeight="1" thickTop="1" thickBot="1">
      <c r="A372" s="1244"/>
      <c r="B372" s="1245" t="s">
        <v>799</v>
      </c>
      <c r="C372" s="1287" t="s">
        <v>1451</v>
      </c>
      <c r="D372" s="1287" t="s">
        <v>1978</v>
      </c>
      <c r="E372" s="1245" t="s">
        <v>1979</v>
      </c>
      <c r="F372" s="1245" t="s">
        <v>1980</v>
      </c>
      <c r="G372" s="528">
        <v>42234</v>
      </c>
      <c r="H372" s="885">
        <v>10</v>
      </c>
      <c r="I372" s="890">
        <v>102.71899999999999</v>
      </c>
      <c r="J372" s="529">
        <v>1956.0719999999999</v>
      </c>
      <c r="K372" s="783">
        <v>121</v>
      </c>
      <c r="L372" s="784">
        <v>49</v>
      </c>
      <c r="M372" s="783">
        <v>3</v>
      </c>
      <c r="N372" s="980" t="s">
        <v>590</v>
      </c>
      <c r="O372" s="1288" t="s">
        <v>227</v>
      </c>
      <c r="P372" s="784">
        <v>8</v>
      </c>
      <c r="Q372" s="529">
        <v>271.19799999999998</v>
      </c>
      <c r="R372" s="913">
        <v>14</v>
      </c>
      <c r="S372" s="914"/>
      <c r="T372" s="1264"/>
      <c r="U372" s="1261"/>
    </row>
    <row r="373" spans="1:21" ht="14.25" customHeight="1" thickTop="1" thickBot="1">
      <c r="A373" s="1244"/>
      <c r="B373" s="1249" t="s">
        <v>799</v>
      </c>
      <c r="C373" s="1285" t="s">
        <v>1451</v>
      </c>
      <c r="D373" s="1285" t="s">
        <v>2291</v>
      </c>
      <c r="E373" s="1249" t="s">
        <v>2944</v>
      </c>
      <c r="F373" s="1249" t="s">
        <v>1060</v>
      </c>
      <c r="G373" s="785">
        <v>42298</v>
      </c>
      <c r="H373" s="886">
        <v>8</v>
      </c>
      <c r="I373" s="891">
        <v>536.04300000000001</v>
      </c>
      <c r="J373" s="530">
        <v>988.31799999999998</v>
      </c>
      <c r="K373" s="786">
        <v>59</v>
      </c>
      <c r="L373" s="787">
        <v>26</v>
      </c>
      <c r="M373" s="786">
        <v>1</v>
      </c>
      <c r="N373" s="981" t="s">
        <v>590</v>
      </c>
      <c r="O373" s="1286" t="s">
        <v>227</v>
      </c>
      <c r="P373" s="787">
        <v>5</v>
      </c>
      <c r="Q373" s="530">
        <v>190.37200000000001</v>
      </c>
      <c r="R373" s="911">
        <v>9</v>
      </c>
      <c r="S373" s="912"/>
      <c r="T373" s="1264"/>
      <c r="U373" s="1261"/>
    </row>
    <row r="374" spans="1:21" ht="14.25" customHeight="1" thickTop="1" thickBot="1">
      <c r="A374" s="1244"/>
      <c r="B374" s="1245" t="s">
        <v>799</v>
      </c>
      <c r="C374" s="1287" t="s">
        <v>1451</v>
      </c>
      <c r="D374" s="1287" t="s">
        <v>2624</v>
      </c>
      <c r="E374" s="1245" t="s">
        <v>3695</v>
      </c>
      <c r="F374" s="1245" t="s">
        <v>2625</v>
      </c>
      <c r="G374" s="528">
        <v>42473</v>
      </c>
      <c r="H374" s="885">
        <v>5</v>
      </c>
      <c r="I374" s="890">
        <v>418.483</v>
      </c>
      <c r="J374" s="529">
        <v>224.97</v>
      </c>
      <c r="K374" s="783">
        <v>20</v>
      </c>
      <c r="L374" s="784">
        <v>17</v>
      </c>
      <c r="M374" s="783">
        <v>1</v>
      </c>
      <c r="N374" s="980" t="s">
        <v>590</v>
      </c>
      <c r="O374" s="1288" t="s">
        <v>227</v>
      </c>
      <c r="P374" s="784">
        <v>3</v>
      </c>
      <c r="Q374" s="529">
        <v>154.446</v>
      </c>
      <c r="R374" s="913">
        <v>6</v>
      </c>
      <c r="S374" s="914"/>
      <c r="T374" s="1264"/>
      <c r="U374" s="1261"/>
    </row>
    <row r="375" spans="1:21" ht="14.25" customHeight="1" thickTop="1" thickBot="1">
      <c r="A375" s="1244"/>
      <c r="B375" s="1249" t="s">
        <v>799</v>
      </c>
      <c r="C375" s="1285" t="s">
        <v>2663</v>
      </c>
      <c r="D375" s="1285" t="s">
        <v>829</v>
      </c>
      <c r="E375" s="1249" t="s">
        <v>830</v>
      </c>
      <c r="F375" s="1249" t="s">
        <v>831</v>
      </c>
      <c r="G375" s="785">
        <v>41864</v>
      </c>
      <c r="H375" s="886">
        <v>23</v>
      </c>
      <c r="I375" s="891">
        <v>138.559</v>
      </c>
      <c r="J375" s="530">
        <v>1263.75</v>
      </c>
      <c r="K375" s="786">
        <v>113</v>
      </c>
      <c r="L375" s="787">
        <v>43</v>
      </c>
      <c r="M375" s="786">
        <v>1</v>
      </c>
      <c r="N375" s="981" t="s">
        <v>590</v>
      </c>
      <c r="O375" s="1286" t="s">
        <v>227</v>
      </c>
      <c r="P375" s="787">
        <v>9</v>
      </c>
      <c r="Q375" s="530">
        <v>161.08000000000001</v>
      </c>
      <c r="R375" s="911">
        <v>14</v>
      </c>
      <c r="S375" s="912"/>
      <c r="T375" s="1264"/>
      <c r="U375" s="1261"/>
    </row>
    <row r="376" spans="1:21" ht="14.25" customHeight="1" thickTop="1" thickBot="1">
      <c r="A376" s="1244"/>
      <c r="B376" s="1245" t="s">
        <v>799</v>
      </c>
      <c r="C376" s="1287" t="s">
        <v>2663</v>
      </c>
      <c r="D376" s="1287" t="s">
        <v>1252</v>
      </c>
      <c r="E376" s="1245" t="s">
        <v>1977</v>
      </c>
      <c r="F376" s="1245" t="s">
        <v>1253</v>
      </c>
      <c r="G376" s="528">
        <v>42030</v>
      </c>
      <c r="H376" s="885">
        <v>17</v>
      </c>
      <c r="I376" s="890">
        <v>511.108</v>
      </c>
      <c r="J376" s="529">
        <v>770.45699999999999</v>
      </c>
      <c r="K376" s="783">
        <v>68</v>
      </c>
      <c r="L376" s="784">
        <v>23</v>
      </c>
      <c r="M376" s="783">
        <v>1</v>
      </c>
      <c r="N376" s="980" t="s">
        <v>590</v>
      </c>
      <c r="O376" s="1288" t="s">
        <v>227</v>
      </c>
      <c r="P376" s="784">
        <v>6</v>
      </c>
      <c r="Q376" s="529">
        <v>79.652000000000001</v>
      </c>
      <c r="R376" s="913">
        <v>7</v>
      </c>
      <c r="S376" s="914"/>
      <c r="T376" s="1264"/>
      <c r="U376" s="1261"/>
    </row>
    <row r="377" spans="1:21" ht="14.25" customHeight="1" thickTop="1" thickBot="1">
      <c r="A377" s="1244"/>
      <c r="B377" s="1249" t="s">
        <v>799</v>
      </c>
      <c r="C377" s="1285" t="s">
        <v>2663</v>
      </c>
      <c r="D377" s="1285" t="s">
        <v>3696</v>
      </c>
      <c r="E377" s="1249" t="s">
        <v>3697</v>
      </c>
      <c r="F377" s="1249" t="s">
        <v>3698</v>
      </c>
      <c r="G377" s="785">
        <v>42551</v>
      </c>
      <c r="H377" s="886"/>
      <c r="I377" s="891"/>
      <c r="J377" s="530"/>
      <c r="K377" s="786">
        <v>4</v>
      </c>
      <c r="L377" s="787">
        <v>8</v>
      </c>
      <c r="M377" s="786">
        <v>1</v>
      </c>
      <c r="N377" s="981" t="s">
        <v>332</v>
      </c>
      <c r="O377" s="1286" t="s">
        <v>227</v>
      </c>
      <c r="P377" s="787">
        <v>3</v>
      </c>
      <c r="Q377" s="530"/>
      <c r="R377" s="911">
        <v>4</v>
      </c>
      <c r="S377" s="912"/>
      <c r="T377" s="1264"/>
      <c r="U377" s="1261"/>
    </row>
    <row r="378" spans="1:21" ht="14.25" customHeight="1" thickTop="1" thickBot="1">
      <c r="A378" s="1244"/>
      <c r="B378" s="1245" t="s">
        <v>796</v>
      </c>
      <c r="C378" s="1287" t="s">
        <v>227</v>
      </c>
      <c r="D378" s="1287" t="s">
        <v>1702</v>
      </c>
      <c r="E378" s="1245" t="s">
        <v>1703</v>
      </c>
      <c r="F378" s="1245" t="s">
        <v>1704</v>
      </c>
      <c r="G378" s="528">
        <v>42179</v>
      </c>
      <c r="H378" s="885">
        <v>12</v>
      </c>
      <c r="I378" s="890">
        <v>1102.6959999999999</v>
      </c>
      <c r="J378" s="529">
        <v>1309.337</v>
      </c>
      <c r="K378" s="783">
        <v>45</v>
      </c>
      <c r="L378" s="784">
        <v>21</v>
      </c>
      <c r="M378" s="783">
        <v>2</v>
      </c>
      <c r="N378" s="980" t="s">
        <v>590</v>
      </c>
      <c r="O378" s="1288" t="s">
        <v>227</v>
      </c>
      <c r="P378" s="784">
        <v>1</v>
      </c>
      <c r="Q378" s="529">
        <v>83.534999999999997</v>
      </c>
      <c r="R378" s="913">
        <v>8</v>
      </c>
      <c r="S378" s="914"/>
      <c r="T378" s="1264"/>
      <c r="U378" s="1261"/>
    </row>
    <row r="379" spans="1:21" ht="14.25" customHeight="1" thickTop="1" thickBot="1">
      <c r="A379" s="1244"/>
      <c r="B379" s="1249" t="s">
        <v>1567</v>
      </c>
      <c r="C379" s="1285" t="s">
        <v>227</v>
      </c>
      <c r="D379" s="1285" t="s">
        <v>1086</v>
      </c>
      <c r="E379" s="1249" t="s">
        <v>3502</v>
      </c>
      <c r="F379" s="1249" t="s">
        <v>1087</v>
      </c>
      <c r="G379" s="785">
        <v>41985</v>
      </c>
      <c r="H379" s="886">
        <v>19</v>
      </c>
      <c r="I379" s="891">
        <v>1663.165</v>
      </c>
      <c r="J379" s="530">
        <v>2019.06</v>
      </c>
      <c r="K379" s="786">
        <v>58</v>
      </c>
      <c r="L379" s="787">
        <v>17</v>
      </c>
      <c r="M379" s="786">
        <v>2</v>
      </c>
      <c r="N379" s="981" t="s">
        <v>590</v>
      </c>
      <c r="O379" s="1286" t="s">
        <v>227</v>
      </c>
      <c r="P379" s="787">
        <v>3</v>
      </c>
      <c r="Q379" s="530">
        <v>697.51</v>
      </c>
      <c r="R379" s="911">
        <v>11</v>
      </c>
      <c r="S379" s="912"/>
      <c r="T379" s="1264"/>
      <c r="U379" s="1261"/>
    </row>
    <row r="380" spans="1:21" ht="14.25" customHeight="1" thickTop="1" thickBot="1">
      <c r="A380" s="1244"/>
      <c r="B380" s="1249" t="s">
        <v>1567</v>
      </c>
      <c r="C380" s="1285" t="s">
        <v>227</v>
      </c>
      <c r="D380" s="1285" t="s">
        <v>1603</v>
      </c>
      <c r="E380" s="1249" t="s">
        <v>1604</v>
      </c>
      <c r="F380" s="1249" t="s">
        <v>1605</v>
      </c>
      <c r="G380" s="785">
        <v>42131</v>
      </c>
      <c r="H380" s="886">
        <v>14</v>
      </c>
      <c r="I380" s="891">
        <v>287.83800000000002</v>
      </c>
      <c r="J380" s="530">
        <v>3597.107</v>
      </c>
      <c r="K380" s="786">
        <v>140</v>
      </c>
      <c r="L380" s="787">
        <v>56</v>
      </c>
      <c r="M380" s="786">
        <v>6</v>
      </c>
      <c r="N380" s="981" t="s">
        <v>590</v>
      </c>
      <c r="O380" s="1286" t="s">
        <v>227</v>
      </c>
      <c r="P380" s="787">
        <v>5</v>
      </c>
      <c r="Q380" s="530">
        <v>864.75900000000001</v>
      </c>
      <c r="R380" s="911">
        <v>20</v>
      </c>
      <c r="S380" s="912"/>
      <c r="T380" s="1264"/>
      <c r="U380" s="1261"/>
    </row>
    <row r="381" spans="1:21" ht="14.25" customHeight="1" thickTop="1" thickBot="1">
      <c r="A381" s="1244"/>
      <c r="B381" s="1249" t="s">
        <v>1567</v>
      </c>
      <c r="C381" s="1285" t="s">
        <v>1588</v>
      </c>
      <c r="D381" s="1285" t="s">
        <v>1606</v>
      </c>
      <c r="E381" s="1249" t="s">
        <v>1607</v>
      </c>
      <c r="F381" s="1249" t="s">
        <v>1608</v>
      </c>
      <c r="G381" s="785">
        <v>42150</v>
      </c>
      <c r="H381" s="886">
        <v>13</v>
      </c>
      <c r="I381" s="891">
        <v>217.34700000000001</v>
      </c>
      <c r="J381" s="530">
        <v>793.99900000000002</v>
      </c>
      <c r="K381" s="786">
        <v>34</v>
      </c>
      <c r="L381" s="787">
        <v>17</v>
      </c>
      <c r="M381" s="786">
        <v>1</v>
      </c>
      <c r="N381" s="981" t="s">
        <v>590</v>
      </c>
      <c r="O381" s="1286" t="s">
        <v>227</v>
      </c>
      <c r="P381" s="787">
        <v>1</v>
      </c>
      <c r="Q381" s="530">
        <v>7.1239999999999997</v>
      </c>
      <c r="R381" s="911">
        <v>1</v>
      </c>
      <c r="S381" s="912"/>
      <c r="T381" s="1264"/>
      <c r="U381" s="1261"/>
    </row>
    <row r="382" spans="1:21" ht="14.25" customHeight="1" thickTop="1" thickBot="1">
      <c r="A382" s="1244"/>
      <c r="B382" s="1249" t="s">
        <v>1567</v>
      </c>
      <c r="C382" s="1285" t="s">
        <v>1588</v>
      </c>
      <c r="D382" s="1285" t="s">
        <v>2759</v>
      </c>
      <c r="E382" s="1249" t="s">
        <v>2760</v>
      </c>
      <c r="F382" s="1249" t="s">
        <v>2761</v>
      </c>
      <c r="G382" s="785">
        <v>42458</v>
      </c>
      <c r="H382" s="886">
        <v>3</v>
      </c>
      <c r="I382" s="891">
        <v>91.11</v>
      </c>
      <c r="J382" s="530">
        <v>80.52</v>
      </c>
      <c r="K382" s="786">
        <v>4</v>
      </c>
      <c r="L382" s="787">
        <v>5</v>
      </c>
      <c r="M382" s="786">
        <v>0</v>
      </c>
      <c r="N382" s="981" t="s">
        <v>369</v>
      </c>
      <c r="O382" s="1286" t="s">
        <v>227</v>
      </c>
      <c r="P382" s="787">
        <v>0</v>
      </c>
      <c r="Q382" s="530"/>
      <c r="R382" s="911">
        <v>0</v>
      </c>
      <c r="S382" s="912"/>
      <c r="T382" s="1264"/>
      <c r="U382" s="1261"/>
    </row>
    <row r="383" spans="1:21" ht="14.25" customHeight="1" thickTop="1" thickBot="1">
      <c r="A383" s="1244"/>
      <c r="B383" s="1249" t="s">
        <v>1567</v>
      </c>
      <c r="C383" s="1285" t="s">
        <v>1954</v>
      </c>
      <c r="D383" s="1285" t="s">
        <v>1705</v>
      </c>
      <c r="E383" s="1249" t="s">
        <v>1706</v>
      </c>
      <c r="F383" s="1249" t="s">
        <v>1707</v>
      </c>
      <c r="G383" s="785">
        <v>42177</v>
      </c>
      <c r="H383" s="886">
        <v>12</v>
      </c>
      <c r="I383" s="891">
        <v>179.49700000000001</v>
      </c>
      <c r="J383" s="530">
        <v>1475.11</v>
      </c>
      <c r="K383" s="786">
        <v>84</v>
      </c>
      <c r="L383" s="787">
        <v>21</v>
      </c>
      <c r="M383" s="786">
        <v>1</v>
      </c>
      <c r="N383" s="981" t="s">
        <v>590</v>
      </c>
      <c r="O383" s="1286" t="s">
        <v>227</v>
      </c>
      <c r="P383" s="787">
        <v>1</v>
      </c>
      <c r="Q383" s="530">
        <v>99.62</v>
      </c>
      <c r="R383" s="911">
        <v>6</v>
      </c>
      <c r="S383" s="912"/>
      <c r="T383" s="1264"/>
      <c r="U383" s="1261"/>
    </row>
    <row r="384" spans="1:21" ht="14.25" customHeight="1" thickTop="1" thickBot="1">
      <c r="A384" s="1244"/>
      <c r="B384" s="1249" t="s">
        <v>1567</v>
      </c>
      <c r="C384" s="1285" t="s">
        <v>1954</v>
      </c>
      <c r="D384" s="1285" t="s">
        <v>1752</v>
      </c>
      <c r="E384" s="1249" t="s">
        <v>2945</v>
      </c>
      <c r="F384" s="1249" t="s">
        <v>1392</v>
      </c>
      <c r="G384" s="785">
        <v>42177</v>
      </c>
      <c r="H384" s="886">
        <v>12</v>
      </c>
      <c r="I384" s="891">
        <v>906.46799999999996</v>
      </c>
      <c r="J384" s="530">
        <v>1098.482</v>
      </c>
      <c r="K384" s="786">
        <v>63</v>
      </c>
      <c r="L384" s="787">
        <v>15</v>
      </c>
      <c r="M384" s="786">
        <v>1</v>
      </c>
      <c r="N384" s="981" t="s">
        <v>590</v>
      </c>
      <c r="O384" s="1286" t="s">
        <v>227</v>
      </c>
      <c r="P384" s="787">
        <v>0</v>
      </c>
      <c r="Q384" s="530">
        <v>85.105999999999995</v>
      </c>
      <c r="R384" s="911">
        <v>5</v>
      </c>
      <c r="S384" s="912"/>
      <c r="T384" s="1264"/>
      <c r="U384" s="1261"/>
    </row>
    <row r="385" spans="1:21" ht="14.25" customHeight="1" thickTop="1" thickBot="1">
      <c r="A385" s="1244"/>
      <c r="B385" s="1249" t="s">
        <v>1567</v>
      </c>
      <c r="C385" s="1285" t="s">
        <v>1954</v>
      </c>
      <c r="D385" s="1285" t="s">
        <v>2031</v>
      </c>
      <c r="E385" s="1249" t="s">
        <v>2242</v>
      </c>
      <c r="F385" s="1249" t="s">
        <v>1030</v>
      </c>
      <c r="G385" s="785">
        <v>42220</v>
      </c>
      <c r="H385" s="886">
        <v>11</v>
      </c>
      <c r="I385" s="891">
        <v>288.887</v>
      </c>
      <c r="J385" s="530">
        <v>745.45</v>
      </c>
      <c r="K385" s="786">
        <v>61</v>
      </c>
      <c r="L385" s="787">
        <v>24</v>
      </c>
      <c r="M385" s="786">
        <v>3</v>
      </c>
      <c r="N385" s="981" t="s">
        <v>590</v>
      </c>
      <c r="O385" s="1286" t="s">
        <v>227</v>
      </c>
      <c r="P385" s="787">
        <v>0</v>
      </c>
      <c r="Q385" s="530">
        <v>124.673</v>
      </c>
      <c r="R385" s="911">
        <v>6</v>
      </c>
      <c r="S385" s="912"/>
      <c r="T385" s="1264"/>
      <c r="U385" s="1261"/>
    </row>
    <row r="386" spans="1:21" ht="14.25" customHeight="1" thickTop="1" thickBot="1">
      <c r="A386" s="1244"/>
      <c r="B386" s="1249" t="s">
        <v>1567</v>
      </c>
      <c r="C386" s="1285" t="s">
        <v>2230</v>
      </c>
      <c r="D386" s="1285" t="s">
        <v>2095</v>
      </c>
      <c r="E386" s="1249" t="s">
        <v>2096</v>
      </c>
      <c r="F386" s="1249" t="s">
        <v>2097</v>
      </c>
      <c r="G386" s="785">
        <v>42276</v>
      </c>
      <c r="H386" s="886">
        <v>9</v>
      </c>
      <c r="I386" s="891">
        <v>125.749</v>
      </c>
      <c r="J386" s="530">
        <v>768.66300000000001</v>
      </c>
      <c r="K386" s="786">
        <v>57</v>
      </c>
      <c r="L386" s="787">
        <v>22</v>
      </c>
      <c r="M386" s="786">
        <v>2</v>
      </c>
      <c r="N386" s="981" t="s">
        <v>590</v>
      </c>
      <c r="O386" s="1286" t="s">
        <v>227</v>
      </c>
      <c r="P386" s="787">
        <v>2</v>
      </c>
      <c r="Q386" s="530">
        <v>113.23399999999999</v>
      </c>
      <c r="R386" s="911">
        <v>14</v>
      </c>
      <c r="S386" s="912"/>
      <c r="T386" s="1264"/>
      <c r="U386" s="1261"/>
    </row>
    <row r="387" spans="1:21" ht="14.25" customHeight="1" thickTop="1" thickBot="1">
      <c r="A387" s="1244"/>
      <c r="B387" s="1249" t="s">
        <v>1567</v>
      </c>
      <c r="C387" s="1285" t="s">
        <v>2230</v>
      </c>
      <c r="D387" s="1285" t="s">
        <v>2336</v>
      </c>
      <c r="E387" s="1249" t="s">
        <v>2337</v>
      </c>
      <c r="F387" s="1249" t="s">
        <v>2338</v>
      </c>
      <c r="G387" s="785">
        <v>42332</v>
      </c>
      <c r="H387" s="886">
        <v>7</v>
      </c>
      <c r="I387" s="891">
        <v>1164.0530000000001</v>
      </c>
      <c r="J387" s="530">
        <v>1747.2470000000001</v>
      </c>
      <c r="K387" s="786">
        <v>58</v>
      </c>
      <c r="L387" s="787">
        <v>15</v>
      </c>
      <c r="M387" s="786">
        <v>2</v>
      </c>
      <c r="N387" s="981" t="s">
        <v>590</v>
      </c>
      <c r="O387" s="1286" t="s">
        <v>227</v>
      </c>
      <c r="P387" s="787">
        <v>0</v>
      </c>
      <c r="Q387" s="530">
        <v>182.285</v>
      </c>
      <c r="R387" s="911">
        <v>13</v>
      </c>
      <c r="S387" s="912"/>
      <c r="T387" s="1264"/>
      <c r="U387" s="1261"/>
    </row>
    <row r="388" spans="1:21" ht="14.25" customHeight="1" thickTop="1" thickBot="1">
      <c r="A388" s="1244"/>
      <c r="B388" s="1249" t="s">
        <v>1567</v>
      </c>
      <c r="C388" s="1285" t="s">
        <v>2230</v>
      </c>
      <c r="D388" s="1285" t="s">
        <v>2463</v>
      </c>
      <c r="E388" s="1249" t="s">
        <v>2464</v>
      </c>
      <c r="F388" s="1249" t="s">
        <v>2465</v>
      </c>
      <c r="G388" s="785">
        <v>42362</v>
      </c>
      <c r="H388" s="886">
        <v>6</v>
      </c>
      <c r="I388" s="891">
        <v>53.375999999999998</v>
      </c>
      <c r="J388" s="530">
        <v>53.375999999999998</v>
      </c>
      <c r="K388" s="786">
        <v>6</v>
      </c>
      <c r="L388" s="787">
        <v>4</v>
      </c>
      <c r="M388" s="786">
        <v>0</v>
      </c>
      <c r="N388" s="981" t="s">
        <v>332</v>
      </c>
      <c r="O388" s="1286" t="s">
        <v>227</v>
      </c>
      <c r="P388" s="787">
        <v>1</v>
      </c>
      <c r="Q388" s="530"/>
      <c r="R388" s="911">
        <v>0</v>
      </c>
      <c r="S388" s="912"/>
      <c r="T388" s="1264"/>
      <c r="U388" s="1261"/>
    </row>
    <row r="389" spans="1:21" ht="14.25" customHeight="1" thickTop="1" thickBot="1">
      <c r="A389" s="1244"/>
      <c r="B389" s="1249" t="s">
        <v>3522</v>
      </c>
      <c r="C389" s="1285" t="s">
        <v>3619</v>
      </c>
      <c r="D389" s="1285" t="s">
        <v>3699</v>
      </c>
      <c r="E389" s="1249" t="s">
        <v>3700</v>
      </c>
      <c r="F389" s="1249" t="s">
        <v>3701</v>
      </c>
      <c r="G389" s="785">
        <v>42543</v>
      </c>
      <c r="H389" s="886">
        <v>0</v>
      </c>
      <c r="I389" s="891">
        <v>11.15</v>
      </c>
      <c r="J389" s="530">
        <v>11.15</v>
      </c>
      <c r="K389" s="786">
        <v>1</v>
      </c>
      <c r="L389" s="787">
        <v>1</v>
      </c>
      <c r="M389" s="786">
        <v>0</v>
      </c>
      <c r="N389" s="981" t="s">
        <v>227</v>
      </c>
      <c r="O389" s="1286" t="s">
        <v>227</v>
      </c>
      <c r="P389" s="787">
        <v>1</v>
      </c>
      <c r="Q389" s="530">
        <v>11.15</v>
      </c>
      <c r="R389" s="911">
        <v>1</v>
      </c>
      <c r="S389" s="912"/>
      <c r="T389" s="1264"/>
      <c r="U389" s="1261"/>
    </row>
    <row r="390" spans="1:21" ht="14.25" customHeight="1" thickTop="1" thickBot="1">
      <c r="A390" s="1244"/>
      <c r="B390" s="1249" t="s">
        <v>3522</v>
      </c>
      <c r="C390" s="1285" t="s">
        <v>3619</v>
      </c>
      <c r="D390" s="1285" t="s">
        <v>3702</v>
      </c>
      <c r="E390" s="1249" t="s">
        <v>3703</v>
      </c>
      <c r="F390" s="1249" t="s">
        <v>1668</v>
      </c>
      <c r="G390" s="785">
        <v>42548</v>
      </c>
      <c r="H390" s="886">
        <v>0</v>
      </c>
      <c r="I390" s="891"/>
      <c r="J390" s="530"/>
      <c r="K390" s="786">
        <v>0</v>
      </c>
      <c r="L390" s="787">
        <v>2</v>
      </c>
      <c r="M390" s="786">
        <v>0</v>
      </c>
      <c r="N390" s="981" t="s">
        <v>227</v>
      </c>
      <c r="O390" s="1286" t="s">
        <v>227</v>
      </c>
      <c r="P390" s="787">
        <v>2</v>
      </c>
      <c r="Q390" s="530"/>
      <c r="R390" s="911">
        <v>0</v>
      </c>
      <c r="S390" s="912"/>
      <c r="T390" s="1264"/>
      <c r="U390" s="1261"/>
    </row>
    <row r="391" spans="1:21" ht="14.25" customHeight="1" thickTop="1" thickBot="1">
      <c r="A391" s="1244"/>
      <c r="B391" s="1249" t="s">
        <v>177</v>
      </c>
      <c r="C391" s="1285" t="s">
        <v>701</v>
      </c>
      <c r="D391" s="1285" t="s">
        <v>929</v>
      </c>
      <c r="E391" s="1249" t="s">
        <v>930</v>
      </c>
      <c r="F391" s="1249" t="s">
        <v>931</v>
      </c>
      <c r="G391" s="785">
        <v>41914</v>
      </c>
      <c r="H391" s="886">
        <v>21</v>
      </c>
      <c r="I391" s="891">
        <v>367.09</v>
      </c>
      <c r="J391" s="530">
        <v>987.07500000000005</v>
      </c>
      <c r="K391" s="786">
        <v>64</v>
      </c>
      <c r="L391" s="787">
        <v>17</v>
      </c>
      <c r="M391" s="786">
        <v>2</v>
      </c>
      <c r="N391" s="981" t="s">
        <v>590</v>
      </c>
      <c r="O391" s="1286" t="s">
        <v>227</v>
      </c>
      <c r="P391" s="787">
        <v>4</v>
      </c>
      <c r="Q391" s="530">
        <v>107.54600000000001</v>
      </c>
      <c r="R391" s="911">
        <v>6</v>
      </c>
      <c r="S391" s="912"/>
      <c r="T391" s="1264"/>
      <c r="U391" s="1261"/>
    </row>
    <row r="392" spans="1:21" ht="14.25" customHeight="1" thickTop="1" thickBot="1">
      <c r="A392" s="1244"/>
      <c r="B392" s="1249" t="s">
        <v>177</v>
      </c>
      <c r="C392" s="1285" t="s">
        <v>869</v>
      </c>
      <c r="D392" s="1285" t="s">
        <v>1363</v>
      </c>
      <c r="E392" s="1249" t="s">
        <v>1364</v>
      </c>
      <c r="F392" s="1249" t="s">
        <v>1365</v>
      </c>
      <c r="G392" s="785">
        <v>42068</v>
      </c>
      <c r="H392" s="886">
        <v>16</v>
      </c>
      <c r="I392" s="891">
        <v>57.787999999999997</v>
      </c>
      <c r="J392" s="530">
        <v>315.14</v>
      </c>
      <c r="K392" s="786">
        <v>16</v>
      </c>
      <c r="L392" s="787">
        <v>10</v>
      </c>
      <c r="M392" s="786">
        <v>2</v>
      </c>
      <c r="N392" s="981" t="s">
        <v>332</v>
      </c>
      <c r="O392" s="1286" t="s">
        <v>227</v>
      </c>
      <c r="P392" s="787">
        <v>3</v>
      </c>
      <c r="Q392" s="530">
        <v>91.933999999999997</v>
      </c>
      <c r="R392" s="911">
        <v>3</v>
      </c>
      <c r="S392" s="912"/>
      <c r="T392" s="1264"/>
      <c r="U392" s="1261"/>
    </row>
    <row r="393" spans="1:21" ht="14.25" customHeight="1" thickTop="1" thickBot="1">
      <c r="A393" s="1244"/>
      <c r="B393" s="1249" t="s">
        <v>177</v>
      </c>
      <c r="C393" s="1285" t="s">
        <v>869</v>
      </c>
      <c r="D393" s="1285" t="s">
        <v>1528</v>
      </c>
      <c r="E393" s="1249" t="s">
        <v>1559</v>
      </c>
      <c r="F393" s="1249" t="s">
        <v>685</v>
      </c>
      <c r="G393" s="785">
        <v>42100</v>
      </c>
      <c r="H393" s="886">
        <v>15</v>
      </c>
      <c r="I393" s="891">
        <v>128.02000000000001</v>
      </c>
      <c r="J393" s="530">
        <v>371.74099999999999</v>
      </c>
      <c r="K393" s="786">
        <v>14</v>
      </c>
      <c r="L393" s="787">
        <v>3</v>
      </c>
      <c r="M393" s="786">
        <v>1</v>
      </c>
      <c r="N393" s="981" t="s">
        <v>332</v>
      </c>
      <c r="O393" s="1286" t="s">
        <v>227</v>
      </c>
      <c r="P393" s="787">
        <v>1</v>
      </c>
      <c r="Q393" s="530"/>
      <c r="R393" s="911">
        <v>0</v>
      </c>
      <c r="S393" s="912"/>
      <c r="T393" s="1264"/>
      <c r="U393" s="1261"/>
    </row>
    <row r="394" spans="1:21" ht="14.25" customHeight="1" thickTop="1" thickBot="1">
      <c r="A394" s="1244"/>
      <c r="B394" s="1249" t="s">
        <v>177</v>
      </c>
      <c r="C394" s="1285" t="s">
        <v>869</v>
      </c>
      <c r="D394" s="1285" t="s">
        <v>1892</v>
      </c>
      <c r="E394" s="1249" t="s">
        <v>1893</v>
      </c>
      <c r="F394" s="1249" t="s">
        <v>1894</v>
      </c>
      <c r="G394" s="785">
        <v>42213</v>
      </c>
      <c r="H394" s="886">
        <v>11</v>
      </c>
      <c r="I394" s="891">
        <v>853.27300000000002</v>
      </c>
      <c r="J394" s="530">
        <v>3800.1640000000002</v>
      </c>
      <c r="K394" s="786">
        <v>102</v>
      </c>
      <c r="L394" s="787">
        <v>44</v>
      </c>
      <c r="M394" s="786">
        <v>4</v>
      </c>
      <c r="N394" s="981" t="s">
        <v>590</v>
      </c>
      <c r="O394" s="1286" t="s">
        <v>227</v>
      </c>
      <c r="P394" s="787">
        <v>7</v>
      </c>
      <c r="Q394" s="530">
        <v>236.53</v>
      </c>
      <c r="R394" s="911">
        <v>10</v>
      </c>
      <c r="S394" s="912"/>
      <c r="T394" s="1264"/>
      <c r="U394" s="1261"/>
    </row>
    <row r="395" spans="1:21" ht="14.25" customHeight="1" thickTop="1" thickBot="1">
      <c r="A395" s="1244"/>
      <c r="B395" s="1249" t="s">
        <v>2659</v>
      </c>
      <c r="C395" s="1285" t="s">
        <v>227</v>
      </c>
      <c r="D395" s="1285" t="s">
        <v>2762</v>
      </c>
      <c r="E395" s="1249" t="s">
        <v>2763</v>
      </c>
      <c r="F395" s="1249" t="s">
        <v>2764</v>
      </c>
      <c r="G395" s="785">
        <v>42445</v>
      </c>
      <c r="H395" s="886">
        <v>3</v>
      </c>
      <c r="I395" s="891">
        <v>230.738</v>
      </c>
      <c r="J395" s="530">
        <v>361.98700000000002</v>
      </c>
      <c r="K395" s="786">
        <v>18</v>
      </c>
      <c r="L395" s="787">
        <v>11</v>
      </c>
      <c r="M395" s="786">
        <v>2</v>
      </c>
      <c r="N395" s="981" t="s">
        <v>590</v>
      </c>
      <c r="O395" s="1286" t="s">
        <v>227</v>
      </c>
      <c r="P395" s="787">
        <v>1</v>
      </c>
      <c r="Q395" s="530">
        <v>87.397999999999996</v>
      </c>
      <c r="R395" s="911">
        <v>3</v>
      </c>
      <c r="S395" s="912"/>
      <c r="T395" s="1264"/>
      <c r="U395" s="1261"/>
    </row>
    <row r="396" spans="1:21" ht="14.25" customHeight="1" thickTop="1" thickBot="1">
      <c r="A396" s="1244"/>
      <c r="B396" s="1249" t="s">
        <v>2659</v>
      </c>
      <c r="C396" s="1285" t="s">
        <v>227</v>
      </c>
      <c r="D396" s="1285" t="s">
        <v>2946</v>
      </c>
      <c r="E396" s="1249" t="s">
        <v>2947</v>
      </c>
      <c r="F396" s="1249" t="s">
        <v>2948</v>
      </c>
      <c r="G396" s="785">
        <v>42487</v>
      </c>
      <c r="H396" s="886">
        <v>2</v>
      </c>
      <c r="I396" s="891"/>
      <c r="J396" s="530">
        <v>87.397999999999996</v>
      </c>
      <c r="K396" s="786">
        <v>8</v>
      </c>
      <c r="L396" s="787">
        <v>12</v>
      </c>
      <c r="M396" s="786">
        <v>0</v>
      </c>
      <c r="N396" s="981" t="s">
        <v>590</v>
      </c>
      <c r="O396" s="1286" t="s">
        <v>227</v>
      </c>
      <c r="P396" s="787">
        <v>1</v>
      </c>
      <c r="Q396" s="530">
        <v>87.397999999999996</v>
      </c>
      <c r="R396" s="911">
        <v>3</v>
      </c>
      <c r="S396" s="912"/>
      <c r="T396" s="1264"/>
      <c r="U396" s="1261"/>
    </row>
    <row r="397" spans="1:21" ht="14.25" customHeight="1" thickTop="1" thickBot="1">
      <c r="A397" s="1244"/>
      <c r="B397" s="1249" t="s">
        <v>2659</v>
      </c>
      <c r="C397" s="1285" t="s">
        <v>227</v>
      </c>
      <c r="D397" s="1285" t="s">
        <v>3449</v>
      </c>
      <c r="E397" s="1249" t="s">
        <v>3507</v>
      </c>
      <c r="F397" s="1249" t="s">
        <v>3450</v>
      </c>
      <c r="G397" s="785">
        <v>42508</v>
      </c>
      <c r="H397" s="886">
        <v>1</v>
      </c>
      <c r="I397" s="891">
        <v>130.041</v>
      </c>
      <c r="J397" s="530"/>
      <c r="K397" s="786">
        <v>1</v>
      </c>
      <c r="L397" s="787">
        <v>3</v>
      </c>
      <c r="M397" s="786">
        <v>1</v>
      </c>
      <c r="N397" s="981" t="s">
        <v>332</v>
      </c>
      <c r="O397" s="1286" t="s">
        <v>227</v>
      </c>
      <c r="P397" s="787">
        <v>2</v>
      </c>
      <c r="Q397" s="530"/>
      <c r="R397" s="911">
        <v>0</v>
      </c>
      <c r="S397" s="912"/>
      <c r="T397" s="1264"/>
      <c r="U397" s="1261"/>
    </row>
    <row r="398" spans="1:21" ht="14.25" customHeight="1" thickTop="1" thickBot="1">
      <c r="A398" s="1244"/>
      <c r="B398" s="1249" t="s">
        <v>2659</v>
      </c>
      <c r="C398" s="1285" t="s">
        <v>227</v>
      </c>
      <c r="D398" s="1285" t="s">
        <v>3704</v>
      </c>
      <c r="E398" s="1249" t="s">
        <v>3705</v>
      </c>
      <c r="F398" s="1249" t="s">
        <v>3706</v>
      </c>
      <c r="G398" s="785">
        <v>42536</v>
      </c>
      <c r="H398" s="886">
        <v>0</v>
      </c>
      <c r="I398" s="891"/>
      <c r="J398" s="530"/>
      <c r="K398" s="786">
        <v>0</v>
      </c>
      <c r="L398" s="787">
        <v>1</v>
      </c>
      <c r="M398" s="786">
        <v>0</v>
      </c>
      <c r="N398" s="981" t="s">
        <v>227</v>
      </c>
      <c r="O398" s="1286" t="s">
        <v>227</v>
      </c>
      <c r="P398" s="787">
        <v>1</v>
      </c>
      <c r="Q398" s="530"/>
      <c r="R398" s="911">
        <v>0</v>
      </c>
      <c r="S398" s="912"/>
      <c r="T398" s="1264"/>
      <c r="U398" s="1261"/>
    </row>
    <row r="399" spans="1:21" ht="14.25" customHeight="1" thickTop="1" thickBot="1">
      <c r="A399" s="1244"/>
      <c r="B399" s="1249" t="s">
        <v>2659</v>
      </c>
      <c r="C399" s="1285" t="s">
        <v>2731</v>
      </c>
      <c r="D399" s="1285" t="s">
        <v>2765</v>
      </c>
      <c r="E399" s="1249" t="s">
        <v>2766</v>
      </c>
      <c r="F399" s="1249" t="s">
        <v>2767</v>
      </c>
      <c r="G399" s="785">
        <v>42433</v>
      </c>
      <c r="H399" s="886">
        <v>4</v>
      </c>
      <c r="I399" s="891">
        <v>116.827</v>
      </c>
      <c r="J399" s="530">
        <v>196.857</v>
      </c>
      <c r="K399" s="786">
        <v>11</v>
      </c>
      <c r="L399" s="787">
        <v>13</v>
      </c>
      <c r="M399" s="786">
        <v>2</v>
      </c>
      <c r="N399" s="981" t="s">
        <v>590</v>
      </c>
      <c r="O399" s="1286" t="s">
        <v>227</v>
      </c>
      <c r="P399" s="787">
        <v>0</v>
      </c>
      <c r="Q399" s="530">
        <v>31.658999999999999</v>
      </c>
      <c r="R399" s="911">
        <v>3</v>
      </c>
      <c r="S399" s="912"/>
      <c r="T399" s="1264"/>
      <c r="U399" s="1261"/>
    </row>
    <row r="400" spans="1:21" ht="14.25" customHeight="1" thickTop="1" thickBot="1">
      <c r="A400" s="1244"/>
      <c r="B400" s="1249" t="s">
        <v>2659</v>
      </c>
      <c r="C400" s="1285" t="s">
        <v>2731</v>
      </c>
      <c r="D400" s="1285" t="s">
        <v>2768</v>
      </c>
      <c r="E400" s="1249" t="s">
        <v>2769</v>
      </c>
      <c r="F400" s="1249" t="s">
        <v>2770</v>
      </c>
      <c r="G400" s="785">
        <v>42454</v>
      </c>
      <c r="H400" s="886">
        <v>3</v>
      </c>
      <c r="I400" s="891">
        <v>26.693000000000001</v>
      </c>
      <c r="J400" s="530">
        <v>206.74100000000001</v>
      </c>
      <c r="K400" s="786">
        <v>8</v>
      </c>
      <c r="L400" s="787">
        <v>10</v>
      </c>
      <c r="M400" s="786">
        <v>2</v>
      </c>
      <c r="N400" s="981" t="s">
        <v>590</v>
      </c>
      <c r="O400" s="1286" t="s">
        <v>227</v>
      </c>
      <c r="P400" s="787">
        <v>5</v>
      </c>
      <c r="Q400" s="530">
        <v>196.50200000000001</v>
      </c>
      <c r="R400" s="911">
        <v>5</v>
      </c>
      <c r="S400" s="912"/>
      <c r="T400" s="1264"/>
      <c r="U400" s="1261"/>
    </row>
    <row r="401" spans="1:21" ht="14.25" customHeight="1" thickTop="1" thickBot="1">
      <c r="A401" s="1244"/>
      <c r="B401" s="1249" t="s">
        <v>3524</v>
      </c>
      <c r="C401" s="1285" t="s">
        <v>3628</v>
      </c>
      <c r="D401" s="1285" t="s">
        <v>3707</v>
      </c>
      <c r="E401" s="1249" t="s">
        <v>3708</v>
      </c>
      <c r="F401" s="1249" t="s">
        <v>3709</v>
      </c>
      <c r="G401" s="785">
        <v>42543</v>
      </c>
      <c r="H401" s="886">
        <v>0</v>
      </c>
      <c r="I401" s="891">
        <v>75.093000000000004</v>
      </c>
      <c r="J401" s="530">
        <v>75.093000000000004</v>
      </c>
      <c r="K401" s="786">
        <v>1</v>
      </c>
      <c r="L401" s="787">
        <v>4</v>
      </c>
      <c r="M401" s="786">
        <v>1</v>
      </c>
      <c r="N401" s="981" t="s">
        <v>227</v>
      </c>
      <c r="O401" s="1286" t="s">
        <v>227</v>
      </c>
      <c r="P401" s="787">
        <v>4</v>
      </c>
      <c r="Q401" s="530">
        <v>75.093000000000004</v>
      </c>
      <c r="R401" s="911">
        <v>1</v>
      </c>
      <c r="S401" s="912"/>
      <c r="T401" s="1264"/>
      <c r="U401" s="1261"/>
    </row>
    <row r="402" spans="1:21" ht="14.25" customHeight="1" thickTop="1" thickBot="1">
      <c r="A402" s="1244"/>
      <c r="B402" s="1249" t="s">
        <v>3524</v>
      </c>
      <c r="C402" s="1285" t="s">
        <v>3628</v>
      </c>
      <c r="D402" s="1285" t="s">
        <v>3710</v>
      </c>
      <c r="E402" s="1249" t="s">
        <v>3711</v>
      </c>
      <c r="F402" s="1249" t="s">
        <v>3712</v>
      </c>
      <c r="G402" s="785">
        <v>42543</v>
      </c>
      <c r="H402" s="886">
        <v>0</v>
      </c>
      <c r="I402" s="891"/>
      <c r="J402" s="530"/>
      <c r="K402" s="786">
        <v>0</v>
      </c>
      <c r="L402" s="787">
        <v>8</v>
      </c>
      <c r="M402" s="786">
        <v>2</v>
      </c>
      <c r="N402" s="981" t="s">
        <v>227</v>
      </c>
      <c r="O402" s="1286" t="s">
        <v>227</v>
      </c>
      <c r="P402" s="787">
        <v>8</v>
      </c>
      <c r="Q402" s="530"/>
      <c r="R402" s="911">
        <v>0</v>
      </c>
      <c r="S402" s="912"/>
      <c r="T402" s="1264"/>
      <c r="U402" s="1261"/>
    </row>
    <row r="403" spans="1:21" ht="14.25" customHeight="1" thickTop="1" thickBot="1">
      <c r="A403" s="1244"/>
      <c r="B403" s="1249" t="s">
        <v>1568</v>
      </c>
      <c r="C403" s="1285" t="s">
        <v>956</v>
      </c>
      <c r="D403" s="1285" t="s">
        <v>1529</v>
      </c>
      <c r="E403" s="1249" t="s">
        <v>1560</v>
      </c>
      <c r="F403" s="1249" t="s">
        <v>1530</v>
      </c>
      <c r="G403" s="785">
        <v>42114</v>
      </c>
      <c r="H403" s="886">
        <v>14</v>
      </c>
      <c r="I403" s="891">
        <v>71.394999999999996</v>
      </c>
      <c r="J403" s="530">
        <v>795.50199999999995</v>
      </c>
      <c r="K403" s="786">
        <v>42</v>
      </c>
      <c r="L403" s="787">
        <v>14</v>
      </c>
      <c r="M403" s="786">
        <v>1</v>
      </c>
      <c r="N403" s="981" t="s">
        <v>590</v>
      </c>
      <c r="O403" s="1286" t="s">
        <v>227</v>
      </c>
      <c r="P403" s="787">
        <v>1</v>
      </c>
      <c r="Q403" s="530">
        <v>21.74</v>
      </c>
      <c r="R403" s="911">
        <v>2</v>
      </c>
      <c r="S403" s="912"/>
      <c r="T403" s="1264"/>
      <c r="U403" s="1261"/>
    </row>
    <row r="404" spans="1:21" ht="14.25" customHeight="1" thickTop="1" thickBot="1">
      <c r="A404" s="1244"/>
      <c r="B404" s="1249" t="s">
        <v>1568</v>
      </c>
      <c r="C404" s="1285" t="s">
        <v>956</v>
      </c>
      <c r="D404" s="1285" t="s">
        <v>1533</v>
      </c>
      <c r="E404" s="1249" t="s">
        <v>1561</v>
      </c>
      <c r="F404" s="1249" t="s">
        <v>1534</v>
      </c>
      <c r="G404" s="785">
        <v>42114</v>
      </c>
      <c r="H404" s="886">
        <v>14</v>
      </c>
      <c r="I404" s="891">
        <v>159.86099999999999</v>
      </c>
      <c r="J404" s="530">
        <v>602.76199999999994</v>
      </c>
      <c r="K404" s="786">
        <v>49</v>
      </c>
      <c r="L404" s="787">
        <v>20</v>
      </c>
      <c r="M404" s="786">
        <v>2</v>
      </c>
      <c r="N404" s="981" t="s">
        <v>369</v>
      </c>
      <c r="O404" s="1286" t="s">
        <v>227</v>
      </c>
      <c r="P404" s="787">
        <v>1</v>
      </c>
      <c r="Q404" s="530">
        <v>-3.4910000000000001</v>
      </c>
      <c r="R404" s="911">
        <v>1</v>
      </c>
      <c r="S404" s="912"/>
      <c r="T404" s="1264"/>
      <c r="U404" s="1261"/>
    </row>
    <row r="405" spans="1:21" ht="14.25" customHeight="1" thickTop="1" thickBot="1">
      <c r="A405" s="1244"/>
      <c r="B405" s="1249" t="s">
        <v>1568</v>
      </c>
      <c r="C405" s="1285" t="s">
        <v>956</v>
      </c>
      <c r="D405" s="1285" t="s">
        <v>2666</v>
      </c>
      <c r="E405" s="1249" t="s">
        <v>2667</v>
      </c>
      <c r="F405" s="1249" t="s">
        <v>2668</v>
      </c>
      <c r="G405" s="785">
        <v>42425</v>
      </c>
      <c r="H405" s="886">
        <v>4</v>
      </c>
      <c r="I405" s="891">
        <v>15.805999999999999</v>
      </c>
      <c r="J405" s="530">
        <v>66.147000000000006</v>
      </c>
      <c r="K405" s="786">
        <v>7</v>
      </c>
      <c r="L405" s="787">
        <v>7</v>
      </c>
      <c r="M405" s="786">
        <v>1</v>
      </c>
      <c r="N405" s="981" t="s">
        <v>332</v>
      </c>
      <c r="O405" s="1286" t="s">
        <v>227</v>
      </c>
      <c r="P405" s="787">
        <v>0</v>
      </c>
      <c r="Q405" s="530">
        <v>7.4290000000000003</v>
      </c>
      <c r="R405" s="911">
        <v>1</v>
      </c>
      <c r="S405" s="912"/>
      <c r="T405" s="1264"/>
      <c r="U405" s="1261"/>
    </row>
    <row r="406" spans="1:21" ht="14.25" customHeight="1" thickTop="1" thickBot="1">
      <c r="A406" s="1244"/>
      <c r="B406" s="1249" t="s">
        <v>1568</v>
      </c>
      <c r="C406" s="1285" t="s">
        <v>959</v>
      </c>
      <c r="D406" s="1285" t="s">
        <v>1044</v>
      </c>
      <c r="E406" s="1249" t="s">
        <v>1045</v>
      </c>
      <c r="F406" s="1249" t="s">
        <v>328</v>
      </c>
      <c r="G406" s="785">
        <v>41976</v>
      </c>
      <c r="H406" s="886">
        <v>19</v>
      </c>
      <c r="I406" s="891">
        <v>1157.3889999999999</v>
      </c>
      <c r="J406" s="530">
        <v>3181.62</v>
      </c>
      <c r="K406" s="786">
        <v>135</v>
      </c>
      <c r="L406" s="787">
        <v>44</v>
      </c>
      <c r="M406" s="786">
        <v>2</v>
      </c>
      <c r="N406" s="981" t="s">
        <v>590</v>
      </c>
      <c r="O406" s="1286" t="s">
        <v>227</v>
      </c>
      <c r="P406" s="787">
        <v>2</v>
      </c>
      <c r="Q406" s="530">
        <v>366.11799999999999</v>
      </c>
      <c r="R406" s="911">
        <v>12</v>
      </c>
      <c r="S406" s="912"/>
      <c r="T406" s="1264"/>
      <c r="U406" s="1261"/>
    </row>
    <row r="407" spans="1:21" ht="14.25" customHeight="1" thickTop="1" thickBot="1">
      <c r="A407" s="1244"/>
      <c r="B407" s="1249" t="s">
        <v>1568</v>
      </c>
      <c r="C407" s="1285" t="s">
        <v>959</v>
      </c>
      <c r="D407" s="1285" t="s">
        <v>2949</v>
      </c>
      <c r="E407" s="1249" t="s">
        <v>2950</v>
      </c>
      <c r="F407" s="1249" t="s">
        <v>2951</v>
      </c>
      <c r="G407" s="785">
        <v>42479</v>
      </c>
      <c r="H407" s="886">
        <v>2</v>
      </c>
      <c r="I407" s="891">
        <v>31.100999999999999</v>
      </c>
      <c r="J407" s="530">
        <v>56.58</v>
      </c>
      <c r="K407" s="786">
        <v>6</v>
      </c>
      <c r="L407" s="787">
        <v>11</v>
      </c>
      <c r="M407" s="786">
        <v>2</v>
      </c>
      <c r="N407" s="981" t="s">
        <v>590</v>
      </c>
      <c r="O407" s="1286" t="s">
        <v>227</v>
      </c>
      <c r="P407" s="787">
        <v>4</v>
      </c>
      <c r="Q407" s="530">
        <v>48.533999999999999</v>
      </c>
      <c r="R407" s="911">
        <v>4</v>
      </c>
      <c r="S407" s="912"/>
      <c r="T407" s="1264"/>
      <c r="U407" s="1261"/>
    </row>
    <row r="408" spans="1:21" ht="14.25" customHeight="1" thickTop="1" thickBot="1">
      <c r="A408" s="1244"/>
      <c r="B408" s="1249" t="s">
        <v>1568</v>
      </c>
      <c r="C408" s="1285" t="s">
        <v>1865</v>
      </c>
      <c r="D408" s="1285" t="s">
        <v>1895</v>
      </c>
      <c r="E408" s="1249" t="s">
        <v>1896</v>
      </c>
      <c r="F408" s="1249" t="s">
        <v>1897</v>
      </c>
      <c r="G408" s="785">
        <v>42202</v>
      </c>
      <c r="H408" s="886">
        <v>11</v>
      </c>
      <c r="I408" s="891">
        <v>76.558999999999997</v>
      </c>
      <c r="J408" s="530">
        <v>441.14600000000002</v>
      </c>
      <c r="K408" s="786">
        <v>20</v>
      </c>
      <c r="L408" s="787">
        <v>5</v>
      </c>
      <c r="M408" s="786">
        <v>1</v>
      </c>
      <c r="N408" s="981" t="s">
        <v>369</v>
      </c>
      <c r="O408" s="1286" t="s">
        <v>227</v>
      </c>
      <c r="P408" s="787">
        <v>0</v>
      </c>
      <c r="Q408" s="530">
        <v>50.585000000000001</v>
      </c>
      <c r="R408" s="911">
        <v>1</v>
      </c>
      <c r="S408" s="912"/>
      <c r="T408" s="1264"/>
      <c r="U408" s="1261"/>
    </row>
    <row r="409" spans="1:21" ht="14.25" customHeight="1" thickTop="1" thickBot="1">
      <c r="A409" s="1244"/>
      <c r="B409" s="1249" t="s">
        <v>1568</v>
      </c>
      <c r="C409" s="1285" t="s">
        <v>1865</v>
      </c>
      <c r="D409" s="1285" t="s">
        <v>3713</v>
      </c>
      <c r="E409" s="1249" t="s">
        <v>3714</v>
      </c>
      <c r="F409" s="1249" t="s">
        <v>2310</v>
      </c>
      <c r="G409" s="785">
        <v>42543</v>
      </c>
      <c r="H409" s="886">
        <v>0</v>
      </c>
      <c r="I409" s="891">
        <v>15.397</v>
      </c>
      <c r="J409" s="530">
        <v>25.425000000000001</v>
      </c>
      <c r="K409" s="786">
        <v>2</v>
      </c>
      <c r="L409" s="787">
        <v>5</v>
      </c>
      <c r="M409" s="786">
        <v>2</v>
      </c>
      <c r="N409" s="981" t="s">
        <v>227</v>
      </c>
      <c r="O409" s="1286" t="s">
        <v>227</v>
      </c>
      <c r="P409" s="787">
        <v>5</v>
      </c>
      <c r="Q409" s="530">
        <v>25.425000000000001</v>
      </c>
      <c r="R409" s="911">
        <v>2</v>
      </c>
      <c r="S409" s="912"/>
      <c r="T409" s="1264"/>
      <c r="U409" s="1261"/>
    </row>
    <row r="410" spans="1:21" ht="14.25" customHeight="1" thickTop="1" thickBot="1">
      <c r="A410" s="1244"/>
      <c r="B410" s="1249" t="s">
        <v>1568</v>
      </c>
      <c r="C410" s="1285" t="s">
        <v>2066</v>
      </c>
      <c r="D410" s="1285" t="s">
        <v>2100</v>
      </c>
      <c r="E410" s="1249" t="s">
        <v>2101</v>
      </c>
      <c r="F410" s="1249" t="s">
        <v>2102</v>
      </c>
      <c r="G410" s="785">
        <v>42271</v>
      </c>
      <c r="H410" s="886">
        <v>9</v>
      </c>
      <c r="I410" s="891">
        <v>105.006</v>
      </c>
      <c r="J410" s="530">
        <v>421.22899999999998</v>
      </c>
      <c r="K410" s="786">
        <v>29</v>
      </c>
      <c r="L410" s="787">
        <v>12</v>
      </c>
      <c r="M410" s="786">
        <v>2</v>
      </c>
      <c r="N410" s="981" t="s">
        <v>369</v>
      </c>
      <c r="O410" s="1286" t="s">
        <v>227</v>
      </c>
      <c r="P410" s="787">
        <v>1</v>
      </c>
      <c r="Q410" s="530">
        <v>109.35899999999999</v>
      </c>
      <c r="R410" s="911">
        <v>6</v>
      </c>
      <c r="S410" s="912"/>
      <c r="T410" s="1264"/>
      <c r="U410" s="1261"/>
    </row>
    <row r="411" spans="1:21" ht="14.25" customHeight="1" thickTop="1" thickBot="1">
      <c r="A411" s="1244"/>
      <c r="B411" s="1249" t="s">
        <v>1568</v>
      </c>
      <c r="C411" s="1285" t="s">
        <v>2066</v>
      </c>
      <c r="D411" s="1285" t="s">
        <v>2103</v>
      </c>
      <c r="E411" s="1249" t="s">
        <v>2104</v>
      </c>
      <c r="F411" s="1249" t="s">
        <v>2105</v>
      </c>
      <c r="G411" s="785">
        <v>42271</v>
      </c>
      <c r="H411" s="886">
        <v>9</v>
      </c>
      <c r="I411" s="891">
        <v>232.755</v>
      </c>
      <c r="J411" s="530">
        <v>1869.9749999999999</v>
      </c>
      <c r="K411" s="786">
        <v>104</v>
      </c>
      <c r="L411" s="787">
        <v>39</v>
      </c>
      <c r="M411" s="786">
        <v>3</v>
      </c>
      <c r="N411" s="981" t="s">
        <v>590</v>
      </c>
      <c r="O411" s="1286" t="s">
        <v>227</v>
      </c>
      <c r="P411" s="787">
        <v>14</v>
      </c>
      <c r="Q411" s="530">
        <v>387.69200000000001</v>
      </c>
      <c r="R411" s="911">
        <v>19</v>
      </c>
      <c r="S411" s="912"/>
      <c r="T411" s="1264"/>
      <c r="U411" s="1261"/>
    </row>
    <row r="412" spans="1:21" ht="14.25" customHeight="1" thickTop="1" thickBot="1">
      <c r="A412" s="1244"/>
      <c r="B412" s="1249" t="s">
        <v>1568</v>
      </c>
      <c r="C412" s="1285" t="s">
        <v>2066</v>
      </c>
      <c r="D412" s="1285" t="s">
        <v>2106</v>
      </c>
      <c r="E412" s="1249" t="s">
        <v>2107</v>
      </c>
      <c r="F412" s="1249" t="s">
        <v>2108</v>
      </c>
      <c r="G412" s="785">
        <v>42271</v>
      </c>
      <c r="H412" s="886">
        <v>9</v>
      </c>
      <c r="I412" s="891">
        <v>201.48400000000001</v>
      </c>
      <c r="J412" s="530">
        <v>230.92599999999999</v>
      </c>
      <c r="K412" s="786">
        <v>19</v>
      </c>
      <c r="L412" s="787">
        <v>8</v>
      </c>
      <c r="M412" s="786">
        <v>0</v>
      </c>
      <c r="N412" s="981" t="s">
        <v>332</v>
      </c>
      <c r="O412" s="1286" t="s">
        <v>227</v>
      </c>
      <c r="P412" s="787">
        <v>0</v>
      </c>
      <c r="Q412" s="530">
        <v>20.471</v>
      </c>
      <c r="R412" s="911">
        <v>2</v>
      </c>
      <c r="S412" s="912"/>
      <c r="T412" s="1264"/>
      <c r="U412" s="1261"/>
    </row>
    <row r="413" spans="1:21" ht="14.25" customHeight="1" thickTop="1" thickBot="1">
      <c r="A413" s="1244"/>
      <c r="B413" s="1249" t="s">
        <v>1568</v>
      </c>
      <c r="C413" s="1285" t="s">
        <v>2066</v>
      </c>
      <c r="D413" s="1285" t="s">
        <v>2109</v>
      </c>
      <c r="E413" s="1249" t="s">
        <v>2110</v>
      </c>
      <c r="F413" s="1249" t="s">
        <v>2111</v>
      </c>
      <c r="G413" s="785">
        <v>42271</v>
      </c>
      <c r="H413" s="886">
        <v>9</v>
      </c>
      <c r="I413" s="891">
        <v>1234.2860000000001</v>
      </c>
      <c r="J413" s="530">
        <v>1640.462</v>
      </c>
      <c r="K413" s="786">
        <v>75</v>
      </c>
      <c r="L413" s="787">
        <v>24</v>
      </c>
      <c r="M413" s="786">
        <v>4</v>
      </c>
      <c r="N413" s="981" t="s">
        <v>590</v>
      </c>
      <c r="O413" s="1286" t="s">
        <v>227</v>
      </c>
      <c r="P413" s="787">
        <v>5</v>
      </c>
      <c r="Q413" s="530">
        <v>275.89699999999999</v>
      </c>
      <c r="R413" s="911">
        <v>9</v>
      </c>
      <c r="S413" s="912"/>
      <c r="T413" s="1264"/>
      <c r="U413" s="1261"/>
    </row>
    <row r="414" spans="1:21" ht="14.25" customHeight="1" thickTop="1" thickBot="1">
      <c r="A414" s="1244"/>
      <c r="B414" s="1249" t="s">
        <v>1568</v>
      </c>
      <c r="C414" s="1285" t="s">
        <v>2066</v>
      </c>
      <c r="D414" s="1285" t="s">
        <v>2112</v>
      </c>
      <c r="E414" s="1249" t="s">
        <v>2113</v>
      </c>
      <c r="F414" s="1249" t="s">
        <v>2114</v>
      </c>
      <c r="G414" s="785">
        <v>42272</v>
      </c>
      <c r="H414" s="886">
        <v>9</v>
      </c>
      <c r="I414" s="891">
        <v>182.80699999999999</v>
      </c>
      <c r="J414" s="530">
        <v>939.49099999999999</v>
      </c>
      <c r="K414" s="786">
        <v>76</v>
      </c>
      <c r="L414" s="787">
        <v>29</v>
      </c>
      <c r="M414" s="786">
        <v>2</v>
      </c>
      <c r="N414" s="981" t="s">
        <v>590</v>
      </c>
      <c r="O414" s="1286" t="s">
        <v>227</v>
      </c>
      <c r="P414" s="787">
        <v>3</v>
      </c>
      <c r="Q414" s="530">
        <v>197.70699999999999</v>
      </c>
      <c r="R414" s="911">
        <v>13</v>
      </c>
      <c r="S414" s="912"/>
      <c r="T414" s="1264"/>
      <c r="U414" s="1261"/>
    </row>
    <row r="415" spans="1:21" ht="14.25" customHeight="1" thickTop="1" thickBot="1">
      <c r="A415" s="1244"/>
      <c r="B415" s="1249" t="s">
        <v>1568</v>
      </c>
      <c r="C415" s="1285" t="s">
        <v>2066</v>
      </c>
      <c r="D415" s="1285" t="s">
        <v>2243</v>
      </c>
      <c r="E415" s="1249" t="s">
        <v>2244</v>
      </c>
      <c r="F415" s="1249" t="s">
        <v>2245</v>
      </c>
      <c r="G415" s="785">
        <v>42300</v>
      </c>
      <c r="H415" s="886">
        <v>8</v>
      </c>
      <c r="I415" s="891">
        <v>38.826999999999998</v>
      </c>
      <c r="J415" s="530">
        <v>628.22</v>
      </c>
      <c r="K415" s="786">
        <v>32</v>
      </c>
      <c r="L415" s="787">
        <v>13</v>
      </c>
      <c r="M415" s="786">
        <v>1</v>
      </c>
      <c r="N415" s="981" t="s">
        <v>590</v>
      </c>
      <c r="O415" s="1286" t="s">
        <v>227</v>
      </c>
      <c r="P415" s="787">
        <v>1</v>
      </c>
      <c r="Q415" s="530">
        <v>44.212000000000003</v>
      </c>
      <c r="R415" s="911">
        <v>4</v>
      </c>
      <c r="S415" s="912"/>
      <c r="T415" s="1264"/>
      <c r="U415" s="1261"/>
    </row>
    <row r="416" spans="1:21" ht="14.25" customHeight="1" thickTop="1" thickBot="1">
      <c r="A416" s="1244"/>
      <c r="B416" s="1249" t="s">
        <v>1568</v>
      </c>
      <c r="C416" s="1285" t="s">
        <v>2907</v>
      </c>
      <c r="D416" s="1285" t="s">
        <v>3715</v>
      </c>
      <c r="E416" s="1249" t="s">
        <v>3716</v>
      </c>
      <c r="F416" s="1249" t="s">
        <v>3717</v>
      </c>
      <c r="G416" s="785">
        <v>42531</v>
      </c>
      <c r="H416" s="886">
        <v>1</v>
      </c>
      <c r="I416" s="891">
        <v>7.3289999999999997</v>
      </c>
      <c r="J416" s="530">
        <v>27.571999999999999</v>
      </c>
      <c r="K416" s="786">
        <v>3</v>
      </c>
      <c r="L416" s="787">
        <v>12</v>
      </c>
      <c r="M416" s="786">
        <v>2</v>
      </c>
      <c r="N416" s="981" t="s">
        <v>590</v>
      </c>
      <c r="O416" s="1286" t="s">
        <v>227</v>
      </c>
      <c r="P416" s="787">
        <v>4</v>
      </c>
      <c r="Q416" s="530">
        <v>27.571999999999999</v>
      </c>
      <c r="R416" s="911">
        <v>3</v>
      </c>
      <c r="S416" s="912"/>
      <c r="T416" s="1264"/>
      <c r="U416" s="1261"/>
    </row>
    <row r="417" spans="1:21" ht="14.25" customHeight="1" thickTop="1" thickBot="1">
      <c r="A417" s="1244"/>
      <c r="B417" s="1249" t="s">
        <v>3173</v>
      </c>
      <c r="C417" s="1285" t="s">
        <v>676</v>
      </c>
      <c r="D417" s="1285" t="s">
        <v>786</v>
      </c>
      <c r="E417" s="1249" t="s">
        <v>1388</v>
      </c>
      <c r="F417" s="1249" t="s">
        <v>787</v>
      </c>
      <c r="G417" s="785">
        <v>41807</v>
      </c>
      <c r="H417" s="886">
        <v>24</v>
      </c>
      <c r="I417" s="891">
        <v>3648.3690000000001</v>
      </c>
      <c r="J417" s="530">
        <v>4782.0460000000003</v>
      </c>
      <c r="K417" s="786">
        <v>92</v>
      </c>
      <c r="L417" s="787">
        <v>20</v>
      </c>
      <c r="M417" s="786">
        <v>0</v>
      </c>
      <c r="N417" s="981" t="s">
        <v>590</v>
      </c>
      <c r="O417" s="1286" t="s">
        <v>227</v>
      </c>
      <c r="P417" s="787">
        <v>0</v>
      </c>
      <c r="Q417" s="530">
        <v>-10.63</v>
      </c>
      <c r="R417" s="911">
        <v>2</v>
      </c>
      <c r="S417" s="912"/>
      <c r="T417" s="1264"/>
      <c r="U417" s="1261"/>
    </row>
    <row r="418" spans="1:21" ht="14.25" customHeight="1" thickTop="1" thickBot="1">
      <c r="A418" s="1244"/>
      <c r="B418" s="1249" t="s">
        <v>3173</v>
      </c>
      <c r="C418" s="1285" t="s">
        <v>676</v>
      </c>
      <c r="D418" s="1285" t="s">
        <v>1262</v>
      </c>
      <c r="E418" s="1249" t="s">
        <v>1610</v>
      </c>
      <c r="F418" s="1249" t="s">
        <v>1263</v>
      </c>
      <c r="G418" s="785">
        <v>42068</v>
      </c>
      <c r="H418" s="886">
        <v>18</v>
      </c>
      <c r="I418" s="891">
        <v>237.994</v>
      </c>
      <c r="J418" s="530">
        <v>1165.242</v>
      </c>
      <c r="K418" s="786">
        <v>31</v>
      </c>
      <c r="L418" s="787">
        <v>10</v>
      </c>
      <c r="M418" s="786">
        <v>1</v>
      </c>
      <c r="N418" s="981" t="s">
        <v>590</v>
      </c>
      <c r="O418" s="1286" t="s">
        <v>227</v>
      </c>
      <c r="P418" s="787">
        <v>0</v>
      </c>
      <c r="Q418" s="530">
        <v>10.879</v>
      </c>
      <c r="R418" s="911">
        <v>1</v>
      </c>
      <c r="S418" s="912"/>
      <c r="T418" s="1264"/>
      <c r="U418" s="1261"/>
    </row>
    <row r="419" spans="1:21" ht="14.25" customHeight="1" thickTop="1" thickBot="1">
      <c r="A419" s="1244"/>
      <c r="B419" s="1249" t="s">
        <v>3173</v>
      </c>
      <c r="C419" s="1285" t="s">
        <v>703</v>
      </c>
      <c r="D419" s="1285" t="s">
        <v>891</v>
      </c>
      <c r="E419" s="1249" t="s">
        <v>1898</v>
      </c>
      <c r="F419" s="1249" t="s">
        <v>892</v>
      </c>
      <c r="G419" s="785">
        <v>41897</v>
      </c>
      <c r="H419" s="886">
        <v>21</v>
      </c>
      <c r="I419" s="891">
        <v>831.80700000000002</v>
      </c>
      <c r="J419" s="530">
        <v>2744.6289999999999</v>
      </c>
      <c r="K419" s="786">
        <v>114</v>
      </c>
      <c r="L419" s="787">
        <v>46</v>
      </c>
      <c r="M419" s="786">
        <v>1</v>
      </c>
      <c r="N419" s="981" t="s">
        <v>590</v>
      </c>
      <c r="O419" s="1286" t="s">
        <v>227</v>
      </c>
      <c r="P419" s="787">
        <v>12</v>
      </c>
      <c r="Q419" s="530">
        <v>787.68299999999999</v>
      </c>
      <c r="R419" s="911">
        <v>19</v>
      </c>
      <c r="S419" s="912"/>
      <c r="T419" s="1264"/>
      <c r="U419" s="1261"/>
    </row>
    <row r="420" spans="1:21" ht="14.25" customHeight="1" thickTop="1" thickBot="1">
      <c r="A420" s="1244"/>
      <c r="B420" s="1249" t="s">
        <v>3173</v>
      </c>
      <c r="C420" s="1285" t="s">
        <v>703</v>
      </c>
      <c r="D420" s="1285" t="s">
        <v>972</v>
      </c>
      <c r="E420" s="1249" t="s">
        <v>973</v>
      </c>
      <c r="F420" s="1249" t="s">
        <v>974</v>
      </c>
      <c r="G420" s="785">
        <v>41947</v>
      </c>
      <c r="H420" s="886">
        <v>20</v>
      </c>
      <c r="I420" s="891">
        <v>355.77699999999999</v>
      </c>
      <c r="J420" s="530">
        <v>3392.6</v>
      </c>
      <c r="K420" s="786">
        <v>142</v>
      </c>
      <c r="L420" s="787">
        <v>57</v>
      </c>
      <c r="M420" s="786">
        <v>0</v>
      </c>
      <c r="N420" s="981" t="s">
        <v>590</v>
      </c>
      <c r="O420" s="1286" t="s">
        <v>227</v>
      </c>
      <c r="P420" s="787">
        <v>14</v>
      </c>
      <c r="Q420" s="530">
        <v>863.00099999999998</v>
      </c>
      <c r="R420" s="911">
        <v>20</v>
      </c>
      <c r="S420" s="912"/>
      <c r="T420" s="1264"/>
      <c r="U420" s="1261"/>
    </row>
    <row r="421" spans="1:21" ht="14.25" customHeight="1" thickTop="1" thickBot="1">
      <c r="A421" s="1244"/>
      <c r="B421" s="1249" t="s">
        <v>3173</v>
      </c>
      <c r="C421" s="1285" t="s">
        <v>703</v>
      </c>
      <c r="D421" s="1285" t="s">
        <v>1535</v>
      </c>
      <c r="E421" s="1249" t="s">
        <v>3718</v>
      </c>
      <c r="F421" s="1249" t="s">
        <v>1060</v>
      </c>
      <c r="G421" s="785">
        <v>42192</v>
      </c>
      <c r="H421" s="886">
        <v>15</v>
      </c>
      <c r="I421" s="891">
        <v>1846.951</v>
      </c>
      <c r="J421" s="530">
        <v>1845.252</v>
      </c>
      <c r="K421" s="786">
        <v>73</v>
      </c>
      <c r="L421" s="787">
        <v>27</v>
      </c>
      <c r="M421" s="786">
        <v>1</v>
      </c>
      <c r="N421" s="981" t="s">
        <v>590</v>
      </c>
      <c r="O421" s="1286" t="s">
        <v>227</v>
      </c>
      <c r="P421" s="787">
        <v>4</v>
      </c>
      <c r="Q421" s="530">
        <v>474.34800000000001</v>
      </c>
      <c r="R421" s="911">
        <v>11</v>
      </c>
      <c r="S421" s="912"/>
      <c r="T421" s="1264"/>
      <c r="U421" s="1261"/>
    </row>
    <row r="422" spans="1:21" ht="14.25" customHeight="1" thickTop="1" thickBot="1">
      <c r="A422" s="1244"/>
      <c r="B422" s="1249" t="s">
        <v>3173</v>
      </c>
      <c r="C422" s="1285" t="s">
        <v>703</v>
      </c>
      <c r="D422" s="1285" t="s">
        <v>1957</v>
      </c>
      <c r="E422" s="1249" t="s">
        <v>1958</v>
      </c>
      <c r="F422" s="1249" t="s">
        <v>1959</v>
      </c>
      <c r="G422" s="785">
        <v>42235</v>
      </c>
      <c r="H422" s="886">
        <v>10</v>
      </c>
      <c r="I422" s="891">
        <v>26.710999999999999</v>
      </c>
      <c r="J422" s="530"/>
      <c r="K422" s="786">
        <v>0</v>
      </c>
      <c r="L422" s="787">
        <v>1</v>
      </c>
      <c r="M422" s="786">
        <v>0</v>
      </c>
      <c r="N422" s="981" t="s">
        <v>332</v>
      </c>
      <c r="O422" s="1286" t="s">
        <v>227</v>
      </c>
      <c r="P422" s="787">
        <v>0</v>
      </c>
      <c r="Q422" s="530"/>
      <c r="R422" s="911">
        <v>0</v>
      </c>
      <c r="S422" s="912"/>
      <c r="T422" s="1264"/>
      <c r="U422" s="1261"/>
    </row>
    <row r="423" spans="1:21" ht="14.25" customHeight="1" thickTop="1" thickBot="1">
      <c r="A423" s="1244"/>
      <c r="B423" s="1249" t="s">
        <v>3173</v>
      </c>
      <c r="C423" s="1285" t="s">
        <v>704</v>
      </c>
      <c r="D423" s="1285" t="s">
        <v>2466</v>
      </c>
      <c r="E423" s="1249" t="s">
        <v>2467</v>
      </c>
      <c r="F423" s="1249" t="s">
        <v>2468</v>
      </c>
      <c r="G423" s="785">
        <v>42349</v>
      </c>
      <c r="H423" s="886">
        <v>7</v>
      </c>
      <c r="I423" s="891">
        <v>172.15899999999999</v>
      </c>
      <c r="J423" s="530">
        <v>216.43799999999999</v>
      </c>
      <c r="K423" s="786">
        <v>13</v>
      </c>
      <c r="L423" s="787">
        <v>7</v>
      </c>
      <c r="M423" s="786">
        <v>2</v>
      </c>
      <c r="N423" s="981" t="s">
        <v>369</v>
      </c>
      <c r="O423" s="1286" t="s">
        <v>227</v>
      </c>
      <c r="P423" s="787">
        <v>0</v>
      </c>
      <c r="Q423" s="530">
        <v>55.515999999999998</v>
      </c>
      <c r="R423" s="911">
        <v>1</v>
      </c>
      <c r="S423" s="912"/>
      <c r="T423" s="1264"/>
      <c r="U423" s="1261"/>
    </row>
    <row r="424" spans="1:21" ht="14.25" customHeight="1" thickTop="1" thickBot="1">
      <c r="A424" s="1244"/>
      <c r="B424" s="1249" t="s">
        <v>3173</v>
      </c>
      <c r="C424" s="1285" t="s">
        <v>2909</v>
      </c>
      <c r="D424" s="1285" t="s">
        <v>3419</v>
      </c>
      <c r="E424" s="1249" t="s">
        <v>3503</v>
      </c>
      <c r="F424" s="1249" t="s">
        <v>3420</v>
      </c>
      <c r="G424" s="785">
        <v>42513</v>
      </c>
      <c r="H424" s="886">
        <v>1</v>
      </c>
      <c r="I424" s="891">
        <v>27.359000000000002</v>
      </c>
      <c r="J424" s="530">
        <v>50.024000000000001</v>
      </c>
      <c r="K424" s="786">
        <v>4</v>
      </c>
      <c r="L424" s="787">
        <v>9</v>
      </c>
      <c r="M424" s="786">
        <v>2</v>
      </c>
      <c r="N424" s="981" t="s">
        <v>590</v>
      </c>
      <c r="O424" s="1286" t="s">
        <v>227</v>
      </c>
      <c r="P424" s="787">
        <v>1</v>
      </c>
      <c r="Q424" s="530">
        <v>50.024000000000001</v>
      </c>
      <c r="R424" s="911">
        <v>3</v>
      </c>
      <c r="S424" s="912"/>
      <c r="T424" s="1264"/>
      <c r="U424" s="1261"/>
    </row>
    <row r="425" spans="1:21" ht="14.25" customHeight="1" thickTop="1" thickBot="1">
      <c r="A425" s="1244"/>
      <c r="B425" s="1249" t="s">
        <v>3174</v>
      </c>
      <c r="C425" s="1285" t="s">
        <v>227</v>
      </c>
      <c r="D425" s="1285" t="s">
        <v>700</v>
      </c>
      <c r="E425" s="1249" t="s">
        <v>726</v>
      </c>
      <c r="F425" s="1249" t="s">
        <v>711</v>
      </c>
      <c r="G425" s="785">
        <v>41768</v>
      </c>
      <c r="H425" s="886">
        <v>26</v>
      </c>
      <c r="I425" s="891">
        <v>0</v>
      </c>
      <c r="J425" s="530"/>
      <c r="K425" s="786">
        <v>0</v>
      </c>
      <c r="L425" s="787">
        <v>2</v>
      </c>
      <c r="M425" s="786">
        <v>1</v>
      </c>
      <c r="N425" s="981" t="s">
        <v>332</v>
      </c>
      <c r="O425" s="1286" t="s">
        <v>227</v>
      </c>
      <c r="P425" s="787">
        <v>0</v>
      </c>
      <c r="Q425" s="530"/>
      <c r="R425" s="911">
        <v>0</v>
      </c>
      <c r="S425" s="912"/>
      <c r="T425" s="1264"/>
      <c r="U425" s="1261"/>
    </row>
    <row r="426" spans="1:21" ht="14.25" customHeight="1" thickTop="1" thickBot="1">
      <c r="A426" s="1244"/>
      <c r="B426" s="1249" t="s">
        <v>3174</v>
      </c>
      <c r="C426" s="1285" t="s">
        <v>1445</v>
      </c>
      <c r="D426" s="1285" t="s">
        <v>2240</v>
      </c>
      <c r="E426" s="1249" t="s">
        <v>2241</v>
      </c>
      <c r="F426" s="1249" t="s">
        <v>1018</v>
      </c>
      <c r="G426" s="785">
        <v>42305</v>
      </c>
      <c r="H426" s="886">
        <v>8</v>
      </c>
      <c r="I426" s="891">
        <v>365.976</v>
      </c>
      <c r="J426" s="530">
        <v>831.24900000000002</v>
      </c>
      <c r="K426" s="786">
        <v>58</v>
      </c>
      <c r="L426" s="787">
        <v>36</v>
      </c>
      <c r="M426" s="786">
        <v>2</v>
      </c>
      <c r="N426" s="981" t="s">
        <v>590</v>
      </c>
      <c r="O426" s="1286" t="s">
        <v>227</v>
      </c>
      <c r="P426" s="787">
        <v>13</v>
      </c>
      <c r="Q426" s="530">
        <v>171.68700000000001</v>
      </c>
      <c r="R426" s="911">
        <v>13</v>
      </c>
      <c r="S426" s="912"/>
      <c r="T426" s="1264"/>
      <c r="U426" s="1261"/>
    </row>
    <row r="427" spans="1:21" ht="14.25" customHeight="1" thickTop="1" thickBot="1">
      <c r="A427" s="1244"/>
      <c r="B427" s="1249" t="s">
        <v>3174</v>
      </c>
      <c r="C427" s="1285" t="s">
        <v>1448</v>
      </c>
      <c r="D427" s="1285" t="s">
        <v>1385</v>
      </c>
      <c r="E427" s="1249" t="s">
        <v>1386</v>
      </c>
      <c r="F427" s="1249" t="s">
        <v>1387</v>
      </c>
      <c r="G427" s="785">
        <v>42080</v>
      </c>
      <c r="H427" s="886">
        <v>15</v>
      </c>
      <c r="I427" s="891">
        <v>651.53800000000001</v>
      </c>
      <c r="J427" s="530">
        <v>1633.3889999999999</v>
      </c>
      <c r="K427" s="786">
        <v>121</v>
      </c>
      <c r="L427" s="787">
        <v>81</v>
      </c>
      <c r="M427" s="786">
        <v>4</v>
      </c>
      <c r="N427" s="981" t="s">
        <v>590</v>
      </c>
      <c r="O427" s="1286" t="s">
        <v>227</v>
      </c>
      <c r="P427" s="787">
        <v>46</v>
      </c>
      <c r="Q427" s="530">
        <v>219.51300000000001</v>
      </c>
      <c r="R427" s="911">
        <v>16</v>
      </c>
      <c r="S427" s="912"/>
      <c r="T427" s="1264"/>
      <c r="U427" s="1261"/>
    </row>
    <row r="428" spans="1:21" ht="14.25" customHeight="1" thickTop="1" thickBot="1">
      <c r="A428" s="1244"/>
      <c r="B428" s="1249" t="s">
        <v>3174</v>
      </c>
      <c r="C428" s="1285" t="s">
        <v>1448</v>
      </c>
      <c r="D428" s="1285" t="s">
        <v>2941</v>
      </c>
      <c r="E428" s="1249" t="s">
        <v>2942</v>
      </c>
      <c r="F428" s="1249" t="s">
        <v>2943</v>
      </c>
      <c r="G428" s="785">
        <v>42473</v>
      </c>
      <c r="H428" s="886">
        <v>3</v>
      </c>
      <c r="I428" s="891">
        <v>167.73500000000001</v>
      </c>
      <c r="J428" s="530">
        <v>251.21</v>
      </c>
      <c r="K428" s="786">
        <v>30</v>
      </c>
      <c r="L428" s="787">
        <v>46</v>
      </c>
      <c r="M428" s="786">
        <v>4</v>
      </c>
      <c r="N428" s="981" t="s">
        <v>590</v>
      </c>
      <c r="O428" s="1286" t="s">
        <v>227</v>
      </c>
      <c r="P428" s="787">
        <v>18</v>
      </c>
      <c r="Q428" s="530">
        <v>126.13800000000001</v>
      </c>
      <c r="R428" s="911">
        <v>11</v>
      </c>
      <c r="S428" s="912"/>
      <c r="T428" s="1264"/>
      <c r="U428" s="1261"/>
    </row>
    <row r="429" spans="1:21" ht="14.25" customHeight="1" thickTop="1" thickBot="1">
      <c r="A429" s="1244"/>
      <c r="B429" s="1249" t="s">
        <v>3174</v>
      </c>
      <c r="C429" s="1285" t="s">
        <v>1448</v>
      </c>
      <c r="D429" s="1285" t="s">
        <v>3427</v>
      </c>
      <c r="E429" s="1249" t="s">
        <v>3504</v>
      </c>
      <c r="F429" s="1249" t="s">
        <v>3428</v>
      </c>
      <c r="G429" s="785">
        <v>42508</v>
      </c>
      <c r="H429" s="886">
        <v>1</v>
      </c>
      <c r="I429" s="891">
        <v>206.482</v>
      </c>
      <c r="J429" s="530">
        <v>234.881</v>
      </c>
      <c r="K429" s="786">
        <v>19</v>
      </c>
      <c r="L429" s="787">
        <v>20</v>
      </c>
      <c r="M429" s="786">
        <v>2</v>
      </c>
      <c r="N429" s="981" t="s">
        <v>590</v>
      </c>
      <c r="O429" s="1286" t="s">
        <v>227</v>
      </c>
      <c r="P429" s="787">
        <v>14</v>
      </c>
      <c r="Q429" s="530">
        <v>234.881</v>
      </c>
      <c r="R429" s="911">
        <v>14</v>
      </c>
      <c r="S429" s="912"/>
      <c r="T429" s="1264"/>
      <c r="U429" s="1261"/>
    </row>
    <row r="430" spans="1:21" ht="14.25" customHeight="1" thickTop="1" thickBot="1">
      <c r="A430" s="1244"/>
      <c r="B430" s="1249" t="s">
        <v>2710</v>
      </c>
      <c r="C430" s="1285" t="s">
        <v>227</v>
      </c>
      <c r="D430" s="1285" t="s">
        <v>2952</v>
      </c>
      <c r="E430" s="1249" t="s">
        <v>2953</v>
      </c>
      <c r="F430" s="1249" t="s">
        <v>2954</v>
      </c>
      <c r="G430" s="785">
        <v>42465</v>
      </c>
      <c r="H430" s="886">
        <v>3</v>
      </c>
      <c r="I430" s="891"/>
      <c r="J430" s="530">
        <v>12.792</v>
      </c>
      <c r="K430" s="786">
        <v>1</v>
      </c>
      <c r="L430" s="787">
        <v>4</v>
      </c>
      <c r="M430" s="786">
        <v>1</v>
      </c>
      <c r="N430" s="981" t="s">
        <v>332</v>
      </c>
      <c r="O430" s="1286" t="s">
        <v>227</v>
      </c>
      <c r="P430" s="787">
        <v>0</v>
      </c>
      <c r="Q430" s="530"/>
      <c r="R430" s="911">
        <v>0</v>
      </c>
      <c r="S430" s="912"/>
      <c r="T430" s="1264"/>
      <c r="U430" s="1261"/>
    </row>
    <row r="431" spans="1:21" ht="14.25" customHeight="1" thickTop="1" thickBot="1">
      <c r="A431" s="1244"/>
      <c r="B431" s="1249" t="s">
        <v>2710</v>
      </c>
      <c r="C431" s="1285" t="s">
        <v>227</v>
      </c>
      <c r="D431" s="1285" t="s">
        <v>3719</v>
      </c>
      <c r="E431" s="1249" t="s">
        <v>3720</v>
      </c>
      <c r="F431" s="1249" t="s">
        <v>1701</v>
      </c>
      <c r="G431" s="785">
        <v>42529</v>
      </c>
      <c r="H431" s="886">
        <v>1</v>
      </c>
      <c r="I431" s="891"/>
      <c r="J431" s="530">
        <v>89.144999999999996</v>
      </c>
      <c r="K431" s="786">
        <v>5</v>
      </c>
      <c r="L431" s="787">
        <v>9</v>
      </c>
      <c r="M431" s="786">
        <v>3</v>
      </c>
      <c r="N431" s="981" t="s">
        <v>590</v>
      </c>
      <c r="O431" s="1286" t="s">
        <v>227</v>
      </c>
      <c r="P431" s="787">
        <v>9</v>
      </c>
      <c r="Q431" s="530">
        <v>89.144999999999996</v>
      </c>
      <c r="R431" s="911">
        <v>5</v>
      </c>
      <c r="S431" s="912"/>
      <c r="T431" s="1264"/>
      <c r="U431" s="1261"/>
    </row>
    <row r="432" spans="1:21" ht="14.25" customHeight="1" thickTop="1" thickBot="1">
      <c r="A432" s="1244"/>
      <c r="B432" s="1249" t="s">
        <v>2710</v>
      </c>
      <c r="C432" s="1285" t="s">
        <v>2734</v>
      </c>
      <c r="D432" s="1285" t="s">
        <v>2771</v>
      </c>
      <c r="E432" s="1249" t="s">
        <v>2772</v>
      </c>
      <c r="F432" s="1249" t="s">
        <v>2773</v>
      </c>
      <c r="G432" s="785">
        <v>42452</v>
      </c>
      <c r="H432" s="886">
        <v>3</v>
      </c>
      <c r="I432" s="891">
        <v>94.638000000000005</v>
      </c>
      <c r="J432" s="530">
        <v>94.638000000000005</v>
      </c>
      <c r="K432" s="786">
        <v>1</v>
      </c>
      <c r="L432" s="787">
        <v>7</v>
      </c>
      <c r="M432" s="786">
        <v>2</v>
      </c>
      <c r="N432" s="981" t="s">
        <v>590</v>
      </c>
      <c r="O432" s="1286" t="s">
        <v>227</v>
      </c>
      <c r="P432" s="787">
        <v>6</v>
      </c>
      <c r="Q432" s="530">
        <v>94.638000000000005</v>
      </c>
      <c r="R432" s="911">
        <v>1</v>
      </c>
      <c r="S432" s="912"/>
      <c r="T432" s="1264"/>
      <c r="U432" s="1261"/>
    </row>
    <row r="433" spans="1:21" ht="14.25" customHeight="1" thickTop="1" thickBot="1">
      <c r="A433" s="1244"/>
      <c r="B433" s="1249" t="s">
        <v>2710</v>
      </c>
      <c r="C433" s="1285" t="s">
        <v>2064</v>
      </c>
      <c r="D433" s="1285" t="s">
        <v>2086</v>
      </c>
      <c r="E433" s="1249" t="s">
        <v>2087</v>
      </c>
      <c r="F433" s="1249" t="s">
        <v>1161</v>
      </c>
      <c r="G433" s="785">
        <v>42251</v>
      </c>
      <c r="H433" s="886">
        <v>10</v>
      </c>
      <c r="I433" s="891">
        <v>65.087000000000003</v>
      </c>
      <c r="J433" s="530">
        <v>737.44299999999998</v>
      </c>
      <c r="K433" s="786">
        <v>55</v>
      </c>
      <c r="L433" s="787">
        <v>16</v>
      </c>
      <c r="M433" s="786">
        <v>3</v>
      </c>
      <c r="N433" s="981" t="s">
        <v>590</v>
      </c>
      <c r="O433" s="1286" t="s">
        <v>227</v>
      </c>
      <c r="P433" s="787">
        <v>0</v>
      </c>
      <c r="Q433" s="530">
        <v>10.058</v>
      </c>
      <c r="R433" s="911">
        <v>1</v>
      </c>
      <c r="S433" s="912"/>
      <c r="T433" s="1264"/>
      <c r="U433" s="1261"/>
    </row>
    <row r="434" spans="1:21" ht="14.25" customHeight="1" thickTop="1" thickBot="1">
      <c r="A434" s="1244"/>
      <c r="B434" s="1249" t="s">
        <v>2710</v>
      </c>
      <c r="C434" s="1285" t="s">
        <v>2064</v>
      </c>
      <c r="D434" s="1285" t="s">
        <v>2088</v>
      </c>
      <c r="E434" s="1249" t="s">
        <v>2089</v>
      </c>
      <c r="F434" s="1249" t="s">
        <v>838</v>
      </c>
      <c r="G434" s="785">
        <v>42251</v>
      </c>
      <c r="H434" s="886">
        <v>10</v>
      </c>
      <c r="I434" s="891">
        <v>374.34500000000003</v>
      </c>
      <c r="J434" s="530">
        <v>710.13400000000001</v>
      </c>
      <c r="K434" s="786">
        <v>62</v>
      </c>
      <c r="L434" s="787">
        <v>27</v>
      </c>
      <c r="M434" s="786">
        <v>3</v>
      </c>
      <c r="N434" s="981" t="s">
        <v>590</v>
      </c>
      <c r="O434" s="1286" t="s">
        <v>227</v>
      </c>
      <c r="P434" s="787">
        <v>0</v>
      </c>
      <c r="Q434" s="530">
        <v>62.183999999999997</v>
      </c>
      <c r="R434" s="911">
        <v>5</v>
      </c>
      <c r="S434" s="912"/>
      <c r="T434" s="1264"/>
      <c r="U434" s="1261"/>
    </row>
    <row r="435" spans="1:21" ht="14.25" customHeight="1" thickTop="1" thickBot="1">
      <c r="A435" s="1244"/>
      <c r="B435" s="1249" t="s">
        <v>2710</v>
      </c>
      <c r="C435" s="1285" t="s">
        <v>2064</v>
      </c>
      <c r="D435" s="1285" t="s">
        <v>2327</v>
      </c>
      <c r="E435" s="1249" t="s">
        <v>2328</v>
      </c>
      <c r="F435" s="1249" t="s">
        <v>2329</v>
      </c>
      <c r="G435" s="785">
        <v>42324</v>
      </c>
      <c r="H435" s="886">
        <v>7</v>
      </c>
      <c r="I435" s="891">
        <v>89.578999999999994</v>
      </c>
      <c r="J435" s="530">
        <v>399.78300000000002</v>
      </c>
      <c r="K435" s="786">
        <v>36</v>
      </c>
      <c r="L435" s="787">
        <v>12</v>
      </c>
      <c r="M435" s="786">
        <v>2</v>
      </c>
      <c r="N435" s="981" t="s">
        <v>590</v>
      </c>
      <c r="O435" s="1286" t="s">
        <v>227</v>
      </c>
      <c r="P435" s="787">
        <v>0</v>
      </c>
      <c r="Q435" s="530">
        <v>31.838000000000001</v>
      </c>
      <c r="R435" s="911">
        <v>3</v>
      </c>
      <c r="S435" s="912"/>
      <c r="T435" s="1264"/>
      <c r="U435" s="1261"/>
    </row>
    <row r="436" spans="1:21" ht="14.25" customHeight="1" thickTop="1" thickBot="1">
      <c r="A436" s="1244"/>
      <c r="B436" s="1249" t="s">
        <v>2710</v>
      </c>
      <c r="C436" s="1285" t="s">
        <v>2912</v>
      </c>
      <c r="D436" s="1285" t="s">
        <v>2958</v>
      </c>
      <c r="E436" s="1249" t="s">
        <v>2959</v>
      </c>
      <c r="F436" s="1249" t="s">
        <v>838</v>
      </c>
      <c r="G436" s="785">
        <v>42465</v>
      </c>
      <c r="H436" s="886">
        <v>3</v>
      </c>
      <c r="I436" s="891">
        <v>15.65</v>
      </c>
      <c r="J436" s="530">
        <v>91.792000000000002</v>
      </c>
      <c r="K436" s="786">
        <v>13</v>
      </c>
      <c r="L436" s="787">
        <v>12</v>
      </c>
      <c r="M436" s="786">
        <v>3</v>
      </c>
      <c r="N436" s="981" t="s">
        <v>590</v>
      </c>
      <c r="O436" s="1286" t="s">
        <v>227</v>
      </c>
      <c r="P436" s="787">
        <v>2</v>
      </c>
      <c r="Q436" s="530">
        <v>61.106000000000002</v>
      </c>
      <c r="R436" s="911">
        <v>6</v>
      </c>
      <c r="S436" s="912"/>
      <c r="T436" s="1264"/>
      <c r="U436" s="1261"/>
    </row>
    <row r="437" spans="1:21" ht="14.25" customHeight="1" thickTop="1" thickBot="1">
      <c r="A437" s="1244"/>
      <c r="B437" s="1249" t="s">
        <v>2710</v>
      </c>
      <c r="C437" s="1285" t="s">
        <v>2912</v>
      </c>
      <c r="D437" s="1285" t="s">
        <v>2960</v>
      </c>
      <c r="E437" s="1249" t="s">
        <v>2961</v>
      </c>
      <c r="F437" s="1249" t="s">
        <v>2962</v>
      </c>
      <c r="G437" s="785">
        <v>42465</v>
      </c>
      <c r="H437" s="886">
        <v>3</v>
      </c>
      <c r="I437" s="891">
        <v>65.075999999999993</v>
      </c>
      <c r="J437" s="530">
        <v>209.464</v>
      </c>
      <c r="K437" s="786">
        <v>17</v>
      </c>
      <c r="L437" s="787">
        <v>24</v>
      </c>
      <c r="M437" s="786">
        <v>5</v>
      </c>
      <c r="N437" s="981" t="s">
        <v>590</v>
      </c>
      <c r="O437" s="1286" t="s">
        <v>227</v>
      </c>
      <c r="P437" s="787">
        <v>15</v>
      </c>
      <c r="Q437" s="530">
        <v>132.72800000000001</v>
      </c>
      <c r="R437" s="911">
        <v>9</v>
      </c>
      <c r="S437" s="912"/>
      <c r="T437" s="1264"/>
      <c r="U437" s="1261"/>
    </row>
    <row r="438" spans="1:21" ht="14.25" customHeight="1" thickTop="1" thickBot="1">
      <c r="A438" s="1244"/>
      <c r="B438" s="1249" t="s">
        <v>2710</v>
      </c>
      <c r="C438" s="1285" t="s">
        <v>2912</v>
      </c>
      <c r="D438" s="1285" t="s">
        <v>2963</v>
      </c>
      <c r="E438" s="1249" t="s">
        <v>2964</v>
      </c>
      <c r="F438" s="1249" t="s">
        <v>2965</v>
      </c>
      <c r="G438" s="785">
        <v>42479</v>
      </c>
      <c r="H438" s="886">
        <v>2</v>
      </c>
      <c r="I438" s="891">
        <v>10.675000000000001</v>
      </c>
      <c r="J438" s="530"/>
      <c r="K438" s="786">
        <v>3</v>
      </c>
      <c r="L438" s="787">
        <v>10</v>
      </c>
      <c r="M438" s="786">
        <v>3</v>
      </c>
      <c r="N438" s="981" t="s">
        <v>332</v>
      </c>
      <c r="O438" s="1286" t="s">
        <v>227</v>
      </c>
      <c r="P438" s="787">
        <v>2</v>
      </c>
      <c r="Q438" s="530"/>
      <c r="R438" s="911">
        <v>0</v>
      </c>
      <c r="S438" s="912"/>
      <c r="T438" s="1264"/>
      <c r="U438" s="1261"/>
    </row>
    <row r="439" spans="1:21" ht="14.25" customHeight="1" thickTop="1" thickBot="1">
      <c r="A439" s="1244"/>
      <c r="B439" s="1249" t="s">
        <v>2710</v>
      </c>
      <c r="C439" s="1285" t="s">
        <v>2912</v>
      </c>
      <c r="D439" s="1285" t="s">
        <v>2966</v>
      </c>
      <c r="E439" s="1249" t="s">
        <v>2967</v>
      </c>
      <c r="F439" s="1249" t="s">
        <v>2968</v>
      </c>
      <c r="G439" s="785">
        <v>42479</v>
      </c>
      <c r="H439" s="886">
        <v>2</v>
      </c>
      <c r="I439" s="891">
        <v>61.573999999999998</v>
      </c>
      <c r="J439" s="530">
        <v>80.587999999999994</v>
      </c>
      <c r="K439" s="786">
        <v>7</v>
      </c>
      <c r="L439" s="787">
        <v>12</v>
      </c>
      <c r="M439" s="786">
        <v>2</v>
      </c>
      <c r="N439" s="981" t="s">
        <v>590</v>
      </c>
      <c r="O439" s="1286" t="s">
        <v>227</v>
      </c>
      <c r="P439" s="787">
        <v>5</v>
      </c>
      <c r="Q439" s="530">
        <v>80.587999999999994</v>
      </c>
      <c r="R439" s="911">
        <v>4</v>
      </c>
      <c r="S439" s="912"/>
      <c r="T439" s="1264"/>
      <c r="U439" s="1261"/>
    </row>
    <row r="440" spans="1:21" ht="14.25" customHeight="1" thickTop="1" thickBot="1">
      <c r="A440" s="1244"/>
      <c r="B440" s="1249" t="s">
        <v>2710</v>
      </c>
      <c r="C440" s="1285" t="s">
        <v>2912</v>
      </c>
      <c r="D440" s="1285" t="s">
        <v>2969</v>
      </c>
      <c r="E440" s="1249" t="s">
        <v>2970</v>
      </c>
      <c r="F440" s="1249" t="s">
        <v>2971</v>
      </c>
      <c r="G440" s="785">
        <v>42479</v>
      </c>
      <c r="H440" s="886">
        <v>2</v>
      </c>
      <c r="I440" s="891">
        <v>109.399</v>
      </c>
      <c r="J440" s="530">
        <v>164.87100000000001</v>
      </c>
      <c r="K440" s="786">
        <v>19</v>
      </c>
      <c r="L440" s="787">
        <v>16</v>
      </c>
      <c r="M440" s="786">
        <v>3</v>
      </c>
      <c r="N440" s="981" t="s">
        <v>590</v>
      </c>
      <c r="O440" s="1286" t="s">
        <v>227</v>
      </c>
      <c r="P440" s="787">
        <v>4</v>
      </c>
      <c r="Q440" s="530">
        <v>73.703999999999994</v>
      </c>
      <c r="R440" s="911">
        <v>7</v>
      </c>
      <c r="S440" s="912"/>
      <c r="T440" s="1264"/>
      <c r="U440" s="1261"/>
    </row>
    <row r="441" spans="1:21" ht="14.25" customHeight="1" thickTop="1" thickBot="1">
      <c r="A441" s="1244"/>
      <c r="B441" s="1249" t="s">
        <v>2710</v>
      </c>
      <c r="C441" s="1285" t="s">
        <v>3213</v>
      </c>
      <c r="D441" s="1285" t="s">
        <v>3445</v>
      </c>
      <c r="E441" s="1249" t="s">
        <v>3506</v>
      </c>
      <c r="F441" s="1249" t="s">
        <v>3446</v>
      </c>
      <c r="G441" s="785">
        <v>42508</v>
      </c>
      <c r="H441" s="886">
        <v>1</v>
      </c>
      <c r="I441" s="891"/>
      <c r="J441" s="530">
        <v>61.11</v>
      </c>
      <c r="K441" s="786">
        <v>5</v>
      </c>
      <c r="L441" s="787">
        <v>10</v>
      </c>
      <c r="M441" s="786">
        <v>2</v>
      </c>
      <c r="N441" s="981" t="s">
        <v>590</v>
      </c>
      <c r="O441" s="1286" t="s">
        <v>227</v>
      </c>
      <c r="P441" s="787">
        <v>3</v>
      </c>
      <c r="Q441" s="530">
        <v>61.11</v>
      </c>
      <c r="R441" s="911">
        <v>4</v>
      </c>
      <c r="S441" s="912"/>
      <c r="T441" s="1264"/>
      <c r="U441" s="1261"/>
    </row>
    <row r="442" spans="1:21" ht="14.25" customHeight="1" thickTop="1" thickBot="1">
      <c r="A442" s="1244"/>
      <c r="B442" s="1249" t="s">
        <v>1572</v>
      </c>
      <c r="C442" s="1285" t="s">
        <v>1313</v>
      </c>
      <c r="D442" s="1285" t="s">
        <v>1899</v>
      </c>
      <c r="E442" s="1249" t="s">
        <v>1900</v>
      </c>
      <c r="F442" s="1249" t="s">
        <v>1901</v>
      </c>
      <c r="G442" s="785">
        <v>42198</v>
      </c>
      <c r="H442" s="886">
        <v>12</v>
      </c>
      <c r="I442" s="891">
        <v>252.364</v>
      </c>
      <c r="J442" s="530">
        <v>2067.8150000000001</v>
      </c>
      <c r="K442" s="786">
        <v>129</v>
      </c>
      <c r="L442" s="787">
        <v>69</v>
      </c>
      <c r="M442" s="786">
        <v>2</v>
      </c>
      <c r="N442" s="981" t="s">
        <v>590</v>
      </c>
      <c r="O442" s="1286" t="s">
        <v>227</v>
      </c>
      <c r="P442" s="787">
        <v>23</v>
      </c>
      <c r="Q442" s="530">
        <v>138.239</v>
      </c>
      <c r="R442" s="911">
        <v>7</v>
      </c>
      <c r="S442" s="912"/>
      <c r="T442" s="1264"/>
      <c r="U442" s="1261"/>
    </row>
    <row r="443" spans="1:21" ht="14.25" customHeight="1" thickTop="1" thickBot="1">
      <c r="A443" s="1244"/>
      <c r="B443" s="1249" t="s">
        <v>1572</v>
      </c>
      <c r="C443" s="1285" t="s">
        <v>1313</v>
      </c>
      <c r="D443" s="1285" t="s">
        <v>3455</v>
      </c>
      <c r="E443" s="1249" t="s">
        <v>3508</v>
      </c>
      <c r="F443" s="1249" t="s">
        <v>3456</v>
      </c>
      <c r="G443" s="785">
        <v>42508</v>
      </c>
      <c r="H443" s="886">
        <v>1</v>
      </c>
      <c r="I443" s="891">
        <v>45.42</v>
      </c>
      <c r="J443" s="530">
        <v>156.28</v>
      </c>
      <c r="K443" s="786">
        <v>17</v>
      </c>
      <c r="L443" s="787">
        <v>25</v>
      </c>
      <c r="M443" s="786">
        <v>4</v>
      </c>
      <c r="N443" s="981" t="s">
        <v>590</v>
      </c>
      <c r="O443" s="1286" t="s">
        <v>227</v>
      </c>
      <c r="P443" s="787">
        <v>16</v>
      </c>
      <c r="Q443" s="530">
        <v>156.28</v>
      </c>
      <c r="R443" s="911">
        <v>12</v>
      </c>
      <c r="S443" s="912"/>
      <c r="T443" s="1264"/>
      <c r="U443" s="1261"/>
    </row>
    <row r="444" spans="1:21" ht="14.25" customHeight="1" thickTop="1" thickBot="1">
      <c r="A444" s="1244"/>
      <c r="B444" s="1249" t="s">
        <v>1104</v>
      </c>
      <c r="C444" s="1285" t="s">
        <v>1186</v>
      </c>
      <c r="D444" s="1285" t="s">
        <v>1210</v>
      </c>
      <c r="E444" s="1249" t="s">
        <v>1211</v>
      </c>
      <c r="F444" s="1249" t="s">
        <v>1212</v>
      </c>
      <c r="G444" s="785">
        <v>42031</v>
      </c>
      <c r="H444" s="886">
        <v>17</v>
      </c>
      <c r="I444" s="891">
        <v>176.31399999999999</v>
      </c>
      <c r="J444" s="530">
        <v>2582.5610000000001</v>
      </c>
      <c r="K444" s="786">
        <v>123</v>
      </c>
      <c r="L444" s="787">
        <v>48</v>
      </c>
      <c r="M444" s="786">
        <v>4</v>
      </c>
      <c r="N444" s="981" t="s">
        <v>590</v>
      </c>
      <c r="O444" s="1286" t="s">
        <v>227</v>
      </c>
      <c r="P444" s="787">
        <v>8</v>
      </c>
      <c r="Q444" s="530">
        <v>543.72900000000004</v>
      </c>
      <c r="R444" s="911">
        <v>16</v>
      </c>
      <c r="S444" s="912"/>
      <c r="T444" s="1264"/>
      <c r="U444" s="1261"/>
    </row>
    <row r="445" spans="1:21" ht="14.25" customHeight="1" thickTop="1" thickBot="1">
      <c r="A445" s="1244"/>
      <c r="B445" s="1249" t="s">
        <v>1104</v>
      </c>
      <c r="C445" s="1285" t="s">
        <v>1186</v>
      </c>
      <c r="D445" s="1285" t="s">
        <v>1268</v>
      </c>
      <c r="E445" s="1249" t="s">
        <v>2972</v>
      </c>
      <c r="F445" s="1249" t="s">
        <v>2878</v>
      </c>
      <c r="G445" s="785">
        <v>42031</v>
      </c>
      <c r="H445" s="886">
        <v>17</v>
      </c>
      <c r="I445" s="891">
        <v>475.79599999999999</v>
      </c>
      <c r="J445" s="530">
        <v>1451.6220000000001</v>
      </c>
      <c r="K445" s="786">
        <v>50</v>
      </c>
      <c r="L445" s="787">
        <v>22</v>
      </c>
      <c r="M445" s="786">
        <v>1</v>
      </c>
      <c r="N445" s="981" t="s">
        <v>590</v>
      </c>
      <c r="O445" s="1286" t="s">
        <v>227</v>
      </c>
      <c r="P445" s="787">
        <v>3</v>
      </c>
      <c r="Q445" s="530">
        <v>414.81099999999998</v>
      </c>
      <c r="R445" s="911">
        <v>10</v>
      </c>
      <c r="S445" s="912"/>
      <c r="T445" s="1264"/>
      <c r="U445" s="1261"/>
    </row>
    <row r="446" spans="1:21" ht="14.25" customHeight="1" thickTop="1" thickBot="1">
      <c r="A446" s="1244"/>
      <c r="B446" s="1249" t="s">
        <v>1104</v>
      </c>
      <c r="C446" s="1285" t="s">
        <v>1186</v>
      </c>
      <c r="D446" s="1285" t="s">
        <v>1316</v>
      </c>
      <c r="E446" s="1249" t="s">
        <v>1317</v>
      </c>
      <c r="F446" s="1249" t="s">
        <v>1318</v>
      </c>
      <c r="G446" s="785">
        <v>42044</v>
      </c>
      <c r="H446" s="886">
        <v>17</v>
      </c>
      <c r="I446" s="891">
        <v>123.55</v>
      </c>
      <c r="J446" s="530">
        <v>643.30600000000004</v>
      </c>
      <c r="K446" s="786">
        <v>51</v>
      </c>
      <c r="L446" s="787">
        <v>19</v>
      </c>
      <c r="M446" s="786">
        <v>2</v>
      </c>
      <c r="N446" s="981" t="s">
        <v>369</v>
      </c>
      <c r="O446" s="1286" t="s">
        <v>227</v>
      </c>
      <c r="P446" s="787">
        <v>2</v>
      </c>
      <c r="Q446" s="530">
        <v>56.386000000000003</v>
      </c>
      <c r="R446" s="911">
        <v>4</v>
      </c>
      <c r="S446" s="912"/>
      <c r="T446" s="1264"/>
      <c r="U446" s="1261"/>
    </row>
    <row r="447" spans="1:21" ht="14.25" customHeight="1" thickTop="1" thickBot="1">
      <c r="A447" s="1244"/>
      <c r="B447" s="1249" t="s">
        <v>1104</v>
      </c>
      <c r="C447" s="1285" t="s">
        <v>1189</v>
      </c>
      <c r="D447" s="1285" t="s">
        <v>1269</v>
      </c>
      <c r="E447" s="1249" t="s">
        <v>2339</v>
      </c>
      <c r="F447" s="1249" t="s">
        <v>1270</v>
      </c>
      <c r="G447" s="785">
        <v>42033</v>
      </c>
      <c r="H447" s="886">
        <v>17</v>
      </c>
      <c r="I447" s="891">
        <v>1113.529</v>
      </c>
      <c r="J447" s="530">
        <v>1795.2529999999999</v>
      </c>
      <c r="K447" s="786">
        <v>87</v>
      </c>
      <c r="L447" s="787">
        <v>45</v>
      </c>
      <c r="M447" s="786">
        <v>1</v>
      </c>
      <c r="N447" s="981" t="s">
        <v>590</v>
      </c>
      <c r="O447" s="1286" t="s">
        <v>227</v>
      </c>
      <c r="P447" s="787">
        <v>15</v>
      </c>
      <c r="Q447" s="530">
        <v>112.791</v>
      </c>
      <c r="R447" s="911">
        <v>8</v>
      </c>
      <c r="S447" s="912"/>
      <c r="T447" s="1264"/>
      <c r="U447" s="1261"/>
    </row>
    <row r="448" spans="1:21" ht="14.25" customHeight="1" thickTop="1" thickBot="1">
      <c r="A448" s="1244"/>
      <c r="B448" s="1249" t="s">
        <v>1104</v>
      </c>
      <c r="C448" s="1285" t="s">
        <v>1189</v>
      </c>
      <c r="D448" s="1285" t="s">
        <v>2210</v>
      </c>
      <c r="E448" s="1249" t="s">
        <v>3509</v>
      </c>
      <c r="F448" s="1249" t="s">
        <v>2211</v>
      </c>
      <c r="G448" s="785">
        <v>42321</v>
      </c>
      <c r="H448" s="886">
        <v>9</v>
      </c>
      <c r="I448" s="891">
        <v>406.13600000000002</v>
      </c>
      <c r="J448" s="530">
        <v>243.99</v>
      </c>
      <c r="K448" s="786">
        <v>21</v>
      </c>
      <c r="L448" s="787">
        <v>25</v>
      </c>
      <c r="M448" s="786">
        <v>1</v>
      </c>
      <c r="N448" s="981" t="s">
        <v>369</v>
      </c>
      <c r="O448" s="1286" t="s">
        <v>227</v>
      </c>
      <c r="P448" s="787">
        <v>12</v>
      </c>
      <c r="Q448" s="530">
        <v>46.927</v>
      </c>
      <c r="R448" s="911">
        <v>4</v>
      </c>
      <c r="S448" s="912"/>
      <c r="T448" s="1264"/>
      <c r="U448" s="1261"/>
    </row>
    <row r="449" spans="1:21" ht="14.25" customHeight="1" thickTop="1" thickBot="1">
      <c r="A449" s="1244"/>
      <c r="B449" s="1249" t="s">
        <v>1104</v>
      </c>
      <c r="C449" s="1285" t="s">
        <v>2069</v>
      </c>
      <c r="D449" s="1285" t="s">
        <v>2115</v>
      </c>
      <c r="E449" s="1249" t="s">
        <v>2116</v>
      </c>
      <c r="F449" s="1249" t="s">
        <v>1087</v>
      </c>
      <c r="G449" s="785">
        <v>42271</v>
      </c>
      <c r="H449" s="886">
        <v>9</v>
      </c>
      <c r="I449" s="891">
        <v>242.589</v>
      </c>
      <c r="J449" s="530">
        <v>860.17700000000002</v>
      </c>
      <c r="K449" s="786">
        <v>71</v>
      </c>
      <c r="L449" s="787">
        <v>36</v>
      </c>
      <c r="M449" s="786">
        <v>2</v>
      </c>
      <c r="N449" s="981" t="s">
        <v>590</v>
      </c>
      <c r="O449" s="1286" t="s">
        <v>227</v>
      </c>
      <c r="P449" s="787">
        <v>4</v>
      </c>
      <c r="Q449" s="530">
        <v>158.26400000000001</v>
      </c>
      <c r="R449" s="911">
        <v>17</v>
      </c>
      <c r="S449" s="912"/>
      <c r="T449" s="1264"/>
      <c r="U449" s="1261"/>
    </row>
    <row r="450" spans="1:21" ht="14.25" customHeight="1" thickTop="1" thickBot="1">
      <c r="A450" s="1244"/>
      <c r="B450" s="1249" t="s">
        <v>1104</v>
      </c>
      <c r="C450" s="1285" t="s">
        <v>2069</v>
      </c>
      <c r="D450" s="1285" t="s">
        <v>3470</v>
      </c>
      <c r="E450" s="1249" t="s">
        <v>3510</v>
      </c>
      <c r="F450" s="1249" t="s">
        <v>561</v>
      </c>
      <c r="G450" s="785">
        <v>42520</v>
      </c>
      <c r="H450" s="886">
        <v>1</v>
      </c>
      <c r="I450" s="891"/>
      <c r="J450" s="530">
        <v>21.167999999999999</v>
      </c>
      <c r="K450" s="786">
        <v>1</v>
      </c>
      <c r="L450" s="787">
        <v>6</v>
      </c>
      <c r="M450" s="786">
        <v>1</v>
      </c>
      <c r="N450" s="981" t="s">
        <v>590</v>
      </c>
      <c r="O450" s="1286" t="s">
        <v>227</v>
      </c>
      <c r="P450" s="787">
        <v>2</v>
      </c>
      <c r="Q450" s="530">
        <v>21.167999999999999</v>
      </c>
      <c r="R450" s="911">
        <v>1</v>
      </c>
      <c r="S450" s="912"/>
      <c r="T450" s="1264"/>
      <c r="U450" s="1261"/>
    </row>
    <row r="451" spans="1:21" ht="14.25" customHeight="1" thickTop="1" thickBot="1">
      <c r="A451" s="1244"/>
      <c r="B451" s="1249" t="s">
        <v>905</v>
      </c>
      <c r="C451" s="1285" t="s">
        <v>227</v>
      </c>
      <c r="D451" s="1285" t="s">
        <v>708</v>
      </c>
      <c r="E451" s="1249" t="s">
        <v>725</v>
      </c>
      <c r="F451" s="1249" t="s">
        <v>720</v>
      </c>
      <c r="G451" s="785">
        <v>41781</v>
      </c>
      <c r="H451" s="886">
        <v>25</v>
      </c>
      <c r="I451" s="891">
        <v>13.096</v>
      </c>
      <c r="J451" s="530">
        <v>1601.577</v>
      </c>
      <c r="K451" s="786">
        <v>16</v>
      </c>
      <c r="L451" s="787">
        <v>6</v>
      </c>
      <c r="M451" s="786">
        <v>0</v>
      </c>
      <c r="N451" s="981" t="s">
        <v>590</v>
      </c>
      <c r="O451" s="1286" t="s">
        <v>227</v>
      </c>
      <c r="P451" s="787">
        <v>0</v>
      </c>
      <c r="Q451" s="530"/>
      <c r="R451" s="911">
        <v>0</v>
      </c>
      <c r="S451" s="912"/>
      <c r="T451" s="1264"/>
      <c r="U451" s="1261"/>
    </row>
    <row r="452" spans="1:21" ht="14.25" customHeight="1" thickTop="1" thickBot="1">
      <c r="A452" s="1244"/>
      <c r="B452" s="1249" t="s">
        <v>905</v>
      </c>
      <c r="C452" s="1285" t="s">
        <v>227</v>
      </c>
      <c r="D452" s="1285" t="s">
        <v>944</v>
      </c>
      <c r="E452" s="1249" t="s">
        <v>2340</v>
      </c>
      <c r="F452" s="1249" t="s">
        <v>945</v>
      </c>
      <c r="G452" s="785">
        <v>41928</v>
      </c>
      <c r="H452" s="886">
        <v>20</v>
      </c>
      <c r="I452" s="891">
        <v>685.86500000000001</v>
      </c>
      <c r="J452" s="530">
        <v>1382.6</v>
      </c>
      <c r="K452" s="786">
        <v>42</v>
      </c>
      <c r="L452" s="787">
        <v>21</v>
      </c>
      <c r="M452" s="786">
        <v>1</v>
      </c>
      <c r="N452" s="981" t="s">
        <v>590</v>
      </c>
      <c r="O452" s="1286" t="s">
        <v>227</v>
      </c>
      <c r="P452" s="787">
        <v>5</v>
      </c>
      <c r="Q452" s="530"/>
      <c r="R452" s="911">
        <v>0</v>
      </c>
      <c r="S452" s="912"/>
      <c r="T452" s="1264"/>
      <c r="U452" s="1261"/>
    </row>
    <row r="453" spans="1:21" ht="14.25" customHeight="1" thickTop="1" thickBot="1">
      <c r="A453" s="1244"/>
      <c r="B453" s="1249" t="s">
        <v>905</v>
      </c>
      <c r="C453" s="1285" t="s">
        <v>227</v>
      </c>
      <c r="D453" s="1285" t="s">
        <v>1046</v>
      </c>
      <c r="E453" s="1249" t="s">
        <v>1047</v>
      </c>
      <c r="F453" s="1249" t="s">
        <v>838</v>
      </c>
      <c r="G453" s="785">
        <v>41996</v>
      </c>
      <c r="H453" s="886">
        <v>18</v>
      </c>
      <c r="I453" s="891">
        <v>92.721000000000004</v>
      </c>
      <c r="J453" s="530">
        <v>2078.3760000000002</v>
      </c>
      <c r="K453" s="786">
        <v>45</v>
      </c>
      <c r="L453" s="787">
        <v>7</v>
      </c>
      <c r="M453" s="786">
        <v>1</v>
      </c>
      <c r="N453" s="981" t="s">
        <v>590</v>
      </c>
      <c r="O453" s="1286" t="s">
        <v>227</v>
      </c>
      <c r="P453" s="787">
        <v>0</v>
      </c>
      <c r="Q453" s="530">
        <v>50.512</v>
      </c>
      <c r="R453" s="911">
        <v>0</v>
      </c>
      <c r="S453" s="912"/>
      <c r="T453" s="1264"/>
      <c r="U453" s="1261"/>
    </row>
    <row r="454" spans="1:21" ht="14.25" customHeight="1" thickTop="1" thickBot="1">
      <c r="A454" s="1244"/>
      <c r="B454" s="1249" t="s">
        <v>648</v>
      </c>
      <c r="C454" s="1285" t="s">
        <v>227</v>
      </c>
      <c r="D454" s="1285" t="s">
        <v>1048</v>
      </c>
      <c r="E454" s="1249" t="s">
        <v>1049</v>
      </c>
      <c r="F454" s="1249" t="s">
        <v>1050</v>
      </c>
      <c r="G454" s="785">
        <v>41989</v>
      </c>
      <c r="H454" s="886">
        <v>18</v>
      </c>
      <c r="I454" s="891">
        <v>99.405000000000001</v>
      </c>
      <c r="J454" s="530">
        <v>449.63499999999999</v>
      </c>
      <c r="K454" s="786">
        <v>25</v>
      </c>
      <c r="L454" s="787">
        <v>8</v>
      </c>
      <c r="M454" s="786">
        <v>2</v>
      </c>
      <c r="N454" s="981" t="s">
        <v>369</v>
      </c>
      <c r="O454" s="1286" t="s">
        <v>227</v>
      </c>
      <c r="P454" s="787">
        <v>0</v>
      </c>
      <c r="Q454" s="530">
        <v>29.385999999999999</v>
      </c>
      <c r="R454" s="911">
        <v>2</v>
      </c>
      <c r="S454" s="912"/>
      <c r="T454" s="1264"/>
      <c r="U454" s="1261"/>
    </row>
    <row r="455" spans="1:21" ht="14.25" customHeight="1" thickTop="1" thickBot="1">
      <c r="A455" s="1244"/>
      <c r="B455" s="1249" t="s">
        <v>648</v>
      </c>
      <c r="C455" s="1285" t="s">
        <v>709</v>
      </c>
      <c r="D455" s="1285" t="s">
        <v>813</v>
      </c>
      <c r="E455" s="1249" t="s">
        <v>814</v>
      </c>
      <c r="F455" s="1249" t="s">
        <v>815</v>
      </c>
      <c r="G455" s="785">
        <v>41842</v>
      </c>
      <c r="H455" s="886">
        <v>23</v>
      </c>
      <c r="I455" s="891">
        <v>220.24</v>
      </c>
      <c r="J455" s="530">
        <v>1144.963</v>
      </c>
      <c r="K455" s="786">
        <v>69</v>
      </c>
      <c r="L455" s="787">
        <v>14</v>
      </c>
      <c r="M455" s="786">
        <v>0</v>
      </c>
      <c r="N455" s="981" t="s">
        <v>590</v>
      </c>
      <c r="O455" s="1286" t="s">
        <v>227</v>
      </c>
      <c r="P455" s="787">
        <v>1</v>
      </c>
      <c r="Q455" s="530">
        <v>66.986999999999995</v>
      </c>
      <c r="R455" s="911">
        <v>2</v>
      </c>
      <c r="S455" s="912"/>
      <c r="T455" s="1264"/>
      <c r="U455" s="1261"/>
    </row>
    <row r="456" spans="1:21" ht="14.25" customHeight="1" thickTop="1" thickBot="1">
      <c r="A456" s="1244"/>
      <c r="B456" s="1249" t="s">
        <v>648</v>
      </c>
      <c r="C456" s="1285" t="s">
        <v>709</v>
      </c>
      <c r="D456" s="1285" t="s">
        <v>821</v>
      </c>
      <c r="E456" s="1249" t="s">
        <v>1902</v>
      </c>
      <c r="F456" s="1249" t="s">
        <v>822</v>
      </c>
      <c r="G456" s="785">
        <v>41845</v>
      </c>
      <c r="H456" s="886">
        <v>23</v>
      </c>
      <c r="I456" s="891">
        <v>352.13749999999999</v>
      </c>
      <c r="J456" s="530">
        <v>558.71349999999995</v>
      </c>
      <c r="K456" s="786">
        <v>23</v>
      </c>
      <c r="L456" s="787">
        <v>20</v>
      </c>
      <c r="M456" s="786">
        <v>2</v>
      </c>
      <c r="N456" s="981" t="s">
        <v>369</v>
      </c>
      <c r="O456" s="1286" t="s">
        <v>227</v>
      </c>
      <c r="P456" s="787">
        <v>1</v>
      </c>
      <c r="Q456" s="530">
        <v>3.4365999999999999</v>
      </c>
      <c r="R456" s="911">
        <v>0</v>
      </c>
      <c r="S456" s="912"/>
      <c r="T456" s="1264"/>
      <c r="U456" s="1261"/>
    </row>
    <row r="457" spans="1:21" ht="14.25" customHeight="1" thickTop="1" thickBot="1">
      <c r="A457" s="1244"/>
      <c r="B457" s="1249" t="s">
        <v>648</v>
      </c>
      <c r="C457" s="1285" t="s">
        <v>709</v>
      </c>
      <c r="D457" s="1285" t="s">
        <v>1415</v>
      </c>
      <c r="E457" s="1249" t="s">
        <v>2117</v>
      </c>
      <c r="F457" s="1249" t="s">
        <v>1416</v>
      </c>
      <c r="G457" s="785">
        <v>42089</v>
      </c>
      <c r="H457" s="886">
        <v>15</v>
      </c>
      <c r="I457" s="891">
        <v>337.81299999999999</v>
      </c>
      <c r="J457" s="530">
        <v>863.70899999999995</v>
      </c>
      <c r="K457" s="786">
        <v>53</v>
      </c>
      <c r="L457" s="787">
        <v>12</v>
      </c>
      <c r="M457" s="786">
        <v>1</v>
      </c>
      <c r="N457" s="981" t="s">
        <v>590</v>
      </c>
      <c r="O457" s="1286" t="s">
        <v>227</v>
      </c>
      <c r="P457" s="787">
        <v>1</v>
      </c>
      <c r="Q457" s="530">
        <v>56.591999999999999</v>
      </c>
      <c r="R457" s="911">
        <v>1</v>
      </c>
      <c r="S457" s="912"/>
      <c r="T457" s="1264"/>
      <c r="U457" s="1261"/>
    </row>
    <row r="458" spans="1:21" ht="14.25" customHeight="1" thickTop="1" thickBot="1">
      <c r="A458" s="1244"/>
      <c r="B458" s="1249" t="s">
        <v>648</v>
      </c>
      <c r="C458" s="1285" t="s">
        <v>709</v>
      </c>
      <c r="D458" s="1285" t="s">
        <v>2469</v>
      </c>
      <c r="E458" s="1249" t="s">
        <v>2470</v>
      </c>
      <c r="F458" s="1249" t="s">
        <v>2471</v>
      </c>
      <c r="G458" s="785">
        <v>42349</v>
      </c>
      <c r="H458" s="886">
        <v>7</v>
      </c>
      <c r="I458" s="891">
        <v>474.834</v>
      </c>
      <c r="J458" s="530">
        <v>483.38</v>
      </c>
      <c r="K458" s="786">
        <v>24</v>
      </c>
      <c r="L458" s="787">
        <v>17</v>
      </c>
      <c r="M458" s="786">
        <v>2</v>
      </c>
      <c r="N458" s="981" t="s">
        <v>590</v>
      </c>
      <c r="O458" s="1286" t="s">
        <v>227</v>
      </c>
      <c r="P458" s="787">
        <v>2</v>
      </c>
      <c r="Q458" s="530">
        <v>48.448</v>
      </c>
      <c r="R458" s="911">
        <v>1</v>
      </c>
      <c r="S458" s="912"/>
      <c r="T458" s="1264"/>
      <c r="U458" s="1261"/>
    </row>
    <row r="459" spans="1:21" ht="14.25" customHeight="1" thickTop="1" thickBot="1">
      <c r="A459" s="1244"/>
      <c r="B459" s="1249" t="s">
        <v>648</v>
      </c>
      <c r="C459" s="1285" t="s">
        <v>3217</v>
      </c>
      <c r="D459" s="1285" t="s">
        <v>3473</v>
      </c>
      <c r="E459" s="1249" t="s">
        <v>3511</v>
      </c>
      <c r="F459" s="1249" t="s">
        <v>3474</v>
      </c>
      <c r="G459" s="785">
        <v>42496</v>
      </c>
      <c r="H459" s="886">
        <v>2</v>
      </c>
      <c r="I459" s="891">
        <v>10.688000000000001</v>
      </c>
      <c r="J459" s="530"/>
      <c r="K459" s="786">
        <v>2</v>
      </c>
      <c r="L459" s="787">
        <v>7</v>
      </c>
      <c r="M459" s="786">
        <v>1</v>
      </c>
      <c r="N459" s="981" t="s">
        <v>332</v>
      </c>
      <c r="O459" s="1286" t="s">
        <v>227</v>
      </c>
      <c r="P459" s="787">
        <v>1</v>
      </c>
      <c r="Q459" s="530"/>
      <c r="R459" s="911">
        <v>0</v>
      </c>
      <c r="S459" s="912"/>
      <c r="T459" s="1264"/>
      <c r="U459" s="1261"/>
    </row>
    <row r="460" spans="1:21" ht="14.25" customHeight="1" thickTop="1" thickBot="1">
      <c r="A460" s="1244"/>
      <c r="B460" s="1249" t="s">
        <v>648</v>
      </c>
      <c r="C460" s="1285" t="s">
        <v>3220</v>
      </c>
      <c r="D460" s="1285" t="s">
        <v>3477</v>
      </c>
      <c r="E460" s="1249" t="s">
        <v>3512</v>
      </c>
      <c r="F460" s="1249" t="s">
        <v>3478</v>
      </c>
      <c r="G460" s="785">
        <v>42496</v>
      </c>
      <c r="H460" s="886">
        <v>2</v>
      </c>
      <c r="I460" s="891">
        <v>19.683</v>
      </c>
      <c r="J460" s="530">
        <v>28.163</v>
      </c>
      <c r="K460" s="786">
        <v>4</v>
      </c>
      <c r="L460" s="787">
        <v>7</v>
      </c>
      <c r="M460" s="786">
        <v>2</v>
      </c>
      <c r="N460" s="981" t="s">
        <v>332</v>
      </c>
      <c r="O460" s="1286" t="s">
        <v>227</v>
      </c>
      <c r="P460" s="787">
        <v>2</v>
      </c>
      <c r="Q460" s="530">
        <v>28.163</v>
      </c>
      <c r="R460" s="911">
        <v>2</v>
      </c>
      <c r="S460" s="912"/>
      <c r="T460" s="1264"/>
      <c r="U460" s="1261"/>
    </row>
    <row r="461" spans="1:21" ht="14.25" customHeight="1" thickTop="1" thickBot="1">
      <c r="A461" s="1244"/>
      <c r="B461" s="1249" t="s">
        <v>648</v>
      </c>
      <c r="C461" s="1285" t="s">
        <v>3220</v>
      </c>
      <c r="D461" s="1285" t="s">
        <v>3721</v>
      </c>
      <c r="E461" s="1249" t="s">
        <v>3722</v>
      </c>
      <c r="F461" s="1249" t="s">
        <v>3167</v>
      </c>
      <c r="G461" s="785">
        <v>42548</v>
      </c>
      <c r="H461" s="886">
        <v>0</v>
      </c>
      <c r="I461" s="891"/>
      <c r="J461" s="530"/>
      <c r="K461" s="786">
        <v>0</v>
      </c>
      <c r="L461" s="787">
        <v>6</v>
      </c>
      <c r="M461" s="786">
        <v>1</v>
      </c>
      <c r="N461" s="981" t="s">
        <v>227</v>
      </c>
      <c r="O461" s="1286" t="s">
        <v>227</v>
      </c>
      <c r="P461" s="787">
        <v>3</v>
      </c>
      <c r="Q461" s="530"/>
      <c r="R461" s="911">
        <v>0</v>
      </c>
      <c r="S461" s="912"/>
      <c r="T461" s="1264"/>
      <c r="U461" s="1261"/>
    </row>
    <row r="462" spans="1:21" ht="14.25" customHeight="1" thickTop="1" thickBot="1">
      <c r="A462" s="1244"/>
      <c r="B462" s="1245"/>
      <c r="C462" s="1799"/>
      <c r="D462" s="1799"/>
      <c r="E462" s="1800"/>
      <c r="F462" s="1800"/>
      <c r="G462" s="1801"/>
      <c r="H462" s="1802"/>
      <c r="I462" s="1803"/>
      <c r="J462" s="1804"/>
      <c r="K462" s="1804"/>
      <c r="L462" s="1804"/>
      <c r="M462" s="1804"/>
      <c r="N462" s="1805"/>
      <c r="O462" s="1288"/>
      <c r="P462" s="1804"/>
      <c r="Q462" s="1804"/>
      <c r="R462" s="1804"/>
      <c r="S462" s="1804"/>
      <c r="T462" s="1264"/>
      <c r="U462" s="1261"/>
    </row>
    <row r="463" spans="1:21" ht="14.25" customHeight="1" thickTop="1" thickBot="1">
      <c r="A463" s="1244"/>
      <c r="B463" s="1245"/>
      <c r="C463" s="1799"/>
      <c r="D463" s="1799"/>
      <c r="E463" s="1800"/>
      <c r="F463" s="1800"/>
      <c r="G463" s="1801"/>
      <c r="H463" s="1802"/>
      <c r="I463" s="1803"/>
      <c r="J463" s="1804"/>
      <c r="K463" s="1804"/>
      <c r="L463" s="1804"/>
      <c r="M463" s="1804"/>
      <c r="N463" s="1805"/>
      <c r="O463" s="1288"/>
      <c r="P463" s="1804"/>
      <c r="Q463" s="1804"/>
      <c r="R463" s="1804"/>
      <c r="S463" s="1804"/>
      <c r="T463" s="1264"/>
      <c r="U463" s="1261"/>
    </row>
    <row r="464" spans="1:21" ht="14.25" customHeight="1" thickTop="1" thickBot="1">
      <c r="A464" s="1244"/>
      <c r="B464" s="1245"/>
      <c r="C464" s="1799"/>
      <c r="D464" s="1799"/>
      <c r="E464" s="1800"/>
      <c r="F464" s="1800"/>
      <c r="G464" s="1801"/>
      <c r="H464" s="1802"/>
      <c r="I464" s="1803"/>
      <c r="J464" s="1804"/>
      <c r="K464" s="1804"/>
      <c r="L464" s="1804"/>
      <c r="M464" s="1804"/>
      <c r="N464" s="1805"/>
      <c r="O464" s="1288"/>
      <c r="P464" s="1804"/>
      <c r="Q464" s="1804"/>
      <c r="R464" s="1804"/>
      <c r="S464" s="1804"/>
      <c r="T464" s="1264"/>
      <c r="U464" s="1261"/>
    </row>
    <row r="465" spans="1:22" ht="16.5" customHeight="1" thickTop="1" thickBot="1">
      <c r="A465" s="1244"/>
      <c r="B465" s="1245"/>
      <c r="C465" s="1244"/>
      <c r="F465" s="1016"/>
      <c r="H465" s="1100"/>
    </row>
    <row r="466" spans="1:22" ht="15" customHeight="1" thickTop="1">
      <c r="A466" s="1244"/>
      <c r="B466" s="1244" t="s">
        <v>393</v>
      </c>
      <c r="C466" s="1244" t="s">
        <v>393</v>
      </c>
      <c r="F466" s="1016"/>
      <c r="H466" s="1100"/>
    </row>
    <row r="467" spans="1:22" ht="19.5" thickBot="1">
      <c r="A467" s="1244"/>
      <c r="B467" s="1244" t="s">
        <v>393</v>
      </c>
      <c r="C467" s="1263" t="s">
        <v>496</v>
      </c>
      <c r="D467" s="1264"/>
      <c r="E467" s="1289" t="s">
        <v>640</v>
      </c>
      <c r="F467" s="875">
        <f>IFERROR(SUBTOTAL(9, $U$469:$U$1006) / SUBTOTAL(9, $V$469:$V$1006),"")</f>
        <v>0.45196506550218341</v>
      </c>
      <c r="G467" s="1290"/>
      <c r="I467" s="1291" t="s">
        <v>589</v>
      </c>
      <c r="J467" s="1267"/>
      <c r="K467" s="1292"/>
      <c r="L467" s="1293"/>
      <c r="M467" s="1293"/>
      <c r="N467" s="1293"/>
      <c r="O467" s="1735">
        <f>P184</f>
        <v>42947</v>
      </c>
      <c r="P467" s="1738" t="str">
        <f>Q184</f>
        <v>'s Performance</v>
      </c>
      <c r="Q467" s="1294"/>
      <c r="R467" s="1294"/>
      <c r="S467" s="1295"/>
      <c r="T467" s="1296"/>
      <c r="U467" s="1261"/>
      <c r="V467" s="1261"/>
    </row>
    <row r="468" spans="1:22" ht="61.5" thickTop="1" thickBot="1">
      <c r="A468" s="1244" t="s">
        <v>15</v>
      </c>
      <c r="B468" s="1297" t="s">
        <v>267</v>
      </c>
      <c r="C468" s="2399" t="s">
        <v>331</v>
      </c>
      <c r="D468" s="2400"/>
      <c r="E468" s="1297" t="s">
        <v>269</v>
      </c>
      <c r="F468" s="1297" t="s">
        <v>270</v>
      </c>
      <c r="G468" s="1297" t="s">
        <v>364</v>
      </c>
      <c r="H468" s="887" t="s">
        <v>69</v>
      </c>
      <c r="I468" s="1298" t="s">
        <v>319</v>
      </c>
      <c r="J468" s="1299" t="s">
        <v>303</v>
      </c>
      <c r="K468" s="1300" t="s">
        <v>353</v>
      </c>
      <c r="L468" s="1301" t="s">
        <v>320</v>
      </c>
      <c r="M468" s="612" t="s">
        <v>351</v>
      </c>
      <c r="N468" s="1302"/>
      <c r="O468" s="1298" t="s">
        <v>365</v>
      </c>
      <c r="P468" s="1299" t="s">
        <v>2</v>
      </c>
      <c r="Q468" s="1299" t="s">
        <v>309</v>
      </c>
      <c r="R468" s="1299" t="s">
        <v>78</v>
      </c>
      <c r="S468" s="613" t="s">
        <v>352</v>
      </c>
      <c r="U468" s="1303" t="s">
        <v>639</v>
      </c>
      <c r="V468" s="1303" t="s">
        <v>427</v>
      </c>
    </row>
    <row r="469" spans="1:22" ht="16.5" thickTop="1" thickBot="1">
      <c r="A469" s="1244" t="s">
        <v>135</v>
      </c>
      <c r="B469" s="1249" t="s">
        <v>1563</v>
      </c>
      <c r="C469" s="1329" t="s">
        <v>1426</v>
      </c>
      <c r="D469" s="1326" t="s">
        <v>227</v>
      </c>
      <c r="E469" s="1249" t="s">
        <v>1454</v>
      </c>
      <c r="F469" s="455" t="s">
        <v>1455</v>
      </c>
      <c r="G469" s="456" t="s">
        <v>157</v>
      </c>
      <c r="H469" s="889">
        <v>14</v>
      </c>
      <c r="I469" s="891">
        <v>215.952</v>
      </c>
      <c r="J469" s="601">
        <v>1022.734</v>
      </c>
      <c r="K469" s="602">
        <v>0.43636363636363634</v>
      </c>
      <c r="L469" s="981">
        <v>8</v>
      </c>
      <c r="M469" s="1249" t="s">
        <v>323</v>
      </c>
      <c r="N469" s="604" t="s">
        <v>227</v>
      </c>
      <c r="O469" s="465">
        <v>1</v>
      </c>
      <c r="P469" s="435">
        <v>44.9</v>
      </c>
      <c r="Q469" s="435">
        <v>3</v>
      </c>
      <c r="R469" s="401">
        <v>3</v>
      </c>
      <c r="S469" s="466">
        <v>0.4</v>
      </c>
      <c r="U469" s="1248">
        <f t="shared" ref="U469:U487" si="0">IF(M469="U_200",1,0)</f>
        <v>0</v>
      </c>
      <c r="V469" s="1304">
        <f t="shared" ref="V469:V487" si="1">IF(G469&lt;&gt;"US",1,0)</f>
        <v>1</v>
      </c>
    </row>
    <row r="470" spans="1:22" ht="16.5" thickTop="1" thickBot="1">
      <c r="A470" s="1244" t="s">
        <v>135</v>
      </c>
      <c r="B470" s="1245" t="s">
        <v>1563</v>
      </c>
      <c r="C470" s="1328" t="s">
        <v>1426</v>
      </c>
      <c r="D470" s="1327" t="s">
        <v>227</v>
      </c>
      <c r="E470" s="1245" t="s">
        <v>1426</v>
      </c>
      <c r="F470" s="457" t="s">
        <v>1428</v>
      </c>
      <c r="G470" s="458" t="s">
        <v>158</v>
      </c>
      <c r="H470" s="888">
        <v>14</v>
      </c>
      <c r="I470" s="890">
        <v>260.79599999999999</v>
      </c>
      <c r="J470" s="899">
        <v>532.92600000000004</v>
      </c>
      <c r="K470" s="603">
        <v>0.23448275862068965</v>
      </c>
      <c r="L470" s="980">
        <v>7</v>
      </c>
      <c r="M470" s="1245" t="s">
        <v>323</v>
      </c>
      <c r="N470" s="604" t="s">
        <v>227</v>
      </c>
      <c r="O470" s="463"/>
      <c r="P470" s="434"/>
      <c r="Q470" s="434"/>
      <c r="R470" s="400">
        <v>0</v>
      </c>
      <c r="S470" s="464">
        <v>0</v>
      </c>
      <c r="U470" s="1248">
        <f t="shared" si="0"/>
        <v>0</v>
      </c>
      <c r="V470" s="1304">
        <f t="shared" si="1"/>
        <v>1</v>
      </c>
    </row>
    <row r="471" spans="1:22" ht="16.5" thickTop="1" thickBot="1">
      <c r="A471" s="1244" t="s">
        <v>135</v>
      </c>
      <c r="B471" s="1249" t="s">
        <v>1563</v>
      </c>
      <c r="C471" s="1329" t="s">
        <v>1426</v>
      </c>
      <c r="D471" s="1326" t="s">
        <v>227</v>
      </c>
      <c r="E471" s="1249" t="s">
        <v>1456</v>
      </c>
      <c r="F471" s="455" t="s">
        <v>1457</v>
      </c>
      <c r="G471" s="456" t="s">
        <v>157</v>
      </c>
      <c r="H471" s="889">
        <v>14</v>
      </c>
      <c r="I471" s="891">
        <v>257.96699999999998</v>
      </c>
      <c r="J471" s="601">
        <v>296.85899999999998</v>
      </c>
      <c r="K471" s="602">
        <v>0.32</v>
      </c>
      <c r="L471" s="981">
        <v>6</v>
      </c>
      <c r="M471" s="1249" t="s">
        <v>321</v>
      </c>
      <c r="N471" s="604" t="s">
        <v>227</v>
      </c>
      <c r="O471" s="465">
        <v>3</v>
      </c>
      <c r="P471" s="435">
        <v>63.161000000000001</v>
      </c>
      <c r="Q471" s="435">
        <v>4</v>
      </c>
      <c r="R471" s="401">
        <v>4</v>
      </c>
      <c r="S471" s="466">
        <v>0.72727272727272729</v>
      </c>
      <c r="U471" s="1248">
        <f t="shared" si="0"/>
        <v>0</v>
      </c>
      <c r="V471" s="1304">
        <f t="shared" si="1"/>
        <v>1</v>
      </c>
    </row>
    <row r="472" spans="1:22" ht="16.5" thickTop="1" thickBot="1">
      <c r="A472" s="1244" t="s">
        <v>135</v>
      </c>
      <c r="B472" s="1245" t="s">
        <v>1563</v>
      </c>
      <c r="C472" s="1328" t="s">
        <v>1426</v>
      </c>
      <c r="D472" s="1327" t="s">
        <v>227</v>
      </c>
      <c r="E472" s="1245" t="s">
        <v>1611</v>
      </c>
      <c r="F472" s="457" t="s">
        <v>1612</v>
      </c>
      <c r="G472" s="458" t="s">
        <v>157</v>
      </c>
      <c r="H472" s="888">
        <v>13</v>
      </c>
      <c r="I472" s="890">
        <v>217.97399999999999</v>
      </c>
      <c r="J472" s="899">
        <v>612.94299999999998</v>
      </c>
      <c r="K472" s="603">
        <v>0.375</v>
      </c>
      <c r="L472" s="980">
        <v>4</v>
      </c>
      <c r="M472" s="1245" t="s">
        <v>323</v>
      </c>
      <c r="N472" s="604" t="s">
        <v>227</v>
      </c>
      <c r="O472" s="463">
        <v>1</v>
      </c>
      <c r="P472" s="434">
        <v>47.811</v>
      </c>
      <c r="Q472" s="434">
        <v>3</v>
      </c>
      <c r="R472" s="400">
        <v>2</v>
      </c>
      <c r="S472" s="464">
        <v>0.44444444444444442</v>
      </c>
      <c r="U472" s="1248">
        <f t="shared" si="0"/>
        <v>0</v>
      </c>
      <c r="V472" s="1304">
        <f t="shared" si="1"/>
        <v>1</v>
      </c>
    </row>
    <row r="473" spans="1:22" ht="16.5" thickTop="1" thickBot="1">
      <c r="A473" s="1244" t="s">
        <v>135</v>
      </c>
      <c r="B473" s="1249" t="s">
        <v>1563</v>
      </c>
      <c r="C473" s="1329" t="s">
        <v>1426</v>
      </c>
      <c r="D473" s="1326" t="s">
        <v>227</v>
      </c>
      <c r="E473" s="1249" t="s">
        <v>1713</v>
      </c>
      <c r="F473" s="455" t="s">
        <v>1714</v>
      </c>
      <c r="G473" s="456" t="s">
        <v>156</v>
      </c>
      <c r="H473" s="889">
        <v>13</v>
      </c>
      <c r="I473" s="891">
        <v>84.043999999999997</v>
      </c>
      <c r="J473" s="601">
        <v>163.86099999999999</v>
      </c>
      <c r="K473" s="602">
        <v>0.11920529801324503</v>
      </c>
      <c r="L473" s="981">
        <v>6</v>
      </c>
      <c r="M473" s="1249" t="s">
        <v>366</v>
      </c>
      <c r="N473" s="604" t="s">
        <v>227</v>
      </c>
      <c r="O473" s="465"/>
      <c r="P473" s="435">
        <v>30.756</v>
      </c>
      <c r="Q473" s="435">
        <v>1</v>
      </c>
      <c r="R473" s="401">
        <v>1</v>
      </c>
      <c r="S473" s="466">
        <v>0.14285714285714285</v>
      </c>
      <c r="U473" s="1248">
        <f t="shared" si="0"/>
        <v>1</v>
      </c>
      <c r="V473" s="1304">
        <f t="shared" si="1"/>
        <v>1</v>
      </c>
    </row>
    <row r="474" spans="1:22" ht="16.5" thickTop="1" thickBot="1">
      <c r="A474" s="1244" t="s">
        <v>135</v>
      </c>
      <c r="B474" s="1245" t="s">
        <v>1563</v>
      </c>
      <c r="C474" s="1328" t="s">
        <v>1426</v>
      </c>
      <c r="D474" s="1327" t="s">
        <v>227</v>
      </c>
      <c r="E474" s="1245" t="s">
        <v>1715</v>
      </c>
      <c r="F474" s="457" t="s">
        <v>1716</v>
      </c>
      <c r="G474" s="458" t="s">
        <v>156</v>
      </c>
      <c r="H474" s="888">
        <v>12</v>
      </c>
      <c r="I474" s="890">
        <v>10.336</v>
      </c>
      <c r="J474" s="899">
        <v>10.336</v>
      </c>
      <c r="K474" s="603">
        <v>6.4516129032258063E-2</v>
      </c>
      <c r="L474" s="980">
        <v>1</v>
      </c>
      <c r="M474" s="1245" t="s">
        <v>366</v>
      </c>
      <c r="N474" s="604" t="s">
        <v>227</v>
      </c>
      <c r="O474" s="463"/>
      <c r="P474" s="434"/>
      <c r="Q474" s="434"/>
      <c r="R474" s="400">
        <v>0</v>
      </c>
      <c r="S474" s="464">
        <v>0</v>
      </c>
      <c r="U474" s="1248">
        <f t="shared" si="0"/>
        <v>1</v>
      </c>
      <c r="V474" s="1304">
        <f t="shared" si="1"/>
        <v>1</v>
      </c>
    </row>
    <row r="475" spans="1:22" ht="16.5" thickTop="1" thickBot="1">
      <c r="A475" s="1244" t="s">
        <v>135</v>
      </c>
      <c r="B475" s="1249" t="s">
        <v>1563</v>
      </c>
      <c r="C475" s="1329" t="s">
        <v>1426</v>
      </c>
      <c r="D475" s="1326" t="s">
        <v>227</v>
      </c>
      <c r="E475" s="1249" t="s">
        <v>1903</v>
      </c>
      <c r="F475" s="455" t="s">
        <v>1904</v>
      </c>
      <c r="G475" s="456" t="s">
        <v>156</v>
      </c>
      <c r="H475" s="889">
        <v>11</v>
      </c>
      <c r="I475" s="891">
        <v>77.421999999999997</v>
      </c>
      <c r="J475" s="601">
        <v>435.755</v>
      </c>
      <c r="K475" s="602">
        <v>0.35616438356164382</v>
      </c>
      <c r="L475" s="981">
        <v>5</v>
      </c>
      <c r="M475" s="1249" t="s">
        <v>323</v>
      </c>
      <c r="N475" s="604" t="s">
        <v>227</v>
      </c>
      <c r="O475" s="465">
        <v>1</v>
      </c>
      <c r="P475" s="435">
        <v>50.069000000000003</v>
      </c>
      <c r="Q475" s="435">
        <v>5</v>
      </c>
      <c r="R475" s="401">
        <v>4</v>
      </c>
      <c r="S475" s="466">
        <v>0.8</v>
      </c>
      <c r="U475" s="1248">
        <f t="shared" si="0"/>
        <v>0</v>
      </c>
      <c r="V475" s="1304">
        <f t="shared" si="1"/>
        <v>1</v>
      </c>
    </row>
    <row r="476" spans="1:22" ht="16.5" thickTop="1" thickBot="1">
      <c r="A476" s="1244" t="s">
        <v>135</v>
      </c>
      <c r="B476" s="1245" t="s">
        <v>1563</v>
      </c>
      <c r="C476" s="1328" t="s">
        <v>1426</v>
      </c>
      <c r="D476" s="1327" t="s">
        <v>227</v>
      </c>
      <c r="E476" s="1245" t="s">
        <v>2341</v>
      </c>
      <c r="F476" s="457" t="s">
        <v>2342</v>
      </c>
      <c r="G476" s="458" t="s">
        <v>156</v>
      </c>
      <c r="H476" s="888">
        <v>8</v>
      </c>
      <c r="I476" s="890">
        <v>366.01100000000002</v>
      </c>
      <c r="J476" s="899">
        <v>128.11099999999999</v>
      </c>
      <c r="K476" s="603">
        <v>0.22950819672131148</v>
      </c>
      <c r="L476" s="980">
        <v>3</v>
      </c>
      <c r="M476" s="1245" t="s">
        <v>322</v>
      </c>
      <c r="N476" s="604" t="s">
        <v>227</v>
      </c>
      <c r="O476" s="463"/>
      <c r="P476" s="434">
        <v>7.7729999999999997</v>
      </c>
      <c r="Q476" s="434">
        <v>1</v>
      </c>
      <c r="R476" s="400">
        <v>1</v>
      </c>
      <c r="S476" s="464">
        <v>0.25</v>
      </c>
      <c r="U476" s="1248">
        <f t="shared" si="0"/>
        <v>0</v>
      </c>
      <c r="V476" s="1304">
        <f t="shared" si="1"/>
        <v>1</v>
      </c>
    </row>
    <row r="477" spans="1:22" ht="16.5" thickTop="1" thickBot="1">
      <c r="A477" s="1244" t="s">
        <v>135</v>
      </c>
      <c r="B477" s="1249" t="s">
        <v>1563</v>
      </c>
      <c r="C477" s="1329" t="s">
        <v>1426</v>
      </c>
      <c r="D477" s="1326" t="s">
        <v>227</v>
      </c>
      <c r="E477" s="1249" t="s">
        <v>2472</v>
      </c>
      <c r="F477" s="455" t="s">
        <v>2473</v>
      </c>
      <c r="G477" s="456" t="s">
        <v>155</v>
      </c>
      <c r="H477" s="889"/>
      <c r="I477" s="891"/>
      <c r="J477" s="601">
        <v>110.68600000000001</v>
      </c>
      <c r="K477" s="602">
        <v>0.2</v>
      </c>
      <c r="L477" s="981">
        <v>5</v>
      </c>
      <c r="M477" s="1249" t="s">
        <v>366</v>
      </c>
      <c r="N477" s="604" t="s">
        <v>227</v>
      </c>
      <c r="O477" s="465"/>
      <c r="P477" s="435">
        <v>31.387</v>
      </c>
      <c r="Q477" s="435">
        <v>2</v>
      </c>
      <c r="R477" s="401">
        <v>1</v>
      </c>
      <c r="S477" s="466">
        <v>0.2</v>
      </c>
      <c r="U477" s="1248">
        <f t="shared" si="0"/>
        <v>1</v>
      </c>
      <c r="V477" s="1304">
        <f t="shared" si="1"/>
        <v>0</v>
      </c>
    </row>
    <row r="478" spans="1:22" ht="16.5" thickTop="1" thickBot="1">
      <c r="A478" s="1244" t="s">
        <v>135</v>
      </c>
      <c r="B478" s="1245" t="s">
        <v>1563</v>
      </c>
      <c r="C478" s="1328" t="s">
        <v>1426</v>
      </c>
      <c r="D478" s="1327" t="s">
        <v>227</v>
      </c>
      <c r="E478" s="1245" t="s">
        <v>2474</v>
      </c>
      <c r="F478" s="457" t="s">
        <v>2475</v>
      </c>
      <c r="G478" s="458" t="s">
        <v>156</v>
      </c>
      <c r="H478" s="888">
        <v>7</v>
      </c>
      <c r="I478" s="890">
        <v>253.97300000000001</v>
      </c>
      <c r="J478" s="899">
        <v>849.42899999999997</v>
      </c>
      <c r="K478" s="603">
        <v>0.30303030303030304</v>
      </c>
      <c r="L478" s="980">
        <v>5</v>
      </c>
      <c r="M478" s="1245" t="s">
        <v>323</v>
      </c>
      <c r="N478" s="604" t="s">
        <v>227</v>
      </c>
      <c r="O478" s="463"/>
      <c r="P478" s="434">
        <v>199.42099999999999</v>
      </c>
      <c r="Q478" s="434">
        <v>14</v>
      </c>
      <c r="R478" s="400">
        <v>3</v>
      </c>
      <c r="S478" s="464">
        <v>0.42857142857142855</v>
      </c>
      <c r="U478" s="1248">
        <f t="shared" si="0"/>
        <v>0</v>
      </c>
      <c r="V478" s="1304">
        <f t="shared" si="1"/>
        <v>1</v>
      </c>
    </row>
    <row r="479" spans="1:22" ht="16.5" thickTop="1" thickBot="1">
      <c r="A479" s="1244" t="s">
        <v>135</v>
      </c>
      <c r="B479" s="1249" t="s">
        <v>1563</v>
      </c>
      <c r="C479" s="1329" t="s">
        <v>1426</v>
      </c>
      <c r="D479" s="1326" t="s">
        <v>227</v>
      </c>
      <c r="E479" s="1249" t="s">
        <v>2669</v>
      </c>
      <c r="F479" s="455" t="s">
        <v>2670</v>
      </c>
      <c r="G479" s="456" t="s">
        <v>155</v>
      </c>
      <c r="H479" s="889"/>
      <c r="I479" s="891"/>
      <c r="J479" s="601">
        <v>51.338000000000001</v>
      </c>
      <c r="K479" s="602">
        <v>0.14814814814814814</v>
      </c>
      <c r="L479" s="981">
        <v>3</v>
      </c>
      <c r="M479" s="1249" t="s">
        <v>366</v>
      </c>
      <c r="N479" s="604" t="s">
        <v>227</v>
      </c>
      <c r="O479" s="465"/>
      <c r="P479" s="435"/>
      <c r="Q479" s="435"/>
      <c r="R479" s="401">
        <v>0</v>
      </c>
      <c r="S479" s="466">
        <v>0</v>
      </c>
      <c r="U479" s="1248">
        <f t="shared" si="0"/>
        <v>1</v>
      </c>
      <c r="V479" s="1304">
        <f t="shared" si="1"/>
        <v>0</v>
      </c>
    </row>
    <row r="480" spans="1:22" ht="16.5" thickTop="1" thickBot="1">
      <c r="A480" s="1244" t="s">
        <v>135</v>
      </c>
      <c r="B480" s="1245" t="s">
        <v>1563</v>
      </c>
      <c r="C480" s="1328" t="s">
        <v>1426</v>
      </c>
      <c r="D480" s="1327" t="s">
        <v>227</v>
      </c>
      <c r="E480" s="1245" t="s">
        <v>2671</v>
      </c>
      <c r="F480" s="457" t="s">
        <v>2672</v>
      </c>
      <c r="G480" s="458" t="s">
        <v>156</v>
      </c>
      <c r="H480" s="888">
        <v>4</v>
      </c>
      <c r="I480" s="890">
        <v>154.77099999999999</v>
      </c>
      <c r="J480" s="899">
        <v>321.30700000000002</v>
      </c>
      <c r="K480" s="603">
        <v>0.34375</v>
      </c>
      <c r="L480" s="980">
        <v>9</v>
      </c>
      <c r="M480" s="1245" t="s">
        <v>323</v>
      </c>
      <c r="N480" s="604" t="s">
        <v>227</v>
      </c>
      <c r="O480" s="463">
        <v>1</v>
      </c>
      <c r="P480" s="434">
        <v>34.304000000000002</v>
      </c>
      <c r="Q480" s="434">
        <v>3</v>
      </c>
      <c r="R480" s="400">
        <v>3</v>
      </c>
      <c r="S480" s="464">
        <v>0.35294117647058826</v>
      </c>
      <c r="U480" s="1248">
        <f t="shared" si="0"/>
        <v>0</v>
      </c>
      <c r="V480" s="1304">
        <f t="shared" si="1"/>
        <v>1</v>
      </c>
    </row>
    <row r="481" spans="1:22" ht="16.5" thickTop="1" thickBot="1">
      <c r="A481" s="1244" t="s">
        <v>135</v>
      </c>
      <c r="B481" s="1249" t="s">
        <v>1563</v>
      </c>
      <c r="C481" s="1329" t="s">
        <v>1426</v>
      </c>
      <c r="D481" s="1326" t="s">
        <v>227</v>
      </c>
      <c r="E481" s="1249" t="s">
        <v>2973</v>
      </c>
      <c r="F481" s="455" t="s">
        <v>2974</v>
      </c>
      <c r="G481" s="456" t="s">
        <v>155</v>
      </c>
      <c r="H481" s="889"/>
      <c r="I481" s="891"/>
      <c r="J481" s="601">
        <v>21.181000000000001</v>
      </c>
      <c r="K481" s="602">
        <v>0.30769230769230771</v>
      </c>
      <c r="L481" s="981">
        <v>3</v>
      </c>
      <c r="M481" s="1249" t="s">
        <v>366</v>
      </c>
      <c r="N481" s="604" t="s">
        <v>227</v>
      </c>
      <c r="O481" s="465">
        <v>1</v>
      </c>
      <c r="P481" s="435">
        <v>21.181000000000001</v>
      </c>
      <c r="Q481" s="435">
        <v>2</v>
      </c>
      <c r="R481" s="401">
        <v>2</v>
      </c>
      <c r="S481" s="466">
        <v>0.8</v>
      </c>
      <c r="U481" s="1248">
        <f t="shared" si="0"/>
        <v>1</v>
      </c>
      <c r="V481" s="1304">
        <f t="shared" si="1"/>
        <v>0</v>
      </c>
    </row>
    <row r="482" spans="1:22" ht="16.5" thickTop="1" thickBot="1">
      <c r="A482" s="1244" t="s">
        <v>135</v>
      </c>
      <c r="B482" s="1245" t="s">
        <v>1563</v>
      </c>
      <c r="C482" s="1328" t="s">
        <v>1426</v>
      </c>
      <c r="D482" s="1327" t="s">
        <v>227</v>
      </c>
      <c r="E482" s="1245" t="s">
        <v>2975</v>
      </c>
      <c r="F482" s="457" t="s">
        <v>2976</v>
      </c>
      <c r="G482" s="458" t="s">
        <v>155</v>
      </c>
      <c r="H482" s="888"/>
      <c r="I482" s="890"/>
      <c r="J482" s="899">
        <v>13.186</v>
      </c>
      <c r="K482" s="603">
        <v>0.1111111111111111</v>
      </c>
      <c r="L482" s="980">
        <v>3</v>
      </c>
      <c r="M482" s="1245" t="s">
        <v>366</v>
      </c>
      <c r="N482" s="604" t="s">
        <v>227</v>
      </c>
      <c r="O482" s="463"/>
      <c r="P482" s="434"/>
      <c r="Q482" s="434"/>
      <c r="R482" s="400">
        <v>0</v>
      </c>
      <c r="S482" s="464">
        <v>0</v>
      </c>
      <c r="U482" s="1248">
        <f t="shared" si="0"/>
        <v>1</v>
      </c>
      <c r="V482" s="1304">
        <f t="shared" si="1"/>
        <v>0</v>
      </c>
    </row>
    <row r="483" spans="1:22" ht="16.5" thickTop="1" thickBot="1">
      <c r="A483" s="1244" t="s">
        <v>135</v>
      </c>
      <c r="B483" s="1249" t="s">
        <v>1563</v>
      </c>
      <c r="C483" s="1329" t="s">
        <v>1426</v>
      </c>
      <c r="D483" s="1326" t="s">
        <v>227</v>
      </c>
      <c r="E483" s="1249" t="s">
        <v>2977</v>
      </c>
      <c r="F483" s="455" t="s">
        <v>2978</v>
      </c>
      <c r="G483" s="456" t="s">
        <v>155</v>
      </c>
      <c r="H483" s="889"/>
      <c r="I483" s="891"/>
      <c r="J483" s="601">
        <v>31.007000000000001</v>
      </c>
      <c r="K483" s="602">
        <v>0.17391304347826086</v>
      </c>
      <c r="L483" s="981">
        <v>5</v>
      </c>
      <c r="M483" s="1249" t="s">
        <v>366</v>
      </c>
      <c r="N483" s="604" t="s">
        <v>227</v>
      </c>
      <c r="O483" s="465">
        <v>1</v>
      </c>
      <c r="P483" s="435">
        <v>15.478</v>
      </c>
      <c r="Q483" s="435">
        <v>1</v>
      </c>
      <c r="R483" s="401">
        <v>1</v>
      </c>
      <c r="S483" s="466">
        <v>0.22222222222222221</v>
      </c>
      <c r="U483" s="1248">
        <f t="shared" si="0"/>
        <v>1</v>
      </c>
      <c r="V483" s="1304">
        <f t="shared" si="1"/>
        <v>0</v>
      </c>
    </row>
    <row r="484" spans="1:22" ht="16.5" thickTop="1" thickBot="1">
      <c r="A484" s="1244" t="s">
        <v>135</v>
      </c>
      <c r="B484" s="1245" t="s">
        <v>1099</v>
      </c>
      <c r="C484" s="1328" t="s">
        <v>1016</v>
      </c>
      <c r="D484" s="1327" t="s">
        <v>227</v>
      </c>
      <c r="E484" s="1245" t="s">
        <v>1016</v>
      </c>
      <c r="F484" s="457" t="s">
        <v>1018</v>
      </c>
      <c r="G484" s="458" t="s">
        <v>739</v>
      </c>
      <c r="H484" s="888">
        <v>19</v>
      </c>
      <c r="I484" s="890">
        <v>967.97699999999998</v>
      </c>
      <c r="J484" s="899">
        <v>1012.438</v>
      </c>
      <c r="K484" s="603">
        <v>0.34883720930232559</v>
      </c>
      <c r="L484" s="980">
        <v>6</v>
      </c>
      <c r="M484" s="1245" t="s">
        <v>323</v>
      </c>
      <c r="N484" s="604" t="s">
        <v>227</v>
      </c>
      <c r="O484" s="463"/>
      <c r="P484" s="434">
        <v>42.31</v>
      </c>
      <c r="Q484" s="434">
        <v>3</v>
      </c>
      <c r="R484" s="400">
        <v>2</v>
      </c>
      <c r="S484" s="464">
        <v>0.2857142857142857</v>
      </c>
      <c r="U484" s="1248">
        <f t="shared" si="0"/>
        <v>0</v>
      </c>
      <c r="V484" s="1304">
        <f t="shared" si="1"/>
        <v>1</v>
      </c>
    </row>
    <row r="485" spans="1:22" ht="16.5" thickTop="1" thickBot="1">
      <c r="A485" s="1244" t="s">
        <v>135</v>
      </c>
      <c r="B485" s="1249" t="s">
        <v>1099</v>
      </c>
      <c r="C485" s="1329" t="s">
        <v>1016</v>
      </c>
      <c r="D485" s="1326" t="s">
        <v>227</v>
      </c>
      <c r="E485" s="1249" t="s">
        <v>1051</v>
      </c>
      <c r="F485" s="455" t="s">
        <v>1052</v>
      </c>
      <c r="G485" s="456" t="s">
        <v>156</v>
      </c>
      <c r="H485" s="889">
        <v>19</v>
      </c>
      <c r="I485" s="891">
        <v>107.65</v>
      </c>
      <c r="J485" s="601">
        <v>264.61200000000002</v>
      </c>
      <c r="K485" s="602">
        <v>0.34</v>
      </c>
      <c r="L485" s="981">
        <v>3</v>
      </c>
      <c r="M485" s="1249" t="s">
        <v>322</v>
      </c>
      <c r="N485" s="604" t="s">
        <v>227</v>
      </c>
      <c r="O485" s="465"/>
      <c r="P485" s="435">
        <v>33.85</v>
      </c>
      <c r="Q485" s="435">
        <v>2</v>
      </c>
      <c r="R485" s="401">
        <v>1</v>
      </c>
      <c r="S485" s="466">
        <v>0.33333333333333331</v>
      </c>
      <c r="U485" s="1248">
        <f t="shared" si="0"/>
        <v>0</v>
      </c>
      <c r="V485" s="1304">
        <f t="shared" si="1"/>
        <v>1</v>
      </c>
    </row>
    <row r="486" spans="1:22" ht="16.5" thickTop="1" thickBot="1">
      <c r="A486" s="1244" t="s">
        <v>135</v>
      </c>
      <c r="B486" s="1245" t="s">
        <v>1099</v>
      </c>
      <c r="C486" s="1328" t="s">
        <v>1016</v>
      </c>
      <c r="D486" s="1327" t="s">
        <v>227</v>
      </c>
      <c r="E486" s="1245" t="s">
        <v>1389</v>
      </c>
      <c r="F486" s="457" t="s">
        <v>1390</v>
      </c>
      <c r="G486" s="458" t="s">
        <v>156</v>
      </c>
      <c r="H486" s="888">
        <v>15</v>
      </c>
      <c r="I486" s="890">
        <v>36.631999999999998</v>
      </c>
      <c r="J486" s="899">
        <v>173.66</v>
      </c>
      <c r="K486" s="603">
        <v>0.20952380952380953</v>
      </c>
      <c r="L486" s="980">
        <v>4</v>
      </c>
      <c r="M486" s="1245" t="s">
        <v>366</v>
      </c>
      <c r="N486" s="604" t="s">
        <v>227</v>
      </c>
      <c r="O486" s="463"/>
      <c r="P486" s="434">
        <v>47.112000000000002</v>
      </c>
      <c r="Q486" s="434">
        <v>3</v>
      </c>
      <c r="R486" s="400">
        <v>2</v>
      </c>
      <c r="S486" s="464">
        <v>0.44444444444444442</v>
      </c>
      <c r="U486" s="1248">
        <f t="shared" si="0"/>
        <v>1</v>
      </c>
      <c r="V486" s="1304">
        <f t="shared" si="1"/>
        <v>1</v>
      </c>
    </row>
    <row r="487" spans="1:22" ht="16.5" thickTop="1" thickBot="1">
      <c r="A487" s="1244" t="s">
        <v>135</v>
      </c>
      <c r="B487" s="1249" t="s">
        <v>1099</v>
      </c>
      <c r="C487" s="1329" t="s">
        <v>1016</v>
      </c>
      <c r="D487" s="1326" t="s">
        <v>227</v>
      </c>
      <c r="E487" s="1249" t="s">
        <v>1213</v>
      </c>
      <c r="F487" s="455" t="s">
        <v>1214</v>
      </c>
      <c r="G487" s="456" t="s">
        <v>157</v>
      </c>
      <c r="H487" s="889">
        <v>17</v>
      </c>
      <c r="I487" s="891"/>
      <c r="J487" s="601">
        <v>196.69399999999999</v>
      </c>
      <c r="K487" s="602">
        <v>0.14035087719298245</v>
      </c>
      <c r="L487" s="981">
        <v>2</v>
      </c>
      <c r="M487" s="1249" t="s">
        <v>366</v>
      </c>
      <c r="N487" s="604" t="s">
        <v>227</v>
      </c>
      <c r="O487" s="465"/>
      <c r="P487" s="435"/>
      <c r="Q487" s="435"/>
      <c r="R487" s="401">
        <v>0</v>
      </c>
      <c r="S487" s="466">
        <v>0</v>
      </c>
      <c r="U487" s="1248">
        <f t="shared" si="0"/>
        <v>1</v>
      </c>
      <c r="V487" s="1304">
        <f t="shared" si="1"/>
        <v>1</v>
      </c>
    </row>
    <row r="488" spans="1:22" ht="16.5" thickTop="1" thickBot="1">
      <c r="A488" s="1244" t="s">
        <v>135</v>
      </c>
      <c r="B488" s="1245" t="s">
        <v>1099</v>
      </c>
      <c r="C488" s="1328" t="s">
        <v>1016</v>
      </c>
      <c r="D488" s="1327" t="s">
        <v>227</v>
      </c>
      <c r="E488" s="1245" t="s">
        <v>1458</v>
      </c>
      <c r="F488" s="457" t="s">
        <v>1459</v>
      </c>
      <c r="G488" s="458" t="s">
        <v>157</v>
      </c>
      <c r="H488" s="888">
        <v>14</v>
      </c>
      <c r="I488" s="890">
        <v>12.473000000000001</v>
      </c>
      <c r="J488" s="899">
        <v>28.283000000000001</v>
      </c>
      <c r="K488" s="603">
        <v>7.6923076923076927E-2</v>
      </c>
      <c r="L488" s="980">
        <v>4</v>
      </c>
      <c r="M488" s="1245" t="s">
        <v>366</v>
      </c>
      <c r="N488" s="604" t="s">
        <v>227</v>
      </c>
      <c r="O488" s="463"/>
      <c r="P488" s="434">
        <v>12.473000000000001</v>
      </c>
      <c r="Q488" s="434">
        <v>1</v>
      </c>
      <c r="R488" s="400">
        <v>1</v>
      </c>
      <c r="S488" s="464">
        <v>0.25</v>
      </c>
      <c r="U488" s="1248">
        <f t="shared" ref="U488:U551" si="2">IF(M488="U_200",1,0)</f>
        <v>1</v>
      </c>
      <c r="V488" s="1304">
        <f t="shared" ref="V488:V551" si="3">IF(G488&lt;&gt;"US",1,0)</f>
        <v>1</v>
      </c>
    </row>
    <row r="489" spans="1:22" ht="16.5" thickTop="1" thickBot="1">
      <c r="A489" s="1244" t="s">
        <v>135</v>
      </c>
      <c r="B489" s="1249" t="s">
        <v>1099</v>
      </c>
      <c r="C489" s="1329" t="s">
        <v>1016</v>
      </c>
      <c r="D489" s="1326" t="s">
        <v>227</v>
      </c>
      <c r="E489" s="1249" t="s">
        <v>1460</v>
      </c>
      <c r="F489" s="455" t="s">
        <v>1461</v>
      </c>
      <c r="G489" s="456" t="s">
        <v>156</v>
      </c>
      <c r="H489" s="889">
        <v>14</v>
      </c>
      <c r="I489" s="891">
        <v>129.25899999999999</v>
      </c>
      <c r="J489" s="601">
        <v>292.25700000000001</v>
      </c>
      <c r="K489" s="602">
        <v>0.37777777777777777</v>
      </c>
      <c r="L489" s="981">
        <v>4</v>
      </c>
      <c r="M489" s="1249" t="s">
        <v>321</v>
      </c>
      <c r="N489" s="604" t="s">
        <v>227</v>
      </c>
      <c r="O489" s="465"/>
      <c r="P489" s="435">
        <v>53.982999999999997</v>
      </c>
      <c r="Q489" s="435">
        <v>4</v>
      </c>
      <c r="R489" s="401">
        <v>3</v>
      </c>
      <c r="S489" s="466">
        <v>0.75</v>
      </c>
      <c r="U489" s="1248">
        <f t="shared" si="2"/>
        <v>0</v>
      </c>
      <c r="V489" s="1304">
        <f t="shared" si="3"/>
        <v>1</v>
      </c>
    </row>
    <row r="490" spans="1:22" ht="16.5" thickTop="1" thickBot="1">
      <c r="A490" s="1244" t="s">
        <v>135</v>
      </c>
      <c r="B490" s="1245" t="s">
        <v>1099</v>
      </c>
      <c r="C490" s="1328" t="s">
        <v>1016</v>
      </c>
      <c r="D490" s="1327" t="s">
        <v>227</v>
      </c>
      <c r="E490" s="1245" t="s">
        <v>2118</v>
      </c>
      <c r="F490" s="457" t="s">
        <v>2119</v>
      </c>
      <c r="G490" s="458" t="s">
        <v>155</v>
      </c>
      <c r="H490" s="888"/>
      <c r="I490" s="890"/>
      <c r="J490" s="899">
        <v>93.975999999999999</v>
      </c>
      <c r="K490" s="603">
        <v>0.20408163265306123</v>
      </c>
      <c r="L490" s="980">
        <v>4</v>
      </c>
      <c r="M490" s="1245" t="s">
        <v>366</v>
      </c>
      <c r="N490" s="604" t="s">
        <v>227</v>
      </c>
      <c r="O490" s="463"/>
      <c r="P490" s="434"/>
      <c r="Q490" s="434"/>
      <c r="R490" s="400">
        <v>0</v>
      </c>
      <c r="S490" s="464">
        <v>0</v>
      </c>
      <c r="U490" s="1248">
        <f t="shared" si="2"/>
        <v>1</v>
      </c>
      <c r="V490" s="1304">
        <f t="shared" si="3"/>
        <v>0</v>
      </c>
    </row>
    <row r="491" spans="1:22" ht="16.5" thickTop="1" thickBot="1">
      <c r="A491" s="1244" t="s">
        <v>135</v>
      </c>
      <c r="B491" s="1249" t="s">
        <v>1099</v>
      </c>
      <c r="C491" s="1329" t="s">
        <v>1016</v>
      </c>
      <c r="D491" s="1326" t="s">
        <v>227</v>
      </c>
      <c r="E491" s="1249" t="s">
        <v>2343</v>
      </c>
      <c r="F491" s="455" t="s">
        <v>2344</v>
      </c>
      <c r="G491" s="456" t="s">
        <v>156</v>
      </c>
      <c r="H491" s="889">
        <v>7</v>
      </c>
      <c r="I491" s="891">
        <v>213.55099999999999</v>
      </c>
      <c r="J491" s="601">
        <v>218.64099999999999</v>
      </c>
      <c r="K491" s="602">
        <v>0.25</v>
      </c>
      <c r="L491" s="981">
        <v>8</v>
      </c>
      <c r="M491" s="1249" t="s">
        <v>323</v>
      </c>
      <c r="N491" s="604" t="s">
        <v>227</v>
      </c>
      <c r="O491" s="465"/>
      <c r="P491" s="435">
        <v>12.772</v>
      </c>
      <c r="Q491" s="435">
        <v>1</v>
      </c>
      <c r="R491" s="401">
        <v>1</v>
      </c>
      <c r="S491" s="466">
        <v>0.1111111111111111</v>
      </c>
      <c r="U491" s="1248">
        <f t="shared" si="2"/>
        <v>0</v>
      </c>
      <c r="V491" s="1304">
        <f t="shared" si="3"/>
        <v>1</v>
      </c>
    </row>
    <row r="492" spans="1:22" ht="16.5" thickTop="1" thickBot="1">
      <c r="A492" s="1244" t="s">
        <v>135</v>
      </c>
      <c r="B492" s="1245" t="s">
        <v>1099</v>
      </c>
      <c r="C492" s="1328" t="s">
        <v>1019</v>
      </c>
      <c r="D492" s="1327" t="s">
        <v>227</v>
      </c>
      <c r="E492" s="1245" t="s">
        <v>1019</v>
      </c>
      <c r="F492" s="457" t="s">
        <v>1021</v>
      </c>
      <c r="G492" s="458" t="s">
        <v>158</v>
      </c>
      <c r="H492" s="888">
        <v>19</v>
      </c>
      <c r="I492" s="890">
        <v>242.697</v>
      </c>
      <c r="J492" s="899">
        <v>395.935</v>
      </c>
      <c r="K492" s="603">
        <v>0.27083333333333331</v>
      </c>
      <c r="L492" s="980">
        <v>3</v>
      </c>
      <c r="M492" s="1245" t="s">
        <v>321</v>
      </c>
      <c r="N492" s="604" t="s">
        <v>227</v>
      </c>
      <c r="O492" s="463"/>
      <c r="P492" s="434">
        <v>19.343</v>
      </c>
      <c r="Q492" s="434">
        <v>6</v>
      </c>
      <c r="R492" s="400">
        <v>1</v>
      </c>
      <c r="S492" s="464">
        <v>0.25</v>
      </c>
      <c r="U492" s="1248">
        <f t="shared" si="2"/>
        <v>0</v>
      </c>
      <c r="V492" s="1304">
        <f t="shared" si="3"/>
        <v>1</v>
      </c>
    </row>
    <row r="493" spans="1:22" ht="16.5" thickTop="1" thickBot="1">
      <c r="A493" s="1244" t="s">
        <v>135</v>
      </c>
      <c r="B493" s="1249" t="s">
        <v>1099</v>
      </c>
      <c r="C493" s="1329" t="s">
        <v>1019</v>
      </c>
      <c r="D493" s="1326" t="s">
        <v>227</v>
      </c>
      <c r="E493" s="1249" t="s">
        <v>1053</v>
      </c>
      <c r="F493" s="455" t="s">
        <v>1054</v>
      </c>
      <c r="G493" s="456" t="s">
        <v>156</v>
      </c>
      <c r="H493" s="889">
        <v>19</v>
      </c>
      <c r="I493" s="891">
        <v>66.540000000000006</v>
      </c>
      <c r="J493" s="601">
        <v>116.456</v>
      </c>
      <c r="K493" s="602">
        <v>0.24615384615384617</v>
      </c>
      <c r="L493" s="981">
        <v>2</v>
      </c>
      <c r="M493" s="1249" t="s">
        <v>366</v>
      </c>
      <c r="N493" s="604" t="s">
        <v>227</v>
      </c>
      <c r="O493" s="465"/>
      <c r="P493" s="435">
        <v>14.667999999999999</v>
      </c>
      <c r="Q493" s="435">
        <v>1</v>
      </c>
      <c r="R493" s="401">
        <v>1</v>
      </c>
      <c r="S493" s="466">
        <v>0.5</v>
      </c>
      <c r="U493" s="1248">
        <f t="shared" si="2"/>
        <v>1</v>
      </c>
      <c r="V493" s="1304">
        <f t="shared" si="3"/>
        <v>1</v>
      </c>
    </row>
    <row r="494" spans="1:22" ht="16.5" thickTop="1" thickBot="1">
      <c r="A494" s="1244" t="s">
        <v>135</v>
      </c>
      <c r="B494" s="1245" t="s">
        <v>1099</v>
      </c>
      <c r="C494" s="1328" t="s">
        <v>1019</v>
      </c>
      <c r="D494" s="1327" t="s">
        <v>227</v>
      </c>
      <c r="E494" s="1245" t="s">
        <v>1031</v>
      </c>
      <c r="F494" s="457" t="s">
        <v>1033</v>
      </c>
      <c r="G494" s="458" t="s">
        <v>157</v>
      </c>
      <c r="H494" s="888">
        <v>19</v>
      </c>
      <c r="I494" s="890">
        <v>705.59100000000001</v>
      </c>
      <c r="J494" s="899">
        <v>817.50699999999995</v>
      </c>
      <c r="K494" s="603">
        <v>0.30630630630630629</v>
      </c>
      <c r="L494" s="980">
        <v>3</v>
      </c>
      <c r="M494" s="1245" t="s">
        <v>323</v>
      </c>
      <c r="N494" s="604" t="s">
        <v>227</v>
      </c>
      <c r="O494" s="463"/>
      <c r="P494" s="434">
        <v>95.647000000000006</v>
      </c>
      <c r="Q494" s="434">
        <v>2</v>
      </c>
      <c r="R494" s="400">
        <v>1</v>
      </c>
      <c r="S494" s="464">
        <v>0.25</v>
      </c>
      <c r="U494" s="1248">
        <f t="shared" si="2"/>
        <v>0</v>
      </c>
      <c r="V494" s="1304">
        <f t="shared" si="3"/>
        <v>1</v>
      </c>
    </row>
    <row r="495" spans="1:22" ht="16.5" thickTop="1" thickBot="1">
      <c r="A495" s="1244" t="s">
        <v>135</v>
      </c>
      <c r="B495" s="1249" t="s">
        <v>1099</v>
      </c>
      <c r="C495" s="1329" t="s">
        <v>1019</v>
      </c>
      <c r="D495" s="1326" t="s">
        <v>227</v>
      </c>
      <c r="E495" s="1249" t="s">
        <v>1055</v>
      </c>
      <c r="F495" s="455" t="s">
        <v>1034</v>
      </c>
      <c r="G495" s="456" t="s">
        <v>156</v>
      </c>
      <c r="H495" s="889">
        <v>19</v>
      </c>
      <c r="I495" s="891">
        <v>469.726</v>
      </c>
      <c r="J495" s="601">
        <v>532.94200000000001</v>
      </c>
      <c r="K495" s="602">
        <v>0.3</v>
      </c>
      <c r="L495" s="981">
        <v>3</v>
      </c>
      <c r="M495" s="1249" t="s">
        <v>323</v>
      </c>
      <c r="N495" s="604" t="s">
        <v>227</v>
      </c>
      <c r="O495" s="465"/>
      <c r="P495" s="435">
        <v>0</v>
      </c>
      <c r="Q495" s="435"/>
      <c r="R495" s="401">
        <v>0</v>
      </c>
      <c r="S495" s="466">
        <v>0</v>
      </c>
      <c r="U495" s="1248">
        <f t="shared" si="2"/>
        <v>0</v>
      </c>
      <c r="V495" s="1304">
        <f t="shared" si="3"/>
        <v>1</v>
      </c>
    </row>
    <row r="496" spans="1:22" ht="16.5" thickTop="1" thickBot="1">
      <c r="A496" s="1244" t="s">
        <v>135</v>
      </c>
      <c r="B496" s="1245" t="s">
        <v>1099</v>
      </c>
      <c r="C496" s="1328" t="s">
        <v>1019</v>
      </c>
      <c r="D496" s="1327" t="s">
        <v>227</v>
      </c>
      <c r="E496" s="1245" t="s">
        <v>1215</v>
      </c>
      <c r="F496" s="457" t="s">
        <v>1216</v>
      </c>
      <c r="G496" s="458" t="s">
        <v>157</v>
      </c>
      <c r="H496" s="888">
        <v>18</v>
      </c>
      <c r="I496" s="890">
        <v>908.68600000000004</v>
      </c>
      <c r="J496" s="899">
        <v>1403.45</v>
      </c>
      <c r="K496" s="603">
        <v>0.28440366972477066</v>
      </c>
      <c r="L496" s="980">
        <v>10</v>
      </c>
      <c r="M496" s="1245" t="s">
        <v>323</v>
      </c>
      <c r="N496" s="604" t="s">
        <v>227</v>
      </c>
      <c r="O496" s="463"/>
      <c r="P496" s="434">
        <v>55.445</v>
      </c>
      <c r="Q496" s="434">
        <v>4</v>
      </c>
      <c r="R496" s="400">
        <v>2</v>
      </c>
      <c r="S496" s="464">
        <v>0.18181818181818182</v>
      </c>
      <c r="U496" s="1248">
        <f t="shared" si="2"/>
        <v>0</v>
      </c>
      <c r="V496" s="1304">
        <f t="shared" si="3"/>
        <v>1</v>
      </c>
    </row>
    <row r="497" spans="1:22" ht="16.5" thickTop="1" thickBot="1">
      <c r="A497" s="1244" t="s">
        <v>135</v>
      </c>
      <c r="B497" s="1249" t="s">
        <v>1099</v>
      </c>
      <c r="C497" s="1329" t="s">
        <v>1019</v>
      </c>
      <c r="D497" s="1326" t="s">
        <v>227</v>
      </c>
      <c r="E497" s="1249" t="s">
        <v>1462</v>
      </c>
      <c r="F497" s="455" t="s">
        <v>1463</v>
      </c>
      <c r="G497" s="456" t="s">
        <v>156</v>
      </c>
      <c r="H497" s="889">
        <v>14</v>
      </c>
      <c r="I497" s="891">
        <v>304.315</v>
      </c>
      <c r="J497" s="601">
        <v>597.226</v>
      </c>
      <c r="K497" s="602">
        <v>0.28930817610062892</v>
      </c>
      <c r="L497" s="981">
        <v>7</v>
      </c>
      <c r="M497" s="1249" t="s">
        <v>323</v>
      </c>
      <c r="N497" s="604" t="s">
        <v>227</v>
      </c>
      <c r="O497" s="465"/>
      <c r="P497" s="435">
        <v>22.907</v>
      </c>
      <c r="Q497" s="435">
        <v>2</v>
      </c>
      <c r="R497" s="401">
        <v>2</v>
      </c>
      <c r="S497" s="466">
        <v>0.25</v>
      </c>
      <c r="U497" s="1248">
        <f t="shared" si="2"/>
        <v>0</v>
      </c>
      <c r="V497" s="1304">
        <f t="shared" si="3"/>
        <v>1</v>
      </c>
    </row>
    <row r="498" spans="1:22" ht="16.5" thickTop="1" thickBot="1">
      <c r="A498" s="1244" t="s">
        <v>135</v>
      </c>
      <c r="B498" s="1245" t="s">
        <v>1099</v>
      </c>
      <c r="C498" s="1328" t="s">
        <v>1019</v>
      </c>
      <c r="D498" s="1327" t="s">
        <v>227</v>
      </c>
      <c r="E498" s="1245" t="s">
        <v>2120</v>
      </c>
      <c r="F498" s="457" t="s">
        <v>2121</v>
      </c>
      <c r="G498" s="458" t="s">
        <v>156</v>
      </c>
      <c r="H498" s="888">
        <v>9</v>
      </c>
      <c r="I498" s="890">
        <v>11.162000000000001</v>
      </c>
      <c r="J498" s="899">
        <v>132.86600000000001</v>
      </c>
      <c r="K498" s="603">
        <v>0.29508196721311475</v>
      </c>
      <c r="L498" s="980">
        <v>3</v>
      </c>
      <c r="M498" s="1245" t="s">
        <v>322</v>
      </c>
      <c r="N498" s="604" t="s">
        <v>227</v>
      </c>
      <c r="O498" s="463"/>
      <c r="P498" s="434">
        <v>3.49</v>
      </c>
      <c r="Q498" s="434">
        <v>1</v>
      </c>
      <c r="R498" s="400">
        <v>1</v>
      </c>
      <c r="S498" s="464">
        <v>0.33333333333333331</v>
      </c>
      <c r="U498" s="1248">
        <f t="shared" si="2"/>
        <v>0</v>
      </c>
      <c r="V498" s="1304">
        <f t="shared" si="3"/>
        <v>1</v>
      </c>
    </row>
    <row r="499" spans="1:22" ht="16.5" thickTop="1" thickBot="1">
      <c r="A499" s="1244" t="s">
        <v>135</v>
      </c>
      <c r="B499" s="1249" t="s">
        <v>1099</v>
      </c>
      <c r="C499" s="1329" t="s">
        <v>1019</v>
      </c>
      <c r="D499" s="1326" t="s">
        <v>227</v>
      </c>
      <c r="E499" s="1249" t="s">
        <v>2345</v>
      </c>
      <c r="F499" s="455" t="s">
        <v>2346</v>
      </c>
      <c r="G499" s="456" t="s">
        <v>155</v>
      </c>
      <c r="H499" s="889"/>
      <c r="I499" s="891"/>
      <c r="J499" s="601">
        <v>125.532</v>
      </c>
      <c r="K499" s="602">
        <v>0.21052631578947367</v>
      </c>
      <c r="L499" s="981">
        <v>1</v>
      </c>
      <c r="M499" s="1249" t="s">
        <v>366</v>
      </c>
      <c r="N499" s="604" t="s">
        <v>227</v>
      </c>
      <c r="O499" s="465"/>
      <c r="P499" s="435"/>
      <c r="Q499" s="435"/>
      <c r="R499" s="401">
        <v>0</v>
      </c>
      <c r="S499" s="466">
        <v>0</v>
      </c>
      <c r="U499" s="1248">
        <f t="shared" si="2"/>
        <v>1</v>
      </c>
      <c r="V499" s="1304">
        <f t="shared" si="3"/>
        <v>0</v>
      </c>
    </row>
    <row r="500" spans="1:22" ht="16.5" thickTop="1" thickBot="1">
      <c r="A500" s="1244" t="s">
        <v>135</v>
      </c>
      <c r="B500" s="1245" t="s">
        <v>1099</v>
      </c>
      <c r="C500" s="1328" t="s">
        <v>1019</v>
      </c>
      <c r="D500" s="1327" t="s">
        <v>227</v>
      </c>
      <c r="E500" s="1245" t="s">
        <v>2443</v>
      </c>
      <c r="F500" s="457" t="s">
        <v>2445</v>
      </c>
      <c r="G500" s="458" t="s">
        <v>157</v>
      </c>
      <c r="H500" s="888">
        <v>6</v>
      </c>
      <c r="I500" s="890">
        <v>80.162999999999997</v>
      </c>
      <c r="J500" s="899">
        <v>103.42700000000001</v>
      </c>
      <c r="K500" s="603">
        <v>0.3888888888888889</v>
      </c>
      <c r="L500" s="980">
        <v>2</v>
      </c>
      <c r="M500" s="1245" t="s">
        <v>322</v>
      </c>
      <c r="N500" s="604" t="s">
        <v>227</v>
      </c>
      <c r="O500" s="463"/>
      <c r="P500" s="434">
        <v>17.07</v>
      </c>
      <c r="Q500" s="434">
        <v>1</v>
      </c>
      <c r="R500" s="400">
        <v>1</v>
      </c>
      <c r="S500" s="464">
        <v>0.4</v>
      </c>
      <c r="U500" s="1248">
        <f t="shared" si="2"/>
        <v>0</v>
      </c>
      <c r="V500" s="1304">
        <f t="shared" si="3"/>
        <v>1</v>
      </c>
    </row>
    <row r="501" spans="1:22" ht="16.5" thickTop="1" thickBot="1">
      <c r="A501" s="1244" t="s">
        <v>135</v>
      </c>
      <c r="B501" s="1249" t="s">
        <v>1099</v>
      </c>
      <c r="C501" s="1329" t="s">
        <v>1019</v>
      </c>
      <c r="D501" s="1326" t="s">
        <v>227</v>
      </c>
      <c r="E501" s="1249" t="s">
        <v>2476</v>
      </c>
      <c r="F501" s="455" t="s">
        <v>2477</v>
      </c>
      <c r="G501" s="456" t="s">
        <v>156</v>
      </c>
      <c r="H501" s="889">
        <v>6</v>
      </c>
      <c r="I501" s="891">
        <v>263.19499999999999</v>
      </c>
      <c r="J501" s="601">
        <v>384.40899999999999</v>
      </c>
      <c r="K501" s="602">
        <v>0.44444444444444442</v>
      </c>
      <c r="L501" s="981">
        <v>5</v>
      </c>
      <c r="M501" s="1249" t="s">
        <v>323</v>
      </c>
      <c r="N501" s="604" t="s">
        <v>227</v>
      </c>
      <c r="O501" s="465"/>
      <c r="P501" s="435">
        <v>105.218</v>
      </c>
      <c r="Q501" s="435">
        <v>6</v>
      </c>
      <c r="R501" s="401">
        <v>3</v>
      </c>
      <c r="S501" s="466">
        <v>0.6</v>
      </c>
      <c r="U501" s="1248">
        <f t="shared" si="2"/>
        <v>0</v>
      </c>
      <c r="V501" s="1304">
        <f t="shared" si="3"/>
        <v>1</v>
      </c>
    </row>
    <row r="502" spans="1:22" ht="16.5" thickTop="1" thickBot="1">
      <c r="A502" s="1244" t="s">
        <v>135</v>
      </c>
      <c r="B502" s="1245" t="s">
        <v>1100</v>
      </c>
      <c r="C502" s="1328" t="s">
        <v>1307</v>
      </c>
      <c r="D502" s="1327" t="s">
        <v>227</v>
      </c>
      <c r="E502" s="1245" t="s">
        <v>985</v>
      </c>
      <c r="F502" s="457" t="s">
        <v>986</v>
      </c>
      <c r="G502" s="458" t="s">
        <v>157</v>
      </c>
      <c r="H502" s="888">
        <v>20</v>
      </c>
      <c r="I502" s="890">
        <v>109.386</v>
      </c>
      <c r="J502" s="899">
        <v>636.19799999999998</v>
      </c>
      <c r="K502" s="603">
        <v>0.39726027397260272</v>
      </c>
      <c r="L502" s="980">
        <v>10</v>
      </c>
      <c r="M502" s="1245" t="s">
        <v>323</v>
      </c>
      <c r="N502" s="604" t="s">
        <v>227</v>
      </c>
      <c r="O502" s="463">
        <v>7</v>
      </c>
      <c r="P502" s="434">
        <v>107.1</v>
      </c>
      <c r="Q502" s="434">
        <v>9</v>
      </c>
      <c r="R502" s="400">
        <v>8</v>
      </c>
      <c r="S502" s="464">
        <v>1.0666666666666667</v>
      </c>
      <c r="U502" s="1248">
        <f t="shared" si="2"/>
        <v>0</v>
      </c>
      <c r="V502" s="1304">
        <f t="shared" si="3"/>
        <v>1</v>
      </c>
    </row>
    <row r="503" spans="1:22" ht="16.5" thickTop="1" thickBot="1">
      <c r="A503" s="1244" t="s">
        <v>135</v>
      </c>
      <c r="B503" s="1249" t="s">
        <v>1100</v>
      </c>
      <c r="C503" s="1329" t="s">
        <v>1307</v>
      </c>
      <c r="D503" s="1326" t="s">
        <v>227</v>
      </c>
      <c r="E503" s="1249" t="s">
        <v>987</v>
      </c>
      <c r="F503" s="455" t="s">
        <v>988</v>
      </c>
      <c r="G503" s="456" t="s">
        <v>157</v>
      </c>
      <c r="H503" s="889">
        <v>20</v>
      </c>
      <c r="I503" s="891">
        <v>69.956999999999994</v>
      </c>
      <c r="J503" s="601">
        <v>243.453</v>
      </c>
      <c r="K503" s="602">
        <v>0.35658914728682173</v>
      </c>
      <c r="L503" s="981">
        <v>3</v>
      </c>
      <c r="M503" s="1249" t="s">
        <v>322</v>
      </c>
      <c r="N503" s="604" t="s">
        <v>227</v>
      </c>
      <c r="O503" s="465"/>
      <c r="P503" s="435">
        <v>12.289</v>
      </c>
      <c r="Q503" s="435">
        <v>1</v>
      </c>
      <c r="R503" s="401">
        <v>1</v>
      </c>
      <c r="S503" s="466">
        <v>0.33333333333333331</v>
      </c>
      <c r="U503" s="1248">
        <f t="shared" si="2"/>
        <v>0</v>
      </c>
      <c r="V503" s="1304">
        <f t="shared" si="3"/>
        <v>1</v>
      </c>
    </row>
    <row r="504" spans="1:22" ht="16.5" thickTop="1" thickBot="1">
      <c r="A504" s="1244" t="s">
        <v>135</v>
      </c>
      <c r="B504" s="1245" t="s">
        <v>1100</v>
      </c>
      <c r="C504" s="1328" t="s">
        <v>1307</v>
      </c>
      <c r="D504" s="1327" t="s">
        <v>227</v>
      </c>
      <c r="E504" s="1245" t="s">
        <v>989</v>
      </c>
      <c r="F504" s="457" t="s">
        <v>2579</v>
      </c>
      <c r="G504" s="458" t="s">
        <v>156</v>
      </c>
      <c r="H504" s="888">
        <v>19</v>
      </c>
      <c r="I504" s="890">
        <v>51.747</v>
      </c>
      <c r="J504" s="899">
        <v>316.09800000000001</v>
      </c>
      <c r="K504" s="603">
        <v>0.3105590062111801</v>
      </c>
      <c r="L504" s="980">
        <v>5</v>
      </c>
      <c r="M504" s="1245" t="s">
        <v>321</v>
      </c>
      <c r="N504" s="604" t="s">
        <v>227</v>
      </c>
      <c r="O504" s="463"/>
      <c r="P504" s="434">
        <v>49.628</v>
      </c>
      <c r="Q504" s="434">
        <v>5</v>
      </c>
      <c r="R504" s="400">
        <v>2</v>
      </c>
      <c r="S504" s="464">
        <v>0.4</v>
      </c>
      <c r="U504" s="1248">
        <f t="shared" si="2"/>
        <v>0</v>
      </c>
      <c r="V504" s="1304">
        <f t="shared" si="3"/>
        <v>1</v>
      </c>
    </row>
    <row r="505" spans="1:22" ht="16.5" thickTop="1" thickBot="1">
      <c r="A505" s="1244" t="s">
        <v>135</v>
      </c>
      <c r="B505" s="1249" t="s">
        <v>1100</v>
      </c>
      <c r="C505" s="1329" t="s">
        <v>1307</v>
      </c>
      <c r="D505" s="1326" t="s">
        <v>227</v>
      </c>
      <c r="E505" s="1249" t="s">
        <v>990</v>
      </c>
      <c r="F505" s="455" t="s">
        <v>991</v>
      </c>
      <c r="G505" s="456" t="s">
        <v>157</v>
      </c>
      <c r="H505" s="889">
        <v>19</v>
      </c>
      <c r="I505" s="891">
        <v>98.7</v>
      </c>
      <c r="J505" s="601">
        <v>159.51900000000001</v>
      </c>
      <c r="K505" s="602">
        <v>0.26190476190476192</v>
      </c>
      <c r="L505" s="981">
        <v>3</v>
      </c>
      <c r="M505" s="1249" t="s">
        <v>366</v>
      </c>
      <c r="N505" s="604" t="s">
        <v>227</v>
      </c>
      <c r="O505" s="465">
        <v>1</v>
      </c>
      <c r="P505" s="435"/>
      <c r="Q505" s="435"/>
      <c r="R505" s="401">
        <v>0</v>
      </c>
      <c r="S505" s="466">
        <v>0</v>
      </c>
      <c r="U505" s="1248">
        <f t="shared" si="2"/>
        <v>1</v>
      </c>
      <c r="V505" s="1304">
        <f t="shared" si="3"/>
        <v>1</v>
      </c>
    </row>
    <row r="506" spans="1:22" ht="16.5" thickTop="1" thickBot="1">
      <c r="A506" s="1244" t="s">
        <v>135</v>
      </c>
      <c r="B506" s="1245" t="s">
        <v>1100</v>
      </c>
      <c r="C506" s="1328" t="s">
        <v>1307</v>
      </c>
      <c r="D506" s="1327" t="s">
        <v>227</v>
      </c>
      <c r="E506" s="1245" t="s">
        <v>1319</v>
      </c>
      <c r="F506" s="457" t="s">
        <v>1320</v>
      </c>
      <c r="G506" s="458" t="s">
        <v>156</v>
      </c>
      <c r="H506" s="888">
        <v>17</v>
      </c>
      <c r="I506" s="890">
        <v>20.652999999999999</v>
      </c>
      <c r="J506" s="899">
        <v>242.58600000000001</v>
      </c>
      <c r="K506" s="603">
        <v>0.25</v>
      </c>
      <c r="L506" s="980">
        <v>8</v>
      </c>
      <c r="M506" s="1245" t="s">
        <v>322</v>
      </c>
      <c r="N506" s="604" t="s">
        <v>227</v>
      </c>
      <c r="O506" s="463"/>
      <c r="P506" s="434"/>
      <c r="Q506" s="434"/>
      <c r="R506" s="400">
        <v>0</v>
      </c>
      <c r="S506" s="464">
        <v>0</v>
      </c>
      <c r="U506" s="1248">
        <f t="shared" si="2"/>
        <v>0</v>
      </c>
      <c r="V506" s="1304">
        <f t="shared" si="3"/>
        <v>1</v>
      </c>
    </row>
    <row r="507" spans="1:22" ht="16.5" thickTop="1" thickBot="1">
      <c r="A507" s="1244" t="s">
        <v>135</v>
      </c>
      <c r="B507" s="1249" t="s">
        <v>1100</v>
      </c>
      <c r="C507" s="1329" t="s">
        <v>1307</v>
      </c>
      <c r="D507" s="1326" t="s">
        <v>227</v>
      </c>
      <c r="E507" s="1249" t="s">
        <v>1307</v>
      </c>
      <c r="F507" s="455" t="s">
        <v>1309</v>
      </c>
      <c r="G507" s="456" t="s">
        <v>739</v>
      </c>
      <c r="H507" s="889">
        <v>17</v>
      </c>
      <c r="I507" s="891">
        <v>223.08199999999999</v>
      </c>
      <c r="J507" s="601">
        <v>391.07</v>
      </c>
      <c r="K507" s="602">
        <v>0.11888111888111888</v>
      </c>
      <c r="L507" s="981">
        <v>13</v>
      </c>
      <c r="M507" s="1249" t="s">
        <v>321</v>
      </c>
      <c r="N507" s="604" t="s">
        <v>227</v>
      </c>
      <c r="O507" s="465">
        <v>1</v>
      </c>
      <c r="P507" s="435">
        <v>18.533000000000001</v>
      </c>
      <c r="Q507" s="435">
        <v>2</v>
      </c>
      <c r="R507" s="401">
        <v>2</v>
      </c>
      <c r="S507" s="466">
        <v>0.13333333333333333</v>
      </c>
      <c r="U507" s="1248">
        <f t="shared" si="2"/>
        <v>0</v>
      </c>
      <c r="V507" s="1304">
        <f t="shared" si="3"/>
        <v>1</v>
      </c>
    </row>
    <row r="508" spans="1:22" ht="16.5" thickTop="1" thickBot="1">
      <c r="A508" s="1244" t="s">
        <v>135</v>
      </c>
      <c r="B508" s="1245" t="s">
        <v>1100</v>
      </c>
      <c r="C508" s="1328" t="s">
        <v>1307</v>
      </c>
      <c r="D508" s="1327" t="s">
        <v>227</v>
      </c>
      <c r="E508" s="1245" t="s">
        <v>1613</v>
      </c>
      <c r="F508" s="457" t="s">
        <v>838</v>
      </c>
      <c r="G508" s="458" t="s">
        <v>156</v>
      </c>
      <c r="H508" s="888">
        <v>14</v>
      </c>
      <c r="I508" s="890">
        <v>70.117999999999995</v>
      </c>
      <c r="J508" s="899">
        <v>266.04899999999998</v>
      </c>
      <c r="K508" s="603">
        <v>0.3</v>
      </c>
      <c r="L508" s="980">
        <v>2</v>
      </c>
      <c r="M508" s="1245" t="s">
        <v>322</v>
      </c>
      <c r="N508" s="604" t="s">
        <v>227</v>
      </c>
      <c r="O508" s="463"/>
      <c r="P508" s="434">
        <v>0</v>
      </c>
      <c r="Q508" s="434"/>
      <c r="R508" s="400">
        <v>0</v>
      </c>
      <c r="S508" s="464">
        <v>0</v>
      </c>
      <c r="U508" s="1248">
        <f t="shared" si="2"/>
        <v>0</v>
      </c>
      <c r="V508" s="1304">
        <f t="shared" si="3"/>
        <v>1</v>
      </c>
    </row>
    <row r="509" spans="1:22" ht="16.5" thickTop="1" thickBot="1">
      <c r="A509" s="1244" t="s">
        <v>135</v>
      </c>
      <c r="B509" s="1249" t="s">
        <v>1100</v>
      </c>
      <c r="C509" s="1329" t="s">
        <v>1307</v>
      </c>
      <c r="D509" s="1326" t="s">
        <v>227</v>
      </c>
      <c r="E509" s="1249" t="s">
        <v>1905</v>
      </c>
      <c r="F509" s="455" t="s">
        <v>1906</v>
      </c>
      <c r="G509" s="456" t="s">
        <v>156</v>
      </c>
      <c r="H509" s="889">
        <v>11</v>
      </c>
      <c r="I509" s="891">
        <v>73.082999999999998</v>
      </c>
      <c r="J509" s="601">
        <v>423.56900000000002</v>
      </c>
      <c r="K509" s="602">
        <v>0.25592417061611372</v>
      </c>
      <c r="L509" s="981">
        <v>7</v>
      </c>
      <c r="M509" s="1249" t="s">
        <v>323</v>
      </c>
      <c r="N509" s="604" t="s">
        <v>227</v>
      </c>
      <c r="O509" s="465"/>
      <c r="P509" s="435"/>
      <c r="Q509" s="435"/>
      <c r="R509" s="401">
        <v>0</v>
      </c>
      <c r="S509" s="466">
        <v>0</v>
      </c>
      <c r="U509" s="1248">
        <f t="shared" si="2"/>
        <v>0</v>
      </c>
      <c r="V509" s="1304">
        <f t="shared" si="3"/>
        <v>1</v>
      </c>
    </row>
    <row r="510" spans="1:22" ht="16.5" thickTop="1" thickBot="1">
      <c r="A510" s="1244" t="s">
        <v>135</v>
      </c>
      <c r="B510" s="1245" t="s">
        <v>1100</v>
      </c>
      <c r="C510" s="1328" t="s">
        <v>1307</v>
      </c>
      <c r="D510" s="1327" t="s">
        <v>227</v>
      </c>
      <c r="E510" s="1245" t="s">
        <v>1983</v>
      </c>
      <c r="F510" s="457" t="s">
        <v>1984</v>
      </c>
      <c r="G510" s="458" t="s">
        <v>155</v>
      </c>
      <c r="H510" s="888"/>
      <c r="I510" s="890"/>
      <c r="J510" s="899">
        <v>93.86</v>
      </c>
      <c r="K510" s="603">
        <v>0.31578947368421051</v>
      </c>
      <c r="L510" s="980">
        <v>1</v>
      </c>
      <c r="M510" s="1245" t="s">
        <v>366</v>
      </c>
      <c r="N510" s="604" t="s">
        <v>227</v>
      </c>
      <c r="O510" s="463"/>
      <c r="P510" s="434">
        <v>10.023</v>
      </c>
      <c r="Q510" s="434">
        <v>1</v>
      </c>
      <c r="R510" s="400">
        <v>1</v>
      </c>
      <c r="S510" s="464">
        <v>0.66666666666666663</v>
      </c>
      <c r="U510" s="1248">
        <f t="shared" si="2"/>
        <v>1</v>
      </c>
      <c r="V510" s="1304">
        <f t="shared" si="3"/>
        <v>0</v>
      </c>
    </row>
    <row r="511" spans="1:22" ht="16.5" thickTop="1" thickBot="1">
      <c r="A511" s="1244" t="s">
        <v>135</v>
      </c>
      <c r="B511" s="1249" t="s">
        <v>1100</v>
      </c>
      <c r="C511" s="1329" t="s">
        <v>1307</v>
      </c>
      <c r="D511" s="1326" t="s">
        <v>227</v>
      </c>
      <c r="E511" s="1249" t="s">
        <v>1985</v>
      </c>
      <c r="F511" s="455" t="s">
        <v>1986</v>
      </c>
      <c r="G511" s="456" t="s">
        <v>155</v>
      </c>
      <c r="H511" s="889"/>
      <c r="I511" s="891"/>
      <c r="J511" s="601">
        <v>158.887</v>
      </c>
      <c r="K511" s="602">
        <v>0.20869565217391303</v>
      </c>
      <c r="L511" s="981">
        <v>6</v>
      </c>
      <c r="M511" s="1249" t="s">
        <v>366</v>
      </c>
      <c r="N511" s="604" t="s">
        <v>227</v>
      </c>
      <c r="O511" s="465"/>
      <c r="P511" s="435">
        <v>26.858000000000001</v>
      </c>
      <c r="Q511" s="435">
        <v>2</v>
      </c>
      <c r="R511" s="401">
        <v>2</v>
      </c>
      <c r="S511" s="466">
        <v>0.33333333333333331</v>
      </c>
      <c r="U511" s="1248">
        <f t="shared" si="2"/>
        <v>1</v>
      </c>
      <c r="V511" s="1304">
        <f t="shared" si="3"/>
        <v>0</v>
      </c>
    </row>
    <row r="512" spans="1:22" ht="16.5" thickTop="1" thickBot="1">
      <c r="A512" s="1244" t="s">
        <v>135</v>
      </c>
      <c r="B512" s="1245" t="s">
        <v>1100</v>
      </c>
      <c r="C512" s="1328" t="s">
        <v>1307</v>
      </c>
      <c r="D512" s="1327" t="s">
        <v>227</v>
      </c>
      <c r="E512" s="1245" t="s">
        <v>2055</v>
      </c>
      <c r="F512" s="457" t="s">
        <v>2057</v>
      </c>
      <c r="G512" s="458" t="s">
        <v>157</v>
      </c>
      <c r="H512" s="888">
        <v>9</v>
      </c>
      <c r="I512" s="890">
        <v>35.667999999999999</v>
      </c>
      <c r="J512" s="899">
        <v>35.667999999999999</v>
      </c>
      <c r="K512" s="603">
        <v>8.3333333333333329E-2</v>
      </c>
      <c r="L512" s="980">
        <v>4</v>
      </c>
      <c r="M512" s="1245" t="s">
        <v>366</v>
      </c>
      <c r="N512" s="604" t="s">
        <v>227</v>
      </c>
      <c r="O512" s="463"/>
      <c r="P512" s="434"/>
      <c r="Q512" s="434"/>
      <c r="R512" s="400">
        <v>0</v>
      </c>
      <c r="S512" s="464">
        <v>0</v>
      </c>
      <c r="U512" s="1248">
        <f t="shared" si="2"/>
        <v>1</v>
      </c>
      <c r="V512" s="1304">
        <f t="shared" si="3"/>
        <v>1</v>
      </c>
    </row>
    <row r="513" spans="1:22" ht="16.5" thickTop="1" thickBot="1">
      <c r="A513" s="1244" t="s">
        <v>135</v>
      </c>
      <c r="B513" s="1249" t="s">
        <v>1100</v>
      </c>
      <c r="C513" s="1329" t="s">
        <v>1307</v>
      </c>
      <c r="D513" s="1326" t="s">
        <v>227</v>
      </c>
      <c r="E513" s="1249" t="s">
        <v>2249</v>
      </c>
      <c r="F513" s="455" t="s">
        <v>832</v>
      </c>
      <c r="G513" s="456" t="s">
        <v>155</v>
      </c>
      <c r="H513" s="889"/>
      <c r="I513" s="891"/>
      <c r="J513" s="601">
        <v>7.85</v>
      </c>
      <c r="K513" s="602">
        <v>6.8965517241379309E-2</v>
      </c>
      <c r="L513" s="981">
        <v>1</v>
      </c>
      <c r="M513" s="1249" t="s">
        <v>366</v>
      </c>
      <c r="N513" s="604" t="s">
        <v>227</v>
      </c>
      <c r="O513" s="465"/>
      <c r="P513" s="435"/>
      <c r="Q513" s="435"/>
      <c r="R513" s="401">
        <v>0</v>
      </c>
      <c r="S513" s="466">
        <v>0</v>
      </c>
      <c r="U513" s="1248">
        <f t="shared" si="2"/>
        <v>1</v>
      </c>
      <c r="V513" s="1304">
        <f t="shared" si="3"/>
        <v>0</v>
      </c>
    </row>
    <row r="514" spans="1:22" ht="16.5" thickTop="1" thickBot="1">
      <c r="A514" s="1244" t="s">
        <v>135</v>
      </c>
      <c r="B514" s="1245" t="s">
        <v>1100</v>
      </c>
      <c r="C514" s="1328" t="s">
        <v>1307</v>
      </c>
      <c r="D514" s="1327" t="s">
        <v>227</v>
      </c>
      <c r="E514" s="1245" t="s">
        <v>2250</v>
      </c>
      <c r="F514" s="457" t="s">
        <v>2251</v>
      </c>
      <c r="G514" s="458" t="s">
        <v>157</v>
      </c>
      <c r="H514" s="888">
        <v>9</v>
      </c>
      <c r="I514" s="890">
        <v>440.24900000000002</v>
      </c>
      <c r="J514" s="899">
        <v>722.9</v>
      </c>
      <c r="K514" s="603">
        <v>0.6875</v>
      </c>
      <c r="L514" s="980">
        <v>9</v>
      </c>
      <c r="M514" s="1245" t="s">
        <v>323</v>
      </c>
      <c r="N514" s="604" t="s">
        <v>227</v>
      </c>
      <c r="O514" s="463">
        <v>2</v>
      </c>
      <c r="P514" s="434">
        <v>81.352999999999994</v>
      </c>
      <c r="Q514" s="434">
        <v>9</v>
      </c>
      <c r="R514" s="400">
        <v>7</v>
      </c>
      <c r="S514" s="464">
        <v>0.875</v>
      </c>
      <c r="U514" s="1248">
        <f t="shared" si="2"/>
        <v>0</v>
      </c>
      <c r="V514" s="1304">
        <f t="shared" si="3"/>
        <v>1</v>
      </c>
    </row>
    <row r="515" spans="1:22" ht="16.5" thickTop="1" thickBot="1">
      <c r="A515" s="1244" t="s">
        <v>135</v>
      </c>
      <c r="B515" s="1249" t="s">
        <v>1100</v>
      </c>
      <c r="C515" s="1329" t="s">
        <v>1307</v>
      </c>
      <c r="D515" s="1326" t="s">
        <v>227</v>
      </c>
      <c r="E515" s="1249" t="s">
        <v>2580</v>
      </c>
      <c r="F515" s="455" t="s">
        <v>2581</v>
      </c>
      <c r="G515" s="456" t="s">
        <v>156</v>
      </c>
      <c r="H515" s="889">
        <v>5</v>
      </c>
      <c r="I515" s="891">
        <v>386.82400000000001</v>
      </c>
      <c r="J515" s="601">
        <v>315.64100000000002</v>
      </c>
      <c r="K515" s="602">
        <v>0.49411764705882355</v>
      </c>
      <c r="L515" s="981">
        <v>17</v>
      </c>
      <c r="M515" s="1249" t="s">
        <v>323</v>
      </c>
      <c r="N515" s="604" t="s">
        <v>227</v>
      </c>
      <c r="O515" s="465">
        <v>7</v>
      </c>
      <c r="P515" s="435">
        <v>92.834999999999994</v>
      </c>
      <c r="Q515" s="435">
        <v>7</v>
      </c>
      <c r="R515" s="401">
        <v>4</v>
      </c>
      <c r="S515" s="466">
        <v>0.29629629629629628</v>
      </c>
      <c r="U515" s="1248">
        <f t="shared" si="2"/>
        <v>0</v>
      </c>
      <c r="V515" s="1304">
        <f t="shared" si="3"/>
        <v>1</v>
      </c>
    </row>
    <row r="516" spans="1:22" ht="16.5" thickTop="1" thickBot="1">
      <c r="A516" s="1244" t="s">
        <v>135</v>
      </c>
      <c r="B516" s="1245" t="s">
        <v>1100</v>
      </c>
      <c r="C516" s="1328" t="s">
        <v>1307</v>
      </c>
      <c r="D516" s="1327" t="s">
        <v>227</v>
      </c>
      <c r="E516" s="1245" t="s">
        <v>2780</v>
      </c>
      <c r="F516" s="457" t="s">
        <v>2080</v>
      </c>
      <c r="G516" s="458" t="s">
        <v>155</v>
      </c>
      <c r="H516" s="888"/>
      <c r="I516" s="890"/>
      <c r="J516" s="899">
        <v>132.35400000000001</v>
      </c>
      <c r="K516" s="603">
        <v>0.41379310344827586</v>
      </c>
      <c r="L516" s="980">
        <v>4</v>
      </c>
      <c r="M516" s="1245" t="s">
        <v>366</v>
      </c>
      <c r="N516" s="604" t="s">
        <v>227</v>
      </c>
      <c r="O516" s="463"/>
      <c r="P516" s="434">
        <v>16.454999999999998</v>
      </c>
      <c r="Q516" s="434">
        <v>1</v>
      </c>
      <c r="R516" s="400">
        <v>1</v>
      </c>
      <c r="S516" s="464">
        <v>0.25</v>
      </c>
      <c r="U516" s="1248">
        <f t="shared" si="2"/>
        <v>1</v>
      </c>
      <c r="V516" s="1304">
        <f t="shared" si="3"/>
        <v>0</v>
      </c>
    </row>
    <row r="517" spans="1:22" ht="16.5" thickTop="1" thickBot="1">
      <c r="A517" s="1244" t="s">
        <v>135</v>
      </c>
      <c r="B517" s="1249" t="s">
        <v>1100</v>
      </c>
      <c r="C517" s="1329" t="s">
        <v>1307</v>
      </c>
      <c r="D517" s="1326" t="s">
        <v>227</v>
      </c>
      <c r="E517" s="1249" t="s">
        <v>2979</v>
      </c>
      <c r="F517" s="455" t="s">
        <v>2980</v>
      </c>
      <c r="G517" s="456" t="s">
        <v>155</v>
      </c>
      <c r="H517" s="889"/>
      <c r="I517" s="891"/>
      <c r="J517" s="601"/>
      <c r="K517" s="602">
        <v>0</v>
      </c>
      <c r="L517" s="981">
        <v>3</v>
      </c>
      <c r="M517" s="1249" t="s">
        <v>366</v>
      </c>
      <c r="N517" s="604" t="s">
        <v>227</v>
      </c>
      <c r="O517" s="465"/>
      <c r="P517" s="435"/>
      <c r="Q517" s="435"/>
      <c r="R517" s="401">
        <v>0</v>
      </c>
      <c r="S517" s="466">
        <v>0</v>
      </c>
      <c r="U517" s="1248">
        <f t="shared" si="2"/>
        <v>1</v>
      </c>
      <c r="V517" s="1304">
        <f t="shared" si="3"/>
        <v>0</v>
      </c>
    </row>
    <row r="518" spans="1:22" ht="16.5" thickTop="1" thickBot="1">
      <c r="A518" s="1244" t="s">
        <v>135</v>
      </c>
      <c r="B518" s="1245" t="s">
        <v>1100</v>
      </c>
      <c r="C518" s="1328" t="s">
        <v>1307</v>
      </c>
      <c r="D518" s="1327" t="s">
        <v>227</v>
      </c>
      <c r="E518" s="1245" t="s">
        <v>3223</v>
      </c>
      <c r="F518" s="457" t="s">
        <v>3224</v>
      </c>
      <c r="G518" s="458" t="s">
        <v>156</v>
      </c>
      <c r="H518" s="888">
        <v>1</v>
      </c>
      <c r="I518" s="890"/>
      <c r="J518" s="899">
        <v>79.445999999999998</v>
      </c>
      <c r="K518" s="603">
        <v>0.5714285714285714</v>
      </c>
      <c r="L518" s="980">
        <v>8</v>
      </c>
      <c r="M518" s="1245" t="s">
        <v>323</v>
      </c>
      <c r="N518" s="604" t="s">
        <v>227</v>
      </c>
      <c r="O518" s="463">
        <v>5</v>
      </c>
      <c r="P518" s="434">
        <v>68.796000000000006</v>
      </c>
      <c r="Q518" s="434">
        <v>6</v>
      </c>
      <c r="R518" s="400">
        <v>3</v>
      </c>
      <c r="S518" s="464">
        <v>0.54545454545454541</v>
      </c>
      <c r="U518" s="1248">
        <f t="shared" si="2"/>
        <v>0</v>
      </c>
      <c r="V518" s="1304">
        <f t="shared" si="3"/>
        <v>1</v>
      </c>
    </row>
    <row r="519" spans="1:22" ht="16.5" thickTop="1" thickBot="1">
      <c r="A519" s="1244" t="s">
        <v>135</v>
      </c>
      <c r="B519" s="1249" t="s">
        <v>1100</v>
      </c>
      <c r="C519" s="1329" t="s">
        <v>1307</v>
      </c>
      <c r="D519" s="1326" t="s">
        <v>227</v>
      </c>
      <c r="E519" s="1249" t="s">
        <v>3631</v>
      </c>
      <c r="F519" s="455" t="s">
        <v>3633</v>
      </c>
      <c r="G519" s="456" t="s">
        <v>157</v>
      </c>
      <c r="H519" s="889">
        <v>1</v>
      </c>
      <c r="I519" s="891"/>
      <c r="J519" s="601">
        <v>15.106</v>
      </c>
      <c r="K519" s="602">
        <v>0.5</v>
      </c>
      <c r="L519" s="981">
        <v>6</v>
      </c>
      <c r="M519" s="1249" t="s">
        <v>321</v>
      </c>
      <c r="N519" s="604" t="s">
        <v>227</v>
      </c>
      <c r="O519" s="465">
        <v>4</v>
      </c>
      <c r="P519" s="435">
        <v>15.106</v>
      </c>
      <c r="Q519" s="435">
        <v>2</v>
      </c>
      <c r="R519" s="401">
        <v>2</v>
      </c>
      <c r="S519" s="466">
        <v>0.5</v>
      </c>
      <c r="U519" s="1248">
        <f t="shared" si="2"/>
        <v>0</v>
      </c>
      <c r="V519" s="1304">
        <f t="shared" si="3"/>
        <v>1</v>
      </c>
    </row>
    <row r="520" spans="1:22" ht="16.5" thickTop="1" thickBot="1">
      <c r="A520" s="1244" t="s">
        <v>135</v>
      </c>
      <c r="B520" s="1245" t="s">
        <v>1100</v>
      </c>
      <c r="C520" s="1328" t="s">
        <v>1307</v>
      </c>
      <c r="D520" s="1327" t="s">
        <v>227</v>
      </c>
      <c r="E520" s="1245" t="s">
        <v>3723</v>
      </c>
      <c r="F520" s="457" t="s">
        <v>3724</v>
      </c>
      <c r="G520" s="458" t="s">
        <v>155</v>
      </c>
      <c r="H520" s="888"/>
      <c r="I520" s="890"/>
      <c r="J520" s="899">
        <v>11.696</v>
      </c>
      <c r="K520" s="603">
        <v>0.2857142857142857</v>
      </c>
      <c r="L520" s="980">
        <v>5</v>
      </c>
      <c r="M520" s="1245" t="s">
        <v>366</v>
      </c>
      <c r="N520" s="604" t="s">
        <v>227</v>
      </c>
      <c r="O520" s="463">
        <v>3</v>
      </c>
      <c r="P520" s="434">
        <v>11.696</v>
      </c>
      <c r="Q520" s="434">
        <v>1</v>
      </c>
      <c r="R520" s="400">
        <v>1</v>
      </c>
      <c r="S520" s="464">
        <v>0.2857142857142857</v>
      </c>
      <c r="U520" s="1248">
        <f t="shared" si="2"/>
        <v>1</v>
      </c>
      <c r="V520" s="1304">
        <f t="shared" si="3"/>
        <v>0</v>
      </c>
    </row>
    <row r="521" spans="1:22" ht="16.5" thickTop="1" thickBot="1">
      <c r="A521" s="1244" t="s">
        <v>135</v>
      </c>
      <c r="B521" s="1249" t="s">
        <v>1100</v>
      </c>
      <c r="C521" s="1329" t="s">
        <v>1579</v>
      </c>
      <c r="D521" s="1326" t="s">
        <v>227</v>
      </c>
      <c r="E521" s="1249" t="s">
        <v>1579</v>
      </c>
      <c r="F521" s="455" t="s">
        <v>1581</v>
      </c>
      <c r="G521" s="456" t="s">
        <v>158</v>
      </c>
      <c r="H521" s="889">
        <v>14</v>
      </c>
      <c r="I521" s="891">
        <v>208.529</v>
      </c>
      <c r="J521" s="601">
        <v>932.72500000000002</v>
      </c>
      <c r="K521" s="602">
        <v>0.34693877551020408</v>
      </c>
      <c r="L521" s="981">
        <v>10</v>
      </c>
      <c r="M521" s="1249" t="s">
        <v>323</v>
      </c>
      <c r="N521" s="604" t="s">
        <v>227</v>
      </c>
      <c r="O521" s="465">
        <v>3</v>
      </c>
      <c r="P521" s="435">
        <v>71.652000000000001</v>
      </c>
      <c r="Q521" s="435">
        <v>5</v>
      </c>
      <c r="R521" s="401">
        <v>5</v>
      </c>
      <c r="S521" s="466">
        <v>0.58823529411764708</v>
      </c>
      <c r="U521" s="1248">
        <f t="shared" si="2"/>
        <v>0</v>
      </c>
      <c r="V521" s="1304">
        <f t="shared" si="3"/>
        <v>1</v>
      </c>
    </row>
    <row r="522" spans="1:22" ht="16.5" thickTop="1" thickBot="1">
      <c r="A522" s="1244" t="s">
        <v>135</v>
      </c>
      <c r="B522" s="1245" t="s">
        <v>1100</v>
      </c>
      <c r="C522" s="1328" t="s">
        <v>1579</v>
      </c>
      <c r="D522" s="1327" t="s">
        <v>227</v>
      </c>
      <c r="E522" s="1245" t="s">
        <v>2478</v>
      </c>
      <c r="F522" s="457" t="s">
        <v>2479</v>
      </c>
      <c r="G522" s="458" t="s">
        <v>156</v>
      </c>
      <c r="H522" s="888">
        <v>6</v>
      </c>
      <c r="I522" s="890">
        <v>18.548999999999999</v>
      </c>
      <c r="J522" s="899">
        <v>61.838000000000001</v>
      </c>
      <c r="K522" s="603">
        <v>0.21276595744680851</v>
      </c>
      <c r="L522" s="980">
        <v>2</v>
      </c>
      <c r="M522" s="1245" t="s">
        <v>366</v>
      </c>
      <c r="N522" s="604" t="s">
        <v>227</v>
      </c>
      <c r="O522" s="463"/>
      <c r="P522" s="434"/>
      <c r="Q522" s="434"/>
      <c r="R522" s="400">
        <v>0</v>
      </c>
      <c r="S522" s="464">
        <v>0</v>
      </c>
      <c r="U522" s="1248">
        <f t="shared" si="2"/>
        <v>1</v>
      </c>
      <c r="V522" s="1304">
        <f t="shared" si="3"/>
        <v>1</v>
      </c>
    </row>
    <row r="523" spans="1:22" ht="16.5" thickTop="1" thickBot="1">
      <c r="A523" s="1244" t="s">
        <v>135</v>
      </c>
      <c r="B523" s="1249" t="s">
        <v>1100</v>
      </c>
      <c r="C523" s="1329" t="s">
        <v>1579</v>
      </c>
      <c r="D523" s="1326" t="s">
        <v>227</v>
      </c>
      <c r="E523" s="1249" t="s">
        <v>3225</v>
      </c>
      <c r="F523" s="455" t="s">
        <v>3226</v>
      </c>
      <c r="G523" s="456" t="s">
        <v>156</v>
      </c>
      <c r="H523" s="889">
        <v>1</v>
      </c>
      <c r="I523" s="891">
        <v>139.88200000000001</v>
      </c>
      <c r="J523" s="601">
        <v>357.76400000000001</v>
      </c>
      <c r="K523" s="602">
        <v>1.5</v>
      </c>
      <c r="L523" s="981">
        <v>5</v>
      </c>
      <c r="M523" s="1249" t="s">
        <v>323</v>
      </c>
      <c r="N523" s="604" t="s">
        <v>227</v>
      </c>
      <c r="O523" s="465">
        <v>3</v>
      </c>
      <c r="P523" s="435">
        <v>277.16399999999999</v>
      </c>
      <c r="Q523" s="435">
        <v>21</v>
      </c>
      <c r="R523" s="401">
        <v>5</v>
      </c>
      <c r="S523" s="466">
        <v>1.4285714285714286</v>
      </c>
      <c r="U523" s="1248">
        <f t="shared" si="2"/>
        <v>0</v>
      </c>
      <c r="V523" s="1304">
        <f t="shared" si="3"/>
        <v>1</v>
      </c>
    </row>
    <row r="524" spans="1:22" ht="16.5" thickTop="1" thickBot="1">
      <c r="A524" s="1244" t="s">
        <v>135</v>
      </c>
      <c r="B524" s="1245" t="s">
        <v>1100</v>
      </c>
      <c r="C524" s="1328" t="s">
        <v>2736</v>
      </c>
      <c r="D524" s="1327" t="s">
        <v>227</v>
      </c>
      <c r="E524" s="1245" t="s">
        <v>2736</v>
      </c>
      <c r="F524" s="457" t="s">
        <v>2738</v>
      </c>
      <c r="G524" s="458" t="s">
        <v>739</v>
      </c>
      <c r="H524" s="888">
        <v>3</v>
      </c>
      <c r="I524" s="890">
        <v>28.606999999999999</v>
      </c>
      <c r="J524" s="899">
        <v>36.424999999999997</v>
      </c>
      <c r="K524" s="603">
        <v>0.6</v>
      </c>
      <c r="L524" s="980">
        <v>2</v>
      </c>
      <c r="M524" s="1245" t="s">
        <v>322</v>
      </c>
      <c r="N524" s="604" t="s">
        <v>227</v>
      </c>
      <c r="O524" s="463">
        <v>1</v>
      </c>
      <c r="P524" s="434"/>
      <c r="Q524" s="434"/>
      <c r="R524" s="400">
        <v>0</v>
      </c>
      <c r="S524" s="464">
        <v>0</v>
      </c>
      <c r="U524" s="1248">
        <f t="shared" si="2"/>
        <v>0</v>
      </c>
      <c r="V524" s="1304">
        <f t="shared" si="3"/>
        <v>1</v>
      </c>
    </row>
    <row r="525" spans="1:22" ht="16.5" thickTop="1" thickBot="1">
      <c r="A525" s="1244" t="s">
        <v>135</v>
      </c>
      <c r="B525" s="1249" t="s">
        <v>1100</v>
      </c>
      <c r="C525" s="1329" t="s">
        <v>2736</v>
      </c>
      <c r="D525" s="1326" t="s">
        <v>227</v>
      </c>
      <c r="E525" s="1249" t="s">
        <v>2774</v>
      </c>
      <c r="F525" s="455" t="s">
        <v>2776</v>
      </c>
      <c r="G525" s="456" t="s">
        <v>157</v>
      </c>
      <c r="H525" s="889">
        <v>3</v>
      </c>
      <c r="I525" s="891">
        <v>49.24</v>
      </c>
      <c r="J525" s="601">
        <v>49.24</v>
      </c>
      <c r="K525" s="602">
        <v>0.5714285714285714</v>
      </c>
      <c r="L525" s="981">
        <v>1</v>
      </c>
      <c r="M525" s="1249" t="s">
        <v>321</v>
      </c>
      <c r="N525" s="604" t="s">
        <v>227</v>
      </c>
      <c r="O525" s="465"/>
      <c r="P525" s="435">
        <v>18.303999999999998</v>
      </c>
      <c r="Q525" s="435">
        <v>2</v>
      </c>
      <c r="R525" s="401">
        <v>1</v>
      </c>
      <c r="S525" s="466">
        <v>1</v>
      </c>
      <c r="U525" s="1248">
        <f t="shared" si="2"/>
        <v>0</v>
      </c>
      <c r="V525" s="1304">
        <f t="shared" si="3"/>
        <v>1</v>
      </c>
    </row>
    <row r="526" spans="1:22" ht="16.5" thickTop="1" thickBot="1">
      <c r="A526" s="1244" t="s">
        <v>135</v>
      </c>
      <c r="B526" s="1245" t="s">
        <v>1100</v>
      </c>
      <c r="C526" s="1328" t="s">
        <v>2736</v>
      </c>
      <c r="D526" s="1327" t="s">
        <v>227</v>
      </c>
      <c r="E526" s="1245" t="s">
        <v>2871</v>
      </c>
      <c r="F526" s="457" t="s">
        <v>2872</v>
      </c>
      <c r="G526" s="458" t="s">
        <v>156</v>
      </c>
      <c r="H526" s="888">
        <v>3</v>
      </c>
      <c r="I526" s="890">
        <v>10.105</v>
      </c>
      <c r="J526" s="899">
        <v>182.637</v>
      </c>
      <c r="K526" s="603">
        <v>0.48484848484848486</v>
      </c>
      <c r="L526" s="980">
        <v>5</v>
      </c>
      <c r="M526" s="1245" t="s">
        <v>323</v>
      </c>
      <c r="N526" s="604" t="s">
        <v>227</v>
      </c>
      <c r="O526" s="463">
        <v>1</v>
      </c>
      <c r="P526" s="434">
        <v>26.114999999999998</v>
      </c>
      <c r="Q526" s="434">
        <v>3</v>
      </c>
      <c r="R526" s="400">
        <v>3</v>
      </c>
      <c r="S526" s="464">
        <v>0.66666666666666663</v>
      </c>
      <c r="U526" s="1248">
        <f t="shared" si="2"/>
        <v>0</v>
      </c>
      <c r="V526" s="1304">
        <f t="shared" si="3"/>
        <v>1</v>
      </c>
    </row>
    <row r="527" spans="1:22" ht="16.5" thickTop="1" thickBot="1">
      <c r="A527" s="1244" t="s">
        <v>135</v>
      </c>
      <c r="B527" s="1249" t="s">
        <v>1100</v>
      </c>
      <c r="C527" s="1329" t="s">
        <v>2736</v>
      </c>
      <c r="D527" s="1326" t="s">
        <v>227</v>
      </c>
      <c r="E527" s="1249" t="s">
        <v>2955</v>
      </c>
      <c r="F527" s="455" t="s">
        <v>2957</v>
      </c>
      <c r="G527" s="456" t="s">
        <v>157</v>
      </c>
      <c r="H527" s="889">
        <v>3</v>
      </c>
      <c r="I527" s="891">
        <v>7.2709999999999999</v>
      </c>
      <c r="J527" s="601">
        <v>21.457999999999998</v>
      </c>
      <c r="K527" s="602">
        <v>0.2</v>
      </c>
      <c r="L527" s="981">
        <v>8</v>
      </c>
      <c r="M527" s="1249" t="s">
        <v>366</v>
      </c>
      <c r="N527" s="604" t="s">
        <v>227</v>
      </c>
      <c r="O527" s="465">
        <v>1</v>
      </c>
      <c r="P527" s="435"/>
      <c r="Q527" s="435"/>
      <c r="R527" s="401">
        <v>0</v>
      </c>
      <c r="S527" s="466">
        <v>0</v>
      </c>
      <c r="U527" s="1248">
        <f t="shared" si="2"/>
        <v>1</v>
      </c>
      <c r="V527" s="1304">
        <f t="shared" si="3"/>
        <v>1</v>
      </c>
    </row>
    <row r="528" spans="1:22" ht="16.5" thickTop="1" thickBot="1">
      <c r="A528" s="1244" t="s">
        <v>135</v>
      </c>
      <c r="B528" s="1245" t="s">
        <v>1100</v>
      </c>
      <c r="C528" s="1328" t="s">
        <v>2736</v>
      </c>
      <c r="D528" s="1327" t="s">
        <v>227</v>
      </c>
      <c r="E528" s="1245" t="s">
        <v>3127</v>
      </c>
      <c r="F528" s="457" t="s">
        <v>3128</v>
      </c>
      <c r="G528" s="458" t="s">
        <v>156</v>
      </c>
      <c r="H528" s="888">
        <v>2</v>
      </c>
      <c r="I528" s="890"/>
      <c r="J528" s="899"/>
      <c r="K528" s="603">
        <v>0</v>
      </c>
      <c r="L528" s="980">
        <v>1</v>
      </c>
      <c r="M528" s="1245" t="s">
        <v>366</v>
      </c>
      <c r="N528" s="604" t="s">
        <v>227</v>
      </c>
      <c r="O528" s="463"/>
      <c r="P528" s="434"/>
      <c r="Q528" s="434"/>
      <c r="R528" s="400">
        <v>0</v>
      </c>
      <c r="S528" s="464">
        <v>0</v>
      </c>
      <c r="U528" s="1248">
        <f t="shared" si="2"/>
        <v>1</v>
      </c>
      <c r="V528" s="1304">
        <f t="shared" si="3"/>
        <v>1</v>
      </c>
    </row>
    <row r="529" spans="1:22" ht="16.5" thickTop="1" thickBot="1">
      <c r="A529" s="1244" t="s">
        <v>135</v>
      </c>
      <c r="B529" s="1249" t="s">
        <v>1100</v>
      </c>
      <c r="C529" s="1329" t="s">
        <v>2736</v>
      </c>
      <c r="D529" s="1326" t="s">
        <v>227</v>
      </c>
      <c r="E529" s="1249" t="s">
        <v>3443</v>
      </c>
      <c r="F529" s="455" t="s">
        <v>3444</v>
      </c>
      <c r="G529" s="456" t="s">
        <v>156</v>
      </c>
      <c r="H529" s="889">
        <v>1</v>
      </c>
      <c r="I529" s="891"/>
      <c r="J529" s="601">
        <v>11.146000000000001</v>
      </c>
      <c r="K529" s="602">
        <v>0.33333333333333331</v>
      </c>
      <c r="L529" s="981">
        <v>4</v>
      </c>
      <c r="M529" s="1249" t="s">
        <v>322</v>
      </c>
      <c r="N529" s="604" t="s">
        <v>227</v>
      </c>
      <c r="O529" s="465">
        <v>3</v>
      </c>
      <c r="P529" s="435">
        <v>11.146000000000001</v>
      </c>
      <c r="Q529" s="435">
        <v>1</v>
      </c>
      <c r="R529" s="401">
        <v>1</v>
      </c>
      <c r="S529" s="466">
        <v>0.4</v>
      </c>
      <c r="U529" s="1248">
        <f t="shared" si="2"/>
        <v>0</v>
      </c>
      <c r="V529" s="1304">
        <f t="shared" si="3"/>
        <v>1</v>
      </c>
    </row>
    <row r="530" spans="1:22" ht="16.5" thickTop="1" thickBot="1">
      <c r="A530" s="1244" t="s">
        <v>135</v>
      </c>
      <c r="B530" s="1245" t="s">
        <v>1100</v>
      </c>
      <c r="C530" s="1328" t="s">
        <v>2736</v>
      </c>
      <c r="D530" s="1327" t="s">
        <v>227</v>
      </c>
      <c r="E530" s="1245" t="s">
        <v>3725</v>
      </c>
      <c r="F530" s="457" t="s">
        <v>3726</v>
      </c>
      <c r="G530" s="458" t="s">
        <v>155</v>
      </c>
      <c r="H530" s="888"/>
      <c r="I530" s="890"/>
      <c r="J530" s="899"/>
      <c r="K530" s="603">
        <v>0</v>
      </c>
      <c r="L530" s="980">
        <v>4</v>
      </c>
      <c r="M530" s="1245" t="s">
        <v>366</v>
      </c>
      <c r="N530" s="604" t="s">
        <v>227</v>
      </c>
      <c r="O530" s="463"/>
      <c r="P530" s="434"/>
      <c r="Q530" s="434"/>
      <c r="R530" s="400">
        <v>0</v>
      </c>
      <c r="S530" s="464">
        <v>0</v>
      </c>
      <c r="U530" s="1248">
        <f t="shared" si="2"/>
        <v>1</v>
      </c>
      <c r="V530" s="1304">
        <f t="shared" si="3"/>
        <v>0</v>
      </c>
    </row>
    <row r="531" spans="1:22" ht="16.5" thickTop="1" thickBot="1">
      <c r="A531" s="1244" t="s">
        <v>135</v>
      </c>
      <c r="B531" s="1249" t="s">
        <v>1100</v>
      </c>
      <c r="C531" s="1329" t="s">
        <v>2736</v>
      </c>
      <c r="D531" s="1326" t="s">
        <v>227</v>
      </c>
      <c r="E531" s="1249" t="s">
        <v>3727</v>
      </c>
      <c r="F531" s="455" t="s">
        <v>3728</v>
      </c>
      <c r="G531" s="456" t="s">
        <v>156</v>
      </c>
      <c r="H531" s="889">
        <v>0</v>
      </c>
      <c r="I531" s="891"/>
      <c r="J531" s="601"/>
      <c r="K531" s="602">
        <v>0</v>
      </c>
      <c r="L531" s="981">
        <v>2</v>
      </c>
      <c r="M531" s="1249" t="s">
        <v>227</v>
      </c>
      <c r="N531" s="604" t="s">
        <v>227</v>
      </c>
      <c r="O531" s="465">
        <v>2</v>
      </c>
      <c r="P531" s="435"/>
      <c r="Q531" s="435"/>
      <c r="R531" s="401">
        <v>0</v>
      </c>
      <c r="S531" s="466">
        <v>0</v>
      </c>
      <c r="U531" s="1248">
        <f t="shared" si="2"/>
        <v>0</v>
      </c>
      <c r="V531" s="1304">
        <f t="shared" si="3"/>
        <v>1</v>
      </c>
    </row>
    <row r="532" spans="1:22" ht="16.5" thickTop="1" thickBot="1">
      <c r="A532" s="1244" t="s">
        <v>135</v>
      </c>
      <c r="B532" s="1245" t="s">
        <v>1419</v>
      </c>
      <c r="C532" s="1328" t="s">
        <v>227</v>
      </c>
      <c r="D532" s="1327" t="s">
        <v>227</v>
      </c>
      <c r="E532" s="1245" t="s">
        <v>1464</v>
      </c>
      <c r="F532" s="457" t="s">
        <v>1465</v>
      </c>
      <c r="G532" s="458" t="s">
        <v>156</v>
      </c>
      <c r="H532" s="888">
        <v>14</v>
      </c>
      <c r="I532" s="890">
        <v>144.328</v>
      </c>
      <c r="J532" s="899">
        <v>359.01499999999999</v>
      </c>
      <c r="K532" s="603">
        <v>0.23333333333333334</v>
      </c>
      <c r="L532" s="980">
        <v>6</v>
      </c>
      <c r="M532" s="1245" t="s">
        <v>321</v>
      </c>
      <c r="N532" s="604" t="s">
        <v>227</v>
      </c>
      <c r="O532" s="463"/>
      <c r="P532" s="434">
        <v>15.278</v>
      </c>
      <c r="Q532" s="434">
        <v>1</v>
      </c>
      <c r="R532" s="400">
        <v>1</v>
      </c>
      <c r="S532" s="464">
        <v>0.16666666666666666</v>
      </c>
      <c r="U532" s="1248">
        <f t="shared" si="2"/>
        <v>0</v>
      </c>
      <c r="V532" s="1304">
        <f t="shared" si="3"/>
        <v>1</v>
      </c>
    </row>
    <row r="533" spans="1:22" ht="16.5" thickTop="1" thickBot="1">
      <c r="A533" s="1244" t="s">
        <v>135</v>
      </c>
      <c r="B533" s="1249" t="s">
        <v>1419</v>
      </c>
      <c r="C533" s="1329" t="s">
        <v>227</v>
      </c>
      <c r="D533" s="1326" t="s">
        <v>227</v>
      </c>
      <c r="E533" s="1249" t="s">
        <v>1468</v>
      </c>
      <c r="F533" s="455" t="s">
        <v>1469</v>
      </c>
      <c r="G533" s="456" t="s">
        <v>156</v>
      </c>
      <c r="H533" s="889">
        <v>14</v>
      </c>
      <c r="I533" s="891">
        <v>362.01799999999997</v>
      </c>
      <c r="J533" s="601">
        <v>781.38400000000001</v>
      </c>
      <c r="K533" s="602">
        <v>0.39153439153439151</v>
      </c>
      <c r="L533" s="981">
        <v>7</v>
      </c>
      <c r="M533" s="1249" t="s">
        <v>323</v>
      </c>
      <c r="N533" s="604" t="s">
        <v>227</v>
      </c>
      <c r="O533" s="465">
        <v>1</v>
      </c>
      <c r="P533" s="435">
        <v>83.296999999999997</v>
      </c>
      <c r="Q533" s="435">
        <v>8</v>
      </c>
      <c r="R533" s="401">
        <v>3</v>
      </c>
      <c r="S533" s="466">
        <v>0.42857142857142855</v>
      </c>
      <c r="U533" s="1248">
        <f t="shared" si="2"/>
        <v>0</v>
      </c>
      <c r="V533" s="1304">
        <f t="shared" si="3"/>
        <v>1</v>
      </c>
    </row>
    <row r="534" spans="1:22" ht="16.5" thickTop="1" thickBot="1">
      <c r="A534" s="1244" t="s">
        <v>135</v>
      </c>
      <c r="B534" s="1245" t="s">
        <v>1419</v>
      </c>
      <c r="C534" s="1328" t="s">
        <v>227</v>
      </c>
      <c r="D534" s="1327" t="s">
        <v>227</v>
      </c>
      <c r="E534" s="1245" t="s">
        <v>2349</v>
      </c>
      <c r="F534" s="457" t="s">
        <v>2350</v>
      </c>
      <c r="G534" s="458" t="s">
        <v>156</v>
      </c>
      <c r="H534" s="888">
        <v>7</v>
      </c>
      <c r="I534" s="890">
        <v>77.028999999999996</v>
      </c>
      <c r="J534" s="899">
        <v>144.762</v>
      </c>
      <c r="K534" s="603">
        <v>0.25806451612903225</v>
      </c>
      <c r="L534" s="980">
        <v>4</v>
      </c>
      <c r="M534" s="1245" t="s">
        <v>321</v>
      </c>
      <c r="N534" s="604" t="s">
        <v>227</v>
      </c>
      <c r="O534" s="463"/>
      <c r="P534" s="434"/>
      <c r="Q534" s="434"/>
      <c r="R534" s="400">
        <v>0</v>
      </c>
      <c r="S534" s="464">
        <v>0</v>
      </c>
      <c r="U534" s="1248">
        <f t="shared" si="2"/>
        <v>0</v>
      </c>
      <c r="V534" s="1304">
        <f t="shared" si="3"/>
        <v>1</v>
      </c>
    </row>
    <row r="535" spans="1:22" ht="16.5" thickTop="1" thickBot="1">
      <c r="A535" s="1244" t="s">
        <v>135</v>
      </c>
      <c r="B535" s="1249" t="s">
        <v>1419</v>
      </c>
      <c r="C535" s="1329" t="s">
        <v>227</v>
      </c>
      <c r="D535" s="1326" t="s">
        <v>227</v>
      </c>
      <c r="E535" s="1249" t="s">
        <v>2347</v>
      </c>
      <c r="F535" s="455" t="s">
        <v>2348</v>
      </c>
      <c r="G535" s="456" t="s">
        <v>156</v>
      </c>
      <c r="H535" s="889">
        <v>7</v>
      </c>
      <c r="I535" s="891">
        <v>167.86099999999999</v>
      </c>
      <c r="J535" s="601">
        <v>221.94800000000001</v>
      </c>
      <c r="K535" s="602">
        <v>0.35294117647058826</v>
      </c>
      <c r="L535" s="981">
        <v>13</v>
      </c>
      <c r="M535" s="1249" t="s">
        <v>323</v>
      </c>
      <c r="N535" s="604" t="s">
        <v>227</v>
      </c>
      <c r="O535" s="465">
        <v>6</v>
      </c>
      <c r="P535" s="435">
        <v>41.313000000000002</v>
      </c>
      <c r="Q535" s="435">
        <v>6</v>
      </c>
      <c r="R535" s="401">
        <v>6</v>
      </c>
      <c r="S535" s="466">
        <v>0.6</v>
      </c>
      <c r="U535" s="1248">
        <f t="shared" si="2"/>
        <v>0</v>
      </c>
      <c r="V535" s="1304">
        <f t="shared" si="3"/>
        <v>1</v>
      </c>
    </row>
    <row r="536" spans="1:22" ht="16.5" thickTop="1" thickBot="1">
      <c r="A536" s="1244" t="s">
        <v>135</v>
      </c>
      <c r="B536" s="1245" t="s">
        <v>1419</v>
      </c>
      <c r="C536" s="1328" t="s">
        <v>227</v>
      </c>
      <c r="D536" s="1327" t="s">
        <v>227</v>
      </c>
      <c r="E536" s="1245" t="s">
        <v>3227</v>
      </c>
      <c r="F536" s="457" t="s">
        <v>3228</v>
      </c>
      <c r="G536" s="458" t="s">
        <v>155</v>
      </c>
      <c r="H536" s="888"/>
      <c r="I536" s="890"/>
      <c r="J536" s="899">
        <v>37.197000000000003</v>
      </c>
      <c r="K536" s="603">
        <v>0.66666666666666663</v>
      </c>
      <c r="L536" s="980">
        <v>3</v>
      </c>
      <c r="M536" s="1245" t="s">
        <v>366</v>
      </c>
      <c r="N536" s="604" t="s">
        <v>227</v>
      </c>
      <c r="O536" s="463">
        <v>1</v>
      </c>
      <c r="P536" s="434">
        <v>25.303999999999998</v>
      </c>
      <c r="Q536" s="434">
        <v>3</v>
      </c>
      <c r="R536" s="400">
        <v>2</v>
      </c>
      <c r="S536" s="464">
        <v>0.8</v>
      </c>
      <c r="U536" s="1248">
        <f t="shared" si="2"/>
        <v>1</v>
      </c>
      <c r="V536" s="1304">
        <f t="shared" si="3"/>
        <v>0</v>
      </c>
    </row>
    <row r="537" spans="1:22" ht="16.5" thickTop="1" thickBot="1">
      <c r="A537" s="1244" t="s">
        <v>135</v>
      </c>
      <c r="B537" s="1249" t="s">
        <v>1419</v>
      </c>
      <c r="C537" s="1329" t="s">
        <v>227</v>
      </c>
      <c r="D537" s="1326" t="s">
        <v>227</v>
      </c>
      <c r="E537" s="1249" t="s">
        <v>3729</v>
      </c>
      <c r="F537" s="455" t="s">
        <v>3730</v>
      </c>
      <c r="G537" s="456" t="s">
        <v>155</v>
      </c>
      <c r="H537" s="889"/>
      <c r="I537" s="891"/>
      <c r="J537" s="601">
        <v>22.623000000000001</v>
      </c>
      <c r="K537" s="602">
        <v>0.5714285714285714</v>
      </c>
      <c r="L537" s="981">
        <v>4</v>
      </c>
      <c r="M537" s="1249" t="s">
        <v>366</v>
      </c>
      <c r="N537" s="604" t="s">
        <v>227</v>
      </c>
      <c r="O537" s="465">
        <v>1</v>
      </c>
      <c r="P537" s="435">
        <v>22.623000000000001</v>
      </c>
      <c r="Q537" s="435">
        <v>2</v>
      </c>
      <c r="R537" s="401">
        <v>2</v>
      </c>
      <c r="S537" s="466">
        <v>0.5714285714285714</v>
      </c>
      <c r="U537" s="1248">
        <f t="shared" si="2"/>
        <v>1</v>
      </c>
      <c r="V537" s="1304">
        <f t="shared" si="3"/>
        <v>0</v>
      </c>
    </row>
    <row r="538" spans="1:22" ht="16.5" thickTop="1" thickBot="1">
      <c r="A538" s="1244" t="s">
        <v>135</v>
      </c>
      <c r="B538" s="1245" t="s">
        <v>1419</v>
      </c>
      <c r="C538" s="1328" t="s">
        <v>1429</v>
      </c>
      <c r="D538" s="1327" t="s">
        <v>227</v>
      </c>
      <c r="E538" s="1245" t="s">
        <v>1429</v>
      </c>
      <c r="F538" s="457" t="s">
        <v>1431</v>
      </c>
      <c r="G538" s="458" t="s">
        <v>739</v>
      </c>
      <c r="H538" s="888">
        <v>14</v>
      </c>
      <c r="I538" s="890"/>
      <c r="J538" s="899">
        <v>204.273</v>
      </c>
      <c r="K538" s="603">
        <v>0.2696629213483146</v>
      </c>
      <c r="L538" s="980">
        <v>3</v>
      </c>
      <c r="M538" s="1245" t="s">
        <v>322</v>
      </c>
      <c r="N538" s="604" t="s">
        <v>227</v>
      </c>
      <c r="O538" s="463"/>
      <c r="P538" s="434"/>
      <c r="Q538" s="434"/>
      <c r="R538" s="400">
        <v>0</v>
      </c>
      <c r="S538" s="464">
        <v>0</v>
      </c>
      <c r="U538" s="1248">
        <f t="shared" si="2"/>
        <v>0</v>
      </c>
      <c r="V538" s="1304">
        <f t="shared" si="3"/>
        <v>1</v>
      </c>
    </row>
    <row r="539" spans="1:22" ht="16.5" thickTop="1" thickBot="1">
      <c r="A539" s="1244" t="s">
        <v>135</v>
      </c>
      <c r="B539" s="1249" t="s">
        <v>1419</v>
      </c>
      <c r="C539" s="1329" t="s">
        <v>1429</v>
      </c>
      <c r="D539" s="1326" t="s">
        <v>227</v>
      </c>
      <c r="E539" s="1249" t="s">
        <v>1470</v>
      </c>
      <c r="F539" s="455" t="s">
        <v>1471</v>
      </c>
      <c r="G539" s="456" t="s">
        <v>156</v>
      </c>
      <c r="H539" s="889">
        <v>14</v>
      </c>
      <c r="I539" s="891">
        <v>43.052</v>
      </c>
      <c r="J539" s="601">
        <v>232.55799999999999</v>
      </c>
      <c r="K539" s="602">
        <v>0.18633540372670807</v>
      </c>
      <c r="L539" s="981">
        <v>10</v>
      </c>
      <c r="M539" s="1249" t="s">
        <v>322</v>
      </c>
      <c r="N539" s="604" t="s">
        <v>227</v>
      </c>
      <c r="O539" s="465">
        <v>1</v>
      </c>
      <c r="P539" s="435">
        <v>-12.54</v>
      </c>
      <c r="Q539" s="435">
        <v>-1</v>
      </c>
      <c r="R539" s="401">
        <v>0</v>
      </c>
      <c r="S539" s="466">
        <v>0</v>
      </c>
      <c r="U539" s="1248">
        <f t="shared" si="2"/>
        <v>0</v>
      </c>
      <c r="V539" s="1304">
        <f t="shared" si="3"/>
        <v>1</v>
      </c>
    </row>
    <row r="540" spans="1:22" ht="16.5" thickTop="1" thickBot="1">
      <c r="A540" s="1244" t="s">
        <v>135</v>
      </c>
      <c r="B540" s="1245" t="s">
        <v>1419</v>
      </c>
      <c r="C540" s="1328" t="s">
        <v>1429</v>
      </c>
      <c r="D540" s="1327" t="s">
        <v>227</v>
      </c>
      <c r="E540" s="1245" t="s">
        <v>1472</v>
      </c>
      <c r="F540" s="457" t="s">
        <v>1473</v>
      </c>
      <c r="G540" s="458" t="s">
        <v>157</v>
      </c>
      <c r="H540" s="888">
        <v>14</v>
      </c>
      <c r="I540" s="890">
        <v>30.736000000000001</v>
      </c>
      <c r="J540" s="899">
        <v>256.12400000000002</v>
      </c>
      <c r="K540" s="603">
        <v>0.27272727272727271</v>
      </c>
      <c r="L540" s="980">
        <v>6</v>
      </c>
      <c r="M540" s="1245" t="s">
        <v>322</v>
      </c>
      <c r="N540" s="604" t="s">
        <v>227</v>
      </c>
      <c r="O540" s="463"/>
      <c r="P540" s="434"/>
      <c r="Q540" s="434"/>
      <c r="R540" s="400">
        <v>0</v>
      </c>
      <c r="S540" s="464">
        <v>0</v>
      </c>
      <c r="U540" s="1248">
        <f t="shared" si="2"/>
        <v>0</v>
      </c>
      <c r="V540" s="1304">
        <f t="shared" si="3"/>
        <v>1</v>
      </c>
    </row>
    <row r="541" spans="1:22" ht="16.5" thickTop="1" thickBot="1">
      <c r="A541" s="1244" t="s">
        <v>135</v>
      </c>
      <c r="B541" s="1249" t="s">
        <v>1419</v>
      </c>
      <c r="C541" s="1329" t="s">
        <v>1429</v>
      </c>
      <c r="D541" s="1326" t="s">
        <v>227</v>
      </c>
      <c r="E541" s="1249" t="s">
        <v>1474</v>
      </c>
      <c r="F541" s="455" t="s">
        <v>1475</v>
      </c>
      <c r="G541" s="456" t="s">
        <v>157</v>
      </c>
      <c r="H541" s="889">
        <v>14</v>
      </c>
      <c r="I541" s="891">
        <v>103.807</v>
      </c>
      <c r="J541" s="601">
        <v>652.66300000000001</v>
      </c>
      <c r="K541" s="602">
        <v>0.41176470588235292</v>
      </c>
      <c r="L541" s="981">
        <v>4</v>
      </c>
      <c r="M541" s="1249" t="s">
        <v>323</v>
      </c>
      <c r="N541" s="604" t="s">
        <v>227</v>
      </c>
      <c r="O541" s="465"/>
      <c r="P541" s="435">
        <v>0</v>
      </c>
      <c r="Q541" s="435"/>
      <c r="R541" s="401">
        <v>0</v>
      </c>
      <c r="S541" s="466">
        <v>0</v>
      </c>
      <c r="U541" s="1248">
        <f t="shared" si="2"/>
        <v>0</v>
      </c>
      <c r="V541" s="1304">
        <f t="shared" si="3"/>
        <v>1</v>
      </c>
    </row>
    <row r="542" spans="1:22" ht="16.5" thickTop="1" thickBot="1">
      <c r="A542" s="1244" t="s">
        <v>135</v>
      </c>
      <c r="B542" s="1245" t="s">
        <v>1419</v>
      </c>
      <c r="C542" s="1328" t="s">
        <v>1429</v>
      </c>
      <c r="D542" s="1327" t="s">
        <v>227</v>
      </c>
      <c r="E542" s="1245" t="s">
        <v>2122</v>
      </c>
      <c r="F542" s="457" t="s">
        <v>2123</v>
      </c>
      <c r="G542" s="458" t="s">
        <v>155</v>
      </c>
      <c r="H542" s="888"/>
      <c r="I542" s="890"/>
      <c r="J542" s="899">
        <v>74.328999999999994</v>
      </c>
      <c r="K542" s="603">
        <v>0.19178082191780821</v>
      </c>
      <c r="L542" s="980">
        <v>5</v>
      </c>
      <c r="M542" s="1245" t="s">
        <v>366</v>
      </c>
      <c r="N542" s="604" t="s">
        <v>227</v>
      </c>
      <c r="O542" s="463"/>
      <c r="P542" s="434"/>
      <c r="Q542" s="434"/>
      <c r="R542" s="400">
        <v>0</v>
      </c>
      <c r="S542" s="464">
        <v>0</v>
      </c>
      <c r="U542" s="1248">
        <f t="shared" si="2"/>
        <v>1</v>
      </c>
      <c r="V542" s="1304">
        <f t="shared" si="3"/>
        <v>0</v>
      </c>
    </row>
    <row r="543" spans="1:22" ht="16.5" thickTop="1" thickBot="1">
      <c r="A543" s="1244" t="s">
        <v>135</v>
      </c>
      <c r="B543" s="1249" t="s">
        <v>1419</v>
      </c>
      <c r="C543" s="1329" t="s">
        <v>1429</v>
      </c>
      <c r="D543" s="1326" t="s">
        <v>227</v>
      </c>
      <c r="E543" s="1249" t="s">
        <v>2124</v>
      </c>
      <c r="F543" s="455" t="s">
        <v>2125</v>
      </c>
      <c r="G543" s="456" t="s">
        <v>156</v>
      </c>
      <c r="H543" s="889">
        <v>9</v>
      </c>
      <c r="I543" s="891">
        <v>265.19400000000002</v>
      </c>
      <c r="J543" s="601">
        <v>308.32299999999998</v>
      </c>
      <c r="K543" s="602">
        <v>0.42105263157894735</v>
      </c>
      <c r="L543" s="981">
        <v>6</v>
      </c>
      <c r="M543" s="1249" t="s">
        <v>323</v>
      </c>
      <c r="N543" s="604" t="s">
        <v>227</v>
      </c>
      <c r="O543" s="465"/>
      <c r="P543" s="435">
        <v>59.902000000000001</v>
      </c>
      <c r="Q543" s="435">
        <v>3</v>
      </c>
      <c r="R543" s="401">
        <v>3</v>
      </c>
      <c r="S543" s="466">
        <v>0.46153846153846156</v>
      </c>
      <c r="U543" s="1248">
        <f t="shared" si="2"/>
        <v>0</v>
      </c>
      <c r="V543" s="1304">
        <f t="shared" si="3"/>
        <v>1</v>
      </c>
    </row>
    <row r="544" spans="1:22" ht="16.5" thickTop="1" thickBot="1">
      <c r="A544" s="1244" t="s">
        <v>244</v>
      </c>
      <c r="B544" s="1245" t="s">
        <v>1419</v>
      </c>
      <c r="C544" s="1328" t="s">
        <v>1429</v>
      </c>
      <c r="D544" s="1327" t="s">
        <v>227</v>
      </c>
      <c r="E544" s="1245" t="s">
        <v>2480</v>
      </c>
      <c r="F544" s="457" t="s">
        <v>2481</v>
      </c>
      <c r="G544" s="458" t="s">
        <v>155</v>
      </c>
      <c r="H544" s="888"/>
      <c r="I544" s="890"/>
      <c r="J544" s="899"/>
      <c r="K544" s="603">
        <v>0</v>
      </c>
      <c r="L544" s="980">
        <v>2</v>
      </c>
      <c r="M544" s="1245" t="s">
        <v>366</v>
      </c>
      <c r="N544" s="604" t="s">
        <v>227</v>
      </c>
      <c r="O544" s="463">
        <v>1</v>
      </c>
      <c r="P544" s="434"/>
      <c r="Q544" s="434"/>
      <c r="R544" s="400">
        <v>0</v>
      </c>
      <c r="S544" s="464">
        <v>0</v>
      </c>
      <c r="U544" s="1248">
        <f t="shared" si="2"/>
        <v>1</v>
      </c>
      <c r="V544" s="1304">
        <f t="shared" si="3"/>
        <v>0</v>
      </c>
    </row>
    <row r="545" spans="1:22" ht="16.5" thickTop="1" thickBot="1">
      <c r="A545" s="1244" t="s">
        <v>244</v>
      </c>
      <c r="B545" s="1249" t="s">
        <v>1419</v>
      </c>
      <c r="C545" s="1329" t="s">
        <v>1429</v>
      </c>
      <c r="D545" s="1326" t="s">
        <v>227</v>
      </c>
      <c r="E545" s="1249" t="s">
        <v>2582</v>
      </c>
      <c r="F545" s="455" t="s">
        <v>2583</v>
      </c>
      <c r="G545" s="456" t="s">
        <v>156</v>
      </c>
      <c r="H545" s="889">
        <v>5</v>
      </c>
      <c r="I545" s="891">
        <v>45.100999999999999</v>
      </c>
      <c r="J545" s="601">
        <v>160.416</v>
      </c>
      <c r="K545" s="602">
        <v>0.4</v>
      </c>
      <c r="L545" s="981">
        <v>8</v>
      </c>
      <c r="M545" s="1249" t="s">
        <v>323</v>
      </c>
      <c r="N545" s="604" t="s">
        <v>227</v>
      </c>
      <c r="O545" s="465">
        <v>1</v>
      </c>
      <c r="P545" s="435">
        <v>14.178000000000001</v>
      </c>
      <c r="Q545" s="435">
        <v>1</v>
      </c>
      <c r="R545" s="401">
        <v>1</v>
      </c>
      <c r="S545" s="466">
        <v>0.13333333333333333</v>
      </c>
      <c r="U545" s="1248">
        <f t="shared" si="2"/>
        <v>0</v>
      </c>
      <c r="V545" s="1304">
        <f t="shared" si="3"/>
        <v>1</v>
      </c>
    </row>
    <row r="546" spans="1:22" ht="16.5" thickTop="1" thickBot="1">
      <c r="A546" s="1244" t="s">
        <v>244</v>
      </c>
      <c r="B546" s="1245" t="s">
        <v>1419</v>
      </c>
      <c r="C546" s="1328" t="s">
        <v>1429</v>
      </c>
      <c r="D546" s="1327" t="s">
        <v>227</v>
      </c>
      <c r="E546" s="1245" t="s">
        <v>2981</v>
      </c>
      <c r="F546" s="457" t="s">
        <v>2982</v>
      </c>
      <c r="G546" s="458" t="s">
        <v>156</v>
      </c>
      <c r="H546" s="888">
        <v>2</v>
      </c>
      <c r="I546" s="890">
        <v>27.103999999999999</v>
      </c>
      <c r="J546" s="899">
        <v>92.933000000000007</v>
      </c>
      <c r="K546" s="603">
        <v>0.72727272727272729</v>
      </c>
      <c r="L546" s="980">
        <v>6</v>
      </c>
      <c r="M546" s="1245" t="s">
        <v>323</v>
      </c>
      <c r="N546" s="604" t="s">
        <v>227</v>
      </c>
      <c r="O546" s="463"/>
      <c r="P546" s="434">
        <v>20.323</v>
      </c>
      <c r="Q546" s="434">
        <v>2</v>
      </c>
      <c r="R546" s="400">
        <v>2</v>
      </c>
      <c r="S546" s="464">
        <v>0.33333333333333331</v>
      </c>
      <c r="U546" s="1248">
        <f t="shared" si="2"/>
        <v>0</v>
      </c>
      <c r="V546" s="1304">
        <f t="shared" si="3"/>
        <v>1</v>
      </c>
    </row>
    <row r="547" spans="1:22" ht="16.5" thickTop="1" thickBot="1">
      <c r="A547" s="1244" t="s">
        <v>244</v>
      </c>
      <c r="B547" s="1249" t="s">
        <v>1419</v>
      </c>
      <c r="C547" s="1329" t="s">
        <v>1429</v>
      </c>
      <c r="D547" s="1326" t="s">
        <v>227</v>
      </c>
      <c r="E547" s="1249" t="s">
        <v>3731</v>
      </c>
      <c r="F547" s="455" t="s">
        <v>3732</v>
      </c>
      <c r="G547" s="456" t="s">
        <v>155</v>
      </c>
      <c r="H547" s="889"/>
      <c r="I547" s="891"/>
      <c r="J547" s="601">
        <v>63.774000000000001</v>
      </c>
      <c r="K547" s="602">
        <v>1</v>
      </c>
      <c r="L547" s="981">
        <v>2</v>
      </c>
      <c r="M547" s="1249" t="s">
        <v>366</v>
      </c>
      <c r="N547" s="604" t="s">
        <v>227</v>
      </c>
      <c r="O547" s="465"/>
      <c r="P547" s="435">
        <v>63.774000000000001</v>
      </c>
      <c r="Q547" s="435">
        <v>6</v>
      </c>
      <c r="R547" s="401">
        <v>2</v>
      </c>
      <c r="S547" s="466">
        <v>1</v>
      </c>
      <c r="U547" s="1248">
        <f t="shared" si="2"/>
        <v>1</v>
      </c>
      <c r="V547" s="1304">
        <f t="shared" si="3"/>
        <v>0</v>
      </c>
    </row>
    <row r="548" spans="1:22" ht="16.5" thickTop="1" thickBot="1">
      <c r="A548" s="1244" t="s">
        <v>244</v>
      </c>
      <c r="B548" s="1245" t="s">
        <v>1419</v>
      </c>
      <c r="C548" s="1328" t="s">
        <v>1432</v>
      </c>
      <c r="D548" s="1327" t="s">
        <v>227</v>
      </c>
      <c r="E548" s="1245" t="s">
        <v>1432</v>
      </c>
      <c r="F548" s="457" t="s">
        <v>982</v>
      </c>
      <c r="G548" s="458" t="s">
        <v>158</v>
      </c>
      <c r="H548" s="888">
        <v>14</v>
      </c>
      <c r="I548" s="890">
        <v>38.704000000000001</v>
      </c>
      <c r="J548" s="899">
        <v>173.54499999999999</v>
      </c>
      <c r="K548" s="603">
        <v>0.25974025974025972</v>
      </c>
      <c r="L548" s="980">
        <v>5</v>
      </c>
      <c r="M548" s="1245" t="s">
        <v>366</v>
      </c>
      <c r="N548" s="604" t="s">
        <v>227</v>
      </c>
      <c r="O548" s="463"/>
      <c r="P548" s="434">
        <v>0</v>
      </c>
      <c r="Q548" s="434"/>
      <c r="R548" s="400">
        <v>0</v>
      </c>
      <c r="S548" s="464">
        <v>0</v>
      </c>
      <c r="U548" s="1248">
        <f t="shared" si="2"/>
        <v>1</v>
      </c>
      <c r="V548" s="1304">
        <f t="shared" si="3"/>
        <v>1</v>
      </c>
    </row>
    <row r="549" spans="1:22" ht="16.5" thickTop="1" thickBot="1">
      <c r="A549" s="1244" t="s">
        <v>244</v>
      </c>
      <c r="B549" s="1249" t="s">
        <v>1419</v>
      </c>
      <c r="C549" s="1329" t="s">
        <v>1432</v>
      </c>
      <c r="D549" s="1326" t="s">
        <v>227</v>
      </c>
      <c r="E549" s="1249" t="s">
        <v>1717</v>
      </c>
      <c r="F549" s="455" t="s">
        <v>1718</v>
      </c>
      <c r="G549" s="456" t="s">
        <v>156</v>
      </c>
      <c r="H549" s="889">
        <v>12</v>
      </c>
      <c r="I549" s="891">
        <v>84.293000000000006</v>
      </c>
      <c r="J549" s="601">
        <v>169.399</v>
      </c>
      <c r="K549" s="602">
        <v>0.24242424242424243</v>
      </c>
      <c r="L549" s="981">
        <v>3</v>
      </c>
      <c r="M549" s="1249" t="s">
        <v>366</v>
      </c>
      <c r="N549" s="604" t="s">
        <v>227</v>
      </c>
      <c r="O549" s="465"/>
      <c r="P549" s="435"/>
      <c r="Q549" s="435"/>
      <c r="R549" s="401">
        <v>0</v>
      </c>
      <c r="S549" s="466">
        <v>0</v>
      </c>
      <c r="U549" s="1248">
        <f t="shared" si="2"/>
        <v>1</v>
      </c>
      <c r="V549" s="1304">
        <f t="shared" si="3"/>
        <v>1</v>
      </c>
    </row>
    <row r="550" spans="1:22" ht="16.5" thickTop="1" thickBot="1">
      <c r="A550" s="1244" t="s">
        <v>244</v>
      </c>
      <c r="B550" s="1245" t="s">
        <v>1419</v>
      </c>
      <c r="C550" s="1328" t="s">
        <v>1432</v>
      </c>
      <c r="D550" s="1327" t="s">
        <v>227</v>
      </c>
      <c r="E550" s="1245" t="s">
        <v>1987</v>
      </c>
      <c r="F550" s="457" t="s">
        <v>1988</v>
      </c>
      <c r="G550" s="458" t="s">
        <v>156</v>
      </c>
      <c r="H550" s="888">
        <v>10</v>
      </c>
      <c r="I550" s="890">
        <v>46.75</v>
      </c>
      <c r="J550" s="899">
        <v>130.91800000000001</v>
      </c>
      <c r="K550" s="603">
        <v>0.22857142857142856</v>
      </c>
      <c r="L550" s="980">
        <v>4</v>
      </c>
      <c r="M550" s="1245" t="s">
        <v>366</v>
      </c>
      <c r="N550" s="604" t="s">
        <v>227</v>
      </c>
      <c r="O550" s="463"/>
      <c r="P550" s="434">
        <v>9.5489999999999995</v>
      </c>
      <c r="Q550" s="434">
        <v>1</v>
      </c>
      <c r="R550" s="400">
        <v>1</v>
      </c>
      <c r="S550" s="464">
        <v>0.25</v>
      </c>
      <c r="U550" s="1248">
        <f t="shared" si="2"/>
        <v>1</v>
      </c>
      <c r="V550" s="1304">
        <f t="shared" si="3"/>
        <v>1</v>
      </c>
    </row>
    <row r="551" spans="1:22" ht="16.5" thickTop="1" thickBot="1">
      <c r="A551" s="1244" t="s">
        <v>244</v>
      </c>
      <c r="B551" s="1249" t="s">
        <v>1419</v>
      </c>
      <c r="C551" s="1329" t="s">
        <v>1432</v>
      </c>
      <c r="D551" s="1326" t="s">
        <v>227</v>
      </c>
      <c r="E551" s="1249" t="s">
        <v>2482</v>
      </c>
      <c r="F551" s="455" t="s">
        <v>2483</v>
      </c>
      <c r="G551" s="456" t="s">
        <v>156</v>
      </c>
      <c r="H551" s="889">
        <v>7</v>
      </c>
      <c r="I551" s="891">
        <v>34.677</v>
      </c>
      <c r="J551" s="601">
        <v>207.256</v>
      </c>
      <c r="K551" s="602">
        <v>0.25</v>
      </c>
      <c r="L551" s="981">
        <v>6</v>
      </c>
      <c r="M551" s="1249" t="s">
        <v>323</v>
      </c>
      <c r="N551" s="604" t="s">
        <v>227</v>
      </c>
      <c r="O551" s="465"/>
      <c r="P551" s="435">
        <v>10.101000000000001</v>
      </c>
      <c r="Q551" s="435"/>
      <c r="R551" s="401">
        <v>0</v>
      </c>
      <c r="S551" s="466">
        <v>0</v>
      </c>
      <c r="U551" s="1248">
        <f t="shared" si="2"/>
        <v>0</v>
      </c>
      <c r="V551" s="1304">
        <f t="shared" si="3"/>
        <v>1</v>
      </c>
    </row>
    <row r="552" spans="1:22" ht="16.5" thickTop="1" thickBot="1">
      <c r="A552" s="1244" t="s">
        <v>244</v>
      </c>
      <c r="B552" s="1245" t="s">
        <v>1419</v>
      </c>
      <c r="C552" s="1328" t="s">
        <v>1432</v>
      </c>
      <c r="D552" s="1327" t="s">
        <v>227</v>
      </c>
      <c r="E552" s="1245" t="s">
        <v>2484</v>
      </c>
      <c r="F552" s="457" t="s">
        <v>772</v>
      </c>
      <c r="G552" s="458" t="s">
        <v>155</v>
      </c>
      <c r="H552" s="888"/>
      <c r="I552" s="890"/>
      <c r="J552" s="899"/>
      <c r="K552" s="603">
        <v>0</v>
      </c>
      <c r="L552" s="980">
        <v>2</v>
      </c>
      <c r="M552" s="1245" t="s">
        <v>366</v>
      </c>
      <c r="N552" s="604" t="s">
        <v>227</v>
      </c>
      <c r="O552" s="463"/>
      <c r="P552" s="434"/>
      <c r="Q552" s="434"/>
      <c r="R552" s="400">
        <v>0</v>
      </c>
      <c r="S552" s="464">
        <v>0</v>
      </c>
      <c r="U552" s="1248">
        <f t="shared" ref="U552:U615" si="4">IF(M552="U_200",1,0)</f>
        <v>1</v>
      </c>
      <c r="V552" s="1304">
        <f t="shared" ref="V552:V615" si="5">IF(G552&lt;&gt;"US",1,0)</f>
        <v>0</v>
      </c>
    </row>
    <row r="553" spans="1:22" ht="16.5" thickTop="1" thickBot="1">
      <c r="A553" s="1244" t="s">
        <v>244</v>
      </c>
      <c r="B553" s="1249" t="s">
        <v>1419</v>
      </c>
      <c r="C553" s="1329" t="s">
        <v>1432</v>
      </c>
      <c r="D553" s="1326" t="s">
        <v>227</v>
      </c>
      <c r="E553" s="1249" t="s">
        <v>3229</v>
      </c>
      <c r="F553" s="455" t="s">
        <v>3230</v>
      </c>
      <c r="G553" s="456" t="s">
        <v>156</v>
      </c>
      <c r="H553" s="889">
        <v>2</v>
      </c>
      <c r="I553" s="891">
        <v>75.165000000000006</v>
      </c>
      <c r="J553" s="601">
        <v>75.165000000000006</v>
      </c>
      <c r="K553" s="602">
        <v>0.33333333333333331</v>
      </c>
      <c r="L553" s="981">
        <v>4</v>
      </c>
      <c r="M553" s="1249" t="s">
        <v>323</v>
      </c>
      <c r="N553" s="604" t="s">
        <v>227</v>
      </c>
      <c r="O553" s="465">
        <v>3</v>
      </c>
      <c r="P553" s="435">
        <v>75.165000000000006</v>
      </c>
      <c r="Q553" s="435">
        <v>4</v>
      </c>
      <c r="R553" s="401">
        <v>1</v>
      </c>
      <c r="S553" s="466">
        <v>0.4</v>
      </c>
      <c r="U553" s="1248">
        <f t="shared" si="4"/>
        <v>0</v>
      </c>
      <c r="V553" s="1304">
        <f t="shared" si="5"/>
        <v>1</v>
      </c>
    </row>
    <row r="554" spans="1:22" ht="16.5" thickTop="1" thickBot="1">
      <c r="A554" s="1244" t="s">
        <v>244</v>
      </c>
      <c r="B554" s="1245" t="s">
        <v>1419</v>
      </c>
      <c r="C554" s="1328" t="s">
        <v>3580</v>
      </c>
      <c r="D554" s="1327" t="s">
        <v>227</v>
      </c>
      <c r="E554" s="1245" t="s">
        <v>1466</v>
      </c>
      <c r="F554" s="457" t="s">
        <v>1467</v>
      </c>
      <c r="G554" s="458" t="s">
        <v>156</v>
      </c>
      <c r="H554" s="888">
        <v>14</v>
      </c>
      <c r="I554" s="890">
        <v>119.956</v>
      </c>
      <c r="J554" s="899">
        <v>420.8</v>
      </c>
      <c r="K554" s="603">
        <v>0.41025641025641024</v>
      </c>
      <c r="L554" s="980">
        <v>9</v>
      </c>
      <c r="M554" s="1245" t="s">
        <v>323</v>
      </c>
      <c r="N554" s="604" t="s">
        <v>227</v>
      </c>
      <c r="O554" s="463">
        <v>1</v>
      </c>
      <c r="P554" s="434">
        <v>44.801000000000002</v>
      </c>
      <c r="Q554" s="434">
        <v>4</v>
      </c>
      <c r="R554" s="400">
        <v>4</v>
      </c>
      <c r="S554" s="464">
        <v>0.47058823529411764</v>
      </c>
      <c r="U554" s="1248">
        <f t="shared" si="4"/>
        <v>0</v>
      </c>
      <c r="V554" s="1304">
        <f t="shared" si="5"/>
        <v>1</v>
      </c>
    </row>
    <row r="555" spans="1:22" ht="16.5" thickTop="1" thickBot="1">
      <c r="A555" s="1244" t="s">
        <v>244</v>
      </c>
      <c r="B555" s="1249" t="s">
        <v>1419</v>
      </c>
      <c r="C555" s="1329" t="s">
        <v>3580</v>
      </c>
      <c r="D555" s="1326" t="s">
        <v>227</v>
      </c>
      <c r="E555" s="1249" t="s">
        <v>3580</v>
      </c>
      <c r="F555" s="455" t="s">
        <v>3582</v>
      </c>
      <c r="G555" s="456" t="s">
        <v>158</v>
      </c>
      <c r="H555" s="889">
        <v>1</v>
      </c>
      <c r="I555" s="891">
        <v>104.45699999999999</v>
      </c>
      <c r="J555" s="601">
        <v>309.20999999999998</v>
      </c>
      <c r="K555" s="602">
        <v>1.7777777777777777</v>
      </c>
      <c r="L555" s="981">
        <v>9</v>
      </c>
      <c r="M555" s="1249" t="s">
        <v>323</v>
      </c>
      <c r="N555" s="604" t="s">
        <v>227</v>
      </c>
      <c r="O555" s="465">
        <v>10</v>
      </c>
      <c r="P555" s="435">
        <v>309.20999999999998</v>
      </c>
      <c r="Q555" s="435">
        <v>26</v>
      </c>
      <c r="R555" s="401">
        <v>8</v>
      </c>
      <c r="S555" s="466">
        <v>1.7777777777777777</v>
      </c>
      <c r="U555" s="1248">
        <f t="shared" si="4"/>
        <v>0</v>
      </c>
      <c r="V555" s="1304">
        <f t="shared" si="5"/>
        <v>1</v>
      </c>
    </row>
    <row r="556" spans="1:22" ht="16.5" thickTop="1" thickBot="1">
      <c r="A556" s="1244" t="s">
        <v>244</v>
      </c>
      <c r="B556" s="1245" t="s">
        <v>1419</v>
      </c>
      <c r="C556" s="1328" t="s">
        <v>3580</v>
      </c>
      <c r="D556" s="1327" t="s">
        <v>227</v>
      </c>
      <c r="E556" s="1245" t="s">
        <v>3733</v>
      </c>
      <c r="F556" s="457" t="s">
        <v>3734</v>
      </c>
      <c r="G556" s="458" t="s">
        <v>156</v>
      </c>
      <c r="H556" s="888">
        <v>1</v>
      </c>
      <c r="I556" s="890">
        <v>142.70699999999999</v>
      </c>
      <c r="J556" s="899">
        <v>336.154</v>
      </c>
      <c r="K556" s="603">
        <v>2</v>
      </c>
      <c r="L556" s="980">
        <v>8</v>
      </c>
      <c r="M556" s="1245" t="s">
        <v>323</v>
      </c>
      <c r="N556" s="604" t="s">
        <v>227</v>
      </c>
      <c r="O556" s="463">
        <v>8</v>
      </c>
      <c r="P556" s="434">
        <v>336.154</v>
      </c>
      <c r="Q556" s="434">
        <v>26</v>
      </c>
      <c r="R556" s="400">
        <v>8</v>
      </c>
      <c r="S556" s="464">
        <v>2</v>
      </c>
      <c r="U556" s="1248">
        <f t="shared" si="4"/>
        <v>0</v>
      </c>
      <c r="V556" s="1304">
        <f t="shared" si="5"/>
        <v>1</v>
      </c>
    </row>
    <row r="557" spans="1:22" ht="16.5" thickTop="1" thickBot="1">
      <c r="A557" s="1244" t="s">
        <v>244</v>
      </c>
      <c r="B557" s="1249" t="s">
        <v>1419</v>
      </c>
      <c r="C557" s="1329" t="s">
        <v>3580</v>
      </c>
      <c r="D557" s="1326" t="s">
        <v>227</v>
      </c>
      <c r="E557" s="1249" t="s">
        <v>3735</v>
      </c>
      <c r="F557" s="455" t="s">
        <v>3736</v>
      </c>
      <c r="G557" s="456" t="s">
        <v>156</v>
      </c>
      <c r="H557" s="889">
        <v>1</v>
      </c>
      <c r="I557" s="891"/>
      <c r="J557" s="601">
        <v>97.665999999999997</v>
      </c>
      <c r="K557" s="602">
        <v>1</v>
      </c>
      <c r="L557" s="981">
        <v>6</v>
      </c>
      <c r="M557" s="1249" t="s">
        <v>323</v>
      </c>
      <c r="N557" s="604" t="s">
        <v>227</v>
      </c>
      <c r="O557" s="465">
        <v>6</v>
      </c>
      <c r="P557" s="435">
        <v>97.665999999999997</v>
      </c>
      <c r="Q557" s="435">
        <v>9</v>
      </c>
      <c r="R557" s="401">
        <v>3</v>
      </c>
      <c r="S557" s="466">
        <v>1</v>
      </c>
      <c r="U557" s="1248">
        <f t="shared" si="4"/>
        <v>0</v>
      </c>
      <c r="V557" s="1304">
        <f t="shared" si="5"/>
        <v>1</v>
      </c>
    </row>
    <row r="558" spans="1:22" ht="16.5" thickTop="1" thickBot="1">
      <c r="A558" s="1244" t="s">
        <v>244</v>
      </c>
      <c r="B558" s="1245" t="s">
        <v>1419</v>
      </c>
      <c r="C558" s="1328" t="s">
        <v>3580</v>
      </c>
      <c r="D558" s="1327" t="s">
        <v>227</v>
      </c>
      <c r="E558" s="1245" t="s">
        <v>3634</v>
      </c>
      <c r="F558" s="457" t="s">
        <v>3636</v>
      </c>
      <c r="G558" s="458" t="s">
        <v>157</v>
      </c>
      <c r="H558" s="888">
        <v>1</v>
      </c>
      <c r="I558" s="890"/>
      <c r="J558" s="899"/>
      <c r="K558" s="603">
        <v>0</v>
      </c>
      <c r="L558" s="980">
        <v>2</v>
      </c>
      <c r="M558" s="1245" t="s">
        <v>366</v>
      </c>
      <c r="N558" s="604" t="s">
        <v>227</v>
      </c>
      <c r="O558" s="463">
        <v>2</v>
      </c>
      <c r="P558" s="434"/>
      <c r="Q558" s="434"/>
      <c r="R558" s="400">
        <v>0</v>
      </c>
      <c r="S558" s="464">
        <v>0</v>
      </c>
      <c r="U558" s="1248">
        <f t="shared" si="4"/>
        <v>1</v>
      </c>
      <c r="V558" s="1304">
        <f t="shared" si="5"/>
        <v>1</v>
      </c>
    </row>
    <row r="559" spans="1:22" ht="16.5" thickTop="1" thickBot="1">
      <c r="A559" s="1244" t="s">
        <v>244</v>
      </c>
      <c r="B559" s="1249" t="s">
        <v>1103</v>
      </c>
      <c r="C559" s="1329" t="s">
        <v>227</v>
      </c>
      <c r="D559" s="1326" t="s">
        <v>227</v>
      </c>
      <c r="E559" s="1249" t="s">
        <v>1681</v>
      </c>
      <c r="F559" s="455" t="s">
        <v>1683</v>
      </c>
      <c r="G559" s="456" t="s">
        <v>157</v>
      </c>
      <c r="H559" s="889">
        <v>12</v>
      </c>
      <c r="I559" s="891">
        <v>60.475999999999999</v>
      </c>
      <c r="J559" s="601">
        <v>60.475999999999999</v>
      </c>
      <c r="K559" s="602">
        <v>3.9215686274509803E-2</v>
      </c>
      <c r="L559" s="981">
        <v>3</v>
      </c>
      <c r="M559" s="1249" t="s">
        <v>366</v>
      </c>
      <c r="N559" s="604" t="s">
        <v>227</v>
      </c>
      <c r="O559" s="465"/>
      <c r="P559" s="435"/>
      <c r="Q559" s="435"/>
      <c r="R559" s="401">
        <v>0</v>
      </c>
      <c r="S559" s="466">
        <v>0</v>
      </c>
      <c r="U559" s="1248">
        <f t="shared" si="4"/>
        <v>1</v>
      </c>
      <c r="V559" s="1304">
        <f t="shared" si="5"/>
        <v>1</v>
      </c>
    </row>
    <row r="560" spans="1:22" ht="16.5" thickTop="1" thickBot="1">
      <c r="A560" s="1244" t="s">
        <v>244</v>
      </c>
      <c r="B560" s="1245" t="s">
        <v>1103</v>
      </c>
      <c r="C560" s="1328" t="s">
        <v>227</v>
      </c>
      <c r="D560" s="1327" t="s">
        <v>227</v>
      </c>
      <c r="E560" s="1245" t="s">
        <v>2351</v>
      </c>
      <c r="F560" s="457" t="s">
        <v>2352</v>
      </c>
      <c r="G560" s="458" t="s">
        <v>156</v>
      </c>
      <c r="H560" s="888">
        <v>8</v>
      </c>
      <c r="I560" s="890">
        <v>47.627000000000002</v>
      </c>
      <c r="J560" s="899">
        <v>230.43600000000001</v>
      </c>
      <c r="K560" s="603">
        <v>0.34146341463414637</v>
      </c>
      <c r="L560" s="980">
        <v>3</v>
      </c>
      <c r="M560" s="1245" t="s">
        <v>323</v>
      </c>
      <c r="N560" s="604" t="s">
        <v>227</v>
      </c>
      <c r="O560" s="463"/>
      <c r="P560" s="434"/>
      <c r="Q560" s="434"/>
      <c r="R560" s="400">
        <v>0</v>
      </c>
      <c r="S560" s="464">
        <v>0</v>
      </c>
      <c r="U560" s="1248">
        <f t="shared" si="4"/>
        <v>0</v>
      </c>
      <c r="V560" s="1304">
        <f t="shared" si="5"/>
        <v>1</v>
      </c>
    </row>
    <row r="561" spans="1:22" ht="16.5" thickTop="1" thickBot="1">
      <c r="A561" s="1244" t="s">
        <v>244</v>
      </c>
      <c r="B561" s="1249" t="s">
        <v>1103</v>
      </c>
      <c r="C561" s="1329" t="s">
        <v>227</v>
      </c>
      <c r="D561" s="1326" t="s">
        <v>227</v>
      </c>
      <c r="E561" s="1249" t="s">
        <v>2322</v>
      </c>
      <c r="F561" s="455" t="s">
        <v>2324</v>
      </c>
      <c r="G561" s="456" t="s">
        <v>157</v>
      </c>
      <c r="H561" s="889">
        <v>7</v>
      </c>
      <c r="I561" s="891">
        <v>16.794</v>
      </c>
      <c r="J561" s="601">
        <v>275.10599999999999</v>
      </c>
      <c r="K561" s="602">
        <v>0.31304347826086959</v>
      </c>
      <c r="L561" s="981">
        <v>9</v>
      </c>
      <c r="M561" s="1249" t="s">
        <v>323</v>
      </c>
      <c r="N561" s="604" t="s">
        <v>227</v>
      </c>
      <c r="O561" s="465"/>
      <c r="P561" s="435">
        <v>10.239000000000001</v>
      </c>
      <c r="Q561" s="435">
        <v>1</v>
      </c>
      <c r="R561" s="401">
        <v>1</v>
      </c>
      <c r="S561" s="466">
        <v>0.10526315789473684</v>
      </c>
      <c r="U561" s="1248">
        <f t="shared" si="4"/>
        <v>0</v>
      </c>
      <c r="V561" s="1304">
        <f t="shared" si="5"/>
        <v>1</v>
      </c>
    </row>
    <row r="562" spans="1:22" ht="16.5" thickTop="1" thickBot="1">
      <c r="A562" s="1244" t="s">
        <v>244</v>
      </c>
      <c r="B562" s="1245" t="s">
        <v>1103</v>
      </c>
      <c r="C562" s="1328" t="s">
        <v>227</v>
      </c>
      <c r="D562" s="1327" t="s">
        <v>227</v>
      </c>
      <c r="E562" s="1245" t="s">
        <v>2353</v>
      </c>
      <c r="F562" s="457" t="s">
        <v>2354</v>
      </c>
      <c r="G562" s="458" t="s">
        <v>156</v>
      </c>
      <c r="H562" s="888">
        <v>7</v>
      </c>
      <c r="I562" s="890">
        <v>107.52500000000001</v>
      </c>
      <c r="J562" s="899">
        <v>207.077</v>
      </c>
      <c r="K562" s="603">
        <v>0.17777777777777778</v>
      </c>
      <c r="L562" s="980">
        <v>6</v>
      </c>
      <c r="M562" s="1245" t="s">
        <v>323</v>
      </c>
      <c r="N562" s="604" t="s">
        <v>227</v>
      </c>
      <c r="O562" s="463"/>
      <c r="P562" s="434"/>
      <c r="Q562" s="434"/>
      <c r="R562" s="400">
        <v>0</v>
      </c>
      <c r="S562" s="464">
        <v>0</v>
      </c>
      <c r="U562" s="1248">
        <f t="shared" si="4"/>
        <v>0</v>
      </c>
      <c r="V562" s="1304">
        <f t="shared" si="5"/>
        <v>1</v>
      </c>
    </row>
    <row r="563" spans="1:22" ht="16.5" thickTop="1" thickBot="1">
      <c r="A563" s="1244" t="s">
        <v>244</v>
      </c>
      <c r="B563" s="1249" t="s">
        <v>1103</v>
      </c>
      <c r="C563" s="1329" t="s">
        <v>227</v>
      </c>
      <c r="D563" s="1326" t="s">
        <v>227</v>
      </c>
      <c r="E563" s="1249" t="s">
        <v>2355</v>
      </c>
      <c r="F563" s="455" t="s">
        <v>1161</v>
      </c>
      <c r="G563" s="456" t="s">
        <v>156</v>
      </c>
      <c r="H563" s="889">
        <v>7</v>
      </c>
      <c r="I563" s="891">
        <v>55.283000000000001</v>
      </c>
      <c r="J563" s="601">
        <v>131.845</v>
      </c>
      <c r="K563" s="602">
        <v>0.29213483146067415</v>
      </c>
      <c r="L563" s="981">
        <v>9</v>
      </c>
      <c r="M563" s="1249" t="s">
        <v>322</v>
      </c>
      <c r="N563" s="604" t="s">
        <v>227</v>
      </c>
      <c r="O563" s="465">
        <v>2</v>
      </c>
      <c r="P563" s="435">
        <v>17.323</v>
      </c>
      <c r="Q563" s="435">
        <v>2</v>
      </c>
      <c r="R563" s="401">
        <v>2</v>
      </c>
      <c r="S563" s="466">
        <v>0.25</v>
      </c>
      <c r="U563" s="1248">
        <f t="shared" si="4"/>
        <v>0</v>
      </c>
      <c r="V563" s="1304">
        <f t="shared" si="5"/>
        <v>1</v>
      </c>
    </row>
    <row r="564" spans="1:22" ht="16.5" thickTop="1" thickBot="1">
      <c r="A564" s="1244" t="s">
        <v>244</v>
      </c>
      <c r="B564" s="1245" t="s">
        <v>1103</v>
      </c>
      <c r="C564" s="1328" t="s">
        <v>227</v>
      </c>
      <c r="D564" s="1327" t="s">
        <v>227</v>
      </c>
      <c r="E564" s="1245" t="s">
        <v>3231</v>
      </c>
      <c r="F564" s="457" t="s">
        <v>3232</v>
      </c>
      <c r="G564" s="458" t="s">
        <v>155</v>
      </c>
      <c r="H564" s="888"/>
      <c r="I564" s="890"/>
      <c r="J564" s="899">
        <v>31.885999999999999</v>
      </c>
      <c r="K564" s="603">
        <v>0.23529411764705882</v>
      </c>
      <c r="L564" s="980">
        <v>5</v>
      </c>
      <c r="M564" s="1245" t="s">
        <v>366</v>
      </c>
      <c r="N564" s="604" t="s">
        <v>227</v>
      </c>
      <c r="O564" s="463">
        <v>1</v>
      </c>
      <c r="P564" s="434">
        <v>11.077</v>
      </c>
      <c r="Q564" s="434">
        <v>1</v>
      </c>
      <c r="R564" s="400">
        <v>1</v>
      </c>
      <c r="S564" s="464">
        <v>0.22222222222222221</v>
      </c>
      <c r="U564" s="1248">
        <f t="shared" si="4"/>
        <v>1</v>
      </c>
      <c r="V564" s="1304">
        <f t="shared" si="5"/>
        <v>0</v>
      </c>
    </row>
    <row r="565" spans="1:22" ht="16.5" thickTop="1" thickBot="1">
      <c r="A565" s="1244" t="s">
        <v>244</v>
      </c>
      <c r="B565" s="1249" t="s">
        <v>1103</v>
      </c>
      <c r="C565" s="1329" t="s">
        <v>1351</v>
      </c>
      <c r="D565" s="1326" t="s">
        <v>227</v>
      </c>
      <c r="E565" s="1249" t="s">
        <v>1351</v>
      </c>
      <c r="F565" s="455" t="s">
        <v>1353</v>
      </c>
      <c r="G565" s="456" t="s">
        <v>158</v>
      </c>
      <c r="H565" s="889">
        <v>15</v>
      </c>
      <c r="I565" s="891">
        <v>68.921000000000006</v>
      </c>
      <c r="J565" s="601">
        <v>99.588999999999999</v>
      </c>
      <c r="K565" s="602">
        <v>0.27906976744186046</v>
      </c>
      <c r="L565" s="981">
        <v>1</v>
      </c>
      <c r="M565" s="1249" t="s">
        <v>366</v>
      </c>
      <c r="N565" s="604" t="s">
        <v>227</v>
      </c>
      <c r="O565" s="465"/>
      <c r="P565" s="435"/>
      <c r="Q565" s="435"/>
      <c r="R565" s="401">
        <v>0</v>
      </c>
      <c r="S565" s="466">
        <v>0</v>
      </c>
      <c r="U565" s="1248">
        <f t="shared" si="4"/>
        <v>1</v>
      </c>
      <c r="V565" s="1304">
        <f t="shared" si="5"/>
        <v>1</v>
      </c>
    </row>
    <row r="566" spans="1:22" ht="16.5" thickTop="1" thickBot="1">
      <c r="A566" s="1244" t="s">
        <v>244</v>
      </c>
      <c r="B566" s="1245" t="s">
        <v>1103</v>
      </c>
      <c r="C566" s="1328" t="s">
        <v>1351</v>
      </c>
      <c r="D566" s="1327" t="s">
        <v>227</v>
      </c>
      <c r="E566" s="1245" t="s">
        <v>1476</v>
      </c>
      <c r="F566" s="457" t="s">
        <v>1477</v>
      </c>
      <c r="G566" s="458" t="s">
        <v>156</v>
      </c>
      <c r="H566" s="888">
        <v>15</v>
      </c>
      <c r="I566" s="890">
        <v>68.769000000000005</v>
      </c>
      <c r="J566" s="899">
        <v>156.61500000000001</v>
      </c>
      <c r="K566" s="603">
        <v>0.22784810126582278</v>
      </c>
      <c r="L566" s="980">
        <v>1</v>
      </c>
      <c r="M566" s="1245" t="s">
        <v>366</v>
      </c>
      <c r="N566" s="604" t="s">
        <v>227</v>
      </c>
      <c r="O566" s="463"/>
      <c r="P566" s="434">
        <v>10.000999999999999</v>
      </c>
      <c r="Q566" s="434">
        <v>1</v>
      </c>
      <c r="R566" s="400">
        <v>1</v>
      </c>
      <c r="S566" s="464">
        <v>1</v>
      </c>
      <c r="U566" s="1248">
        <f t="shared" si="4"/>
        <v>1</v>
      </c>
      <c r="V566" s="1304">
        <f t="shared" si="5"/>
        <v>1</v>
      </c>
    </row>
    <row r="567" spans="1:22" ht="16.5" thickTop="1" thickBot="1">
      <c r="A567" s="1244" t="s">
        <v>244</v>
      </c>
      <c r="B567" s="1249" t="s">
        <v>1103</v>
      </c>
      <c r="C567" s="1329" t="s">
        <v>1351</v>
      </c>
      <c r="D567" s="1326" t="s">
        <v>227</v>
      </c>
      <c r="E567" s="1249" t="s">
        <v>1592</v>
      </c>
      <c r="F567" s="455" t="s">
        <v>1594</v>
      </c>
      <c r="G567" s="456" t="s">
        <v>157</v>
      </c>
      <c r="H567" s="889">
        <v>13</v>
      </c>
      <c r="I567" s="891">
        <v>205.131</v>
      </c>
      <c r="J567" s="601">
        <v>809.19200000000001</v>
      </c>
      <c r="K567" s="602">
        <v>0.2857142857142857</v>
      </c>
      <c r="L567" s="981">
        <v>4</v>
      </c>
      <c r="M567" s="1249" t="s">
        <v>323</v>
      </c>
      <c r="N567" s="604" t="s">
        <v>227</v>
      </c>
      <c r="O567" s="465"/>
      <c r="P567" s="435"/>
      <c r="Q567" s="435"/>
      <c r="R567" s="401">
        <v>0</v>
      </c>
      <c r="S567" s="466">
        <v>0</v>
      </c>
      <c r="U567" s="1248">
        <f t="shared" si="4"/>
        <v>0</v>
      </c>
      <c r="V567" s="1304">
        <f t="shared" si="5"/>
        <v>1</v>
      </c>
    </row>
    <row r="568" spans="1:22" ht="16.5" thickTop="1" thickBot="1">
      <c r="A568" s="1244" t="s">
        <v>244</v>
      </c>
      <c r="B568" s="1245" t="s">
        <v>1103</v>
      </c>
      <c r="C568" s="1328" t="s">
        <v>1351</v>
      </c>
      <c r="D568" s="1327" t="s">
        <v>227</v>
      </c>
      <c r="E568" s="1245" t="s">
        <v>1615</v>
      </c>
      <c r="F568" s="457" t="s">
        <v>1224</v>
      </c>
      <c r="G568" s="458" t="s">
        <v>156</v>
      </c>
      <c r="H568" s="888">
        <v>13</v>
      </c>
      <c r="I568" s="890"/>
      <c r="J568" s="899">
        <v>122.482</v>
      </c>
      <c r="K568" s="603">
        <v>0.14285714285714285</v>
      </c>
      <c r="L568" s="980">
        <v>5</v>
      </c>
      <c r="M568" s="1245" t="s">
        <v>366</v>
      </c>
      <c r="N568" s="604" t="s">
        <v>227</v>
      </c>
      <c r="O568" s="463"/>
      <c r="P568" s="434">
        <v>0</v>
      </c>
      <c r="Q568" s="434"/>
      <c r="R568" s="400">
        <v>0</v>
      </c>
      <c r="S568" s="464">
        <v>0</v>
      </c>
      <c r="U568" s="1248">
        <f t="shared" si="4"/>
        <v>1</v>
      </c>
      <c r="V568" s="1304">
        <f t="shared" si="5"/>
        <v>1</v>
      </c>
    </row>
    <row r="569" spans="1:22" ht="16.5" thickTop="1" thickBot="1">
      <c r="A569" s="1244" t="s">
        <v>244</v>
      </c>
      <c r="B569" s="1249" t="s">
        <v>1103</v>
      </c>
      <c r="C569" s="1329" t="s">
        <v>1351</v>
      </c>
      <c r="D569" s="1326" t="s">
        <v>227</v>
      </c>
      <c r="E569" s="1249" t="s">
        <v>1719</v>
      </c>
      <c r="F569" s="455" t="s">
        <v>1720</v>
      </c>
      <c r="G569" s="456" t="s">
        <v>156</v>
      </c>
      <c r="H569" s="889">
        <v>12</v>
      </c>
      <c r="I569" s="891">
        <v>90.977000000000004</v>
      </c>
      <c r="J569" s="601">
        <v>569.44600000000003</v>
      </c>
      <c r="K569" s="602">
        <v>0.36548223350253806</v>
      </c>
      <c r="L569" s="981">
        <v>6</v>
      </c>
      <c r="M569" s="1249" t="s">
        <v>323</v>
      </c>
      <c r="N569" s="604" t="s">
        <v>227</v>
      </c>
      <c r="O569" s="465"/>
      <c r="P569" s="435"/>
      <c r="Q569" s="435"/>
      <c r="R569" s="401">
        <v>0</v>
      </c>
      <c r="S569" s="466">
        <v>0</v>
      </c>
      <c r="U569" s="1248">
        <f t="shared" si="4"/>
        <v>0</v>
      </c>
      <c r="V569" s="1304">
        <f t="shared" si="5"/>
        <v>1</v>
      </c>
    </row>
    <row r="570" spans="1:22" ht="16.5" thickTop="1" thickBot="1">
      <c r="A570" s="1244" t="s">
        <v>244</v>
      </c>
      <c r="B570" s="1245" t="s">
        <v>1103</v>
      </c>
      <c r="C570" s="1328" t="s">
        <v>1351</v>
      </c>
      <c r="D570" s="1327" t="s">
        <v>227</v>
      </c>
      <c r="E570" s="1245" t="s">
        <v>2356</v>
      </c>
      <c r="F570" s="457" t="s">
        <v>2357</v>
      </c>
      <c r="G570" s="458" t="s">
        <v>155</v>
      </c>
      <c r="H570" s="888"/>
      <c r="I570" s="890"/>
      <c r="J570" s="899"/>
      <c r="K570" s="603"/>
      <c r="L570" s="980"/>
      <c r="M570" s="1245" t="s">
        <v>366</v>
      </c>
      <c r="N570" s="604" t="s">
        <v>227</v>
      </c>
      <c r="O570" s="463"/>
      <c r="P570" s="434"/>
      <c r="Q570" s="434"/>
      <c r="R570" s="400"/>
      <c r="S570" s="464"/>
      <c r="U570" s="1248">
        <f t="shared" si="4"/>
        <v>1</v>
      </c>
      <c r="V570" s="1304">
        <f t="shared" si="5"/>
        <v>0</v>
      </c>
    </row>
    <row r="571" spans="1:22" ht="16.5" thickTop="1" thickBot="1">
      <c r="A571" s="1244" t="s">
        <v>244</v>
      </c>
      <c r="B571" s="1249" t="s">
        <v>1103</v>
      </c>
      <c r="C571" s="1329" t="s">
        <v>1351</v>
      </c>
      <c r="D571" s="1326" t="s">
        <v>227</v>
      </c>
      <c r="E571" s="1249" t="s">
        <v>2358</v>
      </c>
      <c r="F571" s="455" t="s">
        <v>2359</v>
      </c>
      <c r="G571" s="456" t="s">
        <v>155</v>
      </c>
      <c r="H571" s="889"/>
      <c r="I571" s="891"/>
      <c r="J571" s="601"/>
      <c r="K571" s="602">
        <v>0</v>
      </c>
      <c r="L571" s="981">
        <v>1</v>
      </c>
      <c r="M571" s="1249" t="s">
        <v>366</v>
      </c>
      <c r="N571" s="604" t="s">
        <v>227</v>
      </c>
      <c r="O571" s="465"/>
      <c r="P571" s="435"/>
      <c r="Q571" s="435"/>
      <c r="R571" s="401">
        <v>0</v>
      </c>
      <c r="S571" s="466">
        <v>0</v>
      </c>
      <c r="U571" s="1248">
        <f t="shared" si="4"/>
        <v>1</v>
      </c>
      <c r="V571" s="1304">
        <f t="shared" si="5"/>
        <v>0</v>
      </c>
    </row>
    <row r="572" spans="1:22" ht="16.5" thickTop="1" thickBot="1">
      <c r="A572" s="1244" t="s">
        <v>244</v>
      </c>
      <c r="B572" s="1245" t="s">
        <v>1103</v>
      </c>
      <c r="C572" s="1328" t="s">
        <v>1351</v>
      </c>
      <c r="D572" s="1327" t="s">
        <v>227</v>
      </c>
      <c r="E572" s="1245" t="s">
        <v>2360</v>
      </c>
      <c r="F572" s="457" t="s">
        <v>2361</v>
      </c>
      <c r="G572" s="458" t="s">
        <v>155</v>
      </c>
      <c r="H572" s="888"/>
      <c r="I572" s="890"/>
      <c r="J572" s="899">
        <v>61.084000000000003</v>
      </c>
      <c r="K572" s="603">
        <v>0.21212121212121213</v>
      </c>
      <c r="L572" s="980">
        <v>5</v>
      </c>
      <c r="M572" s="1245" t="s">
        <v>366</v>
      </c>
      <c r="N572" s="604" t="s">
        <v>227</v>
      </c>
      <c r="O572" s="463">
        <v>1</v>
      </c>
      <c r="P572" s="434"/>
      <c r="Q572" s="434"/>
      <c r="R572" s="400">
        <v>0</v>
      </c>
      <c r="S572" s="464">
        <v>0</v>
      </c>
      <c r="U572" s="1248">
        <f t="shared" si="4"/>
        <v>1</v>
      </c>
      <c r="V572" s="1304">
        <f t="shared" si="5"/>
        <v>0</v>
      </c>
    </row>
    <row r="573" spans="1:22" ht="16.5" thickTop="1" thickBot="1">
      <c r="A573" s="1244" t="s">
        <v>244</v>
      </c>
      <c r="B573" s="1249" t="s">
        <v>1103</v>
      </c>
      <c r="C573" s="1329" t="s">
        <v>1351</v>
      </c>
      <c r="D573" s="1326" t="s">
        <v>227</v>
      </c>
      <c r="E573" s="1249" t="s">
        <v>2485</v>
      </c>
      <c r="F573" s="455" t="s">
        <v>863</v>
      </c>
      <c r="G573" s="456" t="s">
        <v>155</v>
      </c>
      <c r="H573" s="889"/>
      <c r="I573" s="891"/>
      <c r="J573" s="601">
        <v>10.201000000000001</v>
      </c>
      <c r="K573" s="602">
        <v>0.13333333333333333</v>
      </c>
      <c r="L573" s="981">
        <v>1</v>
      </c>
      <c r="M573" s="1249" t="s">
        <v>366</v>
      </c>
      <c r="N573" s="604" t="s">
        <v>227</v>
      </c>
      <c r="O573" s="465"/>
      <c r="P573" s="435"/>
      <c r="Q573" s="435"/>
      <c r="R573" s="401">
        <v>0</v>
      </c>
      <c r="S573" s="466">
        <v>0</v>
      </c>
      <c r="U573" s="1248">
        <f t="shared" si="4"/>
        <v>1</v>
      </c>
      <c r="V573" s="1304">
        <f t="shared" si="5"/>
        <v>0</v>
      </c>
    </row>
    <row r="574" spans="1:22" ht="16.5" thickTop="1" thickBot="1">
      <c r="A574" s="1244" t="s">
        <v>244</v>
      </c>
      <c r="B574" s="1245" t="s">
        <v>900</v>
      </c>
      <c r="C574" s="1328" t="s">
        <v>1171</v>
      </c>
      <c r="D574" s="1327" t="s">
        <v>227</v>
      </c>
      <c r="E574" s="1245" t="s">
        <v>1192</v>
      </c>
      <c r="F574" s="457" t="s">
        <v>1193</v>
      </c>
      <c r="G574" s="458" t="s">
        <v>156</v>
      </c>
      <c r="H574" s="888">
        <v>18</v>
      </c>
      <c r="I574" s="890">
        <v>95.465000000000003</v>
      </c>
      <c r="J574" s="899">
        <v>122.748</v>
      </c>
      <c r="K574" s="603">
        <v>3.5087719298245612E-2</v>
      </c>
      <c r="L574" s="980">
        <v>2</v>
      </c>
      <c r="M574" s="1245" t="s">
        <v>366</v>
      </c>
      <c r="N574" s="604" t="s">
        <v>227</v>
      </c>
      <c r="O574" s="463"/>
      <c r="P574" s="434"/>
      <c r="Q574" s="434"/>
      <c r="R574" s="400">
        <v>0</v>
      </c>
      <c r="S574" s="464">
        <v>0</v>
      </c>
      <c r="U574" s="1248">
        <f t="shared" si="4"/>
        <v>1</v>
      </c>
      <c r="V574" s="1304">
        <f t="shared" si="5"/>
        <v>1</v>
      </c>
    </row>
    <row r="575" spans="1:22" ht="16.5" thickTop="1" thickBot="1">
      <c r="A575" s="1244" t="s">
        <v>244</v>
      </c>
      <c r="B575" s="1249" t="s">
        <v>900</v>
      </c>
      <c r="C575" s="1329" t="s">
        <v>1171</v>
      </c>
      <c r="D575" s="1326" t="s">
        <v>227</v>
      </c>
      <c r="E575" s="1249" t="s">
        <v>1171</v>
      </c>
      <c r="F575" s="455" t="s">
        <v>1173</v>
      </c>
      <c r="G575" s="456" t="s">
        <v>158</v>
      </c>
      <c r="H575" s="889">
        <v>17</v>
      </c>
      <c r="I575" s="891">
        <v>68.245999999999995</v>
      </c>
      <c r="J575" s="601">
        <v>401.21899999999999</v>
      </c>
      <c r="K575" s="602">
        <v>9.8214285714285712E-2</v>
      </c>
      <c r="L575" s="981">
        <v>11</v>
      </c>
      <c r="M575" s="1249" t="s">
        <v>323</v>
      </c>
      <c r="N575" s="604" t="s">
        <v>227</v>
      </c>
      <c r="O575" s="465"/>
      <c r="P575" s="435">
        <v>0</v>
      </c>
      <c r="Q575" s="435"/>
      <c r="R575" s="401">
        <v>0</v>
      </c>
      <c r="S575" s="466">
        <v>0</v>
      </c>
      <c r="U575" s="1248">
        <f t="shared" si="4"/>
        <v>0</v>
      </c>
      <c r="V575" s="1304">
        <f t="shared" si="5"/>
        <v>1</v>
      </c>
    </row>
    <row r="576" spans="1:22" ht="16.5" thickTop="1" thickBot="1">
      <c r="A576" s="1244" t="s">
        <v>244</v>
      </c>
      <c r="B576" s="1245" t="s">
        <v>900</v>
      </c>
      <c r="C576" s="1328" t="s">
        <v>1171</v>
      </c>
      <c r="D576" s="1327" t="s">
        <v>227</v>
      </c>
      <c r="E576" s="1245" t="s">
        <v>1616</v>
      </c>
      <c r="F576" s="457" t="s">
        <v>1617</v>
      </c>
      <c r="G576" s="458" t="s">
        <v>155</v>
      </c>
      <c r="H576" s="888"/>
      <c r="I576" s="890"/>
      <c r="J576" s="899">
        <v>25.25</v>
      </c>
      <c r="K576" s="603">
        <v>0</v>
      </c>
      <c r="L576" s="980"/>
      <c r="M576" s="1245" t="s">
        <v>366</v>
      </c>
      <c r="N576" s="604" t="s">
        <v>227</v>
      </c>
      <c r="O576" s="463"/>
      <c r="P576" s="434"/>
      <c r="Q576" s="434"/>
      <c r="R576" s="400">
        <v>0</v>
      </c>
      <c r="S576" s="464">
        <v>0</v>
      </c>
      <c r="U576" s="1248">
        <f t="shared" si="4"/>
        <v>1</v>
      </c>
      <c r="V576" s="1304">
        <f t="shared" si="5"/>
        <v>0</v>
      </c>
    </row>
    <row r="577" spans="1:22" ht="16.5" thickTop="1" thickBot="1">
      <c r="A577" s="1244" t="s">
        <v>244</v>
      </c>
      <c r="B577" s="1249" t="s">
        <v>900</v>
      </c>
      <c r="C577" s="1329" t="s">
        <v>1171</v>
      </c>
      <c r="D577" s="1326" t="s">
        <v>227</v>
      </c>
      <c r="E577" s="1249" t="s">
        <v>1684</v>
      </c>
      <c r="F577" s="455" t="s">
        <v>1686</v>
      </c>
      <c r="G577" s="456" t="s">
        <v>157</v>
      </c>
      <c r="H577" s="889">
        <v>13</v>
      </c>
      <c r="I577" s="891">
        <v>55.99</v>
      </c>
      <c r="J577" s="601">
        <v>92.884</v>
      </c>
      <c r="K577" s="602">
        <v>0.1553398058252427</v>
      </c>
      <c r="L577" s="981">
        <v>6</v>
      </c>
      <c r="M577" s="1249" t="s">
        <v>366</v>
      </c>
      <c r="N577" s="604" t="s">
        <v>227</v>
      </c>
      <c r="O577" s="465">
        <v>1</v>
      </c>
      <c r="P577" s="435"/>
      <c r="Q577" s="435"/>
      <c r="R577" s="401">
        <v>0</v>
      </c>
      <c r="S577" s="466">
        <v>0</v>
      </c>
      <c r="U577" s="1248">
        <f t="shared" si="4"/>
        <v>1</v>
      </c>
      <c r="V577" s="1304">
        <f t="shared" si="5"/>
        <v>1</v>
      </c>
    </row>
    <row r="578" spans="1:22" ht="16.5" thickTop="1" thickBot="1">
      <c r="A578" s="1244" t="s">
        <v>244</v>
      </c>
      <c r="B578" s="1245" t="s">
        <v>900</v>
      </c>
      <c r="C578" s="1328" t="s">
        <v>1171</v>
      </c>
      <c r="D578" s="1327" t="s">
        <v>227</v>
      </c>
      <c r="E578" s="1245" t="s">
        <v>1721</v>
      </c>
      <c r="F578" s="457" t="s">
        <v>1722</v>
      </c>
      <c r="G578" s="458" t="s">
        <v>156</v>
      </c>
      <c r="H578" s="888">
        <v>12</v>
      </c>
      <c r="I578" s="890">
        <v>75.093000000000004</v>
      </c>
      <c r="J578" s="899">
        <v>91.135000000000005</v>
      </c>
      <c r="K578" s="603">
        <v>9.0090090090090086E-2</v>
      </c>
      <c r="L578" s="980">
        <v>5</v>
      </c>
      <c r="M578" s="1245" t="s">
        <v>366</v>
      </c>
      <c r="N578" s="604" t="s">
        <v>227</v>
      </c>
      <c r="O578" s="463"/>
      <c r="P578" s="434"/>
      <c r="Q578" s="434"/>
      <c r="R578" s="400">
        <v>0</v>
      </c>
      <c r="S578" s="464">
        <v>0</v>
      </c>
      <c r="U578" s="1248">
        <f t="shared" si="4"/>
        <v>1</v>
      </c>
      <c r="V578" s="1304">
        <f t="shared" si="5"/>
        <v>1</v>
      </c>
    </row>
    <row r="579" spans="1:22" ht="16.5" thickTop="1" thickBot="1">
      <c r="A579" s="1244" t="s">
        <v>244</v>
      </c>
      <c r="B579" s="1249" t="s">
        <v>900</v>
      </c>
      <c r="C579" s="1329" t="s">
        <v>1171</v>
      </c>
      <c r="D579" s="1326" t="s">
        <v>227</v>
      </c>
      <c r="E579" s="1249" t="s">
        <v>3233</v>
      </c>
      <c r="F579" s="455" t="s">
        <v>3234</v>
      </c>
      <c r="G579" s="456" t="s">
        <v>155</v>
      </c>
      <c r="H579" s="889"/>
      <c r="I579" s="891"/>
      <c r="J579" s="601"/>
      <c r="K579" s="602">
        <v>0</v>
      </c>
      <c r="L579" s="981">
        <v>3</v>
      </c>
      <c r="M579" s="1249" t="s">
        <v>366</v>
      </c>
      <c r="N579" s="604" t="s">
        <v>227</v>
      </c>
      <c r="O579" s="465"/>
      <c r="P579" s="435"/>
      <c r="Q579" s="435"/>
      <c r="R579" s="401">
        <v>0</v>
      </c>
      <c r="S579" s="466">
        <v>0</v>
      </c>
      <c r="U579" s="1248">
        <f t="shared" si="4"/>
        <v>1</v>
      </c>
      <c r="V579" s="1304">
        <f t="shared" si="5"/>
        <v>0</v>
      </c>
    </row>
    <row r="580" spans="1:22" ht="16.5" thickTop="1" thickBot="1">
      <c r="A580" s="1244" t="s">
        <v>244</v>
      </c>
      <c r="B580" s="1245" t="s">
        <v>900</v>
      </c>
      <c r="C580" s="1328" t="s">
        <v>1310</v>
      </c>
      <c r="D580" s="1327" t="s">
        <v>227</v>
      </c>
      <c r="E580" s="1245" t="s">
        <v>1310</v>
      </c>
      <c r="F580" s="457" t="s">
        <v>1312</v>
      </c>
      <c r="G580" s="458" t="s">
        <v>158</v>
      </c>
      <c r="H580" s="888">
        <v>16</v>
      </c>
      <c r="I580" s="890">
        <v>1310.3309999999999</v>
      </c>
      <c r="J580" s="899">
        <v>1479.0129999999999</v>
      </c>
      <c r="K580" s="603">
        <v>0.89655172413793105</v>
      </c>
      <c r="L580" s="980">
        <v>2</v>
      </c>
      <c r="M580" s="1245" t="s">
        <v>323</v>
      </c>
      <c r="N580" s="604" t="s">
        <v>227</v>
      </c>
      <c r="O580" s="463"/>
      <c r="P580" s="434">
        <v>142.41399999999999</v>
      </c>
      <c r="Q580" s="434">
        <v>5</v>
      </c>
      <c r="R580" s="400">
        <v>2</v>
      </c>
      <c r="S580" s="464">
        <v>1</v>
      </c>
      <c r="U580" s="1248">
        <f t="shared" si="4"/>
        <v>0</v>
      </c>
      <c r="V580" s="1304">
        <f t="shared" si="5"/>
        <v>1</v>
      </c>
    </row>
    <row r="581" spans="1:22" ht="16.5" thickTop="1" thickBot="1">
      <c r="A581" s="1244" t="s">
        <v>244</v>
      </c>
      <c r="B581" s="1249" t="s">
        <v>900</v>
      </c>
      <c r="C581" s="1329" t="s">
        <v>1310</v>
      </c>
      <c r="D581" s="1326" t="s">
        <v>227</v>
      </c>
      <c r="E581" s="1249" t="s">
        <v>1321</v>
      </c>
      <c r="F581" s="455" t="s">
        <v>1322</v>
      </c>
      <c r="G581" s="456" t="s">
        <v>157</v>
      </c>
      <c r="H581" s="889">
        <v>16</v>
      </c>
      <c r="I581" s="891">
        <v>1325.076</v>
      </c>
      <c r="J581" s="601">
        <v>2886.3240000000001</v>
      </c>
      <c r="K581" s="602">
        <v>0.56666666666666665</v>
      </c>
      <c r="L581" s="981">
        <v>3</v>
      </c>
      <c r="M581" s="1249" t="s">
        <v>323</v>
      </c>
      <c r="N581" s="604" t="s">
        <v>227</v>
      </c>
      <c r="O581" s="465"/>
      <c r="P581" s="435">
        <v>157.68799999999999</v>
      </c>
      <c r="Q581" s="435">
        <v>9</v>
      </c>
      <c r="R581" s="401">
        <v>3</v>
      </c>
      <c r="S581" s="466">
        <v>1</v>
      </c>
      <c r="U581" s="1248">
        <f t="shared" si="4"/>
        <v>0</v>
      </c>
      <c r="V581" s="1304">
        <f t="shared" si="5"/>
        <v>1</v>
      </c>
    </row>
    <row r="582" spans="1:22" ht="16.5" thickTop="1" thickBot="1">
      <c r="A582" s="1244" t="s">
        <v>244</v>
      </c>
      <c r="B582" s="1245" t="s">
        <v>900</v>
      </c>
      <c r="C582" s="1328" t="s">
        <v>1310</v>
      </c>
      <c r="D582" s="1327" t="s">
        <v>227</v>
      </c>
      <c r="E582" s="1245" t="s">
        <v>3235</v>
      </c>
      <c r="F582" s="457" t="s">
        <v>3236</v>
      </c>
      <c r="G582" s="458" t="s">
        <v>155</v>
      </c>
      <c r="H582" s="888"/>
      <c r="I582" s="890"/>
      <c r="J582" s="899">
        <v>115.01</v>
      </c>
      <c r="K582" s="603">
        <v>8.3333333333333329E-2</v>
      </c>
      <c r="L582" s="980">
        <v>6</v>
      </c>
      <c r="M582" s="1245" t="s">
        <v>366</v>
      </c>
      <c r="N582" s="604" t="s">
        <v>227</v>
      </c>
      <c r="O582" s="463"/>
      <c r="P582" s="434">
        <v>115.01</v>
      </c>
      <c r="Q582" s="434">
        <v>9</v>
      </c>
      <c r="R582" s="400">
        <v>1</v>
      </c>
      <c r="S582" s="464">
        <v>0.16666666666666666</v>
      </c>
      <c r="U582" s="1248">
        <f t="shared" si="4"/>
        <v>1</v>
      </c>
      <c r="V582" s="1304">
        <f t="shared" si="5"/>
        <v>0</v>
      </c>
    </row>
    <row r="583" spans="1:22" ht="16.5" thickTop="1" thickBot="1">
      <c r="A583" s="1244" t="s">
        <v>244</v>
      </c>
      <c r="B583" s="1249" t="s">
        <v>900</v>
      </c>
      <c r="C583" s="1329" t="s">
        <v>1310</v>
      </c>
      <c r="D583" s="1326" t="s">
        <v>227</v>
      </c>
      <c r="E583" s="1249" t="s">
        <v>1323</v>
      </c>
      <c r="F583" s="455" t="s">
        <v>1324</v>
      </c>
      <c r="G583" s="456" t="s">
        <v>157</v>
      </c>
      <c r="H583" s="889">
        <v>16</v>
      </c>
      <c r="I583" s="891">
        <v>996.82799999999997</v>
      </c>
      <c r="J583" s="601">
        <v>3101.902</v>
      </c>
      <c r="K583" s="602">
        <v>0.58181818181818179</v>
      </c>
      <c r="L583" s="981">
        <v>3</v>
      </c>
      <c r="M583" s="1249" t="s">
        <v>323</v>
      </c>
      <c r="N583" s="604" t="s">
        <v>227</v>
      </c>
      <c r="O583" s="465"/>
      <c r="P583" s="435">
        <v>25.538</v>
      </c>
      <c r="Q583" s="435">
        <v>2</v>
      </c>
      <c r="R583" s="401">
        <v>2</v>
      </c>
      <c r="S583" s="466">
        <v>0.66666666666666663</v>
      </c>
      <c r="U583" s="1248">
        <f t="shared" si="4"/>
        <v>0</v>
      </c>
      <c r="V583" s="1304">
        <f t="shared" si="5"/>
        <v>1</v>
      </c>
    </row>
    <row r="584" spans="1:22" ht="16.5" thickTop="1" thickBot="1">
      <c r="A584" s="1244" t="s">
        <v>244</v>
      </c>
      <c r="B584" s="1245" t="s">
        <v>900</v>
      </c>
      <c r="C584" s="1328" t="s">
        <v>1310</v>
      </c>
      <c r="D584" s="1327" t="s">
        <v>227</v>
      </c>
      <c r="E584" s="1245" t="s">
        <v>2486</v>
      </c>
      <c r="F584" s="457" t="s">
        <v>2487</v>
      </c>
      <c r="G584" s="458" t="s">
        <v>156</v>
      </c>
      <c r="H584" s="888">
        <v>6</v>
      </c>
      <c r="I584" s="890">
        <v>589.48299999999995</v>
      </c>
      <c r="J584" s="899">
        <v>2230.067</v>
      </c>
      <c r="K584" s="603">
        <v>0.92307692307692313</v>
      </c>
      <c r="L584" s="980">
        <v>4</v>
      </c>
      <c r="M584" s="1245" t="s">
        <v>323</v>
      </c>
      <c r="N584" s="604" t="s">
        <v>227</v>
      </c>
      <c r="O584" s="463"/>
      <c r="P584" s="434">
        <v>242.607</v>
      </c>
      <c r="Q584" s="434">
        <v>10</v>
      </c>
      <c r="R584" s="400">
        <v>4</v>
      </c>
      <c r="S584" s="464">
        <v>1</v>
      </c>
      <c r="U584" s="1248">
        <f t="shared" si="4"/>
        <v>0</v>
      </c>
      <c r="V584" s="1304">
        <f t="shared" si="5"/>
        <v>1</v>
      </c>
    </row>
    <row r="585" spans="1:22" ht="16.5" thickTop="1" thickBot="1">
      <c r="A585" s="1244" t="s">
        <v>244</v>
      </c>
      <c r="B585" s="1249" t="s">
        <v>900</v>
      </c>
      <c r="C585" s="1329" t="s">
        <v>1310</v>
      </c>
      <c r="D585" s="1326" t="s">
        <v>227</v>
      </c>
      <c r="E585" s="1249" t="s">
        <v>2584</v>
      </c>
      <c r="F585" s="455" t="s">
        <v>2585</v>
      </c>
      <c r="G585" s="456" t="s">
        <v>155</v>
      </c>
      <c r="H585" s="889"/>
      <c r="I585" s="891"/>
      <c r="J585" s="601"/>
      <c r="K585" s="602">
        <v>0</v>
      </c>
      <c r="L585" s="981">
        <v>5</v>
      </c>
      <c r="M585" s="1249" t="s">
        <v>366</v>
      </c>
      <c r="N585" s="604" t="s">
        <v>227</v>
      </c>
      <c r="O585" s="465"/>
      <c r="P585" s="435"/>
      <c r="Q585" s="435"/>
      <c r="R585" s="401">
        <v>0</v>
      </c>
      <c r="S585" s="466">
        <v>0</v>
      </c>
      <c r="U585" s="1248">
        <f t="shared" si="4"/>
        <v>1</v>
      </c>
      <c r="V585" s="1304">
        <f t="shared" si="5"/>
        <v>0</v>
      </c>
    </row>
    <row r="586" spans="1:22" ht="16.5" thickTop="1" thickBot="1">
      <c r="A586" s="1244" t="s">
        <v>244</v>
      </c>
      <c r="B586" s="1245" t="s">
        <v>900</v>
      </c>
      <c r="C586" s="1328" t="s">
        <v>1310</v>
      </c>
      <c r="D586" s="1327" t="s">
        <v>227</v>
      </c>
      <c r="E586" s="1245" t="s">
        <v>2782</v>
      </c>
      <c r="F586" s="457" t="s">
        <v>2783</v>
      </c>
      <c r="G586" s="458" t="s">
        <v>156</v>
      </c>
      <c r="H586" s="888">
        <v>3</v>
      </c>
      <c r="I586" s="890">
        <v>1007.484</v>
      </c>
      <c r="J586" s="899">
        <v>552.91999999999996</v>
      </c>
      <c r="K586" s="603">
        <v>0.24390243902439024</v>
      </c>
      <c r="L586" s="980">
        <v>8</v>
      </c>
      <c r="M586" s="1245" t="s">
        <v>323</v>
      </c>
      <c r="N586" s="604" t="s">
        <v>227</v>
      </c>
      <c r="O586" s="463"/>
      <c r="P586" s="434">
        <v>442.84199999999998</v>
      </c>
      <c r="Q586" s="434">
        <v>22</v>
      </c>
      <c r="R586" s="400">
        <v>4</v>
      </c>
      <c r="S586" s="464">
        <v>0.5</v>
      </c>
      <c r="U586" s="1248">
        <f t="shared" si="4"/>
        <v>0</v>
      </c>
      <c r="V586" s="1304">
        <f t="shared" si="5"/>
        <v>1</v>
      </c>
    </row>
    <row r="587" spans="1:22" ht="16.5" thickTop="1" thickBot="1">
      <c r="A587" s="1244" t="s">
        <v>244</v>
      </c>
      <c r="B587" s="1249" t="s">
        <v>900</v>
      </c>
      <c r="C587" s="1329" t="s">
        <v>1310</v>
      </c>
      <c r="D587" s="1326" t="s">
        <v>227</v>
      </c>
      <c r="E587" s="1249" t="s">
        <v>2784</v>
      </c>
      <c r="F587" s="455" t="s">
        <v>2785</v>
      </c>
      <c r="G587" s="456" t="s">
        <v>156</v>
      </c>
      <c r="H587" s="889">
        <v>3</v>
      </c>
      <c r="I587" s="891">
        <v>1467.23</v>
      </c>
      <c r="J587" s="601">
        <v>1996.6679999999999</v>
      </c>
      <c r="K587" s="602">
        <v>0.54166666666666663</v>
      </c>
      <c r="L587" s="981">
        <v>9</v>
      </c>
      <c r="M587" s="1249" t="s">
        <v>323</v>
      </c>
      <c r="N587" s="604" t="s">
        <v>227</v>
      </c>
      <c r="O587" s="465">
        <v>1</v>
      </c>
      <c r="P587" s="435">
        <v>142.41900000000001</v>
      </c>
      <c r="Q587" s="435">
        <v>6</v>
      </c>
      <c r="R587" s="401">
        <v>4</v>
      </c>
      <c r="S587" s="466">
        <v>0.47058823529411764</v>
      </c>
      <c r="U587" s="1248">
        <f t="shared" si="4"/>
        <v>0</v>
      </c>
      <c r="V587" s="1304">
        <f t="shared" si="5"/>
        <v>1</v>
      </c>
    </row>
    <row r="588" spans="1:22" ht="16.5" thickTop="1" thickBot="1">
      <c r="A588" s="1244" t="s">
        <v>244</v>
      </c>
      <c r="B588" s="1245" t="s">
        <v>900</v>
      </c>
      <c r="C588" s="1328" t="s">
        <v>1951</v>
      </c>
      <c r="D588" s="1327" t="s">
        <v>227</v>
      </c>
      <c r="E588" s="1245" t="s">
        <v>1951</v>
      </c>
      <c r="F588" s="457" t="s">
        <v>1953</v>
      </c>
      <c r="G588" s="458" t="s">
        <v>158</v>
      </c>
      <c r="H588" s="888">
        <v>10</v>
      </c>
      <c r="I588" s="890">
        <v>717.00099999999998</v>
      </c>
      <c r="J588" s="899">
        <v>717.00099999999998</v>
      </c>
      <c r="K588" s="603">
        <v>0.38095238095238093</v>
      </c>
      <c r="L588" s="980">
        <v>1</v>
      </c>
      <c r="M588" s="1245" t="s">
        <v>323</v>
      </c>
      <c r="N588" s="604" t="s">
        <v>227</v>
      </c>
      <c r="O588" s="463"/>
      <c r="P588" s="434"/>
      <c r="Q588" s="434"/>
      <c r="R588" s="400">
        <v>0</v>
      </c>
      <c r="S588" s="464">
        <v>0</v>
      </c>
      <c r="U588" s="1248">
        <f t="shared" si="4"/>
        <v>0</v>
      </c>
      <c r="V588" s="1304">
        <f t="shared" si="5"/>
        <v>1</v>
      </c>
    </row>
    <row r="589" spans="1:22" ht="16.5" thickTop="1" thickBot="1">
      <c r="A589" s="1244" t="s">
        <v>244</v>
      </c>
      <c r="B589" s="1249" t="s">
        <v>900</v>
      </c>
      <c r="C589" s="1329" t="s">
        <v>1951</v>
      </c>
      <c r="D589" s="1326" t="s">
        <v>227</v>
      </c>
      <c r="E589" s="1249" t="s">
        <v>1961</v>
      </c>
      <c r="F589" s="455" t="s">
        <v>1963</v>
      </c>
      <c r="G589" s="456" t="s">
        <v>157</v>
      </c>
      <c r="H589" s="889">
        <v>10</v>
      </c>
      <c r="I589" s="891">
        <v>701.06500000000005</v>
      </c>
      <c r="J589" s="601">
        <v>769.81899999999996</v>
      </c>
      <c r="K589" s="602">
        <v>0.25925925925925924</v>
      </c>
      <c r="L589" s="981">
        <v>5</v>
      </c>
      <c r="M589" s="1249" t="s">
        <v>323</v>
      </c>
      <c r="N589" s="604" t="s">
        <v>227</v>
      </c>
      <c r="O589" s="465"/>
      <c r="P589" s="435">
        <v>0</v>
      </c>
      <c r="Q589" s="435"/>
      <c r="R589" s="401">
        <v>0</v>
      </c>
      <c r="S589" s="466">
        <v>0</v>
      </c>
      <c r="U589" s="1248">
        <f t="shared" si="4"/>
        <v>0</v>
      </c>
      <c r="V589" s="1304">
        <f t="shared" si="5"/>
        <v>1</v>
      </c>
    </row>
    <row r="590" spans="1:22" ht="16.5" thickTop="1" thickBot="1">
      <c r="A590" s="1244" t="s">
        <v>244</v>
      </c>
      <c r="B590" s="1245" t="s">
        <v>900</v>
      </c>
      <c r="C590" s="1328" t="s">
        <v>1951</v>
      </c>
      <c r="D590" s="1327" t="s">
        <v>227</v>
      </c>
      <c r="E590" s="1245" t="s">
        <v>1989</v>
      </c>
      <c r="F590" s="457" t="s">
        <v>1990</v>
      </c>
      <c r="G590" s="458" t="s">
        <v>156</v>
      </c>
      <c r="H590" s="888">
        <v>10</v>
      </c>
      <c r="I590" s="890">
        <v>51.731000000000002</v>
      </c>
      <c r="J590" s="899">
        <v>51.731000000000002</v>
      </c>
      <c r="K590" s="603">
        <v>0.11940298507462686</v>
      </c>
      <c r="L590" s="980">
        <v>3</v>
      </c>
      <c r="M590" s="1245" t="s">
        <v>366</v>
      </c>
      <c r="N590" s="604" t="s">
        <v>227</v>
      </c>
      <c r="O590" s="463"/>
      <c r="P590" s="434"/>
      <c r="Q590" s="434"/>
      <c r="R590" s="400">
        <v>0</v>
      </c>
      <c r="S590" s="464">
        <v>0</v>
      </c>
      <c r="U590" s="1248">
        <f t="shared" si="4"/>
        <v>1</v>
      </c>
      <c r="V590" s="1304">
        <f t="shared" si="5"/>
        <v>1</v>
      </c>
    </row>
    <row r="591" spans="1:22" ht="16.5" thickTop="1" thickBot="1">
      <c r="A591" s="1244" t="s">
        <v>244</v>
      </c>
      <c r="B591" s="1249" t="s">
        <v>900</v>
      </c>
      <c r="C591" s="1329" t="s">
        <v>1951</v>
      </c>
      <c r="D591" s="1326" t="s">
        <v>227</v>
      </c>
      <c r="E591" s="1249" t="s">
        <v>2126</v>
      </c>
      <c r="F591" s="455" t="s">
        <v>2127</v>
      </c>
      <c r="G591" s="456" t="s">
        <v>156</v>
      </c>
      <c r="H591" s="889">
        <v>10</v>
      </c>
      <c r="I591" s="891">
        <v>6.085</v>
      </c>
      <c r="J591" s="601">
        <v>42.395000000000003</v>
      </c>
      <c r="K591" s="602">
        <v>0.13114754098360656</v>
      </c>
      <c r="L591" s="981">
        <v>3</v>
      </c>
      <c r="M591" s="1249" t="s">
        <v>366</v>
      </c>
      <c r="N591" s="604" t="s">
        <v>227</v>
      </c>
      <c r="O591" s="465"/>
      <c r="P591" s="435"/>
      <c r="Q591" s="435"/>
      <c r="R591" s="401">
        <v>0</v>
      </c>
      <c r="S591" s="466">
        <v>0</v>
      </c>
      <c r="U591" s="1248">
        <f t="shared" si="4"/>
        <v>1</v>
      </c>
      <c r="V591" s="1304">
        <f t="shared" si="5"/>
        <v>1</v>
      </c>
    </row>
    <row r="592" spans="1:22" ht="16.5" thickTop="1" thickBot="1">
      <c r="A592" s="1244" t="s">
        <v>244</v>
      </c>
      <c r="B592" s="1245" t="s">
        <v>649</v>
      </c>
      <c r="C592" s="1328" t="s">
        <v>227</v>
      </c>
      <c r="D592" s="1327" t="s">
        <v>227</v>
      </c>
      <c r="E592" s="1245" t="s">
        <v>779</v>
      </c>
      <c r="F592" s="457" t="s">
        <v>780</v>
      </c>
      <c r="G592" s="458" t="s">
        <v>156</v>
      </c>
      <c r="H592" s="888">
        <v>24</v>
      </c>
      <c r="I592" s="890">
        <v>44.539000000000001</v>
      </c>
      <c r="J592" s="899">
        <v>52.837000000000003</v>
      </c>
      <c r="K592" s="603">
        <v>0.13793103448275862</v>
      </c>
      <c r="L592" s="980">
        <v>4</v>
      </c>
      <c r="M592" s="1245" t="s">
        <v>366</v>
      </c>
      <c r="N592" s="604" t="s">
        <v>227</v>
      </c>
      <c r="O592" s="463"/>
      <c r="P592" s="434">
        <v>0</v>
      </c>
      <c r="Q592" s="434"/>
      <c r="R592" s="400">
        <v>0</v>
      </c>
      <c r="S592" s="464">
        <v>0</v>
      </c>
      <c r="U592" s="1248">
        <f t="shared" si="4"/>
        <v>1</v>
      </c>
      <c r="V592" s="1304">
        <f t="shared" si="5"/>
        <v>1</v>
      </c>
    </row>
    <row r="593" spans="1:22" ht="16.5" thickTop="1" thickBot="1">
      <c r="A593" s="1244" t="s">
        <v>244</v>
      </c>
      <c r="B593" s="1249" t="s">
        <v>649</v>
      </c>
      <c r="C593" s="1329" t="s">
        <v>227</v>
      </c>
      <c r="D593" s="1326" t="s">
        <v>227</v>
      </c>
      <c r="E593" s="1249" t="s">
        <v>849</v>
      </c>
      <c r="F593" s="455" t="s">
        <v>850</v>
      </c>
      <c r="G593" s="456" t="s">
        <v>156</v>
      </c>
      <c r="H593" s="889">
        <v>23</v>
      </c>
      <c r="I593" s="891">
        <v>10.374000000000001</v>
      </c>
      <c r="J593" s="601">
        <v>590.17399999999998</v>
      </c>
      <c r="K593" s="602">
        <v>0.31351351351351353</v>
      </c>
      <c r="L593" s="981">
        <v>12</v>
      </c>
      <c r="M593" s="1249" t="s">
        <v>323</v>
      </c>
      <c r="N593" s="604" t="s">
        <v>227</v>
      </c>
      <c r="O593" s="465">
        <v>1</v>
      </c>
      <c r="P593" s="435">
        <v>4.4820000000000002</v>
      </c>
      <c r="Q593" s="435">
        <v>0</v>
      </c>
      <c r="R593" s="401">
        <v>1</v>
      </c>
      <c r="S593" s="466">
        <v>8.6956521739130432E-2</v>
      </c>
      <c r="U593" s="1248">
        <f t="shared" si="4"/>
        <v>0</v>
      </c>
      <c r="V593" s="1304">
        <f t="shared" si="5"/>
        <v>1</v>
      </c>
    </row>
    <row r="594" spans="1:22" ht="16.5" thickTop="1" thickBot="1">
      <c r="A594" s="1244" t="s">
        <v>244</v>
      </c>
      <c r="B594" s="1245" t="s">
        <v>649</v>
      </c>
      <c r="C594" s="1328" t="s">
        <v>227</v>
      </c>
      <c r="D594" s="1327" t="s">
        <v>227</v>
      </c>
      <c r="E594" s="1245" t="s">
        <v>1078</v>
      </c>
      <c r="F594" s="457" t="s">
        <v>1079</v>
      </c>
      <c r="G594" s="458" t="s">
        <v>155</v>
      </c>
      <c r="H594" s="888"/>
      <c r="I594" s="890"/>
      <c r="J594" s="899">
        <v>10.472</v>
      </c>
      <c r="K594" s="603">
        <v>0.11764705882352941</v>
      </c>
      <c r="L594" s="980"/>
      <c r="M594" s="1245" t="s">
        <v>366</v>
      </c>
      <c r="N594" s="604" t="s">
        <v>227</v>
      </c>
      <c r="O594" s="463"/>
      <c r="P594" s="434"/>
      <c r="Q594" s="434"/>
      <c r="R594" s="400">
        <v>0</v>
      </c>
      <c r="S594" s="464">
        <v>0</v>
      </c>
      <c r="U594" s="1248">
        <f t="shared" si="4"/>
        <v>1</v>
      </c>
      <c r="V594" s="1304">
        <f t="shared" si="5"/>
        <v>0</v>
      </c>
    </row>
    <row r="595" spans="1:22" ht="16.5" thickTop="1" thickBot="1">
      <c r="A595" s="1244" t="s">
        <v>244</v>
      </c>
      <c r="B595" s="1249" t="s">
        <v>649</v>
      </c>
      <c r="C595" s="1329" t="s">
        <v>227</v>
      </c>
      <c r="D595" s="1326" t="s">
        <v>227</v>
      </c>
      <c r="E595" s="1249" t="s">
        <v>1520</v>
      </c>
      <c r="F595" s="455" t="s">
        <v>1521</v>
      </c>
      <c r="G595" s="456" t="s">
        <v>155</v>
      </c>
      <c r="H595" s="889"/>
      <c r="I595" s="891"/>
      <c r="J595" s="601">
        <v>27.73</v>
      </c>
      <c r="K595" s="602">
        <v>0.20689655172413793</v>
      </c>
      <c r="L595" s="981">
        <v>1</v>
      </c>
      <c r="M595" s="1249" t="s">
        <v>366</v>
      </c>
      <c r="N595" s="604" t="s">
        <v>227</v>
      </c>
      <c r="O595" s="465"/>
      <c r="P595" s="435"/>
      <c r="Q595" s="435"/>
      <c r="R595" s="401">
        <v>0</v>
      </c>
      <c r="S595" s="466">
        <v>0</v>
      </c>
      <c r="U595" s="1248">
        <f t="shared" si="4"/>
        <v>1</v>
      </c>
      <c r="V595" s="1304">
        <f t="shared" si="5"/>
        <v>0</v>
      </c>
    </row>
    <row r="596" spans="1:22" ht="16.5" thickTop="1" thickBot="1">
      <c r="A596" s="1244" t="s">
        <v>244</v>
      </c>
      <c r="B596" s="1245" t="s">
        <v>649</v>
      </c>
      <c r="C596" s="1328" t="s">
        <v>227</v>
      </c>
      <c r="D596" s="1327" t="s">
        <v>227</v>
      </c>
      <c r="E596" s="1245" t="s">
        <v>1643</v>
      </c>
      <c r="F596" s="457" t="s">
        <v>1644</v>
      </c>
      <c r="G596" s="458" t="s">
        <v>155</v>
      </c>
      <c r="H596" s="888"/>
      <c r="I596" s="890"/>
      <c r="J596" s="899">
        <v>176.72499999999999</v>
      </c>
      <c r="K596" s="603">
        <v>0.29411764705882354</v>
      </c>
      <c r="L596" s="980">
        <v>3</v>
      </c>
      <c r="M596" s="1245" t="s">
        <v>366</v>
      </c>
      <c r="N596" s="604" t="s">
        <v>227</v>
      </c>
      <c r="O596" s="463"/>
      <c r="P596" s="434"/>
      <c r="Q596" s="434"/>
      <c r="R596" s="400">
        <v>0</v>
      </c>
      <c r="S596" s="464">
        <v>0</v>
      </c>
      <c r="U596" s="1248">
        <f t="shared" si="4"/>
        <v>1</v>
      </c>
      <c r="V596" s="1304">
        <f t="shared" si="5"/>
        <v>0</v>
      </c>
    </row>
    <row r="597" spans="1:22" ht="16.5" thickTop="1" thickBot="1">
      <c r="A597" s="1244" t="s">
        <v>244</v>
      </c>
      <c r="B597" s="1249" t="s">
        <v>649</v>
      </c>
      <c r="C597" s="1329" t="s">
        <v>227</v>
      </c>
      <c r="D597" s="1326" t="s">
        <v>227</v>
      </c>
      <c r="E597" s="1249" t="s">
        <v>1641</v>
      </c>
      <c r="F597" s="455" t="s">
        <v>1642</v>
      </c>
      <c r="G597" s="456" t="s">
        <v>155</v>
      </c>
      <c r="H597" s="889"/>
      <c r="I597" s="891"/>
      <c r="J597" s="601">
        <v>41.720999999999997</v>
      </c>
      <c r="K597" s="602">
        <v>0.13793103448275862</v>
      </c>
      <c r="L597" s="981">
        <v>1</v>
      </c>
      <c r="M597" s="1249" t="s">
        <v>366</v>
      </c>
      <c r="N597" s="604" t="s">
        <v>227</v>
      </c>
      <c r="O597" s="465"/>
      <c r="P597" s="435">
        <v>5.4829999999999997</v>
      </c>
      <c r="Q597" s="435"/>
      <c r="R597" s="401">
        <v>0</v>
      </c>
      <c r="S597" s="466">
        <v>0</v>
      </c>
      <c r="U597" s="1248">
        <f t="shared" si="4"/>
        <v>1</v>
      </c>
      <c r="V597" s="1304">
        <f t="shared" si="5"/>
        <v>0</v>
      </c>
    </row>
    <row r="598" spans="1:22" ht="16.5" thickTop="1" thickBot="1">
      <c r="A598" s="1244" t="s">
        <v>244</v>
      </c>
      <c r="B598" s="1245" t="s">
        <v>649</v>
      </c>
      <c r="C598" s="1328" t="s">
        <v>227</v>
      </c>
      <c r="D598" s="1327" t="s">
        <v>227</v>
      </c>
      <c r="E598" s="1245" t="s">
        <v>2407</v>
      </c>
      <c r="F598" s="457" t="s">
        <v>2408</v>
      </c>
      <c r="G598" s="458" t="s">
        <v>155</v>
      </c>
      <c r="H598" s="888"/>
      <c r="I598" s="890"/>
      <c r="J598" s="899">
        <v>49.67</v>
      </c>
      <c r="K598" s="603">
        <v>0.25806451612903225</v>
      </c>
      <c r="L598" s="980">
        <v>2</v>
      </c>
      <c r="M598" s="1245" t="s">
        <v>366</v>
      </c>
      <c r="N598" s="604" t="s">
        <v>227</v>
      </c>
      <c r="O598" s="463"/>
      <c r="P598" s="434">
        <v>3.7519999999999998</v>
      </c>
      <c r="Q598" s="434"/>
      <c r="R598" s="400">
        <v>0</v>
      </c>
      <c r="S598" s="464">
        <v>0</v>
      </c>
      <c r="U598" s="1248">
        <f t="shared" si="4"/>
        <v>1</v>
      </c>
      <c r="V598" s="1304">
        <f t="shared" si="5"/>
        <v>0</v>
      </c>
    </row>
    <row r="599" spans="1:22" ht="16.5" thickTop="1" thickBot="1">
      <c r="A599" s="1244" t="s">
        <v>244</v>
      </c>
      <c r="B599" s="1249" t="s">
        <v>649</v>
      </c>
      <c r="C599" s="1329" t="s">
        <v>227</v>
      </c>
      <c r="D599" s="1326" t="s">
        <v>227</v>
      </c>
      <c r="E599" s="1249" t="s">
        <v>2516</v>
      </c>
      <c r="F599" s="455" t="s">
        <v>2517</v>
      </c>
      <c r="G599" s="456" t="s">
        <v>155</v>
      </c>
      <c r="H599" s="889"/>
      <c r="I599" s="891"/>
      <c r="J599" s="601"/>
      <c r="K599" s="602">
        <v>0</v>
      </c>
      <c r="L599" s="981">
        <v>3</v>
      </c>
      <c r="M599" s="1249" t="s">
        <v>366</v>
      </c>
      <c r="N599" s="604" t="s">
        <v>227</v>
      </c>
      <c r="O599" s="465">
        <v>1</v>
      </c>
      <c r="P599" s="435"/>
      <c r="Q599" s="435"/>
      <c r="R599" s="401">
        <v>0</v>
      </c>
      <c r="S599" s="466">
        <v>0</v>
      </c>
      <c r="U599" s="1248">
        <f t="shared" si="4"/>
        <v>1</v>
      </c>
      <c r="V599" s="1304">
        <f t="shared" si="5"/>
        <v>0</v>
      </c>
    </row>
    <row r="600" spans="1:22" ht="16.5" thickTop="1" thickBot="1">
      <c r="A600" s="1244" t="s">
        <v>244</v>
      </c>
      <c r="B600" s="1245" t="s">
        <v>649</v>
      </c>
      <c r="C600" s="1328" t="s">
        <v>710</v>
      </c>
      <c r="D600" s="1327" t="s">
        <v>227</v>
      </c>
      <c r="E600" s="1245" t="s">
        <v>688</v>
      </c>
      <c r="F600" s="457" t="s">
        <v>689</v>
      </c>
      <c r="G600" s="458" t="s">
        <v>156</v>
      </c>
      <c r="H600" s="888">
        <v>26</v>
      </c>
      <c r="I600" s="890">
        <v>80.465999999999994</v>
      </c>
      <c r="J600" s="899">
        <v>510.51249999999999</v>
      </c>
      <c r="K600" s="603">
        <v>0.24875621890547264</v>
      </c>
      <c r="L600" s="980">
        <v>8</v>
      </c>
      <c r="M600" s="1245" t="s">
        <v>323</v>
      </c>
      <c r="N600" s="604" t="s">
        <v>227</v>
      </c>
      <c r="O600" s="463"/>
      <c r="P600" s="434">
        <v>-13.736000000000001</v>
      </c>
      <c r="Q600" s="434">
        <v>-1</v>
      </c>
      <c r="R600" s="400">
        <v>0</v>
      </c>
      <c r="S600" s="464">
        <v>0</v>
      </c>
      <c r="U600" s="1248">
        <f t="shared" si="4"/>
        <v>0</v>
      </c>
      <c r="V600" s="1304">
        <f t="shared" si="5"/>
        <v>1</v>
      </c>
    </row>
    <row r="601" spans="1:22" ht="16.5" thickTop="1" thickBot="1">
      <c r="A601" s="1244" t="s">
        <v>244</v>
      </c>
      <c r="B601" s="1249" t="s">
        <v>649</v>
      </c>
      <c r="C601" s="1329" t="s">
        <v>710</v>
      </c>
      <c r="D601" s="1326" t="s">
        <v>227</v>
      </c>
      <c r="E601" s="1249" t="s">
        <v>690</v>
      </c>
      <c r="F601" s="455" t="s">
        <v>691</v>
      </c>
      <c r="G601" s="456" t="s">
        <v>157</v>
      </c>
      <c r="H601" s="889">
        <v>26</v>
      </c>
      <c r="I601" s="891"/>
      <c r="J601" s="601">
        <v>97.248500000000007</v>
      </c>
      <c r="K601" s="602">
        <v>0.16666666666666666</v>
      </c>
      <c r="L601" s="981">
        <v>1</v>
      </c>
      <c r="M601" s="1249" t="s">
        <v>366</v>
      </c>
      <c r="N601" s="604" t="s">
        <v>227</v>
      </c>
      <c r="O601" s="465"/>
      <c r="P601" s="435"/>
      <c r="Q601" s="435"/>
      <c r="R601" s="401">
        <v>0</v>
      </c>
      <c r="S601" s="466">
        <v>0</v>
      </c>
      <c r="U601" s="1248">
        <f t="shared" si="4"/>
        <v>1</v>
      </c>
      <c r="V601" s="1304">
        <f t="shared" si="5"/>
        <v>1</v>
      </c>
    </row>
    <row r="602" spans="1:22" ht="16.5" thickTop="1" thickBot="1">
      <c r="A602" s="1244" t="s">
        <v>244</v>
      </c>
      <c r="B602" s="1245" t="s">
        <v>649</v>
      </c>
      <c r="C602" s="1328" t="s">
        <v>710</v>
      </c>
      <c r="D602" s="1327" t="s">
        <v>227</v>
      </c>
      <c r="E602" s="1245" t="s">
        <v>710</v>
      </c>
      <c r="F602" s="457" t="s">
        <v>722</v>
      </c>
      <c r="G602" s="458" t="s">
        <v>158</v>
      </c>
      <c r="H602" s="888">
        <v>26</v>
      </c>
      <c r="I602" s="890">
        <v>110.077</v>
      </c>
      <c r="J602" s="899">
        <v>1569.8440000000001</v>
      </c>
      <c r="K602" s="603">
        <v>0.37681159420289856</v>
      </c>
      <c r="L602" s="980">
        <v>11</v>
      </c>
      <c r="M602" s="1245" t="s">
        <v>323</v>
      </c>
      <c r="N602" s="604" t="s">
        <v>227</v>
      </c>
      <c r="O602" s="463">
        <v>1</v>
      </c>
      <c r="P602" s="434">
        <v>102.95699999999999</v>
      </c>
      <c r="Q602" s="434">
        <v>7</v>
      </c>
      <c r="R602" s="400">
        <v>6</v>
      </c>
      <c r="S602" s="464">
        <v>0.54545454545454541</v>
      </c>
      <c r="U602" s="1248">
        <f t="shared" si="4"/>
        <v>0</v>
      </c>
      <c r="V602" s="1304">
        <f t="shared" si="5"/>
        <v>1</v>
      </c>
    </row>
    <row r="603" spans="1:22" ht="16.5" thickTop="1" thickBot="1">
      <c r="A603" s="1244" t="s">
        <v>244</v>
      </c>
      <c r="B603" s="1249" t="s">
        <v>649</v>
      </c>
      <c r="C603" s="1329" t="s">
        <v>710</v>
      </c>
      <c r="D603" s="1326" t="s">
        <v>227</v>
      </c>
      <c r="E603" s="1249" t="s">
        <v>886</v>
      </c>
      <c r="F603" s="455" t="s">
        <v>887</v>
      </c>
      <c r="G603" s="456" t="s">
        <v>156</v>
      </c>
      <c r="H603" s="889">
        <v>22</v>
      </c>
      <c r="I603" s="891">
        <v>736.904</v>
      </c>
      <c r="J603" s="601">
        <v>892.25099999999998</v>
      </c>
      <c r="K603" s="602">
        <v>0.26347305389221559</v>
      </c>
      <c r="L603" s="981">
        <v>12</v>
      </c>
      <c r="M603" s="1249" t="s">
        <v>323</v>
      </c>
      <c r="N603" s="604" t="s">
        <v>227</v>
      </c>
      <c r="O603" s="465"/>
      <c r="P603" s="435">
        <v>51.92</v>
      </c>
      <c r="Q603" s="435">
        <v>2</v>
      </c>
      <c r="R603" s="401">
        <v>1</v>
      </c>
      <c r="S603" s="466">
        <v>8.3333333333333329E-2</v>
      </c>
      <c r="U603" s="1248">
        <f t="shared" si="4"/>
        <v>0</v>
      </c>
      <c r="V603" s="1304">
        <f t="shared" si="5"/>
        <v>1</v>
      </c>
    </row>
    <row r="604" spans="1:22" ht="16.5" thickTop="1" thickBot="1">
      <c r="A604" s="1244" t="s">
        <v>244</v>
      </c>
      <c r="B604" s="1245" t="s">
        <v>649</v>
      </c>
      <c r="C604" s="1328" t="s">
        <v>710</v>
      </c>
      <c r="D604" s="1327" t="s">
        <v>227</v>
      </c>
      <c r="E604" s="1245" t="s">
        <v>978</v>
      </c>
      <c r="F604" s="457" t="s">
        <v>979</v>
      </c>
      <c r="G604" s="458" t="s">
        <v>156</v>
      </c>
      <c r="H604" s="888">
        <v>20</v>
      </c>
      <c r="I604" s="890">
        <v>234.73050000000001</v>
      </c>
      <c r="J604" s="899">
        <v>701.65</v>
      </c>
      <c r="K604" s="603">
        <v>0.5161290322580645</v>
      </c>
      <c r="L604" s="980">
        <v>7</v>
      </c>
      <c r="M604" s="1245" t="s">
        <v>323</v>
      </c>
      <c r="N604" s="604" t="s">
        <v>227</v>
      </c>
      <c r="O604" s="463">
        <v>1</v>
      </c>
      <c r="P604" s="434">
        <v>182.68299999999999</v>
      </c>
      <c r="Q604" s="434">
        <v>8</v>
      </c>
      <c r="R604" s="400">
        <v>3</v>
      </c>
      <c r="S604" s="464">
        <v>0.5</v>
      </c>
      <c r="U604" s="1248">
        <f t="shared" si="4"/>
        <v>0</v>
      </c>
      <c r="V604" s="1304">
        <f t="shared" si="5"/>
        <v>1</v>
      </c>
    </row>
    <row r="605" spans="1:22" ht="16.5" thickTop="1" thickBot="1">
      <c r="A605" s="1244" t="s">
        <v>244</v>
      </c>
      <c r="B605" s="1249" t="s">
        <v>649</v>
      </c>
      <c r="C605" s="1329" t="s">
        <v>710</v>
      </c>
      <c r="D605" s="1326" t="s">
        <v>227</v>
      </c>
      <c r="E605" s="1249" t="s">
        <v>980</v>
      </c>
      <c r="F605" s="455" t="s">
        <v>981</v>
      </c>
      <c r="G605" s="456" t="s">
        <v>156</v>
      </c>
      <c r="H605" s="889">
        <v>20</v>
      </c>
      <c r="I605" s="891">
        <v>137.846</v>
      </c>
      <c r="J605" s="601">
        <v>145.24600000000001</v>
      </c>
      <c r="K605" s="602">
        <v>0.20338983050847459</v>
      </c>
      <c r="L605" s="981">
        <v>5</v>
      </c>
      <c r="M605" s="1249" t="s">
        <v>366</v>
      </c>
      <c r="N605" s="604" t="s">
        <v>227</v>
      </c>
      <c r="O605" s="465"/>
      <c r="P605" s="435">
        <v>0</v>
      </c>
      <c r="Q605" s="435"/>
      <c r="R605" s="401">
        <v>0</v>
      </c>
      <c r="S605" s="466">
        <v>0</v>
      </c>
      <c r="U605" s="1248">
        <f t="shared" si="4"/>
        <v>1</v>
      </c>
      <c r="V605" s="1304">
        <f t="shared" si="5"/>
        <v>1</v>
      </c>
    </row>
    <row r="606" spans="1:22" ht="16.5" thickTop="1" thickBot="1">
      <c r="A606" s="1244" t="s">
        <v>244</v>
      </c>
      <c r="B606" s="1245" t="s">
        <v>649</v>
      </c>
      <c r="C606" s="1328" t="s">
        <v>710</v>
      </c>
      <c r="D606" s="1327" t="s">
        <v>227</v>
      </c>
      <c r="E606" s="1245" t="s">
        <v>1393</v>
      </c>
      <c r="F606" s="457" t="s">
        <v>1394</v>
      </c>
      <c r="G606" s="458" t="s">
        <v>157</v>
      </c>
      <c r="H606" s="888">
        <v>15</v>
      </c>
      <c r="I606" s="890">
        <v>891.55700000000002</v>
      </c>
      <c r="J606" s="899">
        <v>2050.0659999999998</v>
      </c>
      <c r="K606" s="603">
        <v>0.36633663366336633</v>
      </c>
      <c r="L606" s="980">
        <v>8</v>
      </c>
      <c r="M606" s="1245" t="s">
        <v>323</v>
      </c>
      <c r="N606" s="604" t="s">
        <v>227</v>
      </c>
      <c r="O606" s="463">
        <v>1</v>
      </c>
      <c r="P606" s="434">
        <v>101.649</v>
      </c>
      <c r="Q606" s="434">
        <v>4</v>
      </c>
      <c r="R606" s="400">
        <v>3</v>
      </c>
      <c r="S606" s="464">
        <v>0.3</v>
      </c>
      <c r="U606" s="1248">
        <f t="shared" si="4"/>
        <v>0</v>
      </c>
      <c r="V606" s="1304">
        <f t="shared" si="5"/>
        <v>1</v>
      </c>
    </row>
    <row r="607" spans="1:22" ht="16.5" thickTop="1" thickBot="1">
      <c r="A607" s="1244" t="s">
        <v>244</v>
      </c>
      <c r="B607" s="1249" t="s">
        <v>649</v>
      </c>
      <c r="C607" s="1329" t="s">
        <v>710</v>
      </c>
      <c r="D607" s="1326" t="s">
        <v>227</v>
      </c>
      <c r="E607" s="1249" t="s">
        <v>2128</v>
      </c>
      <c r="F607" s="455" t="s">
        <v>2129</v>
      </c>
      <c r="G607" s="456" t="s">
        <v>156</v>
      </c>
      <c r="H607" s="889">
        <v>10</v>
      </c>
      <c r="I607" s="891">
        <v>505.41899999999998</v>
      </c>
      <c r="J607" s="601">
        <v>79.866</v>
      </c>
      <c r="K607" s="602">
        <v>0.1111111111111111</v>
      </c>
      <c r="L607" s="981">
        <v>7</v>
      </c>
      <c r="M607" s="1249" t="s">
        <v>366</v>
      </c>
      <c r="N607" s="604" t="s">
        <v>227</v>
      </c>
      <c r="O607" s="465"/>
      <c r="P607" s="435">
        <v>7.157</v>
      </c>
      <c r="Q607" s="435">
        <v>1</v>
      </c>
      <c r="R607" s="401">
        <v>1</v>
      </c>
      <c r="S607" s="466">
        <v>0.14285714285714285</v>
      </c>
      <c r="U607" s="1248">
        <f t="shared" si="4"/>
        <v>1</v>
      </c>
      <c r="V607" s="1304">
        <f t="shared" si="5"/>
        <v>1</v>
      </c>
    </row>
    <row r="608" spans="1:22" ht="16.5" thickTop="1" thickBot="1">
      <c r="A608" s="1244" t="s">
        <v>244</v>
      </c>
      <c r="B608" s="1245" t="s">
        <v>649</v>
      </c>
      <c r="C608" s="1328" t="s">
        <v>710</v>
      </c>
      <c r="D608" s="1327" t="s">
        <v>227</v>
      </c>
      <c r="E608" s="1245" t="s">
        <v>2488</v>
      </c>
      <c r="F608" s="457" t="s">
        <v>2489</v>
      </c>
      <c r="G608" s="458" t="s">
        <v>155</v>
      </c>
      <c r="H608" s="888"/>
      <c r="I608" s="890"/>
      <c r="J608" s="899">
        <v>82.046999999999997</v>
      </c>
      <c r="K608" s="603">
        <v>0.23255813953488372</v>
      </c>
      <c r="L608" s="980">
        <v>5</v>
      </c>
      <c r="M608" s="1245" t="s">
        <v>366</v>
      </c>
      <c r="N608" s="604" t="s">
        <v>227</v>
      </c>
      <c r="O608" s="463">
        <v>2</v>
      </c>
      <c r="P608" s="434">
        <v>20.273</v>
      </c>
      <c r="Q608" s="434">
        <v>2</v>
      </c>
      <c r="R608" s="400">
        <v>2</v>
      </c>
      <c r="S608" s="464">
        <v>0.5</v>
      </c>
      <c r="U608" s="1248">
        <f t="shared" si="4"/>
        <v>1</v>
      </c>
      <c r="V608" s="1304">
        <f t="shared" si="5"/>
        <v>0</v>
      </c>
    </row>
    <row r="609" spans="1:22" ht="16.5" thickTop="1" thickBot="1">
      <c r="A609" s="1244" t="s">
        <v>244</v>
      </c>
      <c r="B609" s="1249" t="s">
        <v>649</v>
      </c>
      <c r="C609" s="1329" t="s">
        <v>710</v>
      </c>
      <c r="D609" s="1326" t="s">
        <v>227</v>
      </c>
      <c r="E609" s="1249" t="s">
        <v>2702</v>
      </c>
      <c r="F609" s="455" t="s">
        <v>2703</v>
      </c>
      <c r="G609" s="456" t="s">
        <v>155</v>
      </c>
      <c r="H609" s="889"/>
      <c r="I609" s="891"/>
      <c r="J609" s="601">
        <v>134.893</v>
      </c>
      <c r="K609" s="602">
        <v>0.27586206896551724</v>
      </c>
      <c r="L609" s="981">
        <v>5</v>
      </c>
      <c r="M609" s="1249" t="s">
        <v>366</v>
      </c>
      <c r="N609" s="604" t="s">
        <v>227</v>
      </c>
      <c r="O609" s="465"/>
      <c r="P609" s="435"/>
      <c r="Q609" s="435"/>
      <c r="R609" s="401">
        <v>0</v>
      </c>
      <c r="S609" s="466">
        <v>0</v>
      </c>
      <c r="U609" s="1248">
        <f t="shared" si="4"/>
        <v>1</v>
      </c>
      <c r="V609" s="1304">
        <f t="shared" si="5"/>
        <v>0</v>
      </c>
    </row>
    <row r="610" spans="1:22" ht="16.5" thickTop="1" thickBot="1">
      <c r="A610" s="1244" t="s">
        <v>244</v>
      </c>
      <c r="B610" s="1245" t="s">
        <v>649</v>
      </c>
      <c r="C610" s="1328" t="s">
        <v>710</v>
      </c>
      <c r="D610" s="1327" t="s">
        <v>227</v>
      </c>
      <c r="E610" s="1245" t="s">
        <v>3237</v>
      </c>
      <c r="F610" s="457" t="s">
        <v>3238</v>
      </c>
      <c r="G610" s="458" t="s">
        <v>156</v>
      </c>
      <c r="H610" s="888">
        <v>1</v>
      </c>
      <c r="I610" s="890">
        <v>7.07</v>
      </c>
      <c r="J610" s="899">
        <v>7.07</v>
      </c>
      <c r="K610" s="603">
        <v>0.66666666666666663</v>
      </c>
      <c r="L610" s="980">
        <v>1</v>
      </c>
      <c r="M610" s="1245" t="s">
        <v>366</v>
      </c>
      <c r="N610" s="604" t="s">
        <v>227</v>
      </c>
      <c r="O610" s="463"/>
      <c r="P610" s="434">
        <v>7.07</v>
      </c>
      <c r="Q610" s="434">
        <v>1</v>
      </c>
      <c r="R610" s="400">
        <v>1</v>
      </c>
      <c r="S610" s="464">
        <v>1</v>
      </c>
      <c r="U610" s="1248">
        <f t="shared" si="4"/>
        <v>1</v>
      </c>
      <c r="V610" s="1304">
        <f t="shared" si="5"/>
        <v>1</v>
      </c>
    </row>
    <row r="611" spans="1:22" ht="16.5" thickTop="1" thickBot="1">
      <c r="A611" s="1244" t="s">
        <v>244</v>
      </c>
      <c r="B611" s="1249" t="s">
        <v>649</v>
      </c>
      <c r="C611" s="1329" t="s">
        <v>1582</v>
      </c>
      <c r="D611" s="1326" t="s">
        <v>227</v>
      </c>
      <c r="E611" s="1249" t="s">
        <v>1618</v>
      </c>
      <c r="F611" s="455" t="s">
        <v>859</v>
      </c>
      <c r="G611" s="456" t="s">
        <v>156</v>
      </c>
      <c r="H611" s="889">
        <v>14</v>
      </c>
      <c r="I611" s="891">
        <v>50.923999999999999</v>
      </c>
      <c r="J611" s="601">
        <v>62.573</v>
      </c>
      <c r="K611" s="602">
        <v>9.8360655737704916E-2</v>
      </c>
      <c r="L611" s="981">
        <v>1</v>
      </c>
      <c r="M611" s="1249" t="s">
        <v>366</v>
      </c>
      <c r="N611" s="604" t="s">
        <v>227</v>
      </c>
      <c r="O611" s="465"/>
      <c r="P611" s="435"/>
      <c r="Q611" s="435"/>
      <c r="R611" s="401">
        <v>0</v>
      </c>
      <c r="S611" s="466">
        <v>0</v>
      </c>
      <c r="U611" s="1248">
        <f t="shared" si="4"/>
        <v>1</v>
      </c>
      <c r="V611" s="1304">
        <f t="shared" si="5"/>
        <v>1</v>
      </c>
    </row>
    <row r="612" spans="1:22" ht="16.5" thickTop="1" thickBot="1">
      <c r="A612" s="1244" t="s">
        <v>244</v>
      </c>
      <c r="B612" s="1245" t="s">
        <v>649</v>
      </c>
      <c r="C612" s="1328" t="s">
        <v>1582</v>
      </c>
      <c r="D612" s="1327" t="s">
        <v>227</v>
      </c>
      <c r="E612" s="1245" t="s">
        <v>1582</v>
      </c>
      <c r="F612" s="457" t="s">
        <v>1584</v>
      </c>
      <c r="G612" s="458" t="s">
        <v>158</v>
      </c>
      <c r="H612" s="888">
        <v>13</v>
      </c>
      <c r="I612" s="890">
        <v>8.7889999999999997</v>
      </c>
      <c r="J612" s="899">
        <v>48.759</v>
      </c>
      <c r="K612" s="603">
        <v>7.6190476190476197E-2</v>
      </c>
      <c r="L612" s="980">
        <v>1</v>
      </c>
      <c r="M612" s="1245" t="s">
        <v>366</v>
      </c>
      <c r="N612" s="604" t="s">
        <v>227</v>
      </c>
      <c r="O612" s="463"/>
      <c r="P612" s="434">
        <v>0</v>
      </c>
      <c r="Q612" s="434"/>
      <c r="R612" s="400">
        <v>0</v>
      </c>
      <c r="S612" s="464">
        <v>0</v>
      </c>
      <c r="U612" s="1248">
        <f t="shared" si="4"/>
        <v>1</v>
      </c>
      <c r="V612" s="1304">
        <f t="shared" si="5"/>
        <v>1</v>
      </c>
    </row>
    <row r="613" spans="1:22" ht="16.5" thickTop="1" thickBot="1">
      <c r="A613" s="1244" t="s">
        <v>244</v>
      </c>
      <c r="B613" s="1249" t="s">
        <v>649</v>
      </c>
      <c r="C613" s="1329" t="s">
        <v>1582</v>
      </c>
      <c r="D613" s="1326" t="s">
        <v>227</v>
      </c>
      <c r="E613" s="1249" t="s">
        <v>1964</v>
      </c>
      <c r="F613" s="455" t="s">
        <v>1965</v>
      </c>
      <c r="G613" s="456" t="s">
        <v>156</v>
      </c>
      <c r="H613" s="889">
        <v>11</v>
      </c>
      <c r="I613" s="891">
        <v>6.4729999999999999</v>
      </c>
      <c r="J613" s="601">
        <v>15.702999999999999</v>
      </c>
      <c r="K613" s="602">
        <v>5.9701492537313432E-2</v>
      </c>
      <c r="L613" s="981">
        <v>1</v>
      </c>
      <c r="M613" s="1249" t="s">
        <v>366</v>
      </c>
      <c r="N613" s="604" t="s">
        <v>227</v>
      </c>
      <c r="O613" s="465"/>
      <c r="P613" s="435"/>
      <c r="Q613" s="435"/>
      <c r="R613" s="401">
        <v>0</v>
      </c>
      <c r="S613" s="466">
        <v>0</v>
      </c>
      <c r="U613" s="1248">
        <f t="shared" si="4"/>
        <v>1</v>
      </c>
      <c r="V613" s="1304">
        <f t="shared" si="5"/>
        <v>1</v>
      </c>
    </row>
    <row r="614" spans="1:22" ht="16.5" thickTop="1" thickBot="1">
      <c r="A614" s="1244" t="s">
        <v>244</v>
      </c>
      <c r="B614" s="1245" t="s">
        <v>649</v>
      </c>
      <c r="C614" s="1328" t="s">
        <v>1582</v>
      </c>
      <c r="D614" s="1327" t="s">
        <v>227</v>
      </c>
      <c r="E614" s="1245" t="s">
        <v>2255</v>
      </c>
      <c r="F614" s="457" t="s">
        <v>2256</v>
      </c>
      <c r="G614" s="458" t="s">
        <v>156</v>
      </c>
      <c r="H614" s="888">
        <v>8</v>
      </c>
      <c r="I614" s="890">
        <v>27.023</v>
      </c>
      <c r="J614" s="899">
        <v>43.755000000000003</v>
      </c>
      <c r="K614" s="603">
        <v>0.17777777777777778</v>
      </c>
      <c r="L614" s="980">
        <v>1</v>
      </c>
      <c r="M614" s="1245" t="s">
        <v>366</v>
      </c>
      <c r="N614" s="604" t="s">
        <v>227</v>
      </c>
      <c r="O614" s="463"/>
      <c r="P614" s="434"/>
      <c r="Q614" s="434"/>
      <c r="R614" s="400">
        <v>0</v>
      </c>
      <c r="S614" s="464">
        <v>0</v>
      </c>
      <c r="U614" s="1248">
        <f t="shared" si="4"/>
        <v>1</v>
      </c>
      <c r="V614" s="1304">
        <f t="shared" si="5"/>
        <v>1</v>
      </c>
    </row>
    <row r="615" spans="1:22" ht="16.5" thickTop="1" thickBot="1">
      <c r="A615" s="1244" t="s">
        <v>244</v>
      </c>
      <c r="B615" s="1249" t="s">
        <v>649</v>
      </c>
      <c r="C615" s="1329" t="s">
        <v>1582</v>
      </c>
      <c r="D615" s="1326" t="s">
        <v>227</v>
      </c>
      <c r="E615" s="1249" t="s">
        <v>2257</v>
      </c>
      <c r="F615" s="455" t="s">
        <v>2258</v>
      </c>
      <c r="G615" s="456" t="s">
        <v>156</v>
      </c>
      <c r="H615" s="889">
        <v>8</v>
      </c>
      <c r="I615" s="891">
        <v>11.333</v>
      </c>
      <c r="J615" s="601">
        <v>27.713999999999999</v>
      </c>
      <c r="K615" s="602">
        <v>0.13333333333333333</v>
      </c>
      <c r="L615" s="981">
        <v>1</v>
      </c>
      <c r="M615" s="1249" t="s">
        <v>366</v>
      </c>
      <c r="N615" s="604" t="s">
        <v>227</v>
      </c>
      <c r="O615" s="465"/>
      <c r="P615" s="435"/>
      <c r="Q615" s="435"/>
      <c r="R615" s="401">
        <v>0</v>
      </c>
      <c r="S615" s="466">
        <v>0</v>
      </c>
      <c r="U615" s="1248">
        <f t="shared" si="4"/>
        <v>1</v>
      </c>
      <c r="V615" s="1304">
        <f t="shared" si="5"/>
        <v>1</v>
      </c>
    </row>
    <row r="616" spans="1:22" ht="16.5" thickTop="1" thickBot="1">
      <c r="A616" s="1244" t="s">
        <v>244</v>
      </c>
      <c r="B616" s="1245" t="s">
        <v>2900</v>
      </c>
      <c r="C616" s="1328" t="s">
        <v>3583</v>
      </c>
      <c r="D616" s="1327" t="s">
        <v>227</v>
      </c>
      <c r="E616" s="1245" t="s">
        <v>3583</v>
      </c>
      <c r="F616" s="457" t="s">
        <v>3585</v>
      </c>
      <c r="G616" s="458" t="s">
        <v>158</v>
      </c>
      <c r="H616" s="888">
        <v>0</v>
      </c>
      <c r="I616" s="890"/>
      <c r="J616" s="899">
        <v>10.333</v>
      </c>
      <c r="K616" s="603">
        <v>1</v>
      </c>
      <c r="L616" s="980">
        <v>2</v>
      </c>
      <c r="M616" s="1245" t="s">
        <v>227</v>
      </c>
      <c r="N616" s="604" t="s">
        <v>227</v>
      </c>
      <c r="O616" s="463">
        <v>2</v>
      </c>
      <c r="P616" s="434">
        <v>10.333</v>
      </c>
      <c r="Q616" s="434">
        <v>1</v>
      </c>
      <c r="R616" s="400">
        <v>1</v>
      </c>
      <c r="S616" s="464">
        <v>1</v>
      </c>
      <c r="U616" s="1248">
        <f t="shared" ref="U616:U679" si="6">IF(M616="U_200",1,0)</f>
        <v>0</v>
      </c>
      <c r="V616" s="1304">
        <f t="shared" ref="V616:V679" si="7">IF(G616&lt;&gt;"US",1,0)</f>
        <v>1</v>
      </c>
    </row>
    <row r="617" spans="1:22" ht="16.5" thickTop="1" thickBot="1">
      <c r="A617" s="1244" t="s">
        <v>244</v>
      </c>
      <c r="B617" s="1249" t="s">
        <v>2900</v>
      </c>
      <c r="C617" s="1329" t="s">
        <v>3583</v>
      </c>
      <c r="D617" s="1326" t="s">
        <v>227</v>
      </c>
      <c r="E617" s="1249" t="s">
        <v>3638</v>
      </c>
      <c r="F617" s="455" t="s">
        <v>3640</v>
      </c>
      <c r="G617" s="456" t="s">
        <v>157</v>
      </c>
      <c r="H617" s="889">
        <v>0</v>
      </c>
      <c r="I617" s="891"/>
      <c r="J617" s="601"/>
      <c r="K617" s="602">
        <v>0</v>
      </c>
      <c r="L617" s="981">
        <v>1</v>
      </c>
      <c r="M617" s="1249" t="s">
        <v>227</v>
      </c>
      <c r="N617" s="604" t="s">
        <v>227</v>
      </c>
      <c r="O617" s="465">
        <v>1</v>
      </c>
      <c r="P617" s="435"/>
      <c r="Q617" s="435"/>
      <c r="R617" s="401">
        <v>0</v>
      </c>
      <c r="S617" s="466">
        <v>0</v>
      </c>
      <c r="U617" s="1248">
        <f t="shared" si="6"/>
        <v>0</v>
      </c>
      <c r="V617" s="1304">
        <f t="shared" si="7"/>
        <v>1</v>
      </c>
    </row>
    <row r="618" spans="1:22" ht="16.5" thickTop="1" thickBot="1">
      <c r="A618" s="1244" t="s">
        <v>244</v>
      </c>
      <c r="B618" s="1245" t="s">
        <v>2900</v>
      </c>
      <c r="C618" s="1328" t="s">
        <v>3583</v>
      </c>
      <c r="D618" s="1327" t="s">
        <v>227</v>
      </c>
      <c r="E618" s="1245" t="s">
        <v>3737</v>
      </c>
      <c r="F618" s="457" t="s">
        <v>3738</v>
      </c>
      <c r="G618" s="458" t="s">
        <v>156</v>
      </c>
      <c r="H618" s="888">
        <v>0</v>
      </c>
      <c r="I618" s="890"/>
      <c r="J618" s="899"/>
      <c r="K618" s="603">
        <v>0</v>
      </c>
      <c r="L618" s="980">
        <v>1</v>
      </c>
      <c r="M618" s="1245" t="s">
        <v>227</v>
      </c>
      <c r="N618" s="604" t="s">
        <v>227</v>
      </c>
      <c r="O618" s="463">
        <v>1</v>
      </c>
      <c r="P618" s="434"/>
      <c r="Q618" s="434"/>
      <c r="R618" s="400">
        <v>0</v>
      </c>
      <c r="S618" s="464">
        <v>0</v>
      </c>
      <c r="U618" s="1248">
        <f t="shared" si="6"/>
        <v>0</v>
      </c>
      <c r="V618" s="1304">
        <f t="shared" si="7"/>
        <v>1</v>
      </c>
    </row>
    <row r="619" spans="1:22" ht="16.5" thickTop="1" thickBot="1">
      <c r="A619" s="1244" t="s">
        <v>244</v>
      </c>
      <c r="B619" s="1249" t="s">
        <v>2900</v>
      </c>
      <c r="C619" s="1329" t="s">
        <v>3583</v>
      </c>
      <c r="D619" s="1326" t="s">
        <v>227</v>
      </c>
      <c r="E619" s="1249" t="s">
        <v>3739</v>
      </c>
      <c r="F619" s="455" t="s">
        <v>3740</v>
      </c>
      <c r="G619" s="456" t="s">
        <v>156</v>
      </c>
      <c r="H619" s="889">
        <v>0</v>
      </c>
      <c r="I619" s="891"/>
      <c r="J619" s="601"/>
      <c r="K619" s="602">
        <v>0</v>
      </c>
      <c r="L619" s="981">
        <v>1</v>
      </c>
      <c r="M619" s="1249" t="s">
        <v>227</v>
      </c>
      <c r="N619" s="604" t="s">
        <v>227</v>
      </c>
      <c r="O619" s="465">
        <v>1</v>
      </c>
      <c r="P619" s="435"/>
      <c r="Q619" s="435"/>
      <c r="R619" s="401">
        <v>0</v>
      </c>
      <c r="S619" s="466">
        <v>0</v>
      </c>
      <c r="U619" s="1248">
        <f t="shared" si="6"/>
        <v>0</v>
      </c>
      <c r="V619" s="1304">
        <f t="shared" si="7"/>
        <v>1</v>
      </c>
    </row>
    <row r="620" spans="1:22" ht="16.5" thickTop="1" thickBot="1">
      <c r="A620" s="1244" t="s">
        <v>244</v>
      </c>
      <c r="B620" s="1245" t="s">
        <v>2900</v>
      </c>
      <c r="C620" s="1328" t="s">
        <v>3583</v>
      </c>
      <c r="D620" s="1327" t="s">
        <v>227</v>
      </c>
      <c r="E620" s="1245" t="s">
        <v>3641</v>
      </c>
      <c r="F620" s="457" t="s">
        <v>3643</v>
      </c>
      <c r="G620" s="458" t="s">
        <v>157</v>
      </c>
      <c r="H620" s="888">
        <v>0</v>
      </c>
      <c r="I620" s="890"/>
      <c r="J620" s="899"/>
      <c r="K620" s="603">
        <v>0</v>
      </c>
      <c r="L620" s="980">
        <v>1</v>
      </c>
      <c r="M620" s="1245" t="s">
        <v>227</v>
      </c>
      <c r="N620" s="604" t="s">
        <v>227</v>
      </c>
      <c r="O620" s="463">
        <v>1</v>
      </c>
      <c r="P620" s="434"/>
      <c r="Q620" s="434"/>
      <c r="R620" s="400">
        <v>0</v>
      </c>
      <c r="S620" s="464">
        <v>0</v>
      </c>
      <c r="U620" s="1248">
        <f t="shared" si="6"/>
        <v>0</v>
      </c>
      <c r="V620" s="1304">
        <f t="shared" si="7"/>
        <v>1</v>
      </c>
    </row>
    <row r="621" spans="1:22" ht="16.5" thickTop="1" thickBot="1">
      <c r="A621" s="1244" t="s">
        <v>244</v>
      </c>
      <c r="B621" s="1249" t="s">
        <v>2900</v>
      </c>
      <c r="C621" s="1329" t="s">
        <v>3583</v>
      </c>
      <c r="D621" s="1326" t="s">
        <v>227</v>
      </c>
      <c r="E621" s="1249" t="s">
        <v>3741</v>
      </c>
      <c r="F621" s="455" t="s">
        <v>3742</v>
      </c>
      <c r="G621" s="456" t="s">
        <v>156</v>
      </c>
      <c r="H621" s="889">
        <v>0</v>
      </c>
      <c r="I621" s="891"/>
      <c r="J621" s="601"/>
      <c r="K621" s="602">
        <v>0</v>
      </c>
      <c r="L621" s="981">
        <v>4</v>
      </c>
      <c r="M621" s="1249" t="s">
        <v>227</v>
      </c>
      <c r="N621" s="604" t="s">
        <v>227</v>
      </c>
      <c r="O621" s="465">
        <v>4</v>
      </c>
      <c r="P621" s="435"/>
      <c r="Q621" s="435"/>
      <c r="R621" s="401">
        <v>0</v>
      </c>
      <c r="S621" s="466">
        <v>0</v>
      </c>
      <c r="U621" s="1248">
        <f t="shared" si="6"/>
        <v>0</v>
      </c>
      <c r="V621" s="1304">
        <f t="shared" si="7"/>
        <v>1</v>
      </c>
    </row>
    <row r="622" spans="1:22" ht="16.5" thickTop="1" thickBot="1">
      <c r="A622" s="1244" t="s">
        <v>244</v>
      </c>
      <c r="B622" s="1245" t="s">
        <v>2900</v>
      </c>
      <c r="C622" s="1328" t="s">
        <v>3583</v>
      </c>
      <c r="D622" s="1327" t="s">
        <v>227</v>
      </c>
      <c r="E622" s="1245" t="s">
        <v>3743</v>
      </c>
      <c r="F622" s="457" t="s">
        <v>3744</v>
      </c>
      <c r="G622" s="458" t="s">
        <v>156</v>
      </c>
      <c r="H622" s="888">
        <v>0</v>
      </c>
      <c r="I622" s="890"/>
      <c r="J622" s="899"/>
      <c r="K622" s="603">
        <v>0</v>
      </c>
      <c r="L622" s="980">
        <v>1</v>
      </c>
      <c r="M622" s="1245" t="s">
        <v>227</v>
      </c>
      <c r="N622" s="604" t="s">
        <v>227</v>
      </c>
      <c r="O622" s="463">
        <v>1</v>
      </c>
      <c r="P622" s="434"/>
      <c r="Q622" s="434"/>
      <c r="R622" s="400">
        <v>0</v>
      </c>
      <c r="S622" s="464">
        <v>0</v>
      </c>
      <c r="U622" s="1248">
        <f t="shared" si="6"/>
        <v>0</v>
      </c>
      <c r="V622" s="1304">
        <f t="shared" si="7"/>
        <v>1</v>
      </c>
    </row>
    <row r="623" spans="1:22" ht="16.5" thickTop="1" thickBot="1">
      <c r="A623" s="1244" t="s">
        <v>244</v>
      </c>
      <c r="B623" s="1249" t="s">
        <v>2900</v>
      </c>
      <c r="C623" s="1329" t="s">
        <v>3583</v>
      </c>
      <c r="D623" s="1326" t="s">
        <v>227</v>
      </c>
      <c r="E623" s="1249" t="s">
        <v>3745</v>
      </c>
      <c r="F623" s="455" t="s">
        <v>3746</v>
      </c>
      <c r="G623" s="456" t="s">
        <v>156</v>
      </c>
      <c r="H623" s="889">
        <v>0</v>
      </c>
      <c r="I623" s="891"/>
      <c r="J623" s="601"/>
      <c r="K623" s="602">
        <v>0</v>
      </c>
      <c r="L623" s="981">
        <v>1</v>
      </c>
      <c r="M623" s="1249" t="s">
        <v>227</v>
      </c>
      <c r="N623" s="604" t="s">
        <v>227</v>
      </c>
      <c r="O623" s="465">
        <v>1</v>
      </c>
      <c r="P623" s="435"/>
      <c r="Q623" s="435"/>
      <c r="R623" s="401">
        <v>0</v>
      </c>
      <c r="S623" s="466">
        <v>0</v>
      </c>
      <c r="U623" s="1248">
        <f t="shared" si="6"/>
        <v>0</v>
      </c>
      <c r="V623" s="1304">
        <f t="shared" si="7"/>
        <v>1</v>
      </c>
    </row>
    <row r="624" spans="1:22" ht="16.5" thickTop="1" thickBot="1">
      <c r="A624" s="1244" t="s">
        <v>244</v>
      </c>
      <c r="B624" s="1245" t="s">
        <v>2900</v>
      </c>
      <c r="C624" s="1328" t="s">
        <v>3583</v>
      </c>
      <c r="D624" s="1327" t="s">
        <v>227</v>
      </c>
      <c r="E624" s="1245" t="s">
        <v>3747</v>
      </c>
      <c r="F624" s="457" t="s">
        <v>3748</v>
      </c>
      <c r="G624" s="458" t="s">
        <v>156</v>
      </c>
      <c r="H624" s="888">
        <v>0</v>
      </c>
      <c r="I624" s="890"/>
      <c r="J624" s="899"/>
      <c r="K624" s="603">
        <v>0</v>
      </c>
      <c r="L624" s="980">
        <v>2</v>
      </c>
      <c r="M624" s="1245" t="s">
        <v>227</v>
      </c>
      <c r="N624" s="604" t="s">
        <v>227</v>
      </c>
      <c r="O624" s="463">
        <v>2</v>
      </c>
      <c r="P624" s="434"/>
      <c r="Q624" s="434"/>
      <c r="R624" s="400">
        <v>0</v>
      </c>
      <c r="S624" s="464">
        <v>0</v>
      </c>
      <c r="U624" s="1248">
        <f t="shared" si="6"/>
        <v>0</v>
      </c>
      <c r="V624" s="1304">
        <f t="shared" si="7"/>
        <v>1</v>
      </c>
    </row>
    <row r="625" spans="1:22" ht="16.5" thickTop="1" thickBot="1">
      <c r="A625" s="1244" t="s">
        <v>244</v>
      </c>
      <c r="B625" s="1249" t="s">
        <v>2900</v>
      </c>
      <c r="C625" s="1329" t="s">
        <v>3583</v>
      </c>
      <c r="D625" s="1326" t="s">
        <v>227</v>
      </c>
      <c r="E625" s="1249" t="s">
        <v>3749</v>
      </c>
      <c r="F625" s="455" t="s">
        <v>3750</v>
      </c>
      <c r="G625" s="456" t="s">
        <v>156</v>
      </c>
      <c r="H625" s="889">
        <v>0</v>
      </c>
      <c r="I625" s="891"/>
      <c r="J625" s="601"/>
      <c r="K625" s="602">
        <v>0</v>
      </c>
      <c r="L625" s="981">
        <v>1</v>
      </c>
      <c r="M625" s="1249" t="s">
        <v>227</v>
      </c>
      <c r="N625" s="604" t="s">
        <v>227</v>
      </c>
      <c r="O625" s="465">
        <v>1</v>
      </c>
      <c r="P625" s="435"/>
      <c r="Q625" s="435"/>
      <c r="R625" s="401">
        <v>0</v>
      </c>
      <c r="S625" s="466">
        <v>0</v>
      </c>
      <c r="U625" s="1248">
        <f t="shared" si="6"/>
        <v>0</v>
      </c>
      <c r="V625" s="1304">
        <f t="shared" si="7"/>
        <v>1</v>
      </c>
    </row>
    <row r="626" spans="1:22" ht="16.5" thickTop="1" thickBot="1">
      <c r="A626" s="1244" t="s">
        <v>244</v>
      </c>
      <c r="B626" s="1245" t="s">
        <v>2900</v>
      </c>
      <c r="C626" s="1328" t="s">
        <v>3583</v>
      </c>
      <c r="D626" s="1327" t="s">
        <v>227</v>
      </c>
      <c r="E626" s="1245" t="s">
        <v>3751</v>
      </c>
      <c r="F626" s="457" t="s">
        <v>3752</v>
      </c>
      <c r="G626" s="458" t="s">
        <v>156</v>
      </c>
      <c r="H626" s="888">
        <v>0</v>
      </c>
      <c r="I626" s="890"/>
      <c r="J626" s="899"/>
      <c r="K626" s="603">
        <v>0</v>
      </c>
      <c r="L626" s="980">
        <v>1</v>
      </c>
      <c r="M626" s="1245" t="s">
        <v>227</v>
      </c>
      <c r="N626" s="604" t="s">
        <v>227</v>
      </c>
      <c r="O626" s="463">
        <v>1</v>
      </c>
      <c r="P626" s="434"/>
      <c r="Q626" s="434"/>
      <c r="R626" s="400">
        <v>0</v>
      </c>
      <c r="S626" s="464">
        <v>0</v>
      </c>
      <c r="U626" s="1248">
        <f t="shared" si="6"/>
        <v>0</v>
      </c>
      <c r="V626" s="1304">
        <f t="shared" si="7"/>
        <v>1</v>
      </c>
    </row>
    <row r="627" spans="1:22" ht="16.5" thickTop="1" thickBot="1">
      <c r="A627" s="1244" t="s">
        <v>244</v>
      </c>
      <c r="B627" s="1249" t="s">
        <v>2046</v>
      </c>
      <c r="C627" s="1329" t="s">
        <v>2058</v>
      </c>
      <c r="D627" s="1326" t="s">
        <v>227</v>
      </c>
      <c r="E627" s="1249" t="s">
        <v>2130</v>
      </c>
      <c r="F627" s="455" t="s">
        <v>2131</v>
      </c>
      <c r="G627" s="456" t="s">
        <v>156</v>
      </c>
      <c r="H627" s="889">
        <v>10</v>
      </c>
      <c r="I627" s="891">
        <v>209.1995</v>
      </c>
      <c r="J627" s="601">
        <v>302.46949999999998</v>
      </c>
      <c r="K627" s="602">
        <v>0.3</v>
      </c>
      <c r="L627" s="981">
        <v>4</v>
      </c>
      <c r="M627" s="1249" t="s">
        <v>323</v>
      </c>
      <c r="N627" s="604" t="s">
        <v>227</v>
      </c>
      <c r="O627" s="465"/>
      <c r="P627" s="435">
        <v>92.477500000000006</v>
      </c>
      <c r="Q627" s="435">
        <v>6.5</v>
      </c>
      <c r="R627" s="401">
        <v>2</v>
      </c>
      <c r="S627" s="466">
        <v>0.5</v>
      </c>
      <c r="U627" s="1248">
        <f t="shared" si="6"/>
        <v>0</v>
      </c>
      <c r="V627" s="1304">
        <f t="shared" si="7"/>
        <v>1</v>
      </c>
    </row>
    <row r="628" spans="1:22" ht="16.5" thickTop="1" thickBot="1">
      <c r="A628" s="1244" t="s">
        <v>244</v>
      </c>
      <c r="B628" s="1245" t="s">
        <v>2046</v>
      </c>
      <c r="C628" s="1328" t="s">
        <v>2058</v>
      </c>
      <c r="D628" s="1327" t="s">
        <v>227</v>
      </c>
      <c r="E628" s="1245" t="s">
        <v>2058</v>
      </c>
      <c r="F628" s="457" t="s">
        <v>2060</v>
      </c>
      <c r="G628" s="458" t="s">
        <v>158</v>
      </c>
      <c r="H628" s="888">
        <v>9</v>
      </c>
      <c r="I628" s="890">
        <v>243.2285</v>
      </c>
      <c r="J628" s="899">
        <v>448.15249999999997</v>
      </c>
      <c r="K628" s="603">
        <v>0.21768707482993196</v>
      </c>
      <c r="L628" s="980">
        <v>7</v>
      </c>
      <c r="M628" s="1245" t="s">
        <v>323</v>
      </c>
      <c r="N628" s="604" t="s">
        <v>227</v>
      </c>
      <c r="O628" s="463"/>
      <c r="P628" s="434">
        <v>65.444500000000005</v>
      </c>
      <c r="Q628" s="434">
        <v>5</v>
      </c>
      <c r="R628" s="400">
        <v>2</v>
      </c>
      <c r="S628" s="464">
        <v>0.23529411764705882</v>
      </c>
      <c r="U628" s="1248">
        <f t="shared" si="6"/>
        <v>0</v>
      </c>
      <c r="V628" s="1304">
        <f t="shared" si="7"/>
        <v>1</v>
      </c>
    </row>
    <row r="629" spans="1:22" ht="16.5" thickTop="1" thickBot="1">
      <c r="A629" s="1244" t="s">
        <v>244</v>
      </c>
      <c r="B629" s="1249" t="s">
        <v>2046</v>
      </c>
      <c r="C629" s="1329" t="s">
        <v>2058</v>
      </c>
      <c r="D629" s="1326" t="s">
        <v>227</v>
      </c>
      <c r="E629" s="1249" t="s">
        <v>2132</v>
      </c>
      <c r="F629" s="455" t="s">
        <v>2133</v>
      </c>
      <c r="G629" s="456" t="s">
        <v>156</v>
      </c>
      <c r="H629" s="889">
        <v>9</v>
      </c>
      <c r="I629" s="891">
        <v>91.356999999999999</v>
      </c>
      <c r="J629" s="601">
        <v>232.334</v>
      </c>
      <c r="K629" s="602">
        <v>0.18867924528301888</v>
      </c>
      <c r="L629" s="981">
        <v>3</v>
      </c>
      <c r="M629" s="1249" t="s">
        <v>321</v>
      </c>
      <c r="N629" s="604" t="s">
        <v>227</v>
      </c>
      <c r="O629" s="465"/>
      <c r="P629" s="435"/>
      <c r="Q629" s="435"/>
      <c r="R629" s="401">
        <v>0</v>
      </c>
      <c r="S629" s="466">
        <v>0</v>
      </c>
      <c r="U629" s="1248">
        <f t="shared" si="6"/>
        <v>0</v>
      </c>
      <c r="V629" s="1304">
        <f t="shared" si="7"/>
        <v>1</v>
      </c>
    </row>
    <row r="630" spans="1:22" ht="16.5" thickTop="1" thickBot="1">
      <c r="A630" s="1244" t="s">
        <v>244</v>
      </c>
      <c r="B630" s="1245" t="s">
        <v>2046</v>
      </c>
      <c r="C630" s="1328" t="s">
        <v>2058</v>
      </c>
      <c r="D630" s="1327" t="s">
        <v>227</v>
      </c>
      <c r="E630" s="1245" t="s">
        <v>2072</v>
      </c>
      <c r="F630" s="457" t="s">
        <v>2074</v>
      </c>
      <c r="G630" s="458" t="s">
        <v>157</v>
      </c>
      <c r="H630" s="888">
        <v>9</v>
      </c>
      <c r="I630" s="890">
        <v>12.053000000000001</v>
      </c>
      <c r="J630" s="899">
        <v>80.995999999999995</v>
      </c>
      <c r="K630" s="603">
        <v>0.14285714285714285</v>
      </c>
      <c r="L630" s="980">
        <v>6</v>
      </c>
      <c r="M630" s="1245" t="s">
        <v>366</v>
      </c>
      <c r="N630" s="604" t="s">
        <v>227</v>
      </c>
      <c r="O630" s="463"/>
      <c r="P630" s="434"/>
      <c r="Q630" s="434"/>
      <c r="R630" s="400">
        <v>0</v>
      </c>
      <c r="S630" s="464">
        <v>0</v>
      </c>
      <c r="U630" s="1248">
        <f t="shared" si="6"/>
        <v>1</v>
      </c>
      <c r="V630" s="1304">
        <f t="shared" si="7"/>
        <v>1</v>
      </c>
    </row>
    <row r="631" spans="1:22" ht="16.5" thickTop="1" thickBot="1">
      <c r="A631" s="1244" t="s">
        <v>244</v>
      </c>
      <c r="B631" s="1249" t="s">
        <v>2046</v>
      </c>
      <c r="C631" s="1329" t="s">
        <v>2058</v>
      </c>
      <c r="D631" s="1326" t="s">
        <v>227</v>
      </c>
      <c r="E631" s="1249" t="s">
        <v>2233</v>
      </c>
      <c r="F631" s="455" t="s">
        <v>2235</v>
      </c>
      <c r="G631" s="456" t="s">
        <v>157</v>
      </c>
      <c r="H631" s="889">
        <v>8</v>
      </c>
      <c r="I631" s="891">
        <v>55.762</v>
      </c>
      <c r="J631" s="601">
        <v>55.762</v>
      </c>
      <c r="K631" s="602">
        <v>0.35294117647058826</v>
      </c>
      <c r="L631" s="981">
        <v>1</v>
      </c>
      <c r="M631" s="1249" t="s">
        <v>366</v>
      </c>
      <c r="N631" s="604" t="s">
        <v>227</v>
      </c>
      <c r="O631" s="465"/>
      <c r="P631" s="435"/>
      <c r="Q631" s="435"/>
      <c r="R631" s="401">
        <v>0</v>
      </c>
      <c r="S631" s="466">
        <v>0</v>
      </c>
      <c r="U631" s="1248">
        <f t="shared" si="6"/>
        <v>1</v>
      </c>
      <c r="V631" s="1304">
        <f t="shared" si="7"/>
        <v>1</v>
      </c>
    </row>
    <row r="632" spans="1:22" ht="16.5" thickTop="1" thickBot="1">
      <c r="A632" s="1244" t="s">
        <v>244</v>
      </c>
      <c r="B632" s="1245" t="s">
        <v>2046</v>
      </c>
      <c r="C632" s="1328" t="s">
        <v>2058</v>
      </c>
      <c r="D632" s="1327" t="s">
        <v>227</v>
      </c>
      <c r="E632" s="1245" t="s">
        <v>2259</v>
      </c>
      <c r="F632" s="457" t="s">
        <v>2260</v>
      </c>
      <c r="G632" s="458" t="s">
        <v>156</v>
      </c>
      <c r="H632" s="888">
        <v>8</v>
      </c>
      <c r="I632" s="890">
        <v>161.48949999999999</v>
      </c>
      <c r="J632" s="899">
        <v>603.87900000000002</v>
      </c>
      <c r="K632" s="603">
        <v>0.59740259740259738</v>
      </c>
      <c r="L632" s="980">
        <v>5</v>
      </c>
      <c r="M632" s="1245" t="s">
        <v>323</v>
      </c>
      <c r="N632" s="604" t="s">
        <v>227</v>
      </c>
      <c r="O632" s="463"/>
      <c r="P632" s="434">
        <v>73.006</v>
      </c>
      <c r="Q632" s="434">
        <v>4.5</v>
      </c>
      <c r="R632" s="400">
        <v>4</v>
      </c>
      <c r="S632" s="464">
        <v>0.8</v>
      </c>
      <c r="U632" s="1248">
        <f t="shared" si="6"/>
        <v>0</v>
      </c>
      <c r="V632" s="1304">
        <f t="shared" si="7"/>
        <v>1</v>
      </c>
    </row>
    <row r="633" spans="1:22" ht="16.5" thickTop="1" thickBot="1">
      <c r="A633" s="1244" t="s">
        <v>244</v>
      </c>
      <c r="B633" s="1249" t="s">
        <v>2046</v>
      </c>
      <c r="C633" s="1329" t="s">
        <v>2058</v>
      </c>
      <c r="D633" s="1326" t="s">
        <v>227</v>
      </c>
      <c r="E633" s="1249" t="s">
        <v>2261</v>
      </c>
      <c r="F633" s="455" t="s">
        <v>2262</v>
      </c>
      <c r="G633" s="456" t="s">
        <v>156</v>
      </c>
      <c r="H633" s="889">
        <v>8</v>
      </c>
      <c r="I633" s="891">
        <v>153.27850000000001</v>
      </c>
      <c r="J633" s="601">
        <v>763.67399999999998</v>
      </c>
      <c r="K633" s="602">
        <v>0.42857142857142855</v>
      </c>
      <c r="L633" s="981">
        <v>6</v>
      </c>
      <c r="M633" s="1249" t="s">
        <v>323</v>
      </c>
      <c r="N633" s="604" t="s">
        <v>227</v>
      </c>
      <c r="O633" s="465"/>
      <c r="P633" s="435"/>
      <c r="Q633" s="435"/>
      <c r="R633" s="401">
        <v>0</v>
      </c>
      <c r="S633" s="466">
        <v>0</v>
      </c>
      <c r="U633" s="1248">
        <f t="shared" si="6"/>
        <v>0</v>
      </c>
      <c r="V633" s="1304">
        <f t="shared" si="7"/>
        <v>1</v>
      </c>
    </row>
    <row r="634" spans="1:22" ht="16.5" thickTop="1" thickBot="1">
      <c r="A634" s="1244" t="s">
        <v>244</v>
      </c>
      <c r="B634" s="1245" t="s">
        <v>2046</v>
      </c>
      <c r="C634" s="1328" t="s">
        <v>2058</v>
      </c>
      <c r="D634" s="1327" t="s">
        <v>227</v>
      </c>
      <c r="E634" s="1245" t="s">
        <v>2446</v>
      </c>
      <c r="F634" s="457" t="s">
        <v>2448</v>
      </c>
      <c r="G634" s="458" t="s">
        <v>157</v>
      </c>
      <c r="H634" s="888">
        <v>6</v>
      </c>
      <c r="I634" s="890">
        <v>147.64400000000001</v>
      </c>
      <c r="J634" s="899">
        <v>1028.3330000000001</v>
      </c>
      <c r="K634" s="603">
        <v>0.59459459459459463</v>
      </c>
      <c r="L634" s="980">
        <v>10</v>
      </c>
      <c r="M634" s="1245" t="s">
        <v>323</v>
      </c>
      <c r="N634" s="604" t="s">
        <v>227</v>
      </c>
      <c r="O634" s="463"/>
      <c r="P634" s="434">
        <v>308.23200000000003</v>
      </c>
      <c r="Q634" s="434">
        <v>18</v>
      </c>
      <c r="R634" s="400">
        <v>6</v>
      </c>
      <c r="S634" s="464">
        <v>0.6</v>
      </c>
      <c r="U634" s="1248">
        <f t="shared" si="6"/>
        <v>0</v>
      </c>
      <c r="V634" s="1304">
        <f t="shared" si="7"/>
        <v>1</v>
      </c>
    </row>
    <row r="635" spans="1:22" ht="16.5" thickTop="1" thickBot="1">
      <c r="A635" s="1244" t="s">
        <v>244</v>
      </c>
      <c r="B635" s="1249" t="s">
        <v>2046</v>
      </c>
      <c r="C635" s="1329" t="s">
        <v>2058</v>
      </c>
      <c r="D635" s="1326" t="s">
        <v>227</v>
      </c>
      <c r="E635" s="1249" t="s">
        <v>2490</v>
      </c>
      <c r="F635" s="455" t="s">
        <v>2491</v>
      </c>
      <c r="G635" s="456" t="s">
        <v>156</v>
      </c>
      <c r="H635" s="889">
        <v>6</v>
      </c>
      <c r="I635" s="891">
        <v>92.503</v>
      </c>
      <c r="J635" s="601">
        <v>387.423</v>
      </c>
      <c r="K635" s="602">
        <v>0.56521739130434778</v>
      </c>
      <c r="L635" s="981">
        <v>6</v>
      </c>
      <c r="M635" s="1249" t="s">
        <v>323</v>
      </c>
      <c r="N635" s="604" t="s">
        <v>227</v>
      </c>
      <c r="O635" s="465">
        <v>1</v>
      </c>
      <c r="P635" s="435">
        <v>147.61699999999999</v>
      </c>
      <c r="Q635" s="435">
        <v>10</v>
      </c>
      <c r="R635" s="401">
        <v>3</v>
      </c>
      <c r="S635" s="466">
        <v>0.54545454545454541</v>
      </c>
      <c r="U635" s="1248">
        <f t="shared" si="6"/>
        <v>0</v>
      </c>
      <c r="V635" s="1304">
        <f t="shared" si="7"/>
        <v>1</v>
      </c>
    </row>
    <row r="636" spans="1:22" ht="16.5" thickTop="1" thickBot="1">
      <c r="A636" s="1244" t="s">
        <v>244</v>
      </c>
      <c r="B636" s="1245" t="s">
        <v>2046</v>
      </c>
      <c r="C636" s="1328" t="s">
        <v>2058</v>
      </c>
      <c r="D636" s="1327" t="s">
        <v>227</v>
      </c>
      <c r="E636" s="1245" t="s">
        <v>2587</v>
      </c>
      <c r="F636" s="457" t="s">
        <v>2588</v>
      </c>
      <c r="G636" s="458" t="s">
        <v>156</v>
      </c>
      <c r="H636" s="888">
        <v>5</v>
      </c>
      <c r="I636" s="890">
        <v>11.143000000000001</v>
      </c>
      <c r="J636" s="899">
        <v>201.298</v>
      </c>
      <c r="K636" s="603">
        <v>0.375</v>
      </c>
      <c r="L636" s="980">
        <v>8</v>
      </c>
      <c r="M636" s="1245" t="s">
        <v>323</v>
      </c>
      <c r="N636" s="604" t="s">
        <v>227</v>
      </c>
      <c r="O636" s="463">
        <v>1</v>
      </c>
      <c r="P636" s="434">
        <v>57.737000000000002</v>
      </c>
      <c r="Q636" s="434">
        <v>5</v>
      </c>
      <c r="R636" s="400">
        <v>5</v>
      </c>
      <c r="S636" s="464">
        <v>0.58823529411764708</v>
      </c>
      <c r="U636" s="1248">
        <f t="shared" si="6"/>
        <v>0</v>
      </c>
      <c r="V636" s="1304">
        <f t="shared" si="7"/>
        <v>1</v>
      </c>
    </row>
    <row r="637" spans="1:22" ht="16.5" thickTop="1" thickBot="1">
      <c r="A637" s="1244" t="s">
        <v>244</v>
      </c>
      <c r="B637" s="1249" t="s">
        <v>2046</v>
      </c>
      <c r="C637" s="1329" t="s">
        <v>2058</v>
      </c>
      <c r="D637" s="1326" t="s">
        <v>227</v>
      </c>
      <c r="E637" s="1249" t="s">
        <v>2786</v>
      </c>
      <c r="F637" s="455" t="s">
        <v>2787</v>
      </c>
      <c r="G637" s="456" t="s">
        <v>156</v>
      </c>
      <c r="H637" s="889">
        <v>3</v>
      </c>
      <c r="I637" s="891">
        <v>21.927</v>
      </c>
      <c r="J637" s="601">
        <v>33.287999999999997</v>
      </c>
      <c r="K637" s="602">
        <v>0.34782608695652173</v>
      </c>
      <c r="L637" s="981">
        <v>5</v>
      </c>
      <c r="M637" s="1249" t="s">
        <v>322</v>
      </c>
      <c r="N637" s="604" t="s">
        <v>227</v>
      </c>
      <c r="O637" s="465">
        <v>1</v>
      </c>
      <c r="P637" s="435"/>
      <c r="Q637" s="435"/>
      <c r="R637" s="401">
        <v>0</v>
      </c>
      <c r="S637" s="466">
        <v>0</v>
      </c>
      <c r="U637" s="1248">
        <f t="shared" si="6"/>
        <v>0</v>
      </c>
      <c r="V637" s="1304">
        <f t="shared" si="7"/>
        <v>1</v>
      </c>
    </row>
    <row r="638" spans="1:22" ht="16.5" thickTop="1" thickBot="1">
      <c r="A638" s="1244" t="s">
        <v>244</v>
      </c>
      <c r="B638" s="1245" t="s">
        <v>2046</v>
      </c>
      <c r="C638" s="1328" t="s">
        <v>2058</v>
      </c>
      <c r="D638" s="1327" t="s">
        <v>227</v>
      </c>
      <c r="E638" s="1245" t="s">
        <v>3239</v>
      </c>
      <c r="F638" s="457" t="s">
        <v>3240</v>
      </c>
      <c r="G638" s="458" t="s">
        <v>157</v>
      </c>
      <c r="H638" s="888">
        <v>2</v>
      </c>
      <c r="I638" s="890">
        <v>36.884</v>
      </c>
      <c r="J638" s="899">
        <v>282.22899999999998</v>
      </c>
      <c r="K638" s="603">
        <v>1.2857142857142858</v>
      </c>
      <c r="L638" s="980">
        <v>12</v>
      </c>
      <c r="M638" s="1245" t="s">
        <v>323</v>
      </c>
      <c r="N638" s="604" t="s">
        <v>227</v>
      </c>
      <c r="O638" s="463">
        <v>11</v>
      </c>
      <c r="P638" s="434">
        <v>276.33</v>
      </c>
      <c r="Q638" s="434">
        <v>24</v>
      </c>
      <c r="R638" s="400">
        <v>8</v>
      </c>
      <c r="S638" s="464">
        <v>1.2307692307692308</v>
      </c>
      <c r="U638" s="1248">
        <f t="shared" si="6"/>
        <v>0</v>
      </c>
      <c r="V638" s="1304">
        <f t="shared" si="7"/>
        <v>1</v>
      </c>
    </row>
    <row r="639" spans="1:22" ht="16.5" thickTop="1" thickBot="1">
      <c r="A639" s="1244" t="s">
        <v>244</v>
      </c>
      <c r="B639" s="1249" t="s">
        <v>2046</v>
      </c>
      <c r="C639" s="1329" t="s">
        <v>2058</v>
      </c>
      <c r="D639" s="1326" t="s">
        <v>227</v>
      </c>
      <c r="E639" s="1249" t="s">
        <v>3241</v>
      </c>
      <c r="F639" s="455" t="s">
        <v>3242</v>
      </c>
      <c r="G639" s="456" t="s">
        <v>156</v>
      </c>
      <c r="H639" s="889">
        <v>2</v>
      </c>
      <c r="I639" s="891">
        <v>44.179000000000002</v>
      </c>
      <c r="J639" s="601">
        <v>101.121</v>
      </c>
      <c r="K639" s="602">
        <v>0.6</v>
      </c>
      <c r="L639" s="981">
        <v>8</v>
      </c>
      <c r="M639" s="1249" t="s">
        <v>323</v>
      </c>
      <c r="N639" s="604" t="s">
        <v>227</v>
      </c>
      <c r="O639" s="465">
        <v>2</v>
      </c>
      <c r="P639" s="435">
        <v>55.968000000000004</v>
      </c>
      <c r="Q639" s="435">
        <v>6</v>
      </c>
      <c r="R639" s="401">
        <v>3</v>
      </c>
      <c r="S639" s="466">
        <v>0.42857142857142855</v>
      </c>
      <c r="U639" s="1248">
        <f t="shared" si="6"/>
        <v>0</v>
      </c>
      <c r="V639" s="1304">
        <f t="shared" si="7"/>
        <v>1</v>
      </c>
    </row>
    <row r="640" spans="1:22" ht="16.5" thickTop="1" thickBot="1">
      <c r="A640" s="1244" t="s">
        <v>244</v>
      </c>
      <c r="B640" s="1245" t="s">
        <v>2046</v>
      </c>
      <c r="C640" s="1328" t="s">
        <v>2058</v>
      </c>
      <c r="D640" s="1327" t="s">
        <v>227</v>
      </c>
      <c r="E640" s="1245" t="s">
        <v>3243</v>
      </c>
      <c r="F640" s="457" t="s">
        <v>3244</v>
      </c>
      <c r="G640" s="458" t="s">
        <v>156</v>
      </c>
      <c r="H640" s="888">
        <v>2</v>
      </c>
      <c r="I640" s="890">
        <v>31.619</v>
      </c>
      <c r="J640" s="899">
        <v>41.863999999999997</v>
      </c>
      <c r="K640" s="603">
        <v>0.46153846153846156</v>
      </c>
      <c r="L640" s="980">
        <v>5</v>
      </c>
      <c r="M640" s="1245" t="s">
        <v>323</v>
      </c>
      <c r="N640" s="604" t="s">
        <v>227</v>
      </c>
      <c r="O640" s="463">
        <v>1</v>
      </c>
      <c r="P640" s="434">
        <v>18.978000000000002</v>
      </c>
      <c r="Q640" s="434">
        <v>1</v>
      </c>
      <c r="R640" s="400">
        <v>2</v>
      </c>
      <c r="S640" s="464">
        <v>0.44444444444444442</v>
      </c>
      <c r="U640" s="1248">
        <f t="shared" si="6"/>
        <v>0</v>
      </c>
      <c r="V640" s="1304">
        <f t="shared" si="7"/>
        <v>1</v>
      </c>
    </row>
    <row r="641" spans="1:22" ht="16.5" thickTop="1" thickBot="1">
      <c r="A641" s="1244" t="s">
        <v>244</v>
      </c>
      <c r="B641" s="1249" t="s">
        <v>2046</v>
      </c>
      <c r="C641" s="1329" t="s">
        <v>2058</v>
      </c>
      <c r="D641" s="1326" t="s">
        <v>227</v>
      </c>
      <c r="E641" s="1249" t="s">
        <v>3245</v>
      </c>
      <c r="F641" s="455" t="s">
        <v>3246</v>
      </c>
      <c r="G641" s="456" t="s">
        <v>156</v>
      </c>
      <c r="H641" s="889">
        <v>2</v>
      </c>
      <c r="I641" s="891">
        <v>14.272</v>
      </c>
      <c r="J641" s="601">
        <v>146.77199999999999</v>
      </c>
      <c r="K641" s="602">
        <v>0.45714285714285713</v>
      </c>
      <c r="L641" s="981">
        <v>17</v>
      </c>
      <c r="M641" s="1249" t="s">
        <v>323</v>
      </c>
      <c r="N641" s="604" t="s">
        <v>227</v>
      </c>
      <c r="O641" s="465">
        <v>8</v>
      </c>
      <c r="P641" s="435">
        <v>103.524</v>
      </c>
      <c r="Q641" s="435">
        <v>8</v>
      </c>
      <c r="R641" s="401">
        <v>5</v>
      </c>
      <c r="S641" s="466">
        <v>0.38461538461538464</v>
      </c>
      <c r="U641" s="1248">
        <f t="shared" si="6"/>
        <v>0</v>
      </c>
      <c r="V641" s="1304">
        <f t="shared" si="7"/>
        <v>1</v>
      </c>
    </row>
    <row r="642" spans="1:22" ht="16.5" thickTop="1" thickBot="1">
      <c r="A642" s="1244" t="s">
        <v>244</v>
      </c>
      <c r="B642" s="1245" t="s">
        <v>2046</v>
      </c>
      <c r="C642" s="1328" t="s">
        <v>2058</v>
      </c>
      <c r="D642" s="1327" t="s">
        <v>227</v>
      </c>
      <c r="E642" s="1245" t="s">
        <v>3247</v>
      </c>
      <c r="F642" s="457" t="s">
        <v>3248</v>
      </c>
      <c r="G642" s="458" t="s">
        <v>156</v>
      </c>
      <c r="H642" s="888">
        <v>1</v>
      </c>
      <c r="I642" s="890"/>
      <c r="J642" s="899"/>
      <c r="K642" s="603">
        <v>0</v>
      </c>
      <c r="L642" s="980">
        <v>2</v>
      </c>
      <c r="M642" s="1245" t="s">
        <v>366</v>
      </c>
      <c r="N642" s="604" t="s">
        <v>227</v>
      </c>
      <c r="O642" s="463">
        <v>1</v>
      </c>
      <c r="P642" s="434"/>
      <c r="Q642" s="434"/>
      <c r="R642" s="400">
        <v>0</v>
      </c>
      <c r="S642" s="464">
        <v>0</v>
      </c>
      <c r="U642" s="1248">
        <f t="shared" si="6"/>
        <v>1</v>
      </c>
      <c r="V642" s="1304">
        <f t="shared" si="7"/>
        <v>1</v>
      </c>
    </row>
    <row r="643" spans="1:22" ht="16.5" thickTop="1" thickBot="1">
      <c r="A643" s="1244" t="s">
        <v>244</v>
      </c>
      <c r="B643" s="1249" t="s">
        <v>2046</v>
      </c>
      <c r="C643" s="1329" t="s">
        <v>2058</v>
      </c>
      <c r="D643" s="1326" t="s">
        <v>227</v>
      </c>
      <c r="E643" s="1249" t="s">
        <v>3249</v>
      </c>
      <c r="F643" s="455" t="s">
        <v>3250</v>
      </c>
      <c r="G643" s="456" t="s">
        <v>155</v>
      </c>
      <c r="H643" s="889"/>
      <c r="I643" s="891"/>
      <c r="J643" s="601"/>
      <c r="K643" s="602">
        <v>0.25</v>
      </c>
      <c r="L643" s="981">
        <v>2</v>
      </c>
      <c r="M643" s="1249" t="s">
        <v>366</v>
      </c>
      <c r="N643" s="604" t="s">
        <v>227</v>
      </c>
      <c r="O643" s="465"/>
      <c r="P643" s="435"/>
      <c r="Q643" s="435"/>
      <c r="R643" s="401">
        <v>0</v>
      </c>
      <c r="S643" s="466">
        <v>0</v>
      </c>
      <c r="U643" s="1248">
        <f t="shared" si="6"/>
        <v>1</v>
      </c>
      <c r="V643" s="1304">
        <f t="shared" si="7"/>
        <v>0</v>
      </c>
    </row>
    <row r="644" spans="1:22" ht="16.5" thickTop="1" thickBot="1">
      <c r="A644" s="1244" t="s">
        <v>244</v>
      </c>
      <c r="B644" s="1245" t="s">
        <v>2046</v>
      </c>
      <c r="C644" s="1328" t="s">
        <v>2061</v>
      </c>
      <c r="D644" s="1327" t="s">
        <v>227</v>
      </c>
      <c r="E644" s="1245" t="s">
        <v>2134</v>
      </c>
      <c r="F644" s="457" t="s">
        <v>2135</v>
      </c>
      <c r="G644" s="458" t="s">
        <v>156</v>
      </c>
      <c r="H644" s="888">
        <v>9</v>
      </c>
      <c r="I644" s="890">
        <v>185.678</v>
      </c>
      <c r="J644" s="899">
        <v>376.82</v>
      </c>
      <c r="K644" s="603">
        <v>0.52173913043478259</v>
      </c>
      <c r="L644" s="980">
        <v>4</v>
      </c>
      <c r="M644" s="1245" t="s">
        <v>323</v>
      </c>
      <c r="N644" s="604" t="s">
        <v>227</v>
      </c>
      <c r="O644" s="463">
        <v>1</v>
      </c>
      <c r="P644" s="434">
        <v>89.156000000000006</v>
      </c>
      <c r="Q644" s="434">
        <v>6</v>
      </c>
      <c r="R644" s="400">
        <v>4</v>
      </c>
      <c r="S644" s="464">
        <v>1</v>
      </c>
      <c r="U644" s="1248">
        <f t="shared" si="6"/>
        <v>0</v>
      </c>
      <c r="V644" s="1304">
        <f t="shared" si="7"/>
        <v>1</v>
      </c>
    </row>
    <row r="645" spans="1:22" ht="16.5" thickTop="1" thickBot="1">
      <c r="A645" s="1244" t="s">
        <v>244</v>
      </c>
      <c r="B645" s="1249" t="s">
        <v>2046</v>
      </c>
      <c r="C645" s="1329" t="s">
        <v>2061</v>
      </c>
      <c r="D645" s="1326" t="s">
        <v>227</v>
      </c>
      <c r="E645" s="1249" t="s">
        <v>2136</v>
      </c>
      <c r="F645" s="455" t="s">
        <v>2137</v>
      </c>
      <c r="G645" s="456" t="s">
        <v>156</v>
      </c>
      <c r="H645" s="889">
        <v>9</v>
      </c>
      <c r="I645" s="891">
        <v>63.418999999999997</v>
      </c>
      <c r="J645" s="601">
        <v>86.090999999999994</v>
      </c>
      <c r="K645" s="602">
        <v>0.18666666666666668</v>
      </c>
      <c r="L645" s="981">
        <v>3</v>
      </c>
      <c r="M645" s="1249" t="s">
        <v>366</v>
      </c>
      <c r="N645" s="604" t="s">
        <v>227</v>
      </c>
      <c r="O645" s="465"/>
      <c r="P645" s="435"/>
      <c r="Q645" s="435"/>
      <c r="R645" s="401">
        <v>0</v>
      </c>
      <c r="S645" s="466">
        <v>0</v>
      </c>
      <c r="U645" s="1248">
        <f t="shared" si="6"/>
        <v>1</v>
      </c>
      <c r="V645" s="1304">
        <f t="shared" si="7"/>
        <v>1</v>
      </c>
    </row>
    <row r="646" spans="1:22" ht="16.5" thickTop="1" thickBot="1">
      <c r="A646" s="1244" t="s">
        <v>244</v>
      </c>
      <c r="B646" s="1245" t="s">
        <v>2046</v>
      </c>
      <c r="C646" s="1328" t="s">
        <v>2061</v>
      </c>
      <c r="D646" s="1327" t="s">
        <v>227</v>
      </c>
      <c r="E646" s="1245" t="s">
        <v>2061</v>
      </c>
      <c r="F646" s="457" t="s">
        <v>2063</v>
      </c>
      <c r="G646" s="458" t="s">
        <v>739</v>
      </c>
      <c r="H646" s="888">
        <v>9</v>
      </c>
      <c r="I646" s="890">
        <v>274.53899999999999</v>
      </c>
      <c r="J646" s="899">
        <v>406.93299999999999</v>
      </c>
      <c r="K646" s="603">
        <v>0.33333333333333331</v>
      </c>
      <c r="L646" s="980">
        <v>6</v>
      </c>
      <c r="M646" s="1245" t="s">
        <v>323</v>
      </c>
      <c r="N646" s="604" t="s">
        <v>227</v>
      </c>
      <c r="O646" s="463">
        <v>2</v>
      </c>
      <c r="P646" s="434">
        <v>68.787000000000006</v>
      </c>
      <c r="Q646" s="434">
        <v>4</v>
      </c>
      <c r="R646" s="400">
        <v>1</v>
      </c>
      <c r="S646" s="464">
        <v>0.18181818181818182</v>
      </c>
      <c r="U646" s="1248">
        <f t="shared" si="6"/>
        <v>0</v>
      </c>
      <c r="V646" s="1304">
        <f t="shared" si="7"/>
        <v>1</v>
      </c>
    </row>
    <row r="647" spans="1:22" ht="16.5" thickTop="1" thickBot="1">
      <c r="A647" s="1244" t="s">
        <v>244</v>
      </c>
      <c r="B647" s="1249" t="s">
        <v>2046</v>
      </c>
      <c r="C647" s="1329" t="s">
        <v>2061</v>
      </c>
      <c r="D647" s="1326" t="s">
        <v>227</v>
      </c>
      <c r="E647" s="1249" t="s">
        <v>2075</v>
      </c>
      <c r="F647" s="455" t="s">
        <v>2077</v>
      </c>
      <c r="G647" s="456" t="s">
        <v>157</v>
      </c>
      <c r="H647" s="889">
        <v>9</v>
      </c>
      <c r="I647" s="891">
        <v>205.86799999999999</v>
      </c>
      <c r="J647" s="601">
        <v>214.09399999999999</v>
      </c>
      <c r="K647" s="602">
        <v>0.33333333333333331</v>
      </c>
      <c r="L647" s="981">
        <v>2</v>
      </c>
      <c r="M647" s="1249" t="s">
        <v>321</v>
      </c>
      <c r="N647" s="604" t="s">
        <v>227</v>
      </c>
      <c r="O647" s="465"/>
      <c r="P647" s="435">
        <v>21.692</v>
      </c>
      <c r="Q647" s="435">
        <v>2</v>
      </c>
      <c r="R647" s="401">
        <v>1</v>
      </c>
      <c r="S647" s="466">
        <v>0.5</v>
      </c>
      <c r="U647" s="1248">
        <f t="shared" si="6"/>
        <v>0</v>
      </c>
      <c r="V647" s="1304">
        <f t="shared" si="7"/>
        <v>1</v>
      </c>
    </row>
    <row r="648" spans="1:22" ht="16.5" thickTop="1" thickBot="1">
      <c r="A648" s="1244" t="s">
        <v>244</v>
      </c>
      <c r="B648" s="1245" t="s">
        <v>2046</v>
      </c>
      <c r="C648" s="1328" t="s">
        <v>2061</v>
      </c>
      <c r="D648" s="1327" t="s">
        <v>227</v>
      </c>
      <c r="E648" s="1245" t="s">
        <v>2078</v>
      </c>
      <c r="F648" s="457" t="s">
        <v>2080</v>
      </c>
      <c r="G648" s="458" t="s">
        <v>157</v>
      </c>
      <c r="H648" s="888">
        <v>9</v>
      </c>
      <c r="I648" s="890">
        <v>189.86500000000001</v>
      </c>
      <c r="J648" s="899">
        <v>237.50700000000001</v>
      </c>
      <c r="K648" s="603">
        <v>0.37931034482758619</v>
      </c>
      <c r="L648" s="980">
        <v>4</v>
      </c>
      <c r="M648" s="1245" t="s">
        <v>321</v>
      </c>
      <c r="N648" s="604" t="s">
        <v>227</v>
      </c>
      <c r="O648" s="463">
        <v>1</v>
      </c>
      <c r="P648" s="434">
        <v>59.951999999999998</v>
      </c>
      <c r="Q648" s="434">
        <v>5</v>
      </c>
      <c r="R648" s="400">
        <v>2</v>
      </c>
      <c r="S648" s="464">
        <v>0.5714285714285714</v>
      </c>
      <c r="U648" s="1248">
        <f t="shared" si="6"/>
        <v>0</v>
      </c>
      <c r="V648" s="1304">
        <f t="shared" si="7"/>
        <v>1</v>
      </c>
    </row>
    <row r="649" spans="1:22" ht="16.5" thickTop="1" thickBot="1">
      <c r="A649" s="1244" t="s">
        <v>244</v>
      </c>
      <c r="B649" s="1249" t="s">
        <v>2046</v>
      </c>
      <c r="C649" s="1329" t="s">
        <v>2061</v>
      </c>
      <c r="D649" s="1326" t="s">
        <v>227</v>
      </c>
      <c r="E649" s="1249" t="s">
        <v>2138</v>
      </c>
      <c r="F649" s="455" t="s">
        <v>2139</v>
      </c>
      <c r="G649" s="456" t="s">
        <v>156</v>
      </c>
      <c r="H649" s="889">
        <v>9</v>
      </c>
      <c r="I649" s="891">
        <v>166.32749999999999</v>
      </c>
      <c r="J649" s="601">
        <v>212.59399999999999</v>
      </c>
      <c r="K649" s="602">
        <v>0.1728395061728395</v>
      </c>
      <c r="L649" s="981">
        <v>1</v>
      </c>
      <c r="M649" s="1249" t="s">
        <v>321</v>
      </c>
      <c r="N649" s="604" t="s">
        <v>227</v>
      </c>
      <c r="O649" s="465"/>
      <c r="P649" s="435">
        <v>75.289000000000001</v>
      </c>
      <c r="Q649" s="435">
        <v>3</v>
      </c>
      <c r="R649" s="401">
        <v>1</v>
      </c>
      <c r="S649" s="466">
        <v>0.66666666666666663</v>
      </c>
      <c r="U649" s="1248">
        <f t="shared" si="6"/>
        <v>0</v>
      </c>
      <c r="V649" s="1304">
        <f t="shared" si="7"/>
        <v>1</v>
      </c>
    </row>
    <row r="650" spans="1:22" ht="16.5" thickTop="1" thickBot="1">
      <c r="A650" s="1244" t="s">
        <v>244</v>
      </c>
      <c r="B650" s="1245" t="s">
        <v>2046</v>
      </c>
      <c r="C650" s="1328" t="s">
        <v>2061</v>
      </c>
      <c r="D650" s="1327" t="s">
        <v>227</v>
      </c>
      <c r="E650" s="1245" t="s">
        <v>2140</v>
      </c>
      <c r="F650" s="457" t="s">
        <v>2141</v>
      </c>
      <c r="G650" s="458" t="s">
        <v>156</v>
      </c>
      <c r="H650" s="888">
        <v>9</v>
      </c>
      <c r="I650" s="890">
        <v>47.042999999999999</v>
      </c>
      <c r="J650" s="899">
        <v>137.464</v>
      </c>
      <c r="K650" s="603">
        <v>0.18947368421052632</v>
      </c>
      <c r="L650" s="980">
        <v>3</v>
      </c>
      <c r="M650" s="1245" t="s">
        <v>322</v>
      </c>
      <c r="N650" s="604" t="s">
        <v>227</v>
      </c>
      <c r="O650" s="463"/>
      <c r="P650" s="434">
        <v>17.751000000000001</v>
      </c>
      <c r="Q650" s="434">
        <v>1</v>
      </c>
      <c r="R650" s="400">
        <v>1</v>
      </c>
      <c r="S650" s="464">
        <v>0.2857142857142857</v>
      </c>
      <c r="U650" s="1248">
        <f t="shared" si="6"/>
        <v>0</v>
      </c>
      <c r="V650" s="1304">
        <f t="shared" si="7"/>
        <v>1</v>
      </c>
    </row>
    <row r="651" spans="1:22" ht="16.5" thickTop="1" thickBot="1">
      <c r="A651" s="1244" t="s">
        <v>244</v>
      </c>
      <c r="B651" s="1249" t="s">
        <v>2046</v>
      </c>
      <c r="C651" s="1329" t="s">
        <v>2061</v>
      </c>
      <c r="D651" s="1326" t="s">
        <v>227</v>
      </c>
      <c r="E651" s="1249" t="s">
        <v>2142</v>
      </c>
      <c r="F651" s="455" t="s">
        <v>2143</v>
      </c>
      <c r="G651" s="456" t="s">
        <v>156</v>
      </c>
      <c r="H651" s="889">
        <v>9</v>
      </c>
      <c r="I651" s="891">
        <v>253.721</v>
      </c>
      <c r="J651" s="601">
        <v>548.54</v>
      </c>
      <c r="K651" s="602">
        <v>0.43859649122807015</v>
      </c>
      <c r="L651" s="981">
        <v>6</v>
      </c>
      <c r="M651" s="1249" t="s">
        <v>323</v>
      </c>
      <c r="N651" s="604" t="s">
        <v>227</v>
      </c>
      <c r="O651" s="465"/>
      <c r="P651" s="435"/>
      <c r="Q651" s="435"/>
      <c r="R651" s="401">
        <v>0</v>
      </c>
      <c r="S651" s="466">
        <v>0</v>
      </c>
      <c r="U651" s="1248">
        <f t="shared" si="6"/>
        <v>0</v>
      </c>
      <c r="V651" s="1304">
        <f t="shared" si="7"/>
        <v>1</v>
      </c>
    </row>
    <row r="652" spans="1:22" ht="16.5" thickTop="1" thickBot="1">
      <c r="A652" s="1244" t="s">
        <v>244</v>
      </c>
      <c r="B652" s="1245" t="s">
        <v>2046</v>
      </c>
      <c r="C652" s="1328" t="s">
        <v>2061</v>
      </c>
      <c r="D652" s="1327" t="s">
        <v>227</v>
      </c>
      <c r="E652" s="1245" t="s">
        <v>2081</v>
      </c>
      <c r="F652" s="457" t="s">
        <v>1735</v>
      </c>
      <c r="G652" s="458" t="s">
        <v>157</v>
      </c>
      <c r="H652" s="888">
        <v>9</v>
      </c>
      <c r="I652" s="890">
        <v>351.90699999999998</v>
      </c>
      <c r="J652" s="899">
        <v>360.32799999999997</v>
      </c>
      <c r="K652" s="603">
        <v>0.41666666666666669</v>
      </c>
      <c r="L652" s="980">
        <v>2</v>
      </c>
      <c r="M652" s="1245" t="s">
        <v>323</v>
      </c>
      <c r="N652" s="604" t="s">
        <v>227</v>
      </c>
      <c r="O652" s="463"/>
      <c r="P652" s="434">
        <v>95.131</v>
      </c>
      <c r="Q652" s="434">
        <v>3</v>
      </c>
      <c r="R652" s="400">
        <v>1</v>
      </c>
      <c r="S652" s="464">
        <v>0.5</v>
      </c>
      <c r="U652" s="1248">
        <f t="shared" si="6"/>
        <v>0</v>
      </c>
      <c r="V652" s="1304">
        <f t="shared" si="7"/>
        <v>1</v>
      </c>
    </row>
    <row r="653" spans="1:22" ht="16.5" thickTop="1" thickBot="1">
      <c r="A653" s="1244" t="s">
        <v>244</v>
      </c>
      <c r="B653" s="1249" t="s">
        <v>2046</v>
      </c>
      <c r="C653" s="1329" t="s">
        <v>2061</v>
      </c>
      <c r="D653" s="1326" t="s">
        <v>227</v>
      </c>
      <c r="E653" s="1249" t="s">
        <v>2263</v>
      </c>
      <c r="F653" s="455" t="s">
        <v>2264</v>
      </c>
      <c r="G653" s="456" t="s">
        <v>156</v>
      </c>
      <c r="H653" s="889">
        <v>8</v>
      </c>
      <c r="I653" s="891">
        <v>64.403000000000006</v>
      </c>
      <c r="J653" s="601">
        <v>177.38200000000001</v>
      </c>
      <c r="K653" s="602">
        <v>0.34920634920634919</v>
      </c>
      <c r="L653" s="981">
        <v>5</v>
      </c>
      <c r="M653" s="1249" t="s">
        <v>321</v>
      </c>
      <c r="N653" s="604" t="s">
        <v>227</v>
      </c>
      <c r="O653" s="465">
        <v>1</v>
      </c>
      <c r="P653" s="435">
        <v>21.312000000000001</v>
      </c>
      <c r="Q653" s="435">
        <v>2</v>
      </c>
      <c r="R653" s="401">
        <v>1</v>
      </c>
      <c r="S653" s="466">
        <v>0.22222222222222221</v>
      </c>
      <c r="U653" s="1248">
        <f t="shared" si="6"/>
        <v>0</v>
      </c>
      <c r="V653" s="1304">
        <f t="shared" si="7"/>
        <v>1</v>
      </c>
    </row>
    <row r="654" spans="1:22" ht="16.5" thickTop="1" thickBot="1">
      <c r="A654" s="1244" t="s">
        <v>244</v>
      </c>
      <c r="B654" s="1245" t="s">
        <v>2046</v>
      </c>
      <c r="C654" s="1328" t="s">
        <v>2061</v>
      </c>
      <c r="D654" s="1327" t="s">
        <v>227</v>
      </c>
      <c r="E654" s="1245" t="s">
        <v>2265</v>
      </c>
      <c r="F654" s="457" t="s">
        <v>2266</v>
      </c>
      <c r="G654" s="458" t="s">
        <v>156</v>
      </c>
      <c r="H654" s="888">
        <v>8</v>
      </c>
      <c r="I654" s="890">
        <v>44.034999999999997</v>
      </c>
      <c r="J654" s="899">
        <v>44.034999999999997</v>
      </c>
      <c r="K654" s="603">
        <v>0.16</v>
      </c>
      <c r="L654" s="980">
        <v>2</v>
      </c>
      <c r="M654" s="1245" t="s">
        <v>366</v>
      </c>
      <c r="N654" s="604" t="s">
        <v>227</v>
      </c>
      <c r="O654" s="463">
        <v>1</v>
      </c>
      <c r="P654" s="434"/>
      <c r="Q654" s="434"/>
      <c r="R654" s="400">
        <v>0</v>
      </c>
      <c r="S654" s="464">
        <v>0</v>
      </c>
      <c r="U654" s="1248">
        <f t="shared" si="6"/>
        <v>1</v>
      </c>
      <c r="V654" s="1304">
        <f t="shared" si="7"/>
        <v>1</v>
      </c>
    </row>
    <row r="655" spans="1:22" ht="16.5" thickTop="1" thickBot="1">
      <c r="A655" s="1244" t="s">
        <v>244</v>
      </c>
      <c r="B655" s="1249" t="s">
        <v>2046</v>
      </c>
      <c r="C655" s="1329" t="s">
        <v>2061</v>
      </c>
      <c r="D655" s="1326" t="s">
        <v>227</v>
      </c>
      <c r="E655" s="1249" t="s">
        <v>2362</v>
      </c>
      <c r="F655" s="455" t="s">
        <v>2363</v>
      </c>
      <c r="G655" s="456" t="s">
        <v>156</v>
      </c>
      <c r="H655" s="889">
        <v>7</v>
      </c>
      <c r="I655" s="891">
        <v>78.885000000000005</v>
      </c>
      <c r="J655" s="601">
        <v>136.95400000000001</v>
      </c>
      <c r="K655" s="602">
        <v>0.20289855072463769</v>
      </c>
      <c r="L655" s="981">
        <v>5</v>
      </c>
      <c r="M655" s="1249" t="s">
        <v>322</v>
      </c>
      <c r="N655" s="604" t="s">
        <v>227</v>
      </c>
      <c r="O655" s="465">
        <v>1</v>
      </c>
      <c r="P655" s="435"/>
      <c r="Q655" s="435"/>
      <c r="R655" s="401">
        <v>0</v>
      </c>
      <c r="S655" s="466">
        <v>0</v>
      </c>
      <c r="U655" s="1248">
        <f t="shared" si="6"/>
        <v>0</v>
      </c>
      <c r="V655" s="1304">
        <f t="shared" si="7"/>
        <v>1</v>
      </c>
    </row>
    <row r="656" spans="1:22" ht="16.5" thickTop="1" thickBot="1">
      <c r="A656" s="1244" t="s">
        <v>244</v>
      </c>
      <c r="B656" s="1245" t="s">
        <v>2046</v>
      </c>
      <c r="C656" s="1328" t="s">
        <v>2061</v>
      </c>
      <c r="D656" s="1327" t="s">
        <v>227</v>
      </c>
      <c r="E656" s="1245" t="s">
        <v>2589</v>
      </c>
      <c r="F656" s="457" t="s">
        <v>2590</v>
      </c>
      <c r="G656" s="458" t="s">
        <v>156</v>
      </c>
      <c r="H656" s="888">
        <v>5</v>
      </c>
      <c r="I656" s="890">
        <v>7.3170000000000002</v>
      </c>
      <c r="J656" s="899">
        <v>50.082000000000001</v>
      </c>
      <c r="K656" s="603">
        <v>0.22222222222222221</v>
      </c>
      <c r="L656" s="980">
        <v>3</v>
      </c>
      <c r="M656" s="1245" t="s">
        <v>366</v>
      </c>
      <c r="N656" s="604" t="s">
        <v>227</v>
      </c>
      <c r="O656" s="463"/>
      <c r="P656" s="434"/>
      <c r="Q656" s="434"/>
      <c r="R656" s="400">
        <v>0</v>
      </c>
      <c r="S656" s="464">
        <v>0</v>
      </c>
      <c r="U656" s="1248">
        <f t="shared" si="6"/>
        <v>1</v>
      </c>
      <c r="V656" s="1304">
        <f t="shared" si="7"/>
        <v>1</v>
      </c>
    </row>
    <row r="657" spans="1:22" ht="16.5" thickTop="1" thickBot="1">
      <c r="A657" s="1244" t="s">
        <v>244</v>
      </c>
      <c r="B657" s="1249" t="s">
        <v>2046</v>
      </c>
      <c r="C657" s="1329" t="s">
        <v>2061</v>
      </c>
      <c r="D657" s="1326" t="s">
        <v>227</v>
      </c>
      <c r="E657" s="1249" t="s">
        <v>2788</v>
      </c>
      <c r="F657" s="455" t="s">
        <v>2789</v>
      </c>
      <c r="G657" s="456" t="s">
        <v>156</v>
      </c>
      <c r="H657" s="889">
        <v>3</v>
      </c>
      <c r="I657" s="891">
        <v>60.709000000000003</v>
      </c>
      <c r="J657" s="601">
        <v>362.39499999999998</v>
      </c>
      <c r="K657" s="602">
        <v>0.8125</v>
      </c>
      <c r="L657" s="981">
        <v>8</v>
      </c>
      <c r="M657" s="1249" t="s">
        <v>323</v>
      </c>
      <c r="N657" s="604" t="s">
        <v>227</v>
      </c>
      <c r="O657" s="465">
        <v>3</v>
      </c>
      <c r="P657" s="435">
        <v>168.453</v>
      </c>
      <c r="Q657" s="435">
        <v>8</v>
      </c>
      <c r="R657" s="401">
        <v>5</v>
      </c>
      <c r="S657" s="466">
        <v>0.76923076923076927</v>
      </c>
      <c r="U657" s="1248">
        <f t="shared" si="6"/>
        <v>0</v>
      </c>
      <c r="V657" s="1304">
        <f t="shared" si="7"/>
        <v>1</v>
      </c>
    </row>
    <row r="658" spans="1:22" ht="16.5" thickTop="1" thickBot="1">
      <c r="A658" s="1244" t="s">
        <v>244</v>
      </c>
      <c r="B658" s="1245" t="s">
        <v>2046</v>
      </c>
      <c r="C658" s="1328" t="s">
        <v>2061</v>
      </c>
      <c r="D658" s="1327" t="s">
        <v>227</v>
      </c>
      <c r="E658" s="1245" t="s">
        <v>2983</v>
      </c>
      <c r="F658" s="457" t="s">
        <v>2984</v>
      </c>
      <c r="G658" s="458" t="s">
        <v>156</v>
      </c>
      <c r="H658" s="888">
        <v>2</v>
      </c>
      <c r="I658" s="890">
        <v>29.524999999999999</v>
      </c>
      <c r="J658" s="899">
        <v>54.268000000000001</v>
      </c>
      <c r="K658" s="603">
        <v>0.41666666666666669</v>
      </c>
      <c r="L658" s="980">
        <v>6</v>
      </c>
      <c r="M658" s="1245" t="s">
        <v>323</v>
      </c>
      <c r="N658" s="604" t="s">
        <v>227</v>
      </c>
      <c r="O658" s="463"/>
      <c r="P658" s="434">
        <v>23.137</v>
      </c>
      <c r="Q658" s="434">
        <v>2</v>
      </c>
      <c r="R658" s="400">
        <v>2</v>
      </c>
      <c r="S658" s="464">
        <v>0.33333333333333331</v>
      </c>
      <c r="U658" s="1248">
        <f t="shared" si="6"/>
        <v>0</v>
      </c>
      <c r="V658" s="1304">
        <f t="shared" si="7"/>
        <v>1</v>
      </c>
    </row>
    <row r="659" spans="1:22" ht="16.5" thickTop="1" thickBot="1">
      <c r="A659" s="1244" t="s">
        <v>244</v>
      </c>
      <c r="B659" s="1249" t="s">
        <v>2046</v>
      </c>
      <c r="C659" s="1329" t="s">
        <v>2061</v>
      </c>
      <c r="D659" s="1326" t="s">
        <v>227</v>
      </c>
      <c r="E659" s="1249" t="s">
        <v>2985</v>
      </c>
      <c r="F659" s="455" t="s">
        <v>2986</v>
      </c>
      <c r="G659" s="456" t="s">
        <v>155</v>
      </c>
      <c r="H659" s="889"/>
      <c r="I659" s="891"/>
      <c r="J659" s="601">
        <v>88.709000000000003</v>
      </c>
      <c r="K659" s="602">
        <v>0.46153846153846156</v>
      </c>
      <c r="L659" s="981">
        <v>3</v>
      </c>
      <c r="M659" s="1249" t="s">
        <v>366</v>
      </c>
      <c r="N659" s="604" t="s">
        <v>227</v>
      </c>
      <c r="O659" s="465">
        <v>1</v>
      </c>
      <c r="P659" s="435">
        <v>40.771999999999998</v>
      </c>
      <c r="Q659" s="435">
        <v>3</v>
      </c>
      <c r="R659" s="401">
        <v>2</v>
      </c>
      <c r="S659" s="466">
        <v>0.8</v>
      </c>
      <c r="U659" s="1248">
        <f t="shared" si="6"/>
        <v>1</v>
      </c>
      <c r="V659" s="1304">
        <f t="shared" si="7"/>
        <v>0</v>
      </c>
    </row>
    <row r="660" spans="1:22" ht="16.5" thickTop="1" thickBot="1">
      <c r="A660" s="1244" t="s">
        <v>244</v>
      </c>
      <c r="B660" s="1245" t="s">
        <v>2046</v>
      </c>
      <c r="C660" s="1328" t="s">
        <v>2061</v>
      </c>
      <c r="D660" s="1327" t="s">
        <v>227</v>
      </c>
      <c r="E660" s="1245" t="s">
        <v>3251</v>
      </c>
      <c r="F660" s="457" t="s">
        <v>3252</v>
      </c>
      <c r="G660" s="458" t="s">
        <v>157</v>
      </c>
      <c r="H660" s="888">
        <v>1</v>
      </c>
      <c r="I660" s="890">
        <v>13.884</v>
      </c>
      <c r="J660" s="899">
        <v>21.302</v>
      </c>
      <c r="K660" s="603">
        <v>0.5714285714285714</v>
      </c>
      <c r="L660" s="980">
        <v>5</v>
      </c>
      <c r="M660" s="1245" t="s">
        <v>323</v>
      </c>
      <c r="N660" s="604" t="s">
        <v>227</v>
      </c>
      <c r="O660" s="463">
        <v>4</v>
      </c>
      <c r="P660" s="434">
        <v>7.4180000000000001</v>
      </c>
      <c r="Q660" s="434">
        <v>1</v>
      </c>
      <c r="R660" s="400">
        <v>1</v>
      </c>
      <c r="S660" s="464">
        <v>0.33333333333333331</v>
      </c>
      <c r="U660" s="1248">
        <f t="shared" si="6"/>
        <v>0</v>
      </c>
      <c r="V660" s="1304">
        <f t="shared" si="7"/>
        <v>1</v>
      </c>
    </row>
    <row r="661" spans="1:22" ht="16.5" thickTop="1" thickBot="1">
      <c r="A661" s="1244" t="s">
        <v>244</v>
      </c>
      <c r="B661" s="1249" t="s">
        <v>2046</v>
      </c>
      <c r="C661" s="1329" t="s">
        <v>2061</v>
      </c>
      <c r="D661" s="1326" t="s">
        <v>227</v>
      </c>
      <c r="E661" s="1249" t="s">
        <v>3253</v>
      </c>
      <c r="F661" s="455" t="s">
        <v>3254</v>
      </c>
      <c r="G661" s="456" t="s">
        <v>156</v>
      </c>
      <c r="H661" s="889">
        <v>1</v>
      </c>
      <c r="I661" s="891">
        <v>83.495999999999995</v>
      </c>
      <c r="J661" s="601">
        <v>96.206999999999994</v>
      </c>
      <c r="K661" s="602">
        <v>0.75</v>
      </c>
      <c r="L661" s="981">
        <v>4</v>
      </c>
      <c r="M661" s="1249" t="s">
        <v>323</v>
      </c>
      <c r="N661" s="604" t="s">
        <v>227</v>
      </c>
      <c r="O661" s="465">
        <v>2</v>
      </c>
      <c r="P661" s="435">
        <v>75.781000000000006</v>
      </c>
      <c r="Q661" s="435">
        <v>5</v>
      </c>
      <c r="R661" s="401">
        <v>2</v>
      </c>
      <c r="S661" s="466">
        <v>0.66666666666666663</v>
      </c>
      <c r="U661" s="1248">
        <f t="shared" si="6"/>
        <v>0</v>
      </c>
      <c r="V661" s="1304">
        <f t="shared" si="7"/>
        <v>1</v>
      </c>
    </row>
    <row r="662" spans="1:22" ht="16.5" thickTop="1" thickBot="1">
      <c r="A662" s="1244" t="s">
        <v>244</v>
      </c>
      <c r="B662" s="1245" t="s">
        <v>2046</v>
      </c>
      <c r="C662" s="1328" t="s">
        <v>2061</v>
      </c>
      <c r="D662" s="1327" t="s">
        <v>227</v>
      </c>
      <c r="E662" s="1245" t="s">
        <v>3753</v>
      </c>
      <c r="F662" s="457" t="s">
        <v>3754</v>
      </c>
      <c r="G662" s="458" t="s">
        <v>155</v>
      </c>
      <c r="H662" s="888"/>
      <c r="I662" s="890"/>
      <c r="J662" s="899">
        <v>15.851000000000001</v>
      </c>
      <c r="K662" s="603">
        <v>0.5</v>
      </c>
      <c r="L662" s="980">
        <v>2</v>
      </c>
      <c r="M662" s="1245" t="s">
        <v>366</v>
      </c>
      <c r="N662" s="604" t="s">
        <v>227</v>
      </c>
      <c r="O662" s="463"/>
      <c r="P662" s="434">
        <v>15.851000000000001</v>
      </c>
      <c r="Q662" s="434">
        <v>1</v>
      </c>
      <c r="R662" s="400">
        <v>1</v>
      </c>
      <c r="S662" s="464">
        <v>0.5</v>
      </c>
      <c r="U662" s="1248">
        <f t="shared" si="6"/>
        <v>1</v>
      </c>
      <c r="V662" s="1304">
        <f t="shared" si="7"/>
        <v>0</v>
      </c>
    </row>
    <row r="663" spans="1:22" ht="16.5" thickTop="1" thickBot="1">
      <c r="A663" s="1244" t="s">
        <v>244</v>
      </c>
      <c r="B663" s="1249" t="s">
        <v>179</v>
      </c>
      <c r="C663" s="1329" t="s">
        <v>227</v>
      </c>
      <c r="D663" s="1326" t="s">
        <v>227</v>
      </c>
      <c r="E663" s="1249" t="s">
        <v>175</v>
      </c>
      <c r="F663" s="455" t="s">
        <v>212</v>
      </c>
      <c r="G663" s="456" t="s">
        <v>156</v>
      </c>
      <c r="H663" s="889">
        <v>40</v>
      </c>
      <c r="I663" s="891">
        <v>15.023</v>
      </c>
      <c r="J663" s="601">
        <v>44.222000000000001</v>
      </c>
      <c r="K663" s="602">
        <v>8.1081081081081086E-2</v>
      </c>
      <c r="L663" s="981">
        <v>3</v>
      </c>
      <c r="M663" s="1249" t="s">
        <v>366</v>
      </c>
      <c r="N663" s="604" t="s">
        <v>227</v>
      </c>
      <c r="O663" s="465"/>
      <c r="P663" s="435">
        <v>0</v>
      </c>
      <c r="Q663" s="435"/>
      <c r="R663" s="401">
        <v>0</v>
      </c>
      <c r="S663" s="466">
        <v>0</v>
      </c>
      <c r="U663" s="1248">
        <f t="shared" si="6"/>
        <v>1</v>
      </c>
      <c r="V663" s="1304">
        <f t="shared" si="7"/>
        <v>1</v>
      </c>
    </row>
    <row r="664" spans="1:22" ht="16.5" thickTop="1" thickBot="1">
      <c r="A664" s="1244" t="s">
        <v>244</v>
      </c>
      <c r="B664" s="1245" t="s">
        <v>179</v>
      </c>
      <c r="C664" s="1328" t="s">
        <v>227</v>
      </c>
      <c r="D664" s="1327" t="s">
        <v>227</v>
      </c>
      <c r="E664" s="1245" t="s">
        <v>3755</v>
      </c>
      <c r="F664" s="457" t="s">
        <v>3756</v>
      </c>
      <c r="G664" s="458" t="s">
        <v>156</v>
      </c>
      <c r="H664" s="888">
        <v>0</v>
      </c>
      <c r="I664" s="890"/>
      <c r="J664" s="899"/>
      <c r="K664" s="603">
        <v>0</v>
      </c>
      <c r="L664" s="980">
        <v>3</v>
      </c>
      <c r="M664" s="1245" t="s">
        <v>227</v>
      </c>
      <c r="N664" s="604" t="s">
        <v>227</v>
      </c>
      <c r="O664" s="463">
        <v>3</v>
      </c>
      <c r="P664" s="434"/>
      <c r="Q664" s="434"/>
      <c r="R664" s="400">
        <v>0</v>
      </c>
      <c r="S664" s="464">
        <v>0</v>
      </c>
      <c r="U664" s="1248">
        <f t="shared" si="6"/>
        <v>0</v>
      </c>
      <c r="V664" s="1304">
        <f t="shared" si="7"/>
        <v>1</v>
      </c>
    </row>
    <row r="665" spans="1:22" ht="16.5" thickTop="1" thickBot="1">
      <c r="A665" s="1244" t="s">
        <v>244</v>
      </c>
      <c r="B665" s="1249" t="s">
        <v>179</v>
      </c>
      <c r="C665" s="1329" t="s">
        <v>227</v>
      </c>
      <c r="D665" s="1326" t="s">
        <v>227</v>
      </c>
      <c r="E665" s="1249" t="s">
        <v>3644</v>
      </c>
      <c r="F665" s="455" t="s">
        <v>3646</v>
      </c>
      <c r="G665" s="456" t="s">
        <v>157</v>
      </c>
      <c r="H665" s="889">
        <v>0</v>
      </c>
      <c r="I665" s="891"/>
      <c r="J665" s="601"/>
      <c r="K665" s="602">
        <v>0</v>
      </c>
      <c r="L665" s="981">
        <v>4</v>
      </c>
      <c r="M665" s="1249" t="s">
        <v>227</v>
      </c>
      <c r="N665" s="604" t="s">
        <v>227</v>
      </c>
      <c r="O665" s="465">
        <v>4</v>
      </c>
      <c r="P665" s="435"/>
      <c r="Q665" s="435"/>
      <c r="R665" s="401">
        <v>0</v>
      </c>
      <c r="S665" s="466">
        <v>0</v>
      </c>
      <c r="U665" s="1248">
        <f t="shared" si="6"/>
        <v>0</v>
      </c>
      <c r="V665" s="1304">
        <f t="shared" si="7"/>
        <v>1</v>
      </c>
    </row>
    <row r="666" spans="1:22" ht="16.5" thickTop="1" thickBot="1">
      <c r="A666" s="1244" t="s">
        <v>244</v>
      </c>
      <c r="B666" s="1245" t="s">
        <v>179</v>
      </c>
      <c r="C666" s="1328" t="s">
        <v>452</v>
      </c>
      <c r="D666" s="1327" t="s">
        <v>227</v>
      </c>
      <c r="E666" s="1245" t="s">
        <v>452</v>
      </c>
      <c r="F666" s="457" t="s">
        <v>453</v>
      </c>
      <c r="G666" s="458" t="s">
        <v>739</v>
      </c>
      <c r="H666" s="888">
        <v>33</v>
      </c>
      <c r="I666" s="890">
        <v>657.93550000000005</v>
      </c>
      <c r="J666" s="899">
        <v>907.00099999999998</v>
      </c>
      <c r="K666" s="603">
        <v>0.32183908045977011</v>
      </c>
      <c r="L666" s="980">
        <v>8</v>
      </c>
      <c r="M666" s="1245" t="s">
        <v>366</v>
      </c>
      <c r="N666" s="604" t="s">
        <v>227</v>
      </c>
      <c r="O666" s="463"/>
      <c r="P666" s="434">
        <v>157.83199999999999</v>
      </c>
      <c r="Q666" s="434">
        <v>7</v>
      </c>
      <c r="R666" s="400">
        <v>4</v>
      </c>
      <c r="S666" s="464">
        <v>0.42105263157894735</v>
      </c>
      <c r="U666" s="1248">
        <f t="shared" si="6"/>
        <v>1</v>
      </c>
      <c r="V666" s="1304">
        <f t="shared" si="7"/>
        <v>1</v>
      </c>
    </row>
    <row r="667" spans="1:22" ht="16.5" thickTop="1" thickBot="1">
      <c r="A667" s="1244" t="s">
        <v>244</v>
      </c>
      <c r="B667" s="1249" t="s">
        <v>179</v>
      </c>
      <c r="C667" s="1329" t="s">
        <v>452</v>
      </c>
      <c r="D667" s="1326" t="s">
        <v>227</v>
      </c>
      <c r="E667" s="1249" t="s">
        <v>454</v>
      </c>
      <c r="F667" s="455" t="s">
        <v>455</v>
      </c>
      <c r="G667" s="456" t="s">
        <v>157</v>
      </c>
      <c r="H667" s="889">
        <v>33</v>
      </c>
      <c r="I667" s="891">
        <v>233.08099999999999</v>
      </c>
      <c r="J667" s="601">
        <v>567.10199999999998</v>
      </c>
      <c r="K667" s="602">
        <v>0.36206896551724138</v>
      </c>
      <c r="L667" s="981">
        <v>7</v>
      </c>
      <c r="M667" s="1249" t="s">
        <v>366</v>
      </c>
      <c r="N667" s="604" t="s">
        <v>227</v>
      </c>
      <c r="O667" s="465">
        <v>2</v>
      </c>
      <c r="P667" s="435">
        <v>47.468000000000004</v>
      </c>
      <c r="Q667" s="435">
        <v>4</v>
      </c>
      <c r="R667" s="401">
        <v>4</v>
      </c>
      <c r="S667" s="466">
        <v>0.61538461538461542</v>
      </c>
      <c r="U667" s="1248">
        <f t="shared" si="6"/>
        <v>1</v>
      </c>
      <c r="V667" s="1304">
        <f t="shared" si="7"/>
        <v>1</v>
      </c>
    </row>
    <row r="668" spans="1:22" ht="16.5" thickTop="1" thickBot="1">
      <c r="A668" s="1244" t="s">
        <v>244</v>
      </c>
      <c r="B668" s="1245" t="s">
        <v>179</v>
      </c>
      <c r="C668" s="1328" t="s">
        <v>452</v>
      </c>
      <c r="D668" s="1327" t="s">
        <v>227</v>
      </c>
      <c r="E668" s="1245" t="s">
        <v>485</v>
      </c>
      <c r="F668" s="457" t="s">
        <v>486</v>
      </c>
      <c r="G668" s="458" t="s">
        <v>156</v>
      </c>
      <c r="H668" s="888">
        <v>30</v>
      </c>
      <c r="I668" s="890">
        <v>214.18100000000001</v>
      </c>
      <c r="J668" s="899">
        <v>641.81600000000003</v>
      </c>
      <c r="K668" s="603">
        <v>0.25773195876288657</v>
      </c>
      <c r="L668" s="980">
        <v>8</v>
      </c>
      <c r="M668" s="1245" t="s">
        <v>323</v>
      </c>
      <c r="N668" s="604" t="s">
        <v>227</v>
      </c>
      <c r="O668" s="463">
        <v>2</v>
      </c>
      <c r="P668" s="434">
        <v>217.47399999999999</v>
      </c>
      <c r="Q668" s="434">
        <v>13</v>
      </c>
      <c r="R668" s="400">
        <v>8</v>
      </c>
      <c r="S668" s="464">
        <v>1</v>
      </c>
      <c r="U668" s="1248">
        <f t="shared" si="6"/>
        <v>0</v>
      </c>
      <c r="V668" s="1304">
        <f t="shared" si="7"/>
        <v>1</v>
      </c>
    </row>
    <row r="669" spans="1:22" ht="16.5" thickTop="1" thickBot="1">
      <c r="A669" s="1244" t="s">
        <v>244</v>
      </c>
      <c r="B669" s="1249" t="s">
        <v>179</v>
      </c>
      <c r="C669" s="1329" t="s">
        <v>452</v>
      </c>
      <c r="D669" s="1326" t="s">
        <v>227</v>
      </c>
      <c r="E669" s="1249" t="s">
        <v>879</v>
      </c>
      <c r="F669" s="455" t="s">
        <v>880</v>
      </c>
      <c r="G669" s="456" t="s">
        <v>155</v>
      </c>
      <c r="H669" s="889"/>
      <c r="I669" s="891"/>
      <c r="J669" s="601">
        <v>319.92399999999998</v>
      </c>
      <c r="K669" s="602">
        <v>0.41269841269841268</v>
      </c>
      <c r="L669" s="981">
        <v>6</v>
      </c>
      <c r="M669" s="1249" t="s">
        <v>366</v>
      </c>
      <c r="N669" s="604" t="s">
        <v>227</v>
      </c>
      <c r="O669" s="465">
        <v>3</v>
      </c>
      <c r="P669" s="435">
        <v>113.432</v>
      </c>
      <c r="Q669" s="435">
        <v>9</v>
      </c>
      <c r="R669" s="401">
        <v>5</v>
      </c>
      <c r="S669" s="466">
        <v>1.1111111111111112</v>
      </c>
      <c r="U669" s="1248">
        <f t="shared" si="6"/>
        <v>1</v>
      </c>
      <c r="V669" s="1304">
        <f t="shared" si="7"/>
        <v>0</v>
      </c>
    </row>
    <row r="670" spans="1:22" ht="16.5" thickTop="1" thickBot="1">
      <c r="A670" s="1244" t="s">
        <v>244</v>
      </c>
      <c r="B670" s="1245" t="s">
        <v>179</v>
      </c>
      <c r="C670" s="1328" t="s">
        <v>452</v>
      </c>
      <c r="D670" s="1327" t="s">
        <v>227</v>
      </c>
      <c r="E670" s="1245" t="s">
        <v>1056</v>
      </c>
      <c r="F670" s="457" t="s">
        <v>1057</v>
      </c>
      <c r="G670" s="458" t="s">
        <v>157</v>
      </c>
      <c r="H670" s="888">
        <v>18</v>
      </c>
      <c r="I670" s="890">
        <v>93.6</v>
      </c>
      <c r="J670" s="899">
        <v>604.85199999999998</v>
      </c>
      <c r="K670" s="603">
        <v>0.48780487804878048</v>
      </c>
      <c r="L670" s="980">
        <v>1</v>
      </c>
      <c r="M670" s="1245" t="s">
        <v>323</v>
      </c>
      <c r="N670" s="604" t="s">
        <v>227</v>
      </c>
      <c r="O670" s="463"/>
      <c r="P670" s="434">
        <v>7.6420000000000003</v>
      </c>
      <c r="Q670" s="434">
        <v>1</v>
      </c>
      <c r="R670" s="400">
        <v>0</v>
      </c>
      <c r="S670" s="464">
        <v>0</v>
      </c>
      <c r="U670" s="1248">
        <f t="shared" si="6"/>
        <v>0</v>
      </c>
      <c r="V670" s="1304">
        <f t="shared" si="7"/>
        <v>1</v>
      </c>
    </row>
    <row r="671" spans="1:22" ht="16.5" thickTop="1" thickBot="1">
      <c r="A671" s="1244" t="s">
        <v>244</v>
      </c>
      <c r="B671" s="1249" t="s">
        <v>179</v>
      </c>
      <c r="C671" s="1329" t="s">
        <v>452</v>
      </c>
      <c r="D671" s="1326" t="s">
        <v>227</v>
      </c>
      <c r="E671" s="1249" t="s">
        <v>1478</v>
      </c>
      <c r="F671" s="455" t="s">
        <v>1479</v>
      </c>
      <c r="G671" s="456" t="s">
        <v>157</v>
      </c>
      <c r="H671" s="889">
        <v>14</v>
      </c>
      <c r="I671" s="891">
        <v>25.472999999999999</v>
      </c>
      <c r="J671" s="601">
        <v>25.472999999999999</v>
      </c>
      <c r="K671" s="602">
        <v>0.12121212121212122</v>
      </c>
      <c r="L671" s="981">
        <v>1</v>
      </c>
      <c r="M671" s="1249" t="s">
        <v>366</v>
      </c>
      <c r="N671" s="604" t="s">
        <v>227</v>
      </c>
      <c r="O671" s="465"/>
      <c r="P671" s="435"/>
      <c r="Q671" s="435"/>
      <c r="R671" s="401">
        <v>0</v>
      </c>
      <c r="S671" s="466">
        <v>0</v>
      </c>
      <c r="U671" s="1248">
        <f t="shared" si="6"/>
        <v>1</v>
      </c>
      <c r="V671" s="1304">
        <f t="shared" si="7"/>
        <v>1</v>
      </c>
    </row>
    <row r="672" spans="1:22" ht="16.5" thickTop="1" thickBot="1">
      <c r="A672" s="1244" t="s">
        <v>244</v>
      </c>
      <c r="B672" s="1245" t="s">
        <v>179</v>
      </c>
      <c r="C672" s="1328" t="s">
        <v>452</v>
      </c>
      <c r="D672" s="1327" t="s">
        <v>227</v>
      </c>
      <c r="E672" s="1245" t="s">
        <v>1480</v>
      </c>
      <c r="F672" s="457" t="s">
        <v>1194</v>
      </c>
      <c r="G672" s="458" t="s">
        <v>156</v>
      </c>
      <c r="H672" s="888">
        <v>14</v>
      </c>
      <c r="I672" s="890">
        <v>63.49</v>
      </c>
      <c r="J672" s="899">
        <v>583.76400000000001</v>
      </c>
      <c r="K672" s="603">
        <v>0.40384615384615385</v>
      </c>
      <c r="L672" s="980">
        <v>1</v>
      </c>
      <c r="M672" s="1245" t="s">
        <v>323</v>
      </c>
      <c r="N672" s="604" t="s">
        <v>227</v>
      </c>
      <c r="O672" s="463"/>
      <c r="P672" s="434">
        <v>0</v>
      </c>
      <c r="Q672" s="434"/>
      <c r="R672" s="400">
        <v>0</v>
      </c>
      <c r="S672" s="464">
        <v>0</v>
      </c>
      <c r="U672" s="1248">
        <f t="shared" si="6"/>
        <v>0</v>
      </c>
      <c r="V672" s="1304">
        <f t="shared" si="7"/>
        <v>1</v>
      </c>
    </row>
    <row r="673" spans="1:22" ht="16.5" thickTop="1" thickBot="1">
      <c r="A673" s="1244" t="s">
        <v>244</v>
      </c>
      <c r="B673" s="1249" t="s">
        <v>179</v>
      </c>
      <c r="C673" s="1329" t="s">
        <v>452</v>
      </c>
      <c r="D673" s="1326" t="s">
        <v>227</v>
      </c>
      <c r="E673" s="1249" t="s">
        <v>1909</v>
      </c>
      <c r="F673" s="455" t="s">
        <v>1910</v>
      </c>
      <c r="G673" s="456" t="s">
        <v>157</v>
      </c>
      <c r="H673" s="889">
        <v>12</v>
      </c>
      <c r="I673" s="891">
        <v>234.87299999999999</v>
      </c>
      <c r="J673" s="601">
        <v>646.65099999999995</v>
      </c>
      <c r="K673" s="602">
        <v>0.39506172839506171</v>
      </c>
      <c r="L673" s="981">
        <v>7</v>
      </c>
      <c r="M673" s="1249" t="s">
        <v>323</v>
      </c>
      <c r="N673" s="604" t="s">
        <v>227</v>
      </c>
      <c r="O673" s="465"/>
      <c r="P673" s="435">
        <v>14.521000000000001</v>
      </c>
      <c r="Q673" s="435">
        <v>2</v>
      </c>
      <c r="R673" s="401">
        <v>2</v>
      </c>
      <c r="S673" s="466">
        <v>0.25</v>
      </c>
      <c r="U673" s="1248">
        <f t="shared" si="6"/>
        <v>0</v>
      </c>
      <c r="V673" s="1304">
        <f t="shared" si="7"/>
        <v>1</v>
      </c>
    </row>
    <row r="674" spans="1:22" ht="16.5" thickTop="1" thickBot="1">
      <c r="A674" s="1244" t="s">
        <v>244</v>
      </c>
      <c r="B674" s="1245" t="s">
        <v>179</v>
      </c>
      <c r="C674" s="1328" t="s">
        <v>452</v>
      </c>
      <c r="D674" s="1327" t="s">
        <v>227</v>
      </c>
      <c r="E674" s="1245" t="s">
        <v>1870</v>
      </c>
      <c r="F674" s="457" t="s">
        <v>1872</v>
      </c>
      <c r="G674" s="458" t="s">
        <v>157</v>
      </c>
      <c r="H674" s="888">
        <v>11</v>
      </c>
      <c r="I674" s="890">
        <v>0</v>
      </c>
      <c r="J674" s="899">
        <v>26.655000000000001</v>
      </c>
      <c r="K674" s="603">
        <v>0.25</v>
      </c>
      <c r="L674" s="980">
        <v>1</v>
      </c>
      <c r="M674" s="1245" t="s">
        <v>366</v>
      </c>
      <c r="N674" s="604" t="s">
        <v>227</v>
      </c>
      <c r="O674" s="463"/>
      <c r="P674" s="434"/>
      <c r="Q674" s="434"/>
      <c r="R674" s="400">
        <v>0</v>
      </c>
      <c r="S674" s="464">
        <v>0</v>
      </c>
      <c r="U674" s="1248">
        <f t="shared" si="6"/>
        <v>1</v>
      </c>
      <c r="V674" s="1304">
        <f t="shared" si="7"/>
        <v>1</v>
      </c>
    </row>
    <row r="675" spans="1:22" ht="16.5" thickTop="1" thickBot="1">
      <c r="A675" s="1244" t="s">
        <v>244</v>
      </c>
      <c r="B675" s="1249" t="s">
        <v>179</v>
      </c>
      <c r="C675" s="1329" t="s">
        <v>452</v>
      </c>
      <c r="D675" s="1326" t="s">
        <v>227</v>
      </c>
      <c r="E675" s="1249" t="s">
        <v>2364</v>
      </c>
      <c r="F675" s="455" t="s">
        <v>2365</v>
      </c>
      <c r="G675" s="456" t="s">
        <v>156</v>
      </c>
      <c r="H675" s="889">
        <v>8</v>
      </c>
      <c r="I675" s="891">
        <v>47.003999999999998</v>
      </c>
      <c r="J675" s="601">
        <v>522.65499999999997</v>
      </c>
      <c r="K675" s="602">
        <v>0.40677966101694918</v>
      </c>
      <c r="L675" s="981">
        <v>3</v>
      </c>
      <c r="M675" s="1249" t="s">
        <v>323</v>
      </c>
      <c r="N675" s="604" t="s">
        <v>227</v>
      </c>
      <c r="O675" s="465"/>
      <c r="P675" s="435"/>
      <c r="Q675" s="435"/>
      <c r="R675" s="401">
        <v>0</v>
      </c>
      <c r="S675" s="466">
        <v>0</v>
      </c>
      <c r="U675" s="1248">
        <f t="shared" si="6"/>
        <v>0</v>
      </c>
      <c r="V675" s="1304">
        <f t="shared" si="7"/>
        <v>1</v>
      </c>
    </row>
    <row r="676" spans="1:22" ht="16.5" thickTop="1" thickBot="1">
      <c r="A676" s="1244" t="s">
        <v>244</v>
      </c>
      <c r="B676" s="1245" t="s">
        <v>179</v>
      </c>
      <c r="C676" s="1328" t="s">
        <v>452</v>
      </c>
      <c r="D676" s="1327" t="s">
        <v>227</v>
      </c>
      <c r="E676" s="1245" t="s">
        <v>2673</v>
      </c>
      <c r="F676" s="457" t="s">
        <v>1309</v>
      </c>
      <c r="G676" s="458" t="s">
        <v>155</v>
      </c>
      <c r="H676" s="888"/>
      <c r="I676" s="890"/>
      <c r="J676" s="899">
        <v>0</v>
      </c>
      <c r="K676" s="603">
        <v>0.08</v>
      </c>
      <c r="L676" s="980"/>
      <c r="M676" s="1245" t="s">
        <v>366</v>
      </c>
      <c r="N676" s="604" t="s">
        <v>227</v>
      </c>
      <c r="O676" s="463"/>
      <c r="P676" s="434"/>
      <c r="Q676" s="434"/>
      <c r="R676" s="400">
        <v>0</v>
      </c>
      <c r="S676" s="464">
        <v>0</v>
      </c>
      <c r="U676" s="1248">
        <f t="shared" si="6"/>
        <v>1</v>
      </c>
      <c r="V676" s="1304">
        <f t="shared" si="7"/>
        <v>0</v>
      </c>
    </row>
    <row r="677" spans="1:22" ht="16.5" thickTop="1" thickBot="1">
      <c r="A677" s="1244" t="s">
        <v>244</v>
      </c>
      <c r="B677" s="1249" t="s">
        <v>179</v>
      </c>
      <c r="C677" s="1329" t="s">
        <v>452</v>
      </c>
      <c r="D677" s="1326" t="s">
        <v>227</v>
      </c>
      <c r="E677" s="1249" t="s">
        <v>2674</v>
      </c>
      <c r="F677" s="455" t="s">
        <v>2675</v>
      </c>
      <c r="G677" s="456" t="s">
        <v>156</v>
      </c>
      <c r="H677" s="889">
        <v>0</v>
      </c>
      <c r="I677" s="891">
        <v>349.95299999999997</v>
      </c>
      <c r="J677" s="601">
        <v>251.084</v>
      </c>
      <c r="K677" s="602">
        <v>0.7142857142857143</v>
      </c>
      <c r="L677" s="981">
        <v>7</v>
      </c>
      <c r="M677" s="1249" t="s">
        <v>227</v>
      </c>
      <c r="N677" s="604" t="s">
        <v>227</v>
      </c>
      <c r="O677" s="465">
        <v>1</v>
      </c>
      <c r="P677" s="435">
        <v>86.637</v>
      </c>
      <c r="Q677" s="435">
        <v>9</v>
      </c>
      <c r="R677" s="401">
        <v>5</v>
      </c>
      <c r="S677" s="466">
        <v>0.76923076923076927</v>
      </c>
      <c r="U677" s="1248">
        <f t="shared" si="6"/>
        <v>0</v>
      </c>
      <c r="V677" s="1304">
        <f t="shared" si="7"/>
        <v>1</v>
      </c>
    </row>
    <row r="678" spans="1:22" ht="16.5" thickTop="1" thickBot="1">
      <c r="A678" s="1244" t="s">
        <v>244</v>
      </c>
      <c r="B678" s="1245" t="s">
        <v>179</v>
      </c>
      <c r="C678" s="1328" t="s">
        <v>452</v>
      </c>
      <c r="D678" s="1327" t="s">
        <v>227</v>
      </c>
      <c r="E678" s="1245" t="s">
        <v>2987</v>
      </c>
      <c r="F678" s="457" t="s">
        <v>2988</v>
      </c>
      <c r="G678" s="458" t="s">
        <v>155</v>
      </c>
      <c r="H678" s="888"/>
      <c r="I678" s="890"/>
      <c r="J678" s="899">
        <v>0</v>
      </c>
      <c r="K678" s="603">
        <v>0.15384615384615385</v>
      </c>
      <c r="L678" s="980">
        <v>2</v>
      </c>
      <c r="M678" s="1245" t="s">
        <v>366</v>
      </c>
      <c r="N678" s="604" t="s">
        <v>227</v>
      </c>
      <c r="O678" s="463"/>
      <c r="P678" s="434"/>
      <c r="Q678" s="434"/>
      <c r="R678" s="400">
        <v>0</v>
      </c>
      <c r="S678" s="464">
        <v>0</v>
      </c>
      <c r="U678" s="1248">
        <f t="shared" si="6"/>
        <v>1</v>
      </c>
      <c r="V678" s="1304">
        <f t="shared" si="7"/>
        <v>0</v>
      </c>
    </row>
    <row r="679" spans="1:22" ht="16.5" thickTop="1" thickBot="1">
      <c r="A679" s="1244"/>
      <c r="B679" s="1249" t="s">
        <v>179</v>
      </c>
      <c r="C679" s="1329" t="s">
        <v>452</v>
      </c>
      <c r="D679" s="1326" t="s">
        <v>227</v>
      </c>
      <c r="E679" s="1249" t="s">
        <v>3255</v>
      </c>
      <c r="F679" s="455" t="s">
        <v>3256</v>
      </c>
      <c r="G679" s="456" t="s">
        <v>155</v>
      </c>
      <c r="H679" s="889"/>
      <c r="I679" s="891"/>
      <c r="J679" s="601">
        <v>12.519</v>
      </c>
      <c r="K679" s="602">
        <v>0.33333333333333331</v>
      </c>
      <c r="L679" s="981"/>
      <c r="M679" s="1249" t="s">
        <v>366</v>
      </c>
      <c r="N679" s="604" t="s">
        <v>227</v>
      </c>
      <c r="O679" s="465"/>
      <c r="P679" s="435"/>
      <c r="Q679" s="435"/>
      <c r="R679" s="401">
        <v>0</v>
      </c>
      <c r="S679" s="466">
        <v>0</v>
      </c>
      <c r="U679" s="1248">
        <f t="shared" si="6"/>
        <v>1</v>
      </c>
      <c r="V679" s="1304">
        <f t="shared" si="7"/>
        <v>0</v>
      </c>
    </row>
    <row r="680" spans="1:22" ht="16.5" thickTop="1" thickBot="1">
      <c r="A680" s="1244"/>
      <c r="B680" s="1245" t="s">
        <v>179</v>
      </c>
      <c r="C680" s="1328" t="s">
        <v>452</v>
      </c>
      <c r="D680" s="1327" t="s">
        <v>227</v>
      </c>
      <c r="E680" s="1245" t="s">
        <v>3257</v>
      </c>
      <c r="F680" s="457" t="s">
        <v>3258</v>
      </c>
      <c r="G680" s="458" t="s">
        <v>155</v>
      </c>
      <c r="H680" s="888"/>
      <c r="I680" s="890"/>
      <c r="J680" s="899">
        <v>15.186</v>
      </c>
      <c r="K680" s="603">
        <v>0.25</v>
      </c>
      <c r="L680" s="980">
        <v>2</v>
      </c>
      <c r="M680" s="1245" t="s">
        <v>366</v>
      </c>
      <c r="N680" s="604" t="s">
        <v>227</v>
      </c>
      <c r="O680" s="463"/>
      <c r="P680" s="434"/>
      <c r="Q680" s="434"/>
      <c r="R680" s="400">
        <v>0</v>
      </c>
      <c r="S680" s="464">
        <v>0</v>
      </c>
      <c r="U680" s="1248">
        <f t="shared" ref="U680:U743" si="8">IF(M680="U_200",1,0)</f>
        <v>1</v>
      </c>
      <c r="V680" s="1304">
        <f t="shared" ref="V680:V743" si="9">IF(G680&lt;&gt;"US",1,0)</f>
        <v>0</v>
      </c>
    </row>
    <row r="681" spans="1:22" ht="16.5" thickTop="1" thickBot="1">
      <c r="A681" s="1244"/>
      <c r="B681" s="1249" t="s">
        <v>179</v>
      </c>
      <c r="C681" s="1329" t="s">
        <v>452</v>
      </c>
      <c r="D681" s="1326" t="s">
        <v>227</v>
      </c>
      <c r="E681" s="1249" t="s">
        <v>3259</v>
      </c>
      <c r="F681" s="455" t="s">
        <v>3260</v>
      </c>
      <c r="G681" s="456" t="s">
        <v>157</v>
      </c>
      <c r="H681" s="889">
        <v>1</v>
      </c>
      <c r="I681" s="891"/>
      <c r="J681" s="601"/>
      <c r="K681" s="602">
        <v>0</v>
      </c>
      <c r="L681" s="981">
        <v>2</v>
      </c>
      <c r="M681" s="1249" t="s">
        <v>366</v>
      </c>
      <c r="N681" s="604" t="s">
        <v>227</v>
      </c>
      <c r="O681" s="465">
        <v>1</v>
      </c>
      <c r="P681" s="435"/>
      <c r="Q681" s="435"/>
      <c r="R681" s="401">
        <v>0</v>
      </c>
      <c r="S681" s="466">
        <v>0</v>
      </c>
      <c r="U681" s="1248">
        <f t="shared" si="8"/>
        <v>1</v>
      </c>
      <c r="V681" s="1304">
        <f t="shared" si="9"/>
        <v>1</v>
      </c>
    </row>
    <row r="682" spans="1:22" ht="16.5" thickTop="1" thickBot="1">
      <c r="A682" s="1244"/>
      <c r="B682" s="1245" t="s">
        <v>179</v>
      </c>
      <c r="C682" s="1328" t="s">
        <v>452</v>
      </c>
      <c r="D682" s="1327" t="s">
        <v>227</v>
      </c>
      <c r="E682" s="1245" t="s">
        <v>3261</v>
      </c>
      <c r="F682" s="457" t="s">
        <v>3262</v>
      </c>
      <c r="G682" s="458" t="s">
        <v>156</v>
      </c>
      <c r="H682" s="888">
        <v>1</v>
      </c>
      <c r="I682" s="890">
        <v>10.037000000000001</v>
      </c>
      <c r="J682" s="899">
        <v>120.70099999999999</v>
      </c>
      <c r="K682" s="603">
        <v>0.8571428571428571</v>
      </c>
      <c r="L682" s="980">
        <v>3</v>
      </c>
      <c r="M682" s="1245" t="s">
        <v>323</v>
      </c>
      <c r="N682" s="604" t="s">
        <v>227</v>
      </c>
      <c r="O682" s="463">
        <v>1</v>
      </c>
      <c r="P682" s="434">
        <v>120.70099999999999</v>
      </c>
      <c r="Q682" s="434">
        <v>11</v>
      </c>
      <c r="R682" s="400">
        <v>3</v>
      </c>
      <c r="S682" s="464">
        <v>1.2</v>
      </c>
      <c r="U682" s="1248">
        <f t="shared" si="8"/>
        <v>0</v>
      </c>
      <c r="V682" s="1304">
        <f t="shared" si="9"/>
        <v>1</v>
      </c>
    </row>
    <row r="683" spans="1:22" ht="16.5" thickTop="1" thickBot="1">
      <c r="A683" s="1244"/>
      <c r="B683" s="1249" t="s">
        <v>179</v>
      </c>
      <c r="C683" s="1329" t="s">
        <v>452</v>
      </c>
      <c r="D683" s="1326" t="s">
        <v>227</v>
      </c>
      <c r="E683" s="1249" t="s">
        <v>3263</v>
      </c>
      <c r="F683" s="455" t="s">
        <v>3071</v>
      </c>
      <c r="G683" s="456" t="s">
        <v>156</v>
      </c>
      <c r="H683" s="889">
        <v>1</v>
      </c>
      <c r="I683" s="891"/>
      <c r="J683" s="601">
        <v>25.094000000000001</v>
      </c>
      <c r="K683" s="602">
        <v>0.5714285714285714</v>
      </c>
      <c r="L683" s="981">
        <v>3</v>
      </c>
      <c r="M683" s="1249" t="s">
        <v>323</v>
      </c>
      <c r="N683" s="604" t="s">
        <v>227</v>
      </c>
      <c r="O683" s="465">
        <v>1</v>
      </c>
      <c r="P683" s="435">
        <v>25.094000000000001</v>
      </c>
      <c r="Q683" s="435">
        <v>2</v>
      </c>
      <c r="R683" s="401">
        <v>2</v>
      </c>
      <c r="S683" s="466">
        <v>0.8</v>
      </c>
      <c r="U683" s="1248">
        <f t="shared" si="8"/>
        <v>0</v>
      </c>
      <c r="V683" s="1304">
        <f t="shared" si="9"/>
        <v>1</v>
      </c>
    </row>
    <row r="684" spans="1:22" ht="16.5" thickTop="1" thickBot="1">
      <c r="A684" s="1244"/>
      <c r="B684" s="1245" t="s">
        <v>179</v>
      </c>
      <c r="C684" s="1328" t="s">
        <v>452</v>
      </c>
      <c r="D684" s="1327" t="s">
        <v>227</v>
      </c>
      <c r="E684" s="1245" t="s">
        <v>3264</v>
      </c>
      <c r="F684" s="457" t="s">
        <v>3265</v>
      </c>
      <c r="G684" s="458" t="s">
        <v>156</v>
      </c>
      <c r="H684" s="888">
        <v>1</v>
      </c>
      <c r="I684" s="890">
        <v>12.183</v>
      </c>
      <c r="J684" s="899">
        <v>19.388999999999999</v>
      </c>
      <c r="K684" s="603">
        <v>0.66666666666666663</v>
      </c>
      <c r="L684" s="980">
        <v>4</v>
      </c>
      <c r="M684" s="1245" t="s">
        <v>321</v>
      </c>
      <c r="N684" s="604" t="s">
        <v>227</v>
      </c>
      <c r="O684" s="463">
        <v>3</v>
      </c>
      <c r="P684" s="434">
        <v>19.388999999999999</v>
      </c>
      <c r="Q684" s="434">
        <v>2</v>
      </c>
      <c r="R684" s="400">
        <v>2</v>
      </c>
      <c r="S684" s="464">
        <v>0.8</v>
      </c>
      <c r="U684" s="1248">
        <f t="shared" si="8"/>
        <v>0</v>
      </c>
      <c r="V684" s="1304">
        <f t="shared" si="9"/>
        <v>1</v>
      </c>
    </row>
    <row r="685" spans="1:22" ht="16.5" thickTop="1" thickBot="1">
      <c r="A685" s="1244"/>
      <c r="B685" s="1249" t="s">
        <v>179</v>
      </c>
      <c r="C685" s="1329" t="s">
        <v>452</v>
      </c>
      <c r="D685" s="1326" t="s">
        <v>227</v>
      </c>
      <c r="E685" s="1249" t="s">
        <v>3266</v>
      </c>
      <c r="F685" s="455" t="s">
        <v>2402</v>
      </c>
      <c r="G685" s="456" t="s">
        <v>156</v>
      </c>
      <c r="H685" s="889">
        <v>1</v>
      </c>
      <c r="I685" s="891"/>
      <c r="J685" s="601">
        <v>12.9</v>
      </c>
      <c r="K685" s="602">
        <v>0.2857142857142857</v>
      </c>
      <c r="L685" s="981">
        <v>3</v>
      </c>
      <c r="M685" s="1249" t="s">
        <v>322</v>
      </c>
      <c r="N685" s="604" t="s">
        <v>227</v>
      </c>
      <c r="O685" s="465">
        <v>1</v>
      </c>
      <c r="P685" s="435">
        <v>12.9</v>
      </c>
      <c r="Q685" s="435">
        <v>1</v>
      </c>
      <c r="R685" s="401">
        <v>1</v>
      </c>
      <c r="S685" s="466">
        <v>0.4</v>
      </c>
      <c r="U685" s="1248">
        <f t="shared" si="8"/>
        <v>0</v>
      </c>
      <c r="V685" s="1304">
        <f t="shared" si="9"/>
        <v>1</v>
      </c>
    </row>
    <row r="686" spans="1:22" ht="16.5" thickTop="1" thickBot="1">
      <c r="A686" s="1244"/>
      <c r="B686" s="1245" t="s">
        <v>179</v>
      </c>
      <c r="C686" s="1328" t="s">
        <v>452</v>
      </c>
      <c r="D686" s="1327" t="s">
        <v>227</v>
      </c>
      <c r="E686" s="1245" t="s">
        <v>3267</v>
      </c>
      <c r="F686" s="457" t="s">
        <v>1271</v>
      </c>
      <c r="G686" s="458" t="s">
        <v>156</v>
      </c>
      <c r="H686" s="888">
        <v>1</v>
      </c>
      <c r="I686" s="890">
        <v>15.041</v>
      </c>
      <c r="J686" s="899">
        <v>89.582999999999998</v>
      </c>
      <c r="K686" s="603">
        <v>0.8</v>
      </c>
      <c r="L686" s="980">
        <v>4</v>
      </c>
      <c r="M686" s="1245" t="s">
        <v>323</v>
      </c>
      <c r="N686" s="604" t="s">
        <v>227</v>
      </c>
      <c r="O686" s="463">
        <v>1</v>
      </c>
      <c r="P686" s="434">
        <v>72.911000000000001</v>
      </c>
      <c r="Q686" s="434">
        <v>5</v>
      </c>
      <c r="R686" s="400">
        <v>3</v>
      </c>
      <c r="S686" s="464">
        <v>0.8571428571428571</v>
      </c>
      <c r="U686" s="1248">
        <f t="shared" si="8"/>
        <v>0</v>
      </c>
      <c r="V686" s="1304">
        <f t="shared" si="9"/>
        <v>1</v>
      </c>
    </row>
    <row r="687" spans="1:22" ht="16.5" thickTop="1" thickBot="1">
      <c r="A687" s="1244"/>
      <c r="B687" s="1249" t="s">
        <v>179</v>
      </c>
      <c r="C687" s="1329" t="s">
        <v>452</v>
      </c>
      <c r="D687" s="1326" t="s">
        <v>227</v>
      </c>
      <c r="E687" s="1249" t="s">
        <v>3757</v>
      </c>
      <c r="F687" s="455" t="s">
        <v>3758</v>
      </c>
      <c r="G687" s="456" t="s">
        <v>156</v>
      </c>
      <c r="H687" s="889">
        <v>1</v>
      </c>
      <c r="I687" s="891">
        <v>75.546999999999997</v>
      </c>
      <c r="J687" s="601">
        <v>265.13600000000002</v>
      </c>
      <c r="K687" s="602">
        <v>2</v>
      </c>
      <c r="L687" s="981">
        <v>4</v>
      </c>
      <c r="M687" s="1249" t="s">
        <v>323</v>
      </c>
      <c r="N687" s="604" t="s">
        <v>227</v>
      </c>
      <c r="O687" s="465">
        <v>4</v>
      </c>
      <c r="P687" s="435">
        <v>265.13600000000002</v>
      </c>
      <c r="Q687" s="435">
        <v>19</v>
      </c>
      <c r="R687" s="401">
        <v>4</v>
      </c>
      <c r="S687" s="466">
        <v>2</v>
      </c>
      <c r="U687" s="1248">
        <f t="shared" si="8"/>
        <v>0</v>
      </c>
      <c r="V687" s="1304">
        <f t="shared" si="9"/>
        <v>1</v>
      </c>
    </row>
    <row r="688" spans="1:22" ht="16.5" thickTop="1" thickBot="1">
      <c r="A688" s="1244"/>
      <c r="B688" s="1245" t="s">
        <v>179</v>
      </c>
      <c r="C688" s="1328" t="s">
        <v>452</v>
      </c>
      <c r="D688" s="1327" t="s">
        <v>227</v>
      </c>
      <c r="E688" s="1245" t="s">
        <v>3647</v>
      </c>
      <c r="F688" s="457" t="s">
        <v>2310</v>
      </c>
      <c r="G688" s="458" t="s">
        <v>157</v>
      </c>
      <c r="H688" s="888">
        <v>0</v>
      </c>
      <c r="I688" s="890">
        <v>14.1</v>
      </c>
      <c r="J688" s="899">
        <v>14.1</v>
      </c>
      <c r="K688" s="603">
        <v>2</v>
      </c>
      <c r="L688" s="980">
        <v>1</v>
      </c>
      <c r="M688" s="1245" t="s">
        <v>227</v>
      </c>
      <c r="N688" s="604" t="s">
        <v>227</v>
      </c>
      <c r="O688" s="463">
        <v>1</v>
      </c>
      <c r="P688" s="434">
        <v>14.1</v>
      </c>
      <c r="Q688" s="434">
        <v>1</v>
      </c>
      <c r="R688" s="400">
        <v>1</v>
      </c>
      <c r="S688" s="464">
        <v>2</v>
      </c>
      <c r="U688" s="1248">
        <f t="shared" si="8"/>
        <v>0</v>
      </c>
      <c r="V688" s="1304">
        <f t="shared" si="9"/>
        <v>1</v>
      </c>
    </row>
    <row r="689" spans="1:22" ht="16.5" thickTop="1" thickBot="1">
      <c r="A689" s="1244"/>
      <c r="B689" s="1249" t="s">
        <v>179</v>
      </c>
      <c r="C689" s="1329" t="s">
        <v>452</v>
      </c>
      <c r="D689" s="1326" t="s">
        <v>227</v>
      </c>
      <c r="E689" s="1249" t="s">
        <v>3759</v>
      </c>
      <c r="F689" s="455" t="s">
        <v>3760</v>
      </c>
      <c r="G689" s="456" t="s">
        <v>155</v>
      </c>
      <c r="H689" s="889"/>
      <c r="I689" s="891"/>
      <c r="J689" s="601">
        <v>7.8049999999999997</v>
      </c>
      <c r="K689" s="602">
        <v>0.5</v>
      </c>
      <c r="L689" s="981">
        <v>2</v>
      </c>
      <c r="M689" s="1249" t="s">
        <v>366</v>
      </c>
      <c r="N689" s="604" t="s">
        <v>227</v>
      </c>
      <c r="O689" s="465">
        <v>1</v>
      </c>
      <c r="P689" s="435">
        <v>7.8049999999999997</v>
      </c>
      <c r="Q689" s="435">
        <v>1</v>
      </c>
      <c r="R689" s="401">
        <v>1</v>
      </c>
      <c r="S689" s="466">
        <v>0.5</v>
      </c>
      <c r="U689" s="1248">
        <f t="shared" si="8"/>
        <v>1</v>
      </c>
      <c r="V689" s="1304">
        <f t="shared" si="9"/>
        <v>0</v>
      </c>
    </row>
    <row r="690" spans="1:22" ht="16.5" thickTop="1" thickBot="1">
      <c r="A690" s="1244"/>
      <c r="B690" s="1245" t="s">
        <v>179</v>
      </c>
      <c r="C690" s="1328" t="s">
        <v>452</v>
      </c>
      <c r="D690" s="1327" t="s">
        <v>227</v>
      </c>
      <c r="E690" s="1245" t="s">
        <v>3761</v>
      </c>
      <c r="F690" s="457" t="s">
        <v>3762</v>
      </c>
      <c r="G690" s="458" t="s">
        <v>156</v>
      </c>
      <c r="H690" s="888">
        <v>0</v>
      </c>
      <c r="I690" s="890"/>
      <c r="J690" s="899"/>
      <c r="K690" s="603">
        <v>0</v>
      </c>
      <c r="L690" s="980">
        <v>2</v>
      </c>
      <c r="M690" s="1245" t="s">
        <v>227</v>
      </c>
      <c r="N690" s="604" t="s">
        <v>227</v>
      </c>
      <c r="O690" s="463">
        <v>2</v>
      </c>
      <c r="P690" s="434"/>
      <c r="Q690" s="434"/>
      <c r="R690" s="400">
        <v>0</v>
      </c>
      <c r="S690" s="464">
        <v>0</v>
      </c>
      <c r="U690" s="1248">
        <f t="shared" si="8"/>
        <v>0</v>
      </c>
      <c r="V690" s="1304">
        <f t="shared" si="9"/>
        <v>1</v>
      </c>
    </row>
    <row r="691" spans="1:22" ht="16.5" thickTop="1" thickBot="1">
      <c r="A691" s="1244"/>
      <c r="B691" s="1249" t="s">
        <v>179</v>
      </c>
      <c r="C691" s="1329" t="s">
        <v>1856</v>
      </c>
      <c r="D691" s="1326" t="s">
        <v>227</v>
      </c>
      <c r="E691" s="1249" t="s">
        <v>2989</v>
      </c>
      <c r="F691" s="455" t="s">
        <v>2990</v>
      </c>
      <c r="G691" s="456" t="s">
        <v>156</v>
      </c>
      <c r="H691" s="889">
        <v>37</v>
      </c>
      <c r="I691" s="891">
        <v>613.27499999999998</v>
      </c>
      <c r="J691" s="601">
        <v>2152.779</v>
      </c>
      <c r="K691" s="602">
        <v>0.75</v>
      </c>
      <c r="L691" s="981">
        <v>4</v>
      </c>
      <c r="M691" s="1249" t="s">
        <v>366</v>
      </c>
      <c r="N691" s="604" t="s">
        <v>227</v>
      </c>
      <c r="O691" s="465">
        <v>1</v>
      </c>
      <c r="P691" s="435">
        <v>18.116</v>
      </c>
      <c r="Q691" s="435">
        <v>2</v>
      </c>
      <c r="R691" s="401">
        <v>3</v>
      </c>
      <c r="S691" s="466">
        <v>0.8571428571428571</v>
      </c>
      <c r="U691" s="1248">
        <f t="shared" si="8"/>
        <v>1</v>
      </c>
      <c r="V691" s="1304">
        <f t="shared" si="9"/>
        <v>1</v>
      </c>
    </row>
    <row r="692" spans="1:22" ht="16.5" thickTop="1" thickBot="1">
      <c r="A692" s="1244"/>
      <c r="B692" s="1245" t="s">
        <v>179</v>
      </c>
      <c r="C692" s="1328" t="s">
        <v>1856</v>
      </c>
      <c r="D692" s="1327" t="s">
        <v>227</v>
      </c>
      <c r="E692" s="1245" t="s">
        <v>1856</v>
      </c>
      <c r="F692" s="457" t="s">
        <v>1858</v>
      </c>
      <c r="G692" s="458" t="s">
        <v>739</v>
      </c>
      <c r="H692" s="888">
        <v>12</v>
      </c>
      <c r="I692" s="890">
        <v>79.096000000000004</v>
      </c>
      <c r="J692" s="899">
        <v>2495.3049999999998</v>
      </c>
      <c r="K692" s="603">
        <v>0.6428571428571429</v>
      </c>
      <c r="L692" s="980">
        <v>6</v>
      </c>
      <c r="M692" s="1245" t="s">
        <v>323</v>
      </c>
      <c r="N692" s="604" t="s">
        <v>227</v>
      </c>
      <c r="O692" s="463"/>
      <c r="P692" s="434">
        <v>112.57899999999999</v>
      </c>
      <c r="Q692" s="434">
        <v>6</v>
      </c>
      <c r="R692" s="400">
        <v>5</v>
      </c>
      <c r="S692" s="464">
        <v>0.83333333333333337</v>
      </c>
      <c r="U692" s="1248">
        <f t="shared" si="8"/>
        <v>0</v>
      </c>
      <c r="V692" s="1304">
        <f t="shared" si="9"/>
        <v>1</v>
      </c>
    </row>
    <row r="693" spans="1:22" ht="16.5" thickTop="1" thickBot="1">
      <c r="A693" s="1244"/>
      <c r="B693" s="1249" t="s">
        <v>179</v>
      </c>
      <c r="C693" s="1329" t="s">
        <v>1856</v>
      </c>
      <c r="D693" s="1326" t="s">
        <v>227</v>
      </c>
      <c r="E693" s="1249" t="s">
        <v>1873</v>
      </c>
      <c r="F693" s="455" t="s">
        <v>1875</v>
      </c>
      <c r="G693" s="456" t="s">
        <v>157</v>
      </c>
      <c r="H693" s="889">
        <v>12</v>
      </c>
      <c r="I693" s="891">
        <v>28.602</v>
      </c>
      <c r="J693" s="601">
        <v>49.875999999999998</v>
      </c>
      <c r="K693" s="602">
        <v>0.46153846153846156</v>
      </c>
      <c r="L693" s="981">
        <v>2</v>
      </c>
      <c r="M693" s="1249" t="s">
        <v>366</v>
      </c>
      <c r="N693" s="604" t="s">
        <v>227</v>
      </c>
      <c r="O693" s="465"/>
      <c r="P693" s="435">
        <v>-20.143000000000001</v>
      </c>
      <c r="Q693" s="435">
        <v>2</v>
      </c>
      <c r="R693" s="401">
        <v>2</v>
      </c>
      <c r="S693" s="466">
        <v>1</v>
      </c>
      <c r="U693" s="1248">
        <f t="shared" si="8"/>
        <v>1</v>
      </c>
      <c r="V693" s="1304">
        <f t="shared" si="9"/>
        <v>1</v>
      </c>
    </row>
    <row r="694" spans="1:22" ht="16.5" thickTop="1" thickBot="1">
      <c r="A694" s="1244"/>
      <c r="B694" s="1245" t="s">
        <v>179</v>
      </c>
      <c r="C694" s="1328" t="s">
        <v>1856</v>
      </c>
      <c r="D694" s="1327" t="s">
        <v>227</v>
      </c>
      <c r="E694" s="1245" t="s">
        <v>3268</v>
      </c>
      <c r="F694" s="457" t="s">
        <v>3269</v>
      </c>
      <c r="G694" s="458" t="s">
        <v>156</v>
      </c>
      <c r="H694" s="888">
        <v>11</v>
      </c>
      <c r="I694" s="890">
        <v>995.68399999999997</v>
      </c>
      <c r="J694" s="899">
        <v>667.27</v>
      </c>
      <c r="K694" s="603">
        <v>0.70967741935483875</v>
      </c>
      <c r="L694" s="980">
        <v>8</v>
      </c>
      <c r="M694" s="1245" t="s">
        <v>323</v>
      </c>
      <c r="N694" s="604" t="s">
        <v>227</v>
      </c>
      <c r="O694" s="463">
        <v>2</v>
      </c>
      <c r="P694" s="434">
        <v>417.94200000000001</v>
      </c>
      <c r="Q694" s="434">
        <v>16</v>
      </c>
      <c r="R694" s="400">
        <v>4</v>
      </c>
      <c r="S694" s="464">
        <v>0.5714285714285714</v>
      </c>
      <c r="U694" s="1248">
        <f t="shared" si="8"/>
        <v>0</v>
      </c>
      <c r="V694" s="1304">
        <f t="shared" si="9"/>
        <v>1</v>
      </c>
    </row>
    <row r="695" spans="1:22" ht="16.5" thickTop="1" thickBot="1">
      <c r="A695" s="1244"/>
      <c r="B695" s="1249" t="s">
        <v>179</v>
      </c>
      <c r="C695" s="1329" t="s">
        <v>1856</v>
      </c>
      <c r="D695" s="1326" t="s">
        <v>227</v>
      </c>
      <c r="E695" s="1249" t="s">
        <v>1992</v>
      </c>
      <c r="F695" s="455" t="s">
        <v>486</v>
      </c>
      <c r="G695" s="456" t="s">
        <v>156</v>
      </c>
      <c r="H695" s="889">
        <v>10</v>
      </c>
      <c r="I695" s="891">
        <v>683.84100000000001</v>
      </c>
      <c r="J695" s="601">
        <v>783.33100000000002</v>
      </c>
      <c r="K695" s="602">
        <v>0.73333333333333328</v>
      </c>
      <c r="L695" s="981">
        <v>4</v>
      </c>
      <c r="M695" s="1249" t="s">
        <v>323</v>
      </c>
      <c r="N695" s="604" t="s">
        <v>227</v>
      </c>
      <c r="O695" s="465"/>
      <c r="P695" s="435">
        <v>15.805</v>
      </c>
      <c r="Q695" s="435">
        <v>2</v>
      </c>
      <c r="R695" s="401">
        <v>3</v>
      </c>
      <c r="S695" s="466">
        <v>0.66666666666666663</v>
      </c>
      <c r="U695" s="1248">
        <f t="shared" si="8"/>
        <v>0</v>
      </c>
      <c r="V695" s="1304">
        <f t="shared" si="9"/>
        <v>1</v>
      </c>
    </row>
    <row r="696" spans="1:22" ht="16.5" thickTop="1" thickBot="1">
      <c r="A696" s="1244"/>
      <c r="B696" s="1245" t="s">
        <v>179</v>
      </c>
      <c r="C696" s="1328" t="s">
        <v>1856</v>
      </c>
      <c r="D696" s="1327" t="s">
        <v>227</v>
      </c>
      <c r="E696" s="1245" t="s">
        <v>2144</v>
      </c>
      <c r="F696" s="457" t="s">
        <v>2145</v>
      </c>
      <c r="G696" s="458" t="s">
        <v>156</v>
      </c>
      <c r="H696" s="888">
        <v>9</v>
      </c>
      <c r="I696" s="890">
        <v>89.355999999999995</v>
      </c>
      <c r="J696" s="899">
        <v>177.96899999999999</v>
      </c>
      <c r="K696" s="603">
        <v>0.3380281690140845</v>
      </c>
      <c r="L696" s="980">
        <v>3</v>
      </c>
      <c r="M696" s="1245" t="s">
        <v>322</v>
      </c>
      <c r="N696" s="604" t="s">
        <v>227</v>
      </c>
      <c r="O696" s="463">
        <v>1</v>
      </c>
      <c r="P696" s="434">
        <v>22.468</v>
      </c>
      <c r="Q696" s="434">
        <v>2</v>
      </c>
      <c r="R696" s="400">
        <v>2</v>
      </c>
      <c r="S696" s="464">
        <v>0.66666666666666663</v>
      </c>
      <c r="U696" s="1248">
        <f t="shared" si="8"/>
        <v>0</v>
      </c>
      <c r="V696" s="1304">
        <f t="shared" si="9"/>
        <v>1</v>
      </c>
    </row>
    <row r="697" spans="1:22" ht="16.5" thickTop="1" thickBot="1">
      <c r="A697" s="1244"/>
      <c r="B697" s="1249" t="s">
        <v>179</v>
      </c>
      <c r="C697" s="1329" t="s">
        <v>1856</v>
      </c>
      <c r="D697" s="1326" t="s">
        <v>227</v>
      </c>
      <c r="E697" s="1249" t="s">
        <v>3270</v>
      </c>
      <c r="F697" s="455" t="s">
        <v>3271</v>
      </c>
      <c r="G697" s="456" t="s">
        <v>156</v>
      </c>
      <c r="H697" s="889">
        <v>1</v>
      </c>
      <c r="I697" s="891">
        <v>9.1479999999999997</v>
      </c>
      <c r="J697" s="601">
        <v>83.753</v>
      </c>
      <c r="K697" s="602">
        <v>1.0909090909090908</v>
      </c>
      <c r="L697" s="981">
        <v>5</v>
      </c>
      <c r="M697" s="1249" t="s">
        <v>323</v>
      </c>
      <c r="N697" s="604" t="s">
        <v>227</v>
      </c>
      <c r="O697" s="465">
        <v>2</v>
      </c>
      <c r="P697" s="435">
        <v>68.751999999999995</v>
      </c>
      <c r="Q697" s="435">
        <v>6</v>
      </c>
      <c r="R697" s="401">
        <v>5</v>
      </c>
      <c r="S697" s="466">
        <v>1.25</v>
      </c>
      <c r="U697" s="1248">
        <f t="shared" si="8"/>
        <v>0</v>
      </c>
      <c r="V697" s="1304">
        <f t="shared" si="9"/>
        <v>1</v>
      </c>
    </row>
    <row r="698" spans="1:22" ht="16.5" thickTop="1" thickBot="1">
      <c r="A698" s="1244"/>
      <c r="B698" s="1245" t="s">
        <v>179</v>
      </c>
      <c r="C698" s="1328" t="s">
        <v>1856</v>
      </c>
      <c r="D698" s="1327" t="s">
        <v>227</v>
      </c>
      <c r="E698" s="1245" t="s">
        <v>3763</v>
      </c>
      <c r="F698" s="457" t="s">
        <v>3764</v>
      </c>
      <c r="G698" s="458" t="s">
        <v>156</v>
      </c>
      <c r="H698" s="888">
        <v>0</v>
      </c>
      <c r="I698" s="890"/>
      <c r="J698" s="899"/>
      <c r="K698" s="603">
        <v>0</v>
      </c>
      <c r="L698" s="980">
        <v>1</v>
      </c>
      <c r="M698" s="1245" t="s">
        <v>227</v>
      </c>
      <c r="N698" s="604" t="s">
        <v>227</v>
      </c>
      <c r="O698" s="463">
        <v>1</v>
      </c>
      <c r="P698" s="434"/>
      <c r="Q698" s="434"/>
      <c r="R698" s="400">
        <v>0</v>
      </c>
      <c r="S698" s="464">
        <v>0</v>
      </c>
      <c r="U698" s="1248">
        <f t="shared" si="8"/>
        <v>0</v>
      </c>
      <c r="V698" s="1304">
        <f t="shared" si="9"/>
        <v>1</v>
      </c>
    </row>
    <row r="699" spans="1:22" ht="16.5" thickTop="1" thickBot="1">
      <c r="A699" s="1244"/>
      <c r="B699" s="1249" t="s">
        <v>179</v>
      </c>
      <c r="C699" s="1329" t="s">
        <v>2903</v>
      </c>
      <c r="D699" s="1326" t="s">
        <v>227</v>
      </c>
      <c r="E699" s="1249" t="s">
        <v>2903</v>
      </c>
      <c r="F699" s="455" t="s">
        <v>816</v>
      </c>
      <c r="G699" s="456" t="s">
        <v>158</v>
      </c>
      <c r="H699" s="889">
        <v>3</v>
      </c>
      <c r="I699" s="891">
        <v>21.364999999999998</v>
      </c>
      <c r="J699" s="601">
        <v>82.405000000000001</v>
      </c>
      <c r="K699" s="602">
        <v>0.93333333333333335</v>
      </c>
      <c r="L699" s="981">
        <v>7</v>
      </c>
      <c r="M699" s="1249" t="s">
        <v>323</v>
      </c>
      <c r="N699" s="604" t="s">
        <v>227</v>
      </c>
      <c r="O699" s="465">
        <v>5</v>
      </c>
      <c r="P699" s="435">
        <v>50.084000000000003</v>
      </c>
      <c r="Q699" s="435">
        <v>5</v>
      </c>
      <c r="R699" s="401">
        <v>5</v>
      </c>
      <c r="S699" s="466">
        <v>1.1111111111111112</v>
      </c>
      <c r="U699" s="1248">
        <f t="shared" si="8"/>
        <v>0</v>
      </c>
      <c r="V699" s="1304">
        <f t="shared" si="9"/>
        <v>1</v>
      </c>
    </row>
    <row r="700" spans="1:22" ht="16.5" thickTop="1" thickBot="1">
      <c r="A700" s="1244"/>
      <c r="B700" s="1245" t="s">
        <v>179</v>
      </c>
      <c r="C700" s="1328" t="s">
        <v>2903</v>
      </c>
      <c r="D700" s="1327" t="s">
        <v>227</v>
      </c>
      <c r="E700" s="1245" t="s">
        <v>2921</v>
      </c>
      <c r="F700" s="457" t="s">
        <v>2923</v>
      </c>
      <c r="G700" s="458" t="s">
        <v>157</v>
      </c>
      <c r="H700" s="888">
        <v>3</v>
      </c>
      <c r="I700" s="890">
        <v>15.965999999999999</v>
      </c>
      <c r="J700" s="899">
        <v>50.673999999999999</v>
      </c>
      <c r="K700" s="603">
        <v>0.72727272727272729</v>
      </c>
      <c r="L700" s="980">
        <v>7</v>
      </c>
      <c r="M700" s="1245" t="s">
        <v>321</v>
      </c>
      <c r="N700" s="604" t="s">
        <v>227</v>
      </c>
      <c r="O700" s="463">
        <v>6</v>
      </c>
      <c r="P700" s="434">
        <v>34.707999999999998</v>
      </c>
      <c r="Q700" s="434">
        <v>3</v>
      </c>
      <c r="R700" s="400">
        <v>3</v>
      </c>
      <c r="S700" s="464">
        <v>0.75</v>
      </c>
      <c r="U700" s="1248">
        <f t="shared" si="8"/>
        <v>0</v>
      </c>
      <c r="V700" s="1304">
        <f t="shared" si="9"/>
        <v>1</v>
      </c>
    </row>
    <row r="701" spans="1:22" ht="16.5" thickTop="1" thickBot="1">
      <c r="A701" s="1244"/>
      <c r="B701" s="1249" t="s">
        <v>179</v>
      </c>
      <c r="C701" s="1329" t="s">
        <v>2903</v>
      </c>
      <c r="D701" s="1326" t="s">
        <v>227</v>
      </c>
      <c r="E701" s="1249" t="s">
        <v>2991</v>
      </c>
      <c r="F701" s="455" t="s">
        <v>2992</v>
      </c>
      <c r="G701" s="456" t="s">
        <v>156</v>
      </c>
      <c r="H701" s="889">
        <v>3</v>
      </c>
      <c r="I701" s="891">
        <v>14.696999999999999</v>
      </c>
      <c r="J701" s="601">
        <v>278.34699999999998</v>
      </c>
      <c r="K701" s="602">
        <v>0.8571428571428571</v>
      </c>
      <c r="L701" s="981">
        <v>15</v>
      </c>
      <c r="M701" s="1249" t="s">
        <v>323</v>
      </c>
      <c r="N701" s="604" t="s">
        <v>227</v>
      </c>
      <c r="O701" s="465">
        <v>8</v>
      </c>
      <c r="P701" s="435">
        <v>172.56</v>
      </c>
      <c r="Q701" s="435">
        <v>14</v>
      </c>
      <c r="R701" s="401">
        <v>9</v>
      </c>
      <c r="S701" s="466">
        <v>0.81818181818181823</v>
      </c>
      <c r="U701" s="1248">
        <f t="shared" si="8"/>
        <v>0</v>
      </c>
      <c r="V701" s="1304">
        <f t="shared" si="9"/>
        <v>1</v>
      </c>
    </row>
    <row r="702" spans="1:22" ht="16.5" thickTop="1" thickBot="1">
      <c r="A702" s="1244"/>
      <c r="B702" s="1245" t="s">
        <v>179</v>
      </c>
      <c r="C702" s="1328" t="s">
        <v>2903</v>
      </c>
      <c r="D702" s="1327" t="s">
        <v>227</v>
      </c>
      <c r="E702" s="1245" t="s">
        <v>2924</v>
      </c>
      <c r="F702" s="457" t="s">
        <v>2926</v>
      </c>
      <c r="G702" s="458" t="s">
        <v>157</v>
      </c>
      <c r="H702" s="888">
        <v>3</v>
      </c>
      <c r="I702" s="890"/>
      <c r="J702" s="899"/>
      <c r="K702" s="603">
        <v>0</v>
      </c>
      <c r="L702" s="980">
        <v>1</v>
      </c>
      <c r="M702" s="1245" t="s">
        <v>366</v>
      </c>
      <c r="N702" s="604" t="s">
        <v>227</v>
      </c>
      <c r="O702" s="463"/>
      <c r="P702" s="434"/>
      <c r="Q702" s="434"/>
      <c r="R702" s="400">
        <v>0</v>
      </c>
      <c r="S702" s="464">
        <v>0</v>
      </c>
      <c r="U702" s="1248">
        <f t="shared" si="8"/>
        <v>1</v>
      </c>
      <c r="V702" s="1304">
        <f t="shared" si="9"/>
        <v>1</v>
      </c>
    </row>
    <row r="703" spans="1:22" ht="16.5" thickTop="1" thickBot="1">
      <c r="A703" s="1244"/>
      <c r="B703" s="1249" t="s">
        <v>179</v>
      </c>
      <c r="C703" s="1329" t="s">
        <v>2903</v>
      </c>
      <c r="D703" s="1326" t="s">
        <v>227</v>
      </c>
      <c r="E703" s="1249" t="s">
        <v>2927</v>
      </c>
      <c r="F703" s="455" t="s">
        <v>2929</v>
      </c>
      <c r="G703" s="456" t="s">
        <v>157</v>
      </c>
      <c r="H703" s="889">
        <v>3</v>
      </c>
      <c r="I703" s="891">
        <v>105.614</v>
      </c>
      <c r="J703" s="601">
        <v>113.119</v>
      </c>
      <c r="K703" s="602">
        <v>0.6</v>
      </c>
      <c r="L703" s="981">
        <v>6</v>
      </c>
      <c r="M703" s="1249" t="s">
        <v>323</v>
      </c>
      <c r="N703" s="604" t="s">
        <v>227</v>
      </c>
      <c r="O703" s="465">
        <v>5</v>
      </c>
      <c r="P703" s="435">
        <v>99.775000000000006</v>
      </c>
      <c r="Q703" s="435">
        <v>9</v>
      </c>
      <c r="R703" s="401">
        <v>2</v>
      </c>
      <c r="S703" s="466">
        <v>0.5714285714285714</v>
      </c>
      <c r="U703" s="1248">
        <f t="shared" si="8"/>
        <v>0</v>
      </c>
      <c r="V703" s="1304">
        <f t="shared" si="9"/>
        <v>1</v>
      </c>
    </row>
    <row r="704" spans="1:22" ht="16.5" thickTop="1" thickBot="1">
      <c r="A704" s="1244"/>
      <c r="B704" s="1245" t="s">
        <v>179</v>
      </c>
      <c r="C704" s="1328" t="s">
        <v>2903</v>
      </c>
      <c r="D704" s="1327" t="s">
        <v>227</v>
      </c>
      <c r="E704" s="1245" t="s">
        <v>2993</v>
      </c>
      <c r="F704" s="457" t="s">
        <v>2994</v>
      </c>
      <c r="G704" s="458" t="s">
        <v>156</v>
      </c>
      <c r="H704" s="888">
        <v>3</v>
      </c>
      <c r="I704" s="890">
        <v>11.946999999999999</v>
      </c>
      <c r="J704" s="899">
        <v>105.997</v>
      </c>
      <c r="K704" s="603">
        <v>0.52631578947368418</v>
      </c>
      <c r="L704" s="980">
        <v>5</v>
      </c>
      <c r="M704" s="1245" t="s">
        <v>323</v>
      </c>
      <c r="N704" s="604" t="s">
        <v>227</v>
      </c>
      <c r="O704" s="463">
        <v>1</v>
      </c>
      <c r="P704" s="434">
        <v>39.54</v>
      </c>
      <c r="Q704" s="434">
        <v>4</v>
      </c>
      <c r="R704" s="400">
        <v>2</v>
      </c>
      <c r="S704" s="464">
        <v>0.44444444444444442</v>
      </c>
      <c r="U704" s="1248">
        <f t="shared" si="8"/>
        <v>0</v>
      </c>
      <c r="V704" s="1304">
        <f t="shared" si="9"/>
        <v>1</v>
      </c>
    </row>
    <row r="705" spans="1:22" ht="16.5" thickTop="1" thickBot="1">
      <c r="A705" s="1244"/>
      <c r="B705" s="1249" t="s">
        <v>179</v>
      </c>
      <c r="C705" s="1329" t="s">
        <v>2903</v>
      </c>
      <c r="D705" s="1326" t="s">
        <v>227</v>
      </c>
      <c r="E705" s="1249" t="s">
        <v>2995</v>
      </c>
      <c r="F705" s="455" t="s">
        <v>2996</v>
      </c>
      <c r="G705" s="456" t="s">
        <v>156</v>
      </c>
      <c r="H705" s="889">
        <v>3</v>
      </c>
      <c r="I705" s="891">
        <v>23.741</v>
      </c>
      <c r="J705" s="601">
        <v>329.255</v>
      </c>
      <c r="K705" s="602">
        <v>0.71794871794871795</v>
      </c>
      <c r="L705" s="981">
        <v>15</v>
      </c>
      <c r="M705" s="1249" t="s">
        <v>323</v>
      </c>
      <c r="N705" s="604" t="s">
        <v>227</v>
      </c>
      <c r="O705" s="465">
        <v>7</v>
      </c>
      <c r="P705" s="435">
        <v>174.66200000000001</v>
      </c>
      <c r="Q705" s="435">
        <v>13</v>
      </c>
      <c r="R705" s="401">
        <v>7</v>
      </c>
      <c r="S705" s="466">
        <v>0.60869565217391308</v>
      </c>
      <c r="U705" s="1248">
        <f t="shared" si="8"/>
        <v>0</v>
      </c>
      <c r="V705" s="1304">
        <f t="shared" si="9"/>
        <v>1</v>
      </c>
    </row>
    <row r="706" spans="1:22" ht="16.5" thickTop="1" thickBot="1">
      <c r="A706" s="1244"/>
      <c r="B706" s="1245" t="s">
        <v>179</v>
      </c>
      <c r="C706" s="1328" t="s">
        <v>2903</v>
      </c>
      <c r="D706" s="1327" t="s">
        <v>227</v>
      </c>
      <c r="E706" s="1245" t="s">
        <v>2997</v>
      </c>
      <c r="F706" s="457" t="s">
        <v>2998</v>
      </c>
      <c r="G706" s="458" t="s">
        <v>156</v>
      </c>
      <c r="H706" s="888">
        <v>3</v>
      </c>
      <c r="I706" s="890"/>
      <c r="J706" s="899">
        <v>203.36600000000001</v>
      </c>
      <c r="K706" s="603">
        <v>0.46153846153846156</v>
      </c>
      <c r="L706" s="980">
        <v>15</v>
      </c>
      <c r="M706" s="1245" t="s">
        <v>323</v>
      </c>
      <c r="N706" s="604" t="s">
        <v>227</v>
      </c>
      <c r="O706" s="463">
        <v>7</v>
      </c>
      <c r="P706" s="434">
        <v>113.06</v>
      </c>
      <c r="Q706" s="434">
        <v>10</v>
      </c>
      <c r="R706" s="400">
        <v>4</v>
      </c>
      <c r="S706" s="464">
        <v>0.34782608695652173</v>
      </c>
      <c r="U706" s="1248">
        <f t="shared" si="8"/>
        <v>0</v>
      </c>
      <c r="V706" s="1304">
        <f t="shared" si="9"/>
        <v>1</v>
      </c>
    </row>
    <row r="707" spans="1:22" ht="16.5" thickTop="1" thickBot="1">
      <c r="A707" s="1244"/>
      <c r="B707" s="1249" t="s">
        <v>179</v>
      </c>
      <c r="C707" s="1329" t="s">
        <v>2903</v>
      </c>
      <c r="D707" s="1326" t="s">
        <v>227</v>
      </c>
      <c r="E707" s="1249" t="s">
        <v>2999</v>
      </c>
      <c r="F707" s="455" t="s">
        <v>3000</v>
      </c>
      <c r="G707" s="456" t="s">
        <v>156</v>
      </c>
      <c r="H707" s="889">
        <v>2</v>
      </c>
      <c r="I707" s="891"/>
      <c r="J707" s="601">
        <v>12.010999999999999</v>
      </c>
      <c r="K707" s="602">
        <v>0.18181818181818182</v>
      </c>
      <c r="L707" s="981">
        <v>3</v>
      </c>
      <c r="M707" s="1249" t="s">
        <v>366</v>
      </c>
      <c r="N707" s="604" t="s">
        <v>227</v>
      </c>
      <c r="O707" s="465"/>
      <c r="P707" s="435">
        <v>0</v>
      </c>
      <c r="Q707" s="435">
        <v>0</v>
      </c>
      <c r="R707" s="401">
        <v>0</v>
      </c>
      <c r="S707" s="466">
        <v>0</v>
      </c>
      <c r="U707" s="1248">
        <f t="shared" si="8"/>
        <v>1</v>
      </c>
      <c r="V707" s="1304">
        <f t="shared" si="9"/>
        <v>1</v>
      </c>
    </row>
    <row r="708" spans="1:22" ht="16.5" thickTop="1" thickBot="1">
      <c r="A708" s="1244"/>
      <c r="B708" s="1245" t="s">
        <v>179</v>
      </c>
      <c r="C708" s="1328" t="s">
        <v>2903</v>
      </c>
      <c r="D708" s="1327" t="s">
        <v>227</v>
      </c>
      <c r="E708" s="1245" t="s">
        <v>3001</v>
      </c>
      <c r="F708" s="457" t="s">
        <v>846</v>
      </c>
      <c r="G708" s="458" t="s">
        <v>156</v>
      </c>
      <c r="H708" s="888">
        <v>2</v>
      </c>
      <c r="I708" s="890"/>
      <c r="J708" s="899">
        <v>42.292000000000002</v>
      </c>
      <c r="K708" s="603">
        <v>0.4</v>
      </c>
      <c r="L708" s="980">
        <v>6</v>
      </c>
      <c r="M708" s="1245" t="s">
        <v>323</v>
      </c>
      <c r="N708" s="604" t="s">
        <v>227</v>
      </c>
      <c r="O708" s="463">
        <v>2</v>
      </c>
      <c r="P708" s="434">
        <v>20.036000000000001</v>
      </c>
      <c r="Q708" s="434">
        <v>2</v>
      </c>
      <c r="R708" s="400">
        <v>2</v>
      </c>
      <c r="S708" s="464">
        <v>0.4</v>
      </c>
      <c r="U708" s="1248">
        <f t="shared" si="8"/>
        <v>0</v>
      </c>
      <c r="V708" s="1304">
        <f t="shared" si="9"/>
        <v>1</v>
      </c>
    </row>
    <row r="709" spans="1:22" ht="16.5" thickTop="1" thickBot="1">
      <c r="A709" s="1244"/>
      <c r="B709" s="1249" t="s">
        <v>179</v>
      </c>
      <c r="C709" s="1329" t="s">
        <v>2903</v>
      </c>
      <c r="D709" s="1326" t="s">
        <v>227</v>
      </c>
      <c r="E709" s="1249" t="s">
        <v>2930</v>
      </c>
      <c r="F709" s="455" t="s">
        <v>2932</v>
      </c>
      <c r="G709" s="456" t="s">
        <v>157</v>
      </c>
      <c r="H709" s="889">
        <v>2</v>
      </c>
      <c r="I709" s="891">
        <v>10.127000000000001</v>
      </c>
      <c r="J709" s="601">
        <v>10.127000000000001</v>
      </c>
      <c r="K709" s="602">
        <v>0.4</v>
      </c>
      <c r="L709" s="981">
        <v>1</v>
      </c>
      <c r="M709" s="1249" t="s">
        <v>366</v>
      </c>
      <c r="N709" s="604" t="s">
        <v>227</v>
      </c>
      <c r="O709" s="465"/>
      <c r="P709" s="435"/>
      <c r="Q709" s="435"/>
      <c r="R709" s="401">
        <v>0</v>
      </c>
      <c r="S709" s="466">
        <v>0</v>
      </c>
      <c r="U709" s="1248">
        <f t="shared" si="8"/>
        <v>1</v>
      </c>
      <c r="V709" s="1304">
        <f t="shared" si="9"/>
        <v>1</v>
      </c>
    </row>
    <row r="710" spans="1:22" ht="16.5" thickTop="1" thickBot="1">
      <c r="A710" s="1244"/>
      <c r="B710" s="1245" t="s">
        <v>179</v>
      </c>
      <c r="C710" s="1328" t="s">
        <v>2903</v>
      </c>
      <c r="D710" s="1327" t="s">
        <v>227</v>
      </c>
      <c r="E710" s="1245" t="s">
        <v>3002</v>
      </c>
      <c r="F710" s="457" t="s">
        <v>3003</v>
      </c>
      <c r="G710" s="458" t="s">
        <v>156</v>
      </c>
      <c r="H710" s="888">
        <v>2</v>
      </c>
      <c r="I710" s="890">
        <v>45.594000000000001</v>
      </c>
      <c r="J710" s="899">
        <v>87.123999999999995</v>
      </c>
      <c r="K710" s="603">
        <v>0.7142857142857143</v>
      </c>
      <c r="L710" s="980">
        <v>6</v>
      </c>
      <c r="M710" s="1245" t="s">
        <v>323</v>
      </c>
      <c r="N710" s="604" t="s">
        <v>227</v>
      </c>
      <c r="O710" s="463">
        <v>3</v>
      </c>
      <c r="P710" s="434">
        <v>2.15</v>
      </c>
      <c r="Q710" s="434">
        <v>0</v>
      </c>
      <c r="R710" s="400">
        <v>1</v>
      </c>
      <c r="S710" s="464">
        <v>0.22222222222222221</v>
      </c>
      <c r="U710" s="1248">
        <f t="shared" si="8"/>
        <v>0</v>
      </c>
      <c r="V710" s="1304">
        <f t="shared" si="9"/>
        <v>1</v>
      </c>
    </row>
    <row r="711" spans="1:22" ht="16.5" thickTop="1" thickBot="1">
      <c r="A711" s="1244"/>
      <c r="B711" s="1249" t="s">
        <v>179</v>
      </c>
      <c r="C711" s="1329" t="s">
        <v>2903</v>
      </c>
      <c r="D711" s="1326" t="s">
        <v>227</v>
      </c>
      <c r="E711" s="1249" t="s">
        <v>2933</v>
      </c>
      <c r="F711" s="455" t="s">
        <v>2935</v>
      </c>
      <c r="G711" s="456" t="s">
        <v>157</v>
      </c>
      <c r="H711" s="889">
        <v>2</v>
      </c>
      <c r="I711" s="891">
        <v>87.039000000000001</v>
      </c>
      <c r="J711" s="601">
        <v>87.039000000000001</v>
      </c>
      <c r="K711" s="602">
        <v>0.4</v>
      </c>
      <c r="L711" s="981">
        <v>1</v>
      </c>
      <c r="M711" s="1249" t="s">
        <v>323</v>
      </c>
      <c r="N711" s="604" t="s">
        <v>227</v>
      </c>
      <c r="O711" s="465"/>
      <c r="P711" s="435"/>
      <c r="Q711" s="435"/>
      <c r="R711" s="401">
        <v>0</v>
      </c>
      <c r="S711" s="466">
        <v>0</v>
      </c>
      <c r="U711" s="1248">
        <f t="shared" si="8"/>
        <v>0</v>
      </c>
      <c r="V711" s="1304">
        <f t="shared" si="9"/>
        <v>1</v>
      </c>
    </row>
    <row r="712" spans="1:22" ht="16.5" thickTop="1" thickBot="1">
      <c r="A712" s="1244"/>
      <c r="B712" s="1245" t="s">
        <v>179</v>
      </c>
      <c r="C712" s="1328" t="s">
        <v>2903</v>
      </c>
      <c r="D712" s="1327" t="s">
        <v>227</v>
      </c>
      <c r="E712" s="1245" t="s">
        <v>3272</v>
      </c>
      <c r="F712" s="457" t="s">
        <v>3273</v>
      </c>
      <c r="G712" s="458" t="s">
        <v>156</v>
      </c>
      <c r="H712" s="888">
        <v>1</v>
      </c>
      <c r="I712" s="890"/>
      <c r="J712" s="899">
        <v>20.056999999999999</v>
      </c>
      <c r="K712" s="603">
        <v>0.44444444444444442</v>
      </c>
      <c r="L712" s="980">
        <v>5</v>
      </c>
      <c r="M712" s="1245" t="s">
        <v>323</v>
      </c>
      <c r="N712" s="604" t="s">
        <v>227</v>
      </c>
      <c r="O712" s="463">
        <v>3</v>
      </c>
      <c r="P712" s="434">
        <v>20.056999999999999</v>
      </c>
      <c r="Q712" s="434">
        <v>2</v>
      </c>
      <c r="R712" s="400">
        <v>2</v>
      </c>
      <c r="S712" s="464">
        <v>0.5714285714285714</v>
      </c>
      <c r="U712" s="1248">
        <f t="shared" si="8"/>
        <v>0</v>
      </c>
      <c r="V712" s="1304">
        <f t="shared" si="9"/>
        <v>1</v>
      </c>
    </row>
    <row r="713" spans="1:22" ht="16.5" thickTop="1" thickBot="1">
      <c r="A713" s="1244"/>
      <c r="B713" s="1249" t="s">
        <v>179</v>
      </c>
      <c r="C713" s="1329" t="s">
        <v>2903</v>
      </c>
      <c r="D713" s="1326" t="s">
        <v>227</v>
      </c>
      <c r="E713" s="1249" t="s">
        <v>3274</v>
      </c>
      <c r="F713" s="455" t="s">
        <v>3275</v>
      </c>
      <c r="G713" s="456" t="s">
        <v>156</v>
      </c>
      <c r="H713" s="889">
        <v>1</v>
      </c>
      <c r="I713" s="891"/>
      <c r="J713" s="601">
        <v>21.038</v>
      </c>
      <c r="K713" s="602">
        <v>0.4</v>
      </c>
      <c r="L713" s="981">
        <v>4</v>
      </c>
      <c r="M713" s="1249" t="s">
        <v>323</v>
      </c>
      <c r="N713" s="604" t="s">
        <v>227</v>
      </c>
      <c r="O713" s="465">
        <v>1</v>
      </c>
      <c r="P713" s="435">
        <v>10.004</v>
      </c>
      <c r="Q713" s="435">
        <v>1</v>
      </c>
      <c r="R713" s="401">
        <v>1</v>
      </c>
      <c r="S713" s="466">
        <v>0.2857142857142857</v>
      </c>
      <c r="U713" s="1248">
        <f t="shared" si="8"/>
        <v>0</v>
      </c>
      <c r="V713" s="1304">
        <f t="shared" si="9"/>
        <v>1</v>
      </c>
    </row>
    <row r="714" spans="1:22" ht="16.5" thickTop="1" thickBot="1">
      <c r="A714" s="1244"/>
      <c r="B714" s="1245" t="s">
        <v>179</v>
      </c>
      <c r="C714" s="1328" t="s">
        <v>2903</v>
      </c>
      <c r="D714" s="1327" t="s">
        <v>227</v>
      </c>
      <c r="E714" s="1245" t="s">
        <v>3276</v>
      </c>
      <c r="F714" s="457" t="s">
        <v>3277</v>
      </c>
      <c r="G714" s="458" t="s">
        <v>156</v>
      </c>
      <c r="H714" s="888">
        <v>1</v>
      </c>
      <c r="I714" s="890"/>
      <c r="J714" s="899">
        <v>155.48099999999999</v>
      </c>
      <c r="K714" s="603">
        <v>0.54545454545454541</v>
      </c>
      <c r="L714" s="980">
        <v>5</v>
      </c>
      <c r="M714" s="1245" t="s">
        <v>323</v>
      </c>
      <c r="N714" s="604" t="s">
        <v>227</v>
      </c>
      <c r="O714" s="463">
        <v>2</v>
      </c>
      <c r="P714" s="434">
        <v>52.298000000000002</v>
      </c>
      <c r="Q714" s="434">
        <v>4</v>
      </c>
      <c r="R714" s="400">
        <v>1</v>
      </c>
      <c r="S714" s="464">
        <v>0.25</v>
      </c>
      <c r="U714" s="1248">
        <f t="shared" si="8"/>
        <v>0</v>
      </c>
      <c r="V714" s="1304">
        <f t="shared" si="9"/>
        <v>1</v>
      </c>
    </row>
    <row r="715" spans="1:22" ht="16.5" thickTop="1" thickBot="1">
      <c r="A715" s="1244"/>
      <c r="B715" s="1249" t="s">
        <v>179</v>
      </c>
      <c r="C715" s="1329" t="s">
        <v>2903</v>
      </c>
      <c r="D715" s="1326" t="s">
        <v>227</v>
      </c>
      <c r="E715" s="1249" t="s">
        <v>3278</v>
      </c>
      <c r="F715" s="455" t="s">
        <v>3279</v>
      </c>
      <c r="G715" s="456" t="s">
        <v>157</v>
      </c>
      <c r="H715" s="889">
        <v>1</v>
      </c>
      <c r="I715" s="891"/>
      <c r="J715" s="601"/>
      <c r="K715" s="602">
        <v>0</v>
      </c>
      <c r="L715" s="981">
        <v>6</v>
      </c>
      <c r="M715" s="1249" t="s">
        <v>366</v>
      </c>
      <c r="N715" s="604" t="s">
        <v>227</v>
      </c>
      <c r="O715" s="465">
        <v>5</v>
      </c>
      <c r="P715" s="435"/>
      <c r="Q715" s="435"/>
      <c r="R715" s="401">
        <v>0</v>
      </c>
      <c r="S715" s="466">
        <v>0</v>
      </c>
      <c r="U715" s="1248">
        <f t="shared" si="8"/>
        <v>1</v>
      </c>
      <c r="V715" s="1304">
        <f t="shared" si="9"/>
        <v>1</v>
      </c>
    </row>
    <row r="716" spans="1:22" ht="16.5" thickTop="1" thickBot="1">
      <c r="A716" s="1244"/>
      <c r="B716" s="1245" t="s">
        <v>179</v>
      </c>
      <c r="C716" s="1328" t="s">
        <v>2903</v>
      </c>
      <c r="D716" s="1327" t="s">
        <v>227</v>
      </c>
      <c r="E716" s="1245" t="s">
        <v>3280</v>
      </c>
      <c r="F716" s="457" t="s">
        <v>3281</v>
      </c>
      <c r="G716" s="458" t="s">
        <v>156</v>
      </c>
      <c r="H716" s="888">
        <v>1</v>
      </c>
      <c r="I716" s="890">
        <v>10.035</v>
      </c>
      <c r="J716" s="899">
        <v>100.48099999999999</v>
      </c>
      <c r="K716" s="603">
        <v>0.72727272727272729</v>
      </c>
      <c r="L716" s="980">
        <v>5</v>
      </c>
      <c r="M716" s="1245" t="s">
        <v>323</v>
      </c>
      <c r="N716" s="604" t="s">
        <v>227</v>
      </c>
      <c r="O716" s="463">
        <v>2</v>
      </c>
      <c r="P716" s="434">
        <v>69.501000000000005</v>
      </c>
      <c r="Q716" s="434">
        <v>5</v>
      </c>
      <c r="R716" s="400">
        <v>3</v>
      </c>
      <c r="S716" s="464">
        <v>0.75</v>
      </c>
      <c r="U716" s="1248">
        <f t="shared" si="8"/>
        <v>0</v>
      </c>
      <c r="V716" s="1304">
        <f t="shared" si="9"/>
        <v>1</v>
      </c>
    </row>
    <row r="717" spans="1:22" ht="16.5" thickTop="1" thickBot="1">
      <c r="A717" s="1244"/>
      <c r="B717" s="1249" t="s">
        <v>179</v>
      </c>
      <c r="C717" s="1329" t="s">
        <v>2903</v>
      </c>
      <c r="D717" s="1326" t="s">
        <v>227</v>
      </c>
      <c r="E717" s="1249" t="s">
        <v>3282</v>
      </c>
      <c r="F717" s="455" t="s">
        <v>3283</v>
      </c>
      <c r="G717" s="456" t="s">
        <v>156</v>
      </c>
      <c r="H717" s="889">
        <v>1</v>
      </c>
      <c r="I717" s="891">
        <v>21.975999999999999</v>
      </c>
      <c r="J717" s="601">
        <v>111.066</v>
      </c>
      <c r="K717" s="602">
        <v>0.8571428571428571</v>
      </c>
      <c r="L717" s="981">
        <v>6</v>
      </c>
      <c r="M717" s="1249" t="s">
        <v>323</v>
      </c>
      <c r="N717" s="604" t="s">
        <v>227</v>
      </c>
      <c r="O717" s="465">
        <v>2</v>
      </c>
      <c r="P717" s="435">
        <v>62.81</v>
      </c>
      <c r="Q717" s="435">
        <v>5</v>
      </c>
      <c r="R717" s="401">
        <v>4</v>
      </c>
      <c r="S717" s="466">
        <v>0.8</v>
      </c>
      <c r="U717" s="1248">
        <f t="shared" si="8"/>
        <v>0</v>
      </c>
      <c r="V717" s="1304">
        <f t="shared" si="9"/>
        <v>1</v>
      </c>
    </row>
    <row r="718" spans="1:22" ht="16.5" thickTop="1" thickBot="1">
      <c r="A718" s="1244"/>
      <c r="B718" s="1245" t="s">
        <v>179</v>
      </c>
      <c r="C718" s="1328" t="s">
        <v>2903</v>
      </c>
      <c r="D718" s="1327" t="s">
        <v>227</v>
      </c>
      <c r="E718" s="1245" t="s">
        <v>3284</v>
      </c>
      <c r="F718" s="457" t="s">
        <v>3285</v>
      </c>
      <c r="G718" s="458" t="s">
        <v>156</v>
      </c>
      <c r="H718" s="888">
        <v>1</v>
      </c>
      <c r="I718" s="890"/>
      <c r="J718" s="899">
        <v>73.209999999999994</v>
      </c>
      <c r="K718" s="603">
        <v>0.625</v>
      </c>
      <c r="L718" s="980">
        <v>8</v>
      </c>
      <c r="M718" s="1245" t="s">
        <v>323</v>
      </c>
      <c r="N718" s="604" t="s">
        <v>227</v>
      </c>
      <c r="O718" s="463">
        <v>4</v>
      </c>
      <c r="P718" s="434">
        <v>51.831000000000003</v>
      </c>
      <c r="Q718" s="434">
        <v>4</v>
      </c>
      <c r="R718" s="400">
        <v>3</v>
      </c>
      <c r="S718" s="464">
        <v>0.5</v>
      </c>
      <c r="U718" s="1248">
        <f t="shared" si="8"/>
        <v>0</v>
      </c>
      <c r="V718" s="1304">
        <f t="shared" si="9"/>
        <v>1</v>
      </c>
    </row>
    <row r="719" spans="1:22" ht="16.5" thickTop="1" thickBot="1">
      <c r="A719" s="1244"/>
      <c r="B719" s="1249" t="s">
        <v>179</v>
      </c>
      <c r="C719" s="1329" t="s">
        <v>2903</v>
      </c>
      <c r="D719" s="1326" t="s">
        <v>227</v>
      </c>
      <c r="E719" s="1249" t="s">
        <v>3286</v>
      </c>
      <c r="F719" s="455" t="s">
        <v>3287</v>
      </c>
      <c r="G719" s="456" t="s">
        <v>156</v>
      </c>
      <c r="H719" s="889">
        <v>1</v>
      </c>
      <c r="I719" s="891"/>
      <c r="J719" s="601">
        <v>39.143999999999998</v>
      </c>
      <c r="K719" s="602">
        <v>0.44444444444444442</v>
      </c>
      <c r="L719" s="981">
        <v>3</v>
      </c>
      <c r="M719" s="1249" t="s">
        <v>323</v>
      </c>
      <c r="N719" s="604" t="s">
        <v>227</v>
      </c>
      <c r="O719" s="465"/>
      <c r="P719" s="435">
        <v>15.085000000000001</v>
      </c>
      <c r="Q719" s="435">
        <v>1</v>
      </c>
      <c r="R719" s="401">
        <v>1</v>
      </c>
      <c r="S719" s="466">
        <v>0.33333333333333331</v>
      </c>
      <c r="U719" s="1248">
        <f t="shared" si="8"/>
        <v>0</v>
      </c>
      <c r="V719" s="1304">
        <f t="shared" si="9"/>
        <v>1</v>
      </c>
    </row>
    <row r="720" spans="1:22" ht="16.5" thickTop="1" thickBot="1">
      <c r="A720" s="1244"/>
      <c r="B720" s="1245" t="s">
        <v>179</v>
      </c>
      <c r="C720" s="1328" t="s">
        <v>2903</v>
      </c>
      <c r="D720" s="1327" t="s">
        <v>227</v>
      </c>
      <c r="E720" s="1245" t="s">
        <v>3765</v>
      </c>
      <c r="F720" s="457" t="s">
        <v>3766</v>
      </c>
      <c r="G720" s="458" t="s">
        <v>156</v>
      </c>
      <c r="H720" s="888">
        <v>1</v>
      </c>
      <c r="I720" s="890"/>
      <c r="J720" s="899">
        <v>44.093000000000004</v>
      </c>
      <c r="K720" s="603">
        <v>1.3333333333333333</v>
      </c>
      <c r="L720" s="980">
        <v>3</v>
      </c>
      <c r="M720" s="1245" t="s">
        <v>323</v>
      </c>
      <c r="N720" s="604" t="s">
        <v>227</v>
      </c>
      <c r="O720" s="463">
        <v>3</v>
      </c>
      <c r="P720" s="434">
        <v>44.093000000000004</v>
      </c>
      <c r="Q720" s="434">
        <v>3</v>
      </c>
      <c r="R720" s="400">
        <v>2</v>
      </c>
      <c r="S720" s="464">
        <v>1.3333333333333333</v>
      </c>
      <c r="U720" s="1248">
        <f t="shared" si="8"/>
        <v>0</v>
      </c>
      <c r="V720" s="1304">
        <f t="shared" si="9"/>
        <v>1</v>
      </c>
    </row>
    <row r="721" spans="1:22" ht="16.5" thickTop="1" thickBot="1">
      <c r="A721" s="1244"/>
      <c r="B721" s="1249" t="s">
        <v>179</v>
      </c>
      <c r="C721" s="1329" t="s">
        <v>2903</v>
      </c>
      <c r="D721" s="1326" t="s">
        <v>227</v>
      </c>
      <c r="E721" s="1249" t="s">
        <v>3767</v>
      </c>
      <c r="F721" s="455" t="s">
        <v>850</v>
      </c>
      <c r="G721" s="456" t="s">
        <v>156</v>
      </c>
      <c r="H721" s="889">
        <v>1</v>
      </c>
      <c r="I721" s="891">
        <v>10.089</v>
      </c>
      <c r="J721" s="601">
        <v>51.1</v>
      </c>
      <c r="K721" s="602">
        <v>1.3333333333333333</v>
      </c>
      <c r="L721" s="981">
        <v>3</v>
      </c>
      <c r="M721" s="1249" t="s">
        <v>323</v>
      </c>
      <c r="N721" s="604" t="s">
        <v>227</v>
      </c>
      <c r="O721" s="465">
        <v>3</v>
      </c>
      <c r="P721" s="435">
        <v>51.1</v>
      </c>
      <c r="Q721" s="435">
        <v>4</v>
      </c>
      <c r="R721" s="401">
        <v>2</v>
      </c>
      <c r="S721" s="466">
        <v>1.3333333333333333</v>
      </c>
      <c r="U721" s="1248">
        <f t="shared" si="8"/>
        <v>0</v>
      </c>
      <c r="V721" s="1304">
        <f t="shared" si="9"/>
        <v>1</v>
      </c>
    </row>
    <row r="722" spans="1:22" ht="16.5" thickTop="1" thickBot="1">
      <c r="A722" s="1244"/>
      <c r="B722" s="1245" t="s">
        <v>179</v>
      </c>
      <c r="C722" s="1328" t="s">
        <v>2903</v>
      </c>
      <c r="D722" s="1327" t="s">
        <v>227</v>
      </c>
      <c r="E722" s="1245" t="s">
        <v>3768</v>
      </c>
      <c r="F722" s="457" t="s">
        <v>3769</v>
      </c>
      <c r="G722" s="458" t="s">
        <v>156</v>
      </c>
      <c r="H722" s="888">
        <v>1</v>
      </c>
      <c r="I722" s="890"/>
      <c r="J722" s="899"/>
      <c r="K722" s="603">
        <v>0</v>
      </c>
      <c r="L722" s="980">
        <v>1</v>
      </c>
      <c r="M722" s="1245" t="s">
        <v>366</v>
      </c>
      <c r="N722" s="604" t="s">
        <v>227</v>
      </c>
      <c r="O722" s="463">
        <v>1</v>
      </c>
      <c r="P722" s="434"/>
      <c r="Q722" s="434"/>
      <c r="R722" s="400">
        <v>0</v>
      </c>
      <c r="S722" s="464">
        <v>0</v>
      </c>
      <c r="U722" s="1248">
        <f t="shared" si="8"/>
        <v>1</v>
      </c>
      <c r="V722" s="1304">
        <f t="shared" si="9"/>
        <v>1</v>
      </c>
    </row>
    <row r="723" spans="1:22" ht="16.5" thickTop="1" thickBot="1">
      <c r="A723" s="1244"/>
      <c r="B723" s="1249" t="s">
        <v>179</v>
      </c>
      <c r="C723" s="1329" t="s">
        <v>2903</v>
      </c>
      <c r="D723" s="1326" t="s">
        <v>227</v>
      </c>
      <c r="E723" s="1249" t="s">
        <v>3770</v>
      </c>
      <c r="F723" s="455" t="s">
        <v>3771</v>
      </c>
      <c r="G723" s="456" t="s">
        <v>156</v>
      </c>
      <c r="H723" s="889">
        <v>1</v>
      </c>
      <c r="I723" s="891"/>
      <c r="J723" s="601">
        <v>20.079999999999998</v>
      </c>
      <c r="K723" s="602">
        <v>1</v>
      </c>
      <c r="L723" s="981">
        <v>4</v>
      </c>
      <c r="M723" s="1249" t="s">
        <v>323</v>
      </c>
      <c r="N723" s="604" t="s">
        <v>227</v>
      </c>
      <c r="O723" s="465">
        <v>4</v>
      </c>
      <c r="P723" s="435">
        <v>20.079999999999998</v>
      </c>
      <c r="Q723" s="435">
        <v>2</v>
      </c>
      <c r="R723" s="401">
        <v>2</v>
      </c>
      <c r="S723" s="466">
        <v>1</v>
      </c>
      <c r="U723" s="1248">
        <f t="shared" si="8"/>
        <v>0</v>
      </c>
      <c r="V723" s="1304">
        <f t="shared" si="9"/>
        <v>1</v>
      </c>
    </row>
    <row r="724" spans="1:22" ht="16.5" thickTop="1" thickBot="1">
      <c r="A724" s="1244"/>
      <c r="B724" s="1245" t="s">
        <v>179</v>
      </c>
      <c r="C724" s="1328" t="s">
        <v>2903</v>
      </c>
      <c r="D724" s="1327" t="s">
        <v>227</v>
      </c>
      <c r="E724" s="1245" t="s">
        <v>3772</v>
      </c>
      <c r="F724" s="457" t="s">
        <v>3773</v>
      </c>
      <c r="G724" s="458" t="s">
        <v>156</v>
      </c>
      <c r="H724" s="888">
        <v>1</v>
      </c>
      <c r="I724" s="890"/>
      <c r="J724" s="899"/>
      <c r="K724" s="603">
        <v>0</v>
      </c>
      <c r="L724" s="980">
        <v>3</v>
      </c>
      <c r="M724" s="1245" t="s">
        <v>366</v>
      </c>
      <c r="N724" s="604" t="s">
        <v>227</v>
      </c>
      <c r="O724" s="463">
        <v>3</v>
      </c>
      <c r="P724" s="434"/>
      <c r="Q724" s="434"/>
      <c r="R724" s="400">
        <v>0</v>
      </c>
      <c r="S724" s="464">
        <v>0</v>
      </c>
      <c r="U724" s="1248">
        <f t="shared" si="8"/>
        <v>1</v>
      </c>
      <c r="V724" s="1304">
        <f t="shared" si="9"/>
        <v>1</v>
      </c>
    </row>
    <row r="725" spans="1:22" ht="16.5" thickTop="1" thickBot="1">
      <c r="A725" s="1244"/>
      <c r="B725" s="1249" t="s">
        <v>179</v>
      </c>
      <c r="C725" s="1329" t="s">
        <v>2903</v>
      </c>
      <c r="D725" s="1326" t="s">
        <v>227</v>
      </c>
      <c r="E725" s="1249" t="s">
        <v>3774</v>
      </c>
      <c r="F725" s="455" t="s">
        <v>3775</v>
      </c>
      <c r="G725" s="456" t="s">
        <v>156</v>
      </c>
      <c r="H725" s="889">
        <v>1</v>
      </c>
      <c r="I725" s="891"/>
      <c r="J725" s="601">
        <v>13.598000000000001</v>
      </c>
      <c r="K725" s="602">
        <v>1</v>
      </c>
      <c r="L725" s="981">
        <v>2</v>
      </c>
      <c r="M725" s="1249" t="s">
        <v>322</v>
      </c>
      <c r="N725" s="604" t="s">
        <v>227</v>
      </c>
      <c r="O725" s="465">
        <v>2</v>
      </c>
      <c r="P725" s="435">
        <v>13.598000000000001</v>
      </c>
      <c r="Q725" s="435">
        <v>1</v>
      </c>
      <c r="R725" s="401">
        <v>1</v>
      </c>
      <c r="S725" s="466">
        <v>1</v>
      </c>
      <c r="U725" s="1248">
        <f t="shared" si="8"/>
        <v>0</v>
      </c>
      <c r="V725" s="1304">
        <f t="shared" si="9"/>
        <v>1</v>
      </c>
    </row>
    <row r="726" spans="1:22" ht="16.5" thickTop="1" thickBot="1">
      <c r="A726" s="1244"/>
      <c r="B726" s="1245" t="s">
        <v>179</v>
      </c>
      <c r="C726" s="1328" t="s">
        <v>2903</v>
      </c>
      <c r="D726" s="1327" t="s">
        <v>227</v>
      </c>
      <c r="E726" s="1245" t="s">
        <v>3776</v>
      </c>
      <c r="F726" s="457" t="s">
        <v>838</v>
      </c>
      <c r="G726" s="458" t="s">
        <v>156</v>
      </c>
      <c r="H726" s="888">
        <v>1</v>
      </c>
      <c r="I726" s="890"/>
      <c r="J726" s="899">
        <v>10.050000000000001</v>
      </c>
      <c r="K726" s="603">
        <v>0.5</v>
      </c>
      <c r="L726" s="980">
        <v>4</v>
      </c>
      <c r="M726" s="1245" t="s">
        <v>322</v>
      </c>
      <c r="N726" s="604" t="s">
        <v>227</v>
      </c>
      <c r="O726" s="463">
        <v>4</v>
      </c>
      <c r="P726" s="434">
        <v>10.050000000000001</v>
      </c>
      <c r="Q726" s="434">
        <v>1</v>
      </c>
      <c r="R726" s="400">
        <v>1</v>
      </c>
      <c r="S726" s="464">
        <v>0.5</v>
      </c>
      <c r="U726" s="1248">
        <f t="shared" si="8"/>
        <v>0</v>
      </c>
      <c r="V726" s="1304">
        <f t="shared" si="9"/>
        <v>1</v>
      </c>
    </row>
    <row r="727" spans="1:22" ht="16.5" thickTop="1" thickBot="1">
      <c r="A727" s="1244"/>
      <c r="B727" s="1249" t="s">
        <v>179</v>
      </c>
      <c r="C727" s="1329" t="s">
        <v>2903</v>
      </c>
      <c r="D727" s="1326" t="s">
        <v>227</v>
      </c>
      <c r="E727" s="1249" t="s">
        <v>3777</v>
      </c>
      <c r="F727" s="455" t="s">
        <v>3778</v>
      </c>
      <c r="G727" s="456" t="s">
        <v>156</v>
      </c>
      <c r="H727" s="889">
        <v>1</v>
      </c>
      <c r="I727" s="891"/>
      <c r="J727" s="601">
        <v>10.048</v>
      </c>
      <c r="K727" s="602">
        <v>0.66666666666666663</v>
      </c>
      <c r="L727" s="981">
        <v>3</v>
      </c>
      <c r="M727" s="1249" t="s">
        <v>322</v>
      </c>
      <c r="N727" s="604" t="s">
        <v>227</v>
      </c>
      <c r="O727" s="465">
        <v>3</v>
      </c>
      <c r="P727" s="435">
        <v>10.048</v>
      </c>
      <c r="Q727" s="435">
        <v>1</v>
      </c>
      <c r="R727" s="401">
        <v>1</v>
      </c>
      <c r="S727" s="466">
        <v>0.66666666666666663</v>
      </c>
      <c r="U727" s="1248">
        <f t="shared" si="8"/>
        <v>0</v>
      </c>
      <c r="V727" s="1304">
        <f t="shared" si="9"/>
        <v>1</v>
      </c>
    </row>
    <row r="728" spans="1:22" ht="16.5" thickTop="1" thickBot="1">
      <c r="A728" s="1244"/>
      <c r="B728" s="1245" t="s">
        <v>179</v>
      </c>
      <c r="C728" s="1328" t="s">
        <v>2903</v>
      </c>
      <c r="D728" s="1327" t="s">
        <v>227</v>
      </c>
      <c r="E728" s="1245" t="s">
        <v>3779</v>
      </c>
      <c r="F728" s="457" t="s">
        <v>3773</v>
      </c>
      <c r="G728" s="458" t="s">
        <v>156</v>
      </c>
      <c r="H728" s="888">
        <v>0</v>
      </c>
      <c r="I728" s="890"/>
      <c r="J728" s="899"/>
      <c r="K728" s="603">
        <v>0</v>
      </c>
      <c r="L728" s="980">
        <v>3</v>
      </c>
      <c r="M728" s="1245" t="s">
        <v>227</v>
      </c>
      <c r="N728" s="604" t="s">
        <v>227</v>
      </c>
      <c r="O728" s="463">
        <v>3</v>
      </c>
      <c r="P728" s="434"/>
      <c r="Q728" s="434"/>
      <c r="R728" s="400">
        <v>0</v>
      </c>
      <c r="S728" s="464">
        <v>0</v>
      </c>
      <c r="U728" s="1248">
        <f t="shared" si="8"/>
        <v>0</v>
      </c>
      <c r="V728" s="1304">
        <f t="shared" si="9"/>
        <v>1</v>
      </c>
    </row>
    <row r="729" spans="1:22" ht="16.5" thickTop="1" thickBot="1">
      <c r="A729" s="1244"/>
      <c r="B729" s="1249" t="s">
        <v>179</v>
      </c>
      <c r="C729" s="1329" t="s">
        <v>2903</v>
      </c>
      <c r="D729" s="1326" t="s">
        <v>227</v>
      </c>
      <c r="E729" s="1249" t="s">
        <v>3780</v>
      </c>
      <c r="F729" s="455" t="s">
        <v>3781</v>
      </c>
      <c r="G729" s="456" t="s">
        <v>156</v>
      </c>
      <c r="H729" s="889">
        <v>0</v>
      </c>
      <c r="I729" s="891"/>
      <c r="J729" s="601">
        <v>53.601999999999997</v>
      </c>
      <c r="K729" s="602">
        <v>1.3333333333333333</v>
      </c>
      <c r="L729" s="981">
        <v>3</v>
      </c>
      <c r="M729" s="1249" t="s">
        <v>227</v>
      </c>
      <c r="N729" s="604" t="s">
        <v>227</v>
      </c>
      <c r="O729" s="465">
        <v>3</v>
      </c>
      <c r="P729" s="435">
        <v>53.601999999999997</v>
      </c>
      <c r="Q729" s="435">
        <v>5</v>
      </c>
      <c r="R729" s="401">
        <v>2</v>
      </c>
      <c r="S729" s="466">
        <v>1.3333333333333333</v>
      </c>
      <c r="U729" s="1248">
        <f t="shared" si="8"/>
        <v>0</v>
      </c>
      <c r="V729" s="1304">
        <f t="shared" si="9"/>
        <v>1</v>
      </c>
    </row>
    <row r="730" spans="1:22" ht="16.5" thickTop="1" thickBot="1">
      <c r="A730" s="1244"/>
      <c r="B730" s="1245" t="s">
        <v>179</v>
      </c>
      <c r="C730" s="1328" t="s">
        <v>2903</v>
      </c>
      <c r="D730" s="1327" t="s">
        <v>227</v>
      </c>
      <c r="E730" s="1245" t="s">
        <v>3782</v>
      </c>
      <c r="F730" s="457" t="s">
        <v>2373</v>
      </c>
      <c r="G730" s="458" t="s">
        <v>156</v>
      </c>
      <c r="H730" s="888">
        <v>0</v>
      </c>
      <c r="I730" s="890"/>
      <c r="J730" s="899">
        <v>10.281000000000001</v>
      </c>
      <c r="K730" s="603">
        <v>1</v>
      </c>
      <c r="L730" s="980">
        <v>2</v>
      </c>
      <c r="M730" s="1245" t="s">
        <v>227</v>
      </c>
      <c r="N730" s="604" t="s">
        <v>227</v>
      </c>
      <c r="O730" s="463">
        <v>2</v>
      </c>
      <c r="P730" s="434">
        <v>10.281000000000001</v>
      </c>
      <c r="Q730" s="434">
        <v>1</v>
      </c>
      <c r="R730" s="400">
        <v>1</v>
      </c>
      <c r="S730" s="464">
        <v>1</v>
      </c>
      <c r="U730" s="1248">
        <f t="shared" si="8"/>
        <v>0</v>
      </c>
      <c r="V730" s="1304">
        <f t="shared" si="9"/>
        <v>1</v>
      </c>
    </row>
    <row r="731" spans="1:22" ht="16.5" thickTop="1" thickBot="1">
      <c r="A731" s="1244"/>
      <c r="B731" s="1249" t="s">
        <v>179</v>
      </c>
      <c r="C731" s="1329" t="s">
        <v>2903</v>
      </c>
      <c r="D731" s="1326" t="s">
        <v>227</v>
      </c>
      <c r="E731" s="1249" t="s">
        <v>3783</v>
      </c>
      <c r="F731" s="455" t="s">
        <v>3784</v>
      </c>
      <c r="G731" s="456" t="s">
        <v>156</v>
      </c>
      <c r="H731" s="889">
        <v>0</v>
      </c>
      <c r="I731" s="891"/>
      <c r="J731" s="601"/>
      <c r="K731" s="602">
        <v>0</v>
      </c>
      <c r="L731" s="981">
        <v>1</v>
      </c>
      <c r="M731" s="1249" t="s">
        <v>227</v>
      </c>
      <c r="N731" s="604" t="s">
        <v>227</v>
      </c>
      <c r="O731" s="465">
        <v>1</v>
      </c>
      <c r="P731" s="435"/>
      <c r="Q731" s="435"/>
      <c r="R731" s="401">
        <v>0</v>
      </c>
      <c r="S731" s="466">
        <v>0</v>
      </c>
      <c r="U731" s="1248">
        <f t="shared" si="8"/>
        <v>0</v>
      </c>
      <c r="V731" s="1304">
        <f t="shared" si="9"/>
        <v>1</v>
      </c>
    </row>
    <row r="732" spans="1:22" ht="16.5" thickTop="1" thickBot="1">
      <c r="A732" s="1244"/>
      <c r="B732" s="1245" t="s">
        <v>179</v>
      </c>
      <c r="C732" s="1328" t="s">
        <v>2903</v>
      </c>
      <c r="D732" s="1327" t="s">
        <v>227</v>
      </c>
      <c r="E732" s="1245" t="s">
        <v>3785</v>
      </c>
      <c r="F732" s="457" t="s">
        <v>3786</v>
      </c>
      <c r="G732" s="458" t="s">
        <v>156</v>
      </c>
      <c r="H732" s="888"/>
      <c r="I732" s="890"/>
      <c r="J732" s="899">
        <v>54.347999999999999</v>
      </c>
      <c r="K732" s="603">
        <v>1</v>
      </c>
      <c r="L732" s="980">
        <v>4</v>
      </c>
      <c r="M732" s="1245" t="s">
        <v>366</v>
      </c>
      <c r="N732" s="604" t="s">
        <v>227</v>
      </c>
      <c r="O732" s="463">
        <v>4</v>
      </c>
      <c r="P732" s="434">
        <v>54.347999999999999</v>
      </c>
      <c r="Q732" s="434">
        <v>4</v>
      </c>
      <c r="R732" s="400">
        <v>2</v>
      </c>
      <c r="S732" s="464">
        <v>1</v>
      </c>
      <c r="U732" s="1248">
        <f t="shared" si="8"/>
        <v>1</v>
      </c>
      <c r="V732" s="1304">
        <f t="shared" si="9"/>
        <v>1</v>
      </c>
    </row>
    <row r="733" spans="1:22" ht="16.5" thickTop="1" thickBot="1">
      <c r="A733" s="1244"/>
      <c r="B733" s="1249" t="s">
        <v>179</v>
      </c>
      <c r="C733" s="1329" t="s">
        <v>3193</v>
      </c>
      <c r="D733" s="1326" t="s">
        <v>227</v>
      </c>
      <c r="E733" s="1249" t="s">
        <v>3193</v>
      </c>
      <c r="F733" s="455" t="s">
        <v>3195</v>
      </c>
      <c r="G733" s="456" t="s">
        <v>158</v>
      </c>
      <c r="H733" s="889">
        <v>1</v>
      </c>
      <c r="I733" s="891">
        <v>10.486000000000001</v>
      </c>
      <c r="J733" s="601">
        <v>10.486000000000001</v>
      </c>
      <c r="K733" s="602">
        <v>0.66666666666666663</v>
      </c>
      <c r="L733" s="981">
        <v>1</v>
      </c>
      <c r="M733" s="1249" t="s">
        <v>322</v>
      </c>
      <c r="N733" s="604" t="s">
        <v>227</v>
      </c>
      <c r="O733" s="465"/>
      <c r="P733" s="435"/>
      <c r="Q733" s="435"/>
      <c r="R733" s="401">
        <v>0</v>
      </c>
      <c r="S733" s="466">
        <v>0</v>
      </c>
      <c r="U733" s="1248">
        <f t="shared" si="8"/>
        <v>0</v>
      </c>
      <c r="V733" s="1304">
        <f t="shared" si="9"/>
        <v>1</v>
      </c>
    </row>
    <row r="734" spans="1:22" ht="16.5" thickTop="1" thickBot="1">
      <c r="A734" s="1244"/>
      <c r="B734" s="1245" t="s">
        <v>179</v>
      </c>
      <c r="C734" s="1328" t="s">
        <v>3193</v>
      </c>
      <c r="D734" s="1327" t="s">
        <v>227</v>
      </c>
      <c r="E734" s="1245" t="s">
        <v>3288</v>
      </c>
      <c r="F734" s="457" t="s">
        <v>3289</v>
      </c>
      <c r="G734" s="458" t="s">
        <v>157</v>
      </c>
      <c r="H734" s="888">
        <v>1</v>
      </c>
      <c r="I734" s="890">
        <v>38.134999999999998</v>
      </c>
      <c r="J734" s="899">
        <v>68.17</v>
      </c>
      <c r="K734" s="603">
        <v>0.2</v>
      </c>
      <c r="L734" s="980">
        <v>8</v>
      </c>
      <c r="M734" s="1245" t="s">
        <v>323</v>
      </c>
      <c r="N734" s="604" t="s">
        <v>227</v>
      </c>
      <c r="O734" s="463">
        <v>2</v>
      </c>
      <c r="P734" s="434"/>
      <c r="Q734" s="434"/>
      <c r="R734" s="400">
        <v>0</v>
      </c>
      <c r="S734" s="464">
        <v>0</v>
      </c>
      <c r="U734" s="1248">
        <f t="shared" si="8"/>
        <v>0</v>
      </c>
      <c r="V734" s="1304">
        <f t="shared" si="9"/>
        <v>1</v>
      </c>
    </row>
    <row r="735" spans="1:22" ht="16.5" thickTop="1" thickBot="1">
      <c r="A735" s="1244"/>
      <c r="B735" s="1249" t="s">
        <v>179</v>
      </c>
      <c r="C735" s="1329" t="s">
        <v>3193</v>
      </c>
      <c r="D735" s="1326" t="s">
        <v>227</v>
      </c>
      <c r="E735" s="1249" t="s">
        <v>3290</v>
      </c>
      <c r="F735" s="455" t="s">
        <v>3291</v>
      </c>
      <c r="G735" s="456" t="s">
        <v>156</v>
      </c>
      <c r="H735" s="889">
        <v>1</v>
      </c>
      <c r="I735" s="891">
        <v>35.25</v>
      </c>
      <c r="J735" s="601">
        <v>35.25</v>
      </c>
      <c r="K735" s="602">
        <v>0.66666666666666663</v>
      </c>
      <c r="L735" s="981">
        <v>4</v>
      </c>
      <c r="M735" s="1249" t="s">
        <v>323</v>
      </c>
      <c r="N735" s="604" t="s">
        <v>227</v>
      </c>
      <c r="O735" s="465">
        <v>3</v>
      </c>
      <c r="P735" s="435">
        <v>25.279</v>
      </c>
      <c r="Q735" s="435">
        <v>1</v>
      </c>
      <c r="R735" s="401">
        <v>1</v>
      </c>
      <c r="S735" s="466">
        <v>0.4</v>
      </c>
      <c r="U735" s="1248">
        <f t="shared" si="8"/>
        <v>0</v>
      </c>
      <c r="V735" s="1304">
        <f t="shared" si="9"/>
        <v>1</v>
      </c>
    </row>
    <row r="736" spans="1:22" ht="16.5" thickTop="1" thickBot="1">
      <c r="A736" s="1244"/>
      <c r="B736" s="1245" t="s">
        <v>179</v>
      </c>
      <c r="C736" s="1328" t="s">
        <v>3193</v>
      </c>
      <c r="D736" s="1327" t="s">
        <v>227</v>
      </c>
      <c r="E736" s="1245" t="s">
        <v>3292</v>
      </c>
      <c r="F736" s="457" t="s">
        <v>3293</v>
      </c>
      <c r="G736" s="458" t="s">
        <v>156</v>
      </c>
      <c r="H736" s="888">
        <v>1</v>
      </c>
      <c r="I736" s="890"/>
      <c r="J736" s="899"/>
      <c r="K736" s="603">
        <v>0</v>
      </c>
      <c r="L736" s="980">
        <v>1</v>
      </c>
      <c r="M736" s="1245" t="s">
        <v>366</v>
      </c>
      <c r="N736" s="604" t="s">
        <v>227</v>
      </c>
      <c r="O736" s="463"/>
      <c r="P736" s="434"/>
      <c r="Q736" s="434"/>
      <c r="R736" s="400">
        <v>0</v>
      </c>
      <c r="S736" s="464">
        <v>0</v>
      </c>
      <c r="U736" s="1248">
        <f t="shared" si="8"/>
        <v>1</v>
      </c>
      <c r="V736" s="1304">
        <f t="shared" si="9"/>
        <v>1</v>
      </c>
    </row>
    <row r="737" spans="1:22" ht="16.5" thickTop="1" thickBot="1">
      <c r="A737" s="1244"/>
      <c r="B737" s="1249" t="s">
        <v>179</v>
      </c>
      <c r="C737" s="1329" t="s">
        <v>3193</v>
      </c>
      <c r="D737" s="1326" t="s">
        <v>227</v>
      </c>
      <c r="E737" s="1249" t="s">
        <v>3294</v>
      </c>
      <c r="F737" s="455" t="s">
        <v>3295</v>
      </c>
      <c r="G737" s="456" t="s">
        <v>156</v>
      </c>
      <c r="H737" s="889">
        <v>1</v>
      </c>
      <c r="I737" s="891"/>
      <c r="J737" s="601"/>
      <c r="K737" s="602">
        <v>0</v>
      </c>
      <c r="L737" s="981">
        <v>1</v>
      </c>
      <c r="M737" s="1249" t="s">
        <v>366</v>
      </c>
      <c r="N737" s="604" t="s">
        <v>227</v>
      </c>
      <c r="O737" s="465"/>
      <c r="P737" s="435"/>
      <c r="Q737" s="435"/>
      <c r="R737" s="401">
        <v>0</v>
      </c>
      <c r="S737" s="466">
        <v>0</v>
      </c>
      <c r="U737" s="1248">
        <f t="shared" si="8"/>
        <v>1</v>
      </c>
      <c r="V737" s="1304">
        <f t="shared" si="9"/>
        <v>1</v>
      </c>
    </row>
    <row r="738" spans="1:22" ht="16.5" thickTop="1" thickBot="1">
      <c r="A738" s="1244"/>
      <c r="B738" s="1245" t="s">
        <v>179</v>
      </c>
      <c r="C738" s="1328" t="s">
        <v>3193</v>
      </c>
      <c r="D738" s="1327" t="s">
        <v>227</v>
      </c>
      <c r="E738" s="1245" t="s">
        <v>3296</v>
      </c>
      <c r="F738" s="457" t="s">
        <v>3297</v>
      </c>
      <c r="G738" s="458" t="s">
        <v>156</v>
      </c>
      <c r="H738" s="888">
        <v>1</v>
      </c>
      <c r="I738" s="890">
        <v>19.079999999999998</v>
      </c>
      <c r="J738" s="899">
        <v>101.25</v>
      </c>
      <c r="K738" s="603">
        <v>0.90909090909090906</v>
      </c>
      <c r="L738" s="980">
        <v>5</v>
      </c>
      <c r="M738" s="1245" t="s">
        <v>323</v>
      </c>
      <c r="N738" s="604" t="s">
        <v>227</v>
      </c>
      <c r="O738" s="463">
        <v>2</v>
      </c>
      <c r="P738" s="434">
        <v>71.480999999999995</v>
      </c>
      <c r="Q738" s="434">
        <v>4</v>
      </c>
      <c r="R738" s="400">
        <v>3</v>
      </c>
      <c r="S738" s="464">
        <v>0.75</v>
      </c>
      <c r="U738" s="1248">
        <f t="shared" si="8"/>
        <v>0</v>
      </c>
      <c r="V738" s="1304">
        <f t="shared" si="9"/>
        <v>1</v>
      </c>
    </row>
    <row r="739" spans="1:22" ht="16.5" thickTop="1" thickBot="1">
      <c r="A739" s="1244"/>
      <c r="B739" s="1249" t="s">
        <v>179</v>
      </c>
      <c r="C739" s="1329" t="s">
        <v>3193</v>
      </c>
      <c r="D739" s="1326" t="s">
        <v>227</v>
      </c>
      <c r="E739" s="1249" t="s">
        <v>3787</v>
      </c>
      <c r="F739" s="455" t="s">
        <v>3788</v>
      </c>
      <c r="G739" s="456" t="s">
        <v>156</v>
      </c>
      <c r="H739" s="889">
        <v>0</v>
      </c>
      <c r="I739" s="891">
        <v>10.082000000000001</v>
      </c>
      <c r="J739" s="601">
        <v>10.082000000000001</v>
      </c>
      <c r="K739" s="602">
        <v>1</v>
      </c>
      <c r="L739" s="981">
        <v>2</v>
      </c>
      <c r="M739" s="1249" t="s">
        <v>227</v>
      </c>
      <c r="N739" s="604" t="s">
        <v>227</v>
      </c>
      <c r="O739" s="465">
        <v>2</v>
      </c>
      <c r="P739" s="435">
        <v>10.082000000000001</v>
      </c>
      <c r="Q739" s="435">
        <v>1</v>
      </c>
      <c r="R739" s="401">
        <v>1</v>
      </c>
      <c r="S739" s="466">
        <v>1</v>
      </c>
      <c r="U739" s="1248">
        <f t="shared" si="8"/>
        <v>0</v>
      </c>
      <c r="V739" s="1304">
        <f t="shared" si="9"/>
        <v>1</v>
      </c>
    </row>
    <row r="740" spans="1:22" ht="16.5" thickTop="1" thickBot="1">
      <c r="A740" s="1244"/>
      <c r="B740" s="1245" t="s">
        <v>179</v>
      </c>
      <c r="C740" s="1328" t="s">
        <v>3586</v>
      </c>
      <c r="D740" s="1327" t="s">
        <v>227</v>
      </c>
      <c r="E740" s="1245" t="s">
        <v>3586</v>
      </c>
      <c r="F740" s="457" t="s">
        <v>3588</v>
      </c>
      <c r="G740" s="458" t="s">
        <v>739</v>
      </c>
      <c r="H740" s="888">
        <v>1</v>
      </c>
      <c r="I740" s="890">
        <v>21.11</v>
      </c>
      <c r="J740" s="899">
        <v>21.11</v>
      </c>
      <c r="K740" s="603">
        <v>2</v>
      </c>
      <c r="L740" s="980">
        <v>1</v>
      </c>
      <c r="M740" s="1245" t="s">
        <v>323</v>
      </c>
      <c r="N740" s="604" t="s">
        <v>227</v>
      </c>
      <c r="O740" s="463">
        <v>1</v>
      </c>
      <c r="P740" s="434">
        <v>21.11</v>
      </c>
      <c r="Q740" s="434">
        <v>1</v>
      </c>
      <c r="R740" s="400">
        <v>1</v>
      </c>
      <c r="S740" s="464">
        <v>2</v>
      </c>
      <c r="U740" s="1248">
        <f t="shared" si="8"/>
        <v>0</v>
      </c>
      <c r="V740" s="1304">
        <f t="shared" si="9"/>
        <v>1</v>
      </c>
    </row>
    <row r="741" spans="1:22" ht="16.5" thickTop="1" thickBot="1">
      <c r="A741" s="1244"/>
      <c r="B741" s="1249" t="s">
        <v>179</v>
      </c>
      <c r="C741" s="1329" t="s">
        <v>3586</v>
      </c>
      <c r="D741" s="1326" t="s">
        <v>227</v>
      </c>
      <c r="E741" s="1249" t="s">
        <v>3789</v>
      </c>
      <c r="F741" s="455" t="s">
        <v>3395</v>
      </c>
      <c r="G741" s="456" t="s">
        <v>156</v>
      </c>
      <c r="H741" s="889">
        <v>1</v>
      </c>
      <c r="I741" s="891"/>
      <c r="J741" s="601"/>
      <c r="K741" s="602">
        <v>0</v>
      </c>
      <c r="L741" s="981">
        <v>2</v>
      </c>
      <c r="M741" s="1249" t="s">
        <v>366</v>
      </c>
      <c r="N741" s="604" t="s">
        <v>227</v>
      </c>
      <c r="O741" s="465">
        <v>2</v>
      </c>
      <c r="P741" s="435"/>
      <c r="Q741" s="435"/>
      <c r="R741" s="401">
        <v>0</v>
      </c>
      <c r="S741" s="466">
        <v>0</v>
      </c>
      <c r="U741" s="1248">
        <f t="shared" si="8"/>
        <v>1</v>
      </c>
      <c r="V741" s="1304">
        <f t="shared" si="9"/>
        <v>1</v>
      </c>
    </row>
    <row r="742" spans="1:22" ht="16.5" thickTop="1" thickBot="1">
      <c r="A742" s="1244"/>
      <c r="B742" s="1245" t="s">
        <v>179</v>
      </c>
      <c r="C742" s="1328" t="s">
        <v>3586</v>
      </c>
      <c r="D742" s="1327" t="s">
        <v>227</v>
      </c>
      <c r="E742" s="1245" t="s">
        <v>3790</v>
      </c>
      <c r="F742" s="457" t="s">
        <v>3791</v>
      </c>
      <c r="G742" s="458" t="s">
        <v>156</v>
      </c>
      <c r="H742" s="888">
        <v>0</v>
      </c>
      <c r="I742" s="890"/>
      <c r="J742" s="899">
        <v>33.475000000000001</v>
      </c>
      <c r="K742" s="603">
        <v>1</v>
      </c>
      <c r="L742" s="980">
        <v>2</v>
      </c>
      <c r="M742" s="1245" t="s">
        <v>227</v>
      </c>
      <c r="N742" s="604" t="s">
        <v>227</v>
      </c>
      <c r="O742" s="463">
        <v>2</v>
      </c>
      <c r="P742" s="434">
        <v>33.475000000000001</v>
      </c>
      <c r="Q742" s="434">
        <v>3</v>
      </c>
      <c r="R742" s="400">
        <v>1</v>
      </c>
      <c r="S742" s="464">
        <v>1</v>
      </c>
      <c r="U742" s="1248">
        <f t="shared" si="8"/>
        <v>0</v>
      </c>
      <c r="V742" s="1304">
        <f t="shared" si="9"/>
        <v>1</v>
      </c>
    </row>
    <row r="743" spans="1:22" ht="16.5" thickTop="1" thickBot="1">
      <c r="A743" s="1244"/>
      <c r="B743" s="1249" t="s">
        <v>179</v>
      </c>
      <c r="C743" s="1329" t="s">
        <v>3586</v>
      </c>
      <c r="D743" s="1326" t="s">
        <v>227</v>
      </c>
      <c r="E743" s="1249" t="s">
        <v>3792</v>
      </c>
      <c r="F743" s="455" t="s">
        <v>3793</v>
      </c>
      <c r="G743" s="456" t="s">
        <v>156</v>
      </c>
      <c r="H743" s="889">
        <v>0</v>
      </c>
      <c r="I743" s="891"/>
      <c r="J743" s="601"/>
      <c r="K743" s="602">
        <v>0</v>
      </c>
      <c r="L743" s="981">
        <v>1</v>
      </c>
      <c r="M743" s="1249" t="s">
        <v>227</v>
      </c>
      <c r="N743" s="604" t="s">
        <v>227</v>
      </c>
      <c r="O743" s="465">
        <v>1</v>
      </c>
      <c r="P743" s="435"/>
      <c r="Q743" s="435"/>
      <c r="R743" s="401">
        <v>0</v>
      </c>
      <c r="S743" s="466">
        <v>0</v>
      </c>
      <c r="U743" s="1248">
        <f t="shared" si="8"/>
        <v>0</v>
      </c>
      <c r="V743" s="1304">
        <f t="shared" si="9"/>
        <v>1</v>
      </c>
    </row>
    <row r="744" spans="1:22" ht="16.5" thickTop="1" thickBot="1">
      <c r="A744" s="1244"/>
      <c r="B744" s="1245" t="s">
        <v>179</v>
      </c>
      <c r="C744" s="1328" t="s">
        <v>3589</v>
      </c>
      <c r="D744" s="1327" t="s">
        <v>227</v>
      </c>
      <c r="E744" s="1245" t="s">
        <v>3589</v>
      </c>
      <c r="F744" s="457" t="s">
        <v>3591</v>
      </c>
      <c r="G744" s="458" t="s">
        <v>158</v>
      </c>
      <c r="H744" s="888">
        <v>1</v>
      </c>
      <c r="I744" s="890">
        <v>78.078999999999994</v>
      </c>
      <c r="J744" s="899">
        <v>78.078999999999994</v>
      </c>
      <c r="K744" s="603">
        <v>1</v>
      </c>
      <c r="L744" s="980">
        <v>2</v>
      </c>
      <c r="M744" s="1245" t="s">
        <v>323</v>
      </c>
      <c r="N744" s="604" t="s">
        <v>227</v>
      </c>
      <c r="O744" s="463">
        <v>2</v>
      </c>
      <c r="P744" s="434">
        <v>78.078999999999994</v>
      </c>
      <c r="Q744" s="434">
        <v>6</v>
      </c>
      <c r="R744" s="400">
        <v>1</v>
      </c>
      <c r="S744" s="464">
        <v>1</v>
      </c>
      <c r="U744" s="1248">
        <f t="shared" ref="U744:U807" si="10">IF(M744="U_200",1,0)</f>
        <v>0</v>
      </c>
      <c r="V744" s="1304">
        <f t="shared" ref="V744:V807" si="11">IF(G744&lt;&gt;"US",1,0)</f>
        <v>1</v>
      </c>
    </row>
    <row r="745" spans="1:22" ht="16.5" thickTop="1" thickBot="1">
      <c r="A745" s="1244"/>
      <c r="B745" s="1249" t="s">
        <v>179</v>
      </c>
      <c r="C745" s="1329" t="s">
        <v>3589</v>
      </c>
      <c r="D745" s="1326" t="s">
        <v>227</v>
      </c>
      <c r="E745" s="1249" t="s">
        <v>3794</v>
      </c>
      <c r="F745" s="455" t="s">
        <v>3795</v>
      </c>
      <c r="G745" s="456" t="s">
        <v>156</v>
      </c>
      <c r="H745" s="889">
        <v>1</v>
      </c>
      <c r="I745" s="891"/>
      <c r="J745" s="601"/>
      <c r="K745" s="602">
        <v>0</v>
      </c>
      <c r="L745" s="981">
        <v>1</v>
      </c>
      <c r="M745" s="1249" t="s">
        <v>366</v>
      </c>
      <c r="N745" s="604" t="s">
        <v>227</v>
      </c>
      <c r="O745" s="465">
        <v>1</v>
      </c>
      <c r="P745" s="435"/>
      <c r="Q745" s="435"/>
      <c r="R745" s="401">
        <v>0</v>
      </c>
      <c r="S745" s="466">
        <v>0</v>
      </c>
      <c r="U745" s="1248">
        <f t="shared" si="10"/>
        <v>1</v>
      </c>
      <c r="V745" s="1304">
        <f t="shared" si="11"/>
        <v>1</v>
      </c>
    </row>
    <row r="746" spans="1:22" ht="16.5" thickTop="1" thickBot="1">
      <c r="A746" s="1244"/>
      <c r="B746" s="1245" t="s">
        <v>179</v>
      </c>
      <c r="C746" s="1328" t="s">
        <v>3589</v>
      </c>
      <c r="D746" s="1327" t="s">
        <v>227</v>
      </c>
      <c r="E746" s="1245" t="s">
        <v>3796</v>
      </c>
      <c r="F746" s="457" t="s">
        <v>3797</v>
      </c>
      <c r="G746" s="458" t="s">
        <v>156</v>
      </c>
      <c r="H746" s="888">
        <v>1</v>
      </c>
      <c r="I746" s="890"/>
      <c r="J746" s="899">
        <v>16.158000000000001</v>
      </c>
      <c r="K746" s="603">
        <v>0.5</v>
      </c>
      <c r="L746" s="980">
        <v>4</v>
      </c>
      <c r="M746" s="1245" t="s">
        <v>321</v>
      </c>
      <c r="N746" s="604" t="s">
        <v>227</v>
      </c>
      <c r="O746" s="463">
        <v>4</v>
      </c>
      <c r="P746" s="434">
        <v>16.158000000000001</v>
      </c>
      <c r="Q746" s="434">
        <v>2</v>
      </c>
      <c r="R746" s="400">
        <v>1</v>
      </c>
      <c r="S746" s="464">
        <v>0.5</v>
      </c>
      <c r="U746" s="1248">
        <f t="shared" si="10"/>
        <v>0</v>
      </c>
      <c r="V746" s="1304">
        <f t="shared" si="11"/>
        <v>1</v>
      </c>
    </row>
    <row r="747" spans="1:22" ht="16.5" thickTop="1" thickBot="1">
      <c r="A747" s="1244"/>
      <c r="B747" s="1249" t="s">
        <v>179</v>
      </c>
      <c r="C747" s="1329" t="s">
        <v>3589</v>
      </c>
      <c r="D747" s="1326" t="s">
        <v>227</v>
      </c>
      <c r="E747" s="1249" t="s">
        <v>3798</v>
      </c>
      <c r="F747" s="455" t="s">
        <v>3799</v>
      </c>
      <c r="G747" s="456" t="s">
        <v>156</v>
      </c>
      <c r="H747" s="889">
        <v>1</v>
      </c>
      <c r="I747" s="891">
        <v>14.314</v>
      </c>
      <c r="J747" s="601">
        <v>14.314</v>
      </c>
      <c r="K747" s="602">
        <v>0.5</v>
      </c>
      <c r="L747" s="981">
        <v>4</v>
      </c>
      <c r="M747" s="1249" t="s">
        <v>322</v>
      </c>
      <c r="N747" s="604" t="s">
        <v>227</v>
      </c>
      <c r="O747" s="465">
        <v>4</v>
      </c>
      <c r="P747" s="435">
        <v>14.314</v>
      </c>
      <c r="Q747" s="435">
        <v>1</v>
      </c>
      <c r="R747" s="401">
        <v>1</v>
      </c>
      <c r="S747" s="466">
        <v>0.5</v>
      </c>
      <c r="U747" s="1248">
        <f t="shared" si="10"/>
        <v>0</v>
      </c>
      <c r="V747" s="1304">
        <f t="shared" si="11"/>
        <v>1</v>
      </c>
    </row>
    <row r="748" spans="1:22" ht="16.5" thickTop="1" thickBot="1">
      <c r="A748" s="1244"/>
      <c r="B748" s="1245" t="s">
        <v>179</v>
      </c>
      <c r="C748" s="1328" t="s">
        <v>3589</v>
      </c>
      <c r="D748" s="1327" t="s">
        <v>227</v>
      </c>
      <c r="E748" s="1245" t="s">
        <v>3800</v>
      </c>
      <c r="F748" s="457" t="s">
        <v>3801</v>
      </c>
      <c r="G748" s="458" t="s">
        <v>156</v>
      </c>
      <c r="H748" s="888">
        <v>1</v>
      </c>
      <c r="I748" s="890"/>
      <c r="J748" s="899">
        <v>25.001000000000001</v>
      </c>
      <c r="K748" s="603">
        <v>0.5</v>
      </c>
      <c r="L748" s="980">
        <v>4</v>
      </c>
      <c r="M748" s="1245" t="s">
        <v>323</v>
      </c>
      <c r="N748" s="604" t="s">
        <v>227</v>
      </c>
      <c r="O748" s="463">
        <v>4</v>
      </c>
      <c r="P748" s="434">
        <v>25.001000000000001</v>
      </c>
      <c r="Q748" s="434">
        <v>2</v>
      </c>
      <c r="R748" s="400">
        <v>1</v>
      </c>
      <c r="S748" s="464">
        <v>0.5</v>
      </c>
      <c r="U748" s="1248">
        <f t="shared" si="10"/>
        <v>0</v>
      </c>
      <c r="V748" s="1304">
        <f t="shared" si="11"/>
        <v>1</v>
      </c>
    </row>
    <row r="749" spans="1:22" ht="16.5" thickTop="1" thickBot="1">
      <c r="A749" s="1244"/>
      <c r="B749" s="1249" t="s">
        <v>179</v>
      </c>
      <c r="C749" s="1329" t="s">
        <v>3589</v>
      </c>
      <c r="D749" s="1326" t="s">
        <v>227</v>
      </c>
      <c r="E749" s="1249" t="s">
        <v>3649</v>
      </c>
      <c r="F749" s="455" t="s">
        <v>3651</v>
      </c>
      <c r="G749" s="456" t="s">
        <v>157</v>
      </c>
      <c r="H749" s="889">
        <v>0</v>
      </c>
      <c r="I749" s="891"/>
      <c r="J749" s="601"/>
      <c r="K749" s="602">
        <v>0</v>
      </c>
      <c r="L749" s="981">
        <v>1</v>
      </c>
      <c r="M749" s="1249" t="s">
        <v>227</v>
      </c>
      <c r="N749" s="604" t="s">
        <v>227</v>
      </c>
      <c r="O749" s="465">
        <v>1</v>
      </c>
      <c r="P749" s="435"/>
      <c r="Q749" s="435"/>
      <c r="R749" s="401">
        <v>0</v>
      </c>
      <c r="S749" s="466">
        <v>0</v>
      </c>
      <c r="U749" s="1248">
        <f t="shared" si="10"/>
        <v>0</v>
      </c>
      <c r="V749" s="1304">
        <f t="shared" si="11"/>
        <v>1</v>
      </c>
    </row>
    <row r="750" spans="1:22" ht="16.5" thickTop="1" thickBot="1">
      <c r="A750" s="1244"/>
      <c r="B750" s="1245" t="s">
        <v>179</v>
      </c>
      <c r="C750" s="1328" t="s">
        <v>3589</v>
      </c>
      <c r="D750" s="1327" t="s">
        <v>227</v>
      </c>
      <c r="E750" s="1245" t="s">
        <v>3652</v>
      </c>
      <c r="F750" s="457" t="s">
        <v>3654</v>
      </c>
      <c r="G750" s="458" t="s">
        <v>157</v>
      </c>
      <c r="H750" s="888">
        <v>0</v>
      </c>
      <c r="I750" s="890"/>
      <c r="J750" s="899"/>
      <c r="K750" s="603">
        <v>0</v>
      </c>
      <c r="L750" s="980">
        <v>1</v>
      </c>
      <c r="M750" s="1245" t="s">
        <v>227</v>
      </c>
      <c r="N750" s="604" t="s">
        <v>227</v>
      </c>
      <c r="O750" s="463">
        <v>1</v>
      </c>
      <c r="P750" s="434"/>
      <c r="Q750" s="434"/>
      <c r="R750" s="400">
        <v>0</v>
      </c>
      <c r="S750" s="464">
        <v>0</v>
      </c>
      <c r="U750" s="1248">
        <f t="shared" si="10"/>
        <v>0</v>
      </c>
      <c r="V750" s="1304">
        <f t="shared" si="11"/>
        <v>1</v>
      </c>
    </row>
    <row r="751" spans="1:22" ht="16.5" thickTop="1" thickBot="1">
      <c r="A751" s="1244"/>
      <c r="B751" s="1249" t="s">
        <v>179</v>
      </c>
      <c r="C751" s="1329" t="s">
        <v>3589</v>
      </c>
      <c r="D751" s="1326" t="s">
        <v>227</v>
      </c>
      <c r="E751" s="1249" t="s">
        <v>3802</v>
      </c>
      <c r="F751" s="455" t="s">
        <v>3803</v>
      </c>
      <c r="G751" s="456" t="s">
        <v>156</v>
      </c>
      <c r="H751" s="889">
        <v>0</v>
      </c>
      <c r="I751" s="891"/>
      <c r="J751" s="601"/>
      <c r="K751" s="602">
        <v>0</v>
      </c>
      <c r="L751" s="981">
        <v>1</v>
      </c>
      <c r="M751" s="1249" t="s">
        <v>227</v>
      </c>
      <c r="N751" s="604" t="s">
        <v>227</v>
      </c>
      <c r="O751" s="465">
        <v>1</v>
      </c>
      <c r="P751" s="435"/>
      <c r="Q751" s="435"/>
      <c r="R751" s="401">
        <v>0</v>
      </c>
      <c r="S751" s="466">
        <v>0</v>
      </c>
      <c r="U751" s="1248">
        <f t="shared" si="10"/>
        <v>0</v>
      </c>
      <c r="V751" s="1304">
        <f t="shared" si="11"/>
        <v>1</v>
      </c>
    </row>
    <row r="752" spans="1:22" ht="16.5" thickTop="1" thickBot="1">
      <c r="A752" s="1244"/>
      <c r="B752" s="1245" t="s">
        <v>179</v>
      </c>
      <c r="C752" s="1328" t="s">
        <v>3589</v>
      </c>
      <c r="D752" s="1327" t="s">
        <v>227</v>
      </c>
      <c r="E752" s="1245" t="s">
        <v>3804</v>
      </c>
      <c r="F752" s="457" t="s">
        <v>3805</v>
      </c>
      <c r="G752" s="458" t="s">
        <v>156</v>
      </c>
      <c r="H752" s="888">
        <v>0</v>
      </c>
      <c r="I752" s="890"/>
      <c r="J752" s="899"/>
      <c r="K752" s="603">
        <v>0</v>
      </c>
      <c r="L752" s="980">
        <v>1</v>
      </c>
      <c r="M752" s="1245" t="s">
        <v>227</v>
      </c>
      <c r="N752" s="604" t="s">
        <v>227</v>
      </c>
      <c r="O752" s="463">
        <v>1</v>
      </c>
      <c r="P752" s="434"/>
      <c r="Q752" s="434"/>
      <c r="R752" s="400">
        <v>0</v>
      </c>
      <c r="S752" s="464">
        <v>0</v>
      </c>
      <c r="U752" s="1248">
        <f t="shared" si="10"/>
        <v>0</v>
      </c>
      <c r="V752" s="1304">
        <f t="shared" si="11"/>
        <v>1</v>
      </c>
    </row>
    <row r="753" spans="1:22" ht="16.5" thickTop="1" thickBot="1">
      <c r="A753" s="1244"/>
      <c r="B753" s="1249" t="s">
        <v>179</v>
      </c>
      <c r="C753" s="1329" t="s">
        <v>3592</v>
      </c>
      <c r="D753" s="1326" t="s">
        <v>227</v>
      </c>
      <c r="E753" s="1249" t="s">
        <v>3592</v>
      </c>
      <c r="F753" s="455" t="s">
        <v>3594</v>
      </c>
      <c r="G753" s="456" t="s">
        <v>158</v>
      </c>
      <c r="H753" s="889">
        <v>1</v>
      </c>
      <c r="I753" s="891">
        <v>28.795000000000002</v>
      </c>
      <c r="J753" s="601">
        <v>28.795000000000002</v>
      </c>
      <c r="K753" s="602">
        <v>2</v>
      </c>
      <c r="L753" s="981">
        <v>1</v>
      </c>
      <c r="M753" s="1249" t="s">
        <v>323</v>
      </c>
      <c r="N753" s="604" t="s">
        <v>227</v>
      </c>
      <c r="O753" s="465">
        <v>1</v>
      </c>
      <c r="P753" s="435">
        <v>28.795000000000002</v>
      </c>
      <c r="Q753" s="435">
        <v>3</v>
      </c>
      <c r="R753" s="401">
        <v>1</v>
      </c>
      <c r="S753" s="466">
        <v>2</v>
      </c>
      <c r="U753" s="1248">
        <f t="shared" si="10"/>
        <v>0</v>
      </c>
      <c r="V753" s="1304">
        <f t="shared" si="11"/>
        <v>1</v>
      </c>
    </row>
    <row r="754" spans="1:22" ht="16.5" thickTop="1" thickBot="1">
      <c r="A754" s="1244"/>
      <c r="B754" s="1245" t="s">
        <v>179</v>
      </c>
      <c r="C754" s="1328" t="s">
        <v>3592</v>
      </c>
      <c r="D754" s="1327" t="s">
        <v>227</v>
      </c>
      <c r="E754" s="1245" t="s">
        <v>3806</v>
      </c>
      <c r="F754" s="457" t="s">
        <v>1271</v>
      </c>
      <c r="G754" s="458" t="s">
        <v>156</v>
      </c>
      <c r="H754" s="888">
        <v>0</v>
      </c>
      <c r="I754" s="890">
        <v>15.085000000000001</v>
      </c>
      <c r="J754" s="899">
        <v>15.085000000000001</v>
      </c>
      <c r="K754" s="603">
        <v>2</v>
      </c>
      <c r="L754" s="980">
        <v>1</v>
      </c>
      <c r="M754" s="1245" t="s">
        <v>227</v>
      </c>
      <c r="N754" s="604" t="s">
        <v>227</v>
      </c>
      <c r="O754" s="463">
        <v>1</v>
      </c>
      <c r="P754" s="434">
        <v>15.085000000000001</v>
      </c>
      <c r="Q754" s="434">
        <v>1</v>
      </c>
      <c r="R754" s="400">
        <v>1</v>
      </c>
      <c r="S754" s="464">
        <v>2</v>
      </c>
      <c r="U754" s="1248">
        <f t="shared" si="10"/>
        <v>0</v>
      </c>
      <c r="V754" s="1304">
        <f t="shared" si="11"/>
        <v>1</v>
      </c>
    </row>
    <row r="755" spans="1:22" ht="16.5" thickTop="1" thickBot="1">
      <c r="A755" s="1244"/>
      <c r="B755" s="1249" t="s">
        <v>179</v>
      </c>
      <c r="C755" s="1329" t="s">
        <v>3595</v>
      </c>
      <c r="D755" s="1326" t="s">
        <v>227</v>
      </c>
      <c r="E755" s="1249" t="s">
        <v>3807</v>
      </c>
      <c r="F755" s="455" t="s">
        <v>3808</v>
      </c>
      <c r="G755" s="456" t="s">
        <v>156</v>
      </c>
      <c r="H755" s="889">
        <v>1</v>
      </c>
      <c r="I755" s="891">
        <v>12.858000000000001</v>
      </c>
      <c r="J755" s="601">
        <v>21.981999999999999</v>
      </c>
      <c r="K755" s="602">
        <v>1.3333333333333333</v>
      </c>
      <c r="L755" s="981">
        <v>3</v>
      </c>
      <c r="M755" s="1249" t="s">
        <v>323</v>
      </c>
      <c r="N755" s="604" t="s">
        <v>227</v>
      </c>
      <c r="O755" s="465">
        <v>3</v>
      </c>
      <c r="P755" s="435">
        <v>21.981999999999999</v>
      </c>
      <c r="Q755" s="435">
        <v>2</v>
      </c>
      <c r="R755" s="401">
        <v>2</v>
      </c>
      <c r="S755" s="466">
        <v>1.3333333333333333</v>
      </c>
      <c r="U755" s="1248">
        <f t="shared" si="10"/>
        <v>0</v>
      </c>
      <c r="V755" s="1304">
        <f t="shared" si="11"/>
        <v>1</v>
      </c>
    </row>
    <row r="756" spans="1:22" ht="16.5" thickTop="1" thickBot="1">
      <c r="A756" s="1244"/>
      <c r="B756" s="1245" t="s">
        <v>179</v>
      </c>
      <c r="C756" s="1328" t="s">
        <v>3595</v>
      </c>
      <c r="D756" s="1327" t="s">
        <v>227</v>
      </c>
      <c r="E756" s="1245" t="s">
        <v>3809</v>
      </c>
      <c r="F756" s="457" t="s">
        <v>3810</v>
      </c>
      <c r="G756" s="458" t="s">
        <v>156</v>
      </c>
      <c r="H756" s="888">
        <v>1</v>
      </c>
      <c r="I756" s="890">
        <v>25.021999999999998</v>
      </c>
      <c r="J756" s="899">
        <v>67.83</v>
      </c>
      <c r="K756" s="603">
        <v>2</v>
      </c>
      <c r="L756" s="980">
        <v>6</v>
      </c>
      <c r="M756" s="1245" t="s">
        <v>323</v>
      </c>
      <c r="N756" s="604" t="s">
        <v>227</v>
      </c>
      <c r="O756" s="463">
        <v>6</v>
      </c>
      <c r="P756" s="434">
        <v>67.83</v>
      </c>
      <c r="Q756" s="434">
        <v>6</v>
      </c>
      <c r="R756" s="400">
        <v>6</v>
      </c>
      <c r="S756" s="464">
        <v>2</v>
      </c>
      <c r="U756" s="1248">
        <f t="shared" si="10"/>
        <v>0</v>
      </c>
      <c r="V756" s="1304">
        <f t="shared" si="11"/>
        <v>1</v>
      </c>
    </row>
    <row r="757" spans="1:22" ht="16.5" thickTop="1" thickBot="1">
      <c r="A757" s="1244"/>
      <c r="B757" s="1249" t="s">
        <v>179</v>
      </c>
      <c r="C757" s="1329" t="s">
        <v>3595</v>
      </c>
      <c r="D757" s="1326" t="s">
        <v>227</v>
      </c>
      <c r="E757" s="1249" t="s">
        <v>3595</v>
      </c>
      <c r="F757" s="455" t="s">
        <v>3597</v>
      </c>
      <c r="G757" s="456" t="s">
        <v>158</v>
      </c>
      <c r="H757" s="889">
        <v>0</v>
      </c>
      <c r="I757" s="891"/>
      <c r="J757" s="601"/>
      <c r="K757" s="602">
        <v>0</v>
      </c>
      <c r="L757" s="981">
        <v>1</v>
      </c>
      <c r="M757" s="1249" t="s">
        <v>227</v>
      </c>
      <c r="N757" s="604" t="s">
        <v>227</v>
      </c>
      <c r="O757" s="465">
        <v>1</v>
      </c>
      <c r="P757" s="435"/>
      <c r="Q757" s="435"/>
      <c r="R757" s="401">
        <v>0</v>
      </c>
      <c r="S757" s="466">
        <v>0</v>
      </c>
      <c r="U757" s="1248">
        <f t="shared" si="10"/>
        <v>0</v>
      </c>
      <c r="V757" s="1304">
        <f t="shared" si="11"/>
        <v>1</v>
      </c>
    </row>
    <row r="758" spans="1:22" ht="16.5" thickTop="1" thickBot="1">
      <c r="A758" s="1244"/>
      <c r="B758" s="1245" t="s">
        <v>179</v>
      </c>
      <c r="C758" s="1328" t="s">
        <v>3595</v>
      </c>
      <c r="D758" s="1327" t="s">
        <v>227</v>
      </c>
      <c r="E758" s="1245" t="s">
        <v>3655</v>
      </c>
      <c r="F758" s="457" t="s">
        <v>3657</v>
      </c>
      <c r="G758" s="458" t="s">
        <v>157</v>
      </c>
      <c r="H758" s="888">
        <v>0</v>
      </c>
      <c r="I758" s="890"/>
      <c r="J758" s="899"/>
      <c r="K758" s="603">
        <v>0</v>
      </c>
      <c r="L758" s="980">
        <v>1</v>
      </c>
      <c r="M758" s="1245" t="s">
        <v>227</v>
      </c>
      <c r="N758" s="604" t="s">
        <v>227</v>
      </c>
      <c r="O758" s="463">
        <v>1</v>
      </c>
      <c r="P758" s="434"/>
      <c r="Q758" s="434"/>
      <c r="R758" s="400">
        <v>0</v>
      </c>
      <c r="S758" s="464">
        <v>0</v>
      </c>
      <c r="U758" s="1248">
        <f t="shared" si="10"/>
        <v>0</v>
      </c>
      <c r="V758" s="1304">
        <f t="shared" si="11"/>
        <v>1</v>
      </c>
    </row>
    <row r="759" spans="1:22" ht="16.5" thickTop="1" thickBot="1">
      <c r="A759" s="1244"/>
      <c r="B759" s="1249" t="s">
        <v>179</v>
      </c>
      <c r="C759" s="1329" t="s">
        <v>3595</v>
      </c>
      <c r="D759" s="1326" t="s">
        <v>227</v>
      </c>
      <c r="E759" s="1249" t="s">
        <v>3811</v>
      </c>
      <c r="F759" s="455" t="s">
        <v>3812</v>
      </c>
      <c r="G759" s="456" t="s">
        <v>156</v>
      </c>
      <c r="H759" s="889">
        <v>0</v>
      </c>
      <c r="I759" s="891"/>
      <c r="J759" s="601"/>
      <c r="K759" s="602">
        <v>0</v>
      </c>
      <c r="L759" s="981">
        <v>1</v>
      </c>
      <c r="M759" s="1249" t="s">
        <v>227</v>
      </c>
      <c r="N759" s="604" t="s">
        <v>227</v>
      </c>
      <c r="O759" s="465">
        <v>1</v>
      </c>
      <c r="P759" s="435"/>
      <c r="Q759" s="435"/>
      <c r="R759" s="401">
        <v>0</v>
      </c>
      <c r="S759" s="466">
        <v>0</v>
      </c>
      <c r="U759" s="1248">
        <f t="shared" si="10"/>
        <v>0</v>
      </c>
      <c r="V759" s="1304">
        <f t="shared" si="11"/>
        <v>1</v>
      </c>
    </row>
    <row r="760" spans="1:22" ht="16.5" thickTop="1" thickBot="1">
      <c r="A760" s="1244"/>
      <c r="B760" s="1245" t="s">
        <v>179</v>
      </c>
      <c r="C760" s="1328" t="s">
        <v>3595</v>
      </c>
      <c r="D760" s="1327" t="s">
        <v>227</v>
      </c>
      <c r="E760" s="1245" t="s">
        <v>3813</v>
      </c>
      <c r="F760" s="457" t="s">
        <v>3814</v>
      </c>
      <c r="G760" s="458" t="s">
        <v>156</v>
      </c>
      <c r="H760" s="888">
        <v>0</v>
      </c>
      <c r="I760" s="890"/>
      <c r="J760" s="899"/>
      <c r="K760" s="603">
        <v>0</v>
      </c>
      <c r="L760" s="980">
        <v>1</v>
      </c>
      <c r="M760" s="1245" t="s">
        <v>227</v>
      </c>
      <c r="N760" s="604" t="s">
        <v>227</v>
      </c>
      <c r="O760" s="463">
        <v>1</v>
      </c>
      <c r="P760" s="434"/>
      <c r="Q760" s="434"/>
      <c r="R760" s="400">
        <v>0</v>
      </c>
      <c r="S760" s="464">
        <v>0</v>
      </c>
      <c r="U760" s="1248">
        <f t="shared" si="10"/>
        <v>0</v>
      </c>
      <c r="V760" s="1304">
        <f t="shared" si="11"/>
        <v>1</v>
      </c>
    </row>
    <row r="761" spans="1:22" ht="16.5" thickTop="1" thickBot="1">
      <c r="A761" s="1244"/>
      <c r="B761" s="1249" t="s">
        <v>3518</v>
      </c>
      <c r="C761" s="1329" t="s">
        <v>803</v>
      </c>
      <c r="D761" s="1326" t="s">
        <v>227</v>
      </c>
      <c r="E761" s="1249" t="s">
        <v>803</v>
      </c>
      <c r="F761" s="455" t="s">
        <v>805</v>
      </c>
      <c r="G761" s="456" t="s">
        <v>158</v>
      </c>
      <c r="H761" s="889">
        <v>23</v>
      </c>
      <c r="I761" s="891">
        <v>126.143</v>
      </c>
      <c r="J761" s="601">
        <v>152.179</v>
      </c>
      <c r="K761" s="602">
        <v>0.12345679012345678</v>
      </c>
      <c r="L761" s="981">
        <v>1</v>
      </c>
      <c r="M761" s="1249" t="s">
        <v>366</v>
      </c>
      <c r="N761" s="604" t="s">
        <v>227</v>
      </c>
      <c r="O761" s="465"/>
      <c r="P761" s="435">
        <v>40.761000000000003</v>
      </c>
      <c r="Q761" s="435">
        <v>4</v>
      </c>
      <c r="R761" s="401">
        <v>1</v>
      </c>
      <c r="S761" s="466">
        <v>1</v>
      </c>
      <c r="U761" s="1248">
        <f t="shared" si="10"/>
        <v>1</v>
      </c>
      <c r="V761" s="1304">
        <f t="shared" si="11"/>
        <v>1</v>
      </c>
    </row>
    <row r="762" spans="1:22" ht="16.5" thickTop="1" thickBot="1">
      <c r="A762" s="1244"/>
      <c r="B762" s="1245" t="s">
        <v>3518</v>
      </c>
      <c r="C762" s="1328" t="s">
        <v>803</v>
      </c>
      <c r="D762" s="1327" t="s">
        <v>227</v>
      </c>
      <c r="E762" s="1245" t="s">
        <v>837</v>
      </c>
      <c r="F762" s="457" t="s">
        <v>558</v>
      </c>
      <c r="G762" s="458" t="s">
        <v>156</v>
      </c>
      <c r="H762" s="888">
        <v>23</v>
      </c>
      <c r="I762" s="890">
        <v>160.24100000000001</v>
      </c>
      <c r="J762" s="899">
        <v>1238.6590000000001</v>
      </c>
      <c r="K762" s="603">
        <v>0.45454545454545453</v>
      </c>
      <c r="L762" s="980">
        <v>3</v>
      </c>
      <c r="M762" s="1245" t="s">
        <v>323</v>
      </c>
      <c r="N762" s="604" t="s">
        <v>227</v>
      </c>
      <c r="O762" s="463"/>
      <c r="P762" s="434">
        <v>56.752000000000002</v>
      </c>
      <c r="Q762" s="434">
        <v>2</v>
      </c>
      <c r="R762" s="400">
        <v>2</v>
      </c>
      <c r="S762" s="464">
        <v>0.66666666666666663</v>
      </c>
      <c r="U762" s="1248">
        <f t="shared" si="10"/>
        <v>0</v>
      </c>
      <c r="V762" s="1304">
        <f t="shared" si="11"/>
        <v>1</v>
      </c>
    </row>
    <row r="763" spans="1:22" ht="16.5" thickTop="1" thickBot="1">
      <c r="A763" s="1244"/>
      <c r="B763" s="1249" t="s">
        <v>3518</v>
      </c>
      <c r="C763" s="1329" t="s">
        <v>803</v>
      </c>
      <c r="D763" s="1326" t="s">
        <v>227</v>
      </c>
      <c r="E763" s="1249" t="s">
        <v>916</v>
      </c>
      <c r="F763" s="455" t="s">
        <v>918</v>
      </c>
      <c r="G763" s="456" t="s">
        <v>157</v>
      </c>
      <c r="H763" s="889">
        <v>20</v>
      </c>
      <c r="I763" s="891">
        <v>40.21</v>
      </c>
      <c r="J763" s="601">
        <v>107.633</v>
      </c>
      <c r="K763" s="602">
        <v>0.2608695652173913</v>
      </c>
      <c r="L763" s="981">
        <v>2</v>
      </c>
      <c r="M763" s="1249" t="s">
        <v>366</v>
      </c>
      <c r="N763" s="604" t="s">
        <v>227</v>
      </c>
      <c r="O763" s="465"/>
      <c r="P763" s="435">
        <v>79.37</v>
      </c>
      <c r="Q763" s="435">
        <v>3</v>
      </c>
      <c r="R763" s="401">
        <v>2</v>
      </c>
      <c r="S763" s="466">
        <v>1</v>
      </c>
      <c r="U763" s="1248">
        <f t="shared" si="10"/>
        <v>1</v>
      </c>
      <c r="V763" s="1304">
        <f t="shared" si="11"/>
        <v>1</v>
      </c>
    </row>
    <row r="764" spans="1:22" ht="16.5" thickTop="1" thickBot="1">
      <c r="A764" s="1244"/>
      <c r="B764" s="1245" t="s">
        <v>3518</v>
      </c>
      <c r="C764" s="1328" t="s">
        <v>803</v>
      </c>
      <c r="D764" s="1327" t="s">
        <v>227</v>
      </c>
      <c r="E764" s="1245" t="s">
        <v>934</v>
      </c>
      <c r="F764" s="457" t="s">
        <v>935</v>
      </c>
      <c r="G764" s="458" t="s">
        <v>156</v>
      </c>
      <c r="H764" s="888">
        <v>20</v>
      </c>
      <c r="I764" s="890">
        <v>-0.63800000000000001</v>
      </c>
      <c r="J764" s="899">
        <v>35.655000000000001</v>
      </c>
      <c r="K764" s="603">
        <v>0.17073170731707318</v>
      </c>
      <c r="L764" s="980">
        <v>3</v>
      </c>
      <c r="M764" s="1245" t="s">
        <v>366</v>
      </c>
      <c r="N764" s="604" t="s">
        <v>227</v>
      </c>
      <c r="O764" s="463"/>
      <c r="P764" s="434"/>
      <c r="Q764" s="434"/>
      <c r="R764" s="400">
        <v>0</v>
      </c>
      <c r="S764" s="464">
        <v>0</v>
      </c>
      <c r="U764" s="1248">
        <f t="shared" si="10"/>
        <v>1</v>
      </c>
      <c r="V764" s="1304">
        <f t="shared" si="11"/>
        <v>1</v>
      </c>
    </row>
    <row r="765" spans="1:22" ht="16.5" thickTop="1" thickBot="1">
      <c r="A765" s="1244"/>
      <c r="B765" s="1249" t="s">
        <v>3518</v>
      </c>
      <c r="C765" s="1329" t="s">
        <v>803</v>
      </c>
      <c r="D765" s="1326" t="s">
        <v>227</v>
      </c>
      <c r="E765" s="1249" t="s">
        <v>1217</v>
      </c>
      <c r="F765" s="455" t="s">
        <v>1218</v>
      </c>
      <c r="G765" s="456" t="s">
        <v>157</v>
      </c>
      <c r="H765" s="889">
        <v>17</v>
      </c>
      <c r="I765" s="891">
        <v>627.81600000000003</v>
      </c>
      <c r="J765" s="601">
        <v>1240.1289999999999</v>
      </c>
      <c r="K765" s="602">
        <v>0.42276422764227645</v>
      </c>
      <c r="L765" s="981">
        <v>6</v>
      </c>
      <c r="M765" s="1249" t="s">
        <v>323</v>
      </c>
      <c r="N765" s="604" t="s">
        <v>227</v>
      </c>
      <c r="O765" s="465">
        <v>2</v>
      </c>
      <c r="P765" s="435">
        <v>44.164999999999999</v>
      </c>
      <c r="Q765" s="435">
        <v>2</v>
      </c>
      <c r="R765" s="401">
        <v>2</v>
      </c>
      <c r="S765" s="466">
        <v>0.4</v>
      </c>
      <c r="U765" s="1248">
        <f t="shared" si="10"/>
        <v>0</v>
      </c>
      <c r="V765" s="1304">
        <f t="shared" si="11"/>
        <v>1</v>
      </c>
    </row>
    <row r="766" spans="1:22" ht="16.5" thickTop="1" thickBot="1">
      <c r="A766" s="1244"/>
      <c r="B766" s="1245" t="s">
        <v>3518</v>
      </c>
      <c r="C766" s="1328" t="s">
        <v>803</v>
      </c>
      <c r="D766" s="1327" t="s">
        <v>227</v>
      </c>
      <c r="E766" s="1245" t="s">
        <v>1219</v>
      </c>
      <c r="F766" s="457" t="s">
        <v>1220</v>
      </c>
      <c r="G766" s="458" t="s">
        <v>156</v>
      </c>
      <c r="H766" s="888">
        <v>17</v>
      </c>
      <c r="I766" s="890">
        <v>116.681</v>
      </c>
      <c r="J766" s="899">
        <v>231.89099999999999</v>
      </c>
      <c r="K766" s="603">
        <v>0.39603960396039606</v>
      </c>
      <c r="L766" s="980">
        <v>3</v>
      </c>
      <c r="M766" s="1245" t="s">
        <v>322</v>
      </c>
      <c r="N766" s="604" t="s">
        <v>227</v>
      </c>
      <c r="O766" s="463"/>
      <c r="P766" s="434"/>
      <c r="Q766" s="434"/>
      <c r="R766" s="400">
        <v>0</v>
      </c>
      <c r="S766" s="464">
        <v>0</v>
      </c>
      <c r="U766" s="1248">
        <f t="shared" si="10"/>
        <v>0</v>
      </c>
      <c r="V766" s="1304">
        <f t="shared" si="11"/>
        <v>1</v>
      </c>
    </row>
    <row r="767" spans="1:22" ht="16.5" thickTop="1" thickBot="1">
      <c r="A767" s="1244"/>
      <c r="B767" s="1249" t="s">
        <v>3518</v>
      </c>
      <c r="C767" s="1329" t="s">
        <v>803</v>
      </c>
      <c r="D767" s="1326" t="s">
        <v>227</v>
      </c>
      <c r="E767" s="1249" t="s">
        <v>2790</v>
      </c>
      <c r="F767" s="455" t="s">
        <v>2791</v>
      </c>
      <c r="G767" s="456" t="s">
        <v>156</v>
      </c>
      <c r="H767" s="889">
        <v>3</v>
      </c>
      <c r="I767" s="891">
        <v>425.34899999999999</v>
      </c>
      <c r="J767" s="601">
        <v>373.62099999999998</v>
      </c>
      <c r="K767" s="602">
        <v>0.56000000000000005</v>
      </c>
      <c r="L767" s="981">
        <v>4</v>
      </c>
      <c r="M767" s="1249" t="s">
        <v>323</v>
      </c>
      <c r="N767" s="604" t="s">
        <v>227</v>
      </c>
      <c r="O767" s="465">
        <v>1</v>
      </c>
      <c r="P767" s="435">
        <v>72.228999999999999</v>
      </c>
      <c r="Q767" s="435">
        <v>3</v>
      </c>
      <c r="R767" s="401">
        <v>1</v>
      </c>
      <c r="S767" s="466">
        <v>0.25</v>
      </c>
      <c r="U767" s="1248">
        <f t="shared" si="10"/>
        <v>0</v>
      </c>
      <c r="V767" s="1304">
        <f t="shared" si="11"/>
        <v>1</v>
      </c>
    </row>
    <row r="768" spans="1:22" ht="16.5" thickTop="1" thickBot="1">
      <c r="A768" s="1244"/>
      <c r="B768" s="1245" t="s">
        <v>3518</v>
      </c>
      <c r="C768" s="1328" t="s">
        <v>803</v>
      </c>
      <c r="D768" s="1327" t="s">
        <v>227</v>
      </c>
      <c r="E768" s="1245" t="s">
        <v>3815</v>
      </c>
      <c r="F768" s="457" t="s">
        <v>3816</v>
      </c>
      <c r="G768" s="458" t="s">
        <v>155</v>
      </c>
      <c r="H768" s="888"/>
      <c r="I768" s="890"/>
      <c r="J768" s="899">
        <v>148.38800000000001</v>
      </c>
      <c r="K768" s="603">
        <v>0.75</v>
      </c>
      <c r="L768" s="980">
        <v>5</v>
      </c>
      <c r="M768" s="1245" t="s">
        <v>366</v>
      </c>
      <c r="N768" s="604" t="s">
        <v>227</v>
      </c>
      <c r="O768" s="463">
        <v>2</v>
      </c>
      <c r="P768" s="434">
        <v>148.38800000000001</v>
      </c>
      <c r="Q768" s="434">
        <v>8</v>
      </c>
      <c r="R768" s="400">
        <v>3</v>
      </c>
      <c r="S768" s="464">
        <v>0.75</v>
      </c>
      <c r="U768" s="1248">
        <f t="shared" si="10"/>
        <v>1</v>
      </c>
      <c r="V768" s="1304">
        <f t="shared" si="11"/>
        <v>0</v>
      </c>
    </row>
    <row r="769" spans="1:22" ht="16.5" thickTop="1" thickBot="1">
      <c r="A769" s="1244"/>
      <c r="B769" s="1249" t="s">
        <v>3168</v>
      </c>
      <c r="C769" s="1329" t="s">
        <v>227</v>
      </c>
      <c r="D769" s="1326" t="s">
        <v>227</v>
      </c>
      <c r="E769" s="1249" t="s">
        <v>3299</v>
      </c>
      <c r="F769" s="455" t="s">
        <v>3300</v>
      </c>
      <c r="G769" s="456" t="s">
        <v>156</v>
      </c>
      <c r="H769" s="889">
        <v>1</v>
      </c>
      <c r="I769" s="891"/>
      <c r="J769" s="601">
        <v>16.626999999999999</v>
      </c>
      <c r="K769" s="602">
        <v>0.25</v>
      </c>
      <c r="L769" s="981">
        <v>4</v>
      </c>
      <c r="M769" s="1249" t="s">
        <v>321</v>
      </c>
      <c r="N769" s="604" t="s">
        <v>227</v>
      </c>
      <c r="O769" s="465">
        <v>2</v>
      </c>
      <c r="P769" s="435">
        <v>16.626999999999999</v>
      </c>
      <c r="Q769" s="435">
        <v>1</v>
      </c>
      <c r="R769" s="401">
        <v>1</v>
      </c>
      <c r="S769" s="466">
        <v>0.33333333333333331</v>
      </c>
      <c r="U769" s="1248">
        <f t="shared" si="10"/>
        <v>0</v>
      </c>
      <c r="V769" s="1304">
        <f t="shared" si="11"/>
        <v>1</v>
      </c>
    </row>
    <row r="770" spans="1:22" ht="16.5" thickTop="1" thickBot="1">
      <c r="A770" s="1244"/>
      <c r="B770" s="1245" t="s">
        <v>3168</v>
      </c>
      <c r="C770" s="1328" t="s">
        <v>227</v>
      </c>
      <c r="D770" s="1327" t="s">
        <v>227</v>
      </c>
      <c r="E770" s="1245" t="s">
        <v>3817</v>
      </c>
      <c r="F770" s="457" t="s">
        <v>1060</v>
      </c>
      <c r="G770" s="458" t="s">
        <v>156</v>
      </c>
      <c r="H770" s="888">
        <v>0</v>
      </c>
      <c r="I770" s="890"/>
      <c r="J770" s="899">
        <v>11.805999999999999</v>
      </c>
      <c r="K770" s="603">
        <v>0.4</v>
      </c>
      <c r="L770" s="980">
        <v>5</v>
      </c>
      <c r="M770" s="1245" t="s">
        <v>227</v>
      </c>
      <c r="N770" s="604" t="s">
        <v>227</v>
      </c>
      <c r="O770" s="463">
        <v>5</v>
      </c>
      <c r="P770" s="434">
        <v>11.805999999999999</v>
      </c>
      <c r="Q770" s="434">
        <v>1</v>
      </c>
      <c r="R770" s="400">
        <v>1</v>
      </c>
      <c r="S770" s="464">
        <v>0.4</v>
      </c>
      <c r="U770" s="1248">
        <f t="shared" si="10"/>
        <v>0</v>
      </c>
      <c r="V770" s="1304">
        <f t="shared" si="11"/>
        <v>1</v>
      </c>
    </row>
    <row r="771" spans="1:22" ht="16.5" thickTop="1" thickBot="1">
      <c r="A771" s="1244"/>
      <c r="B771" s="1249" t="s">
        <v>3168</v>
      </c>
      <c r="C771" s="1329" t="s">
        <v>3598</v>
      </c>
      <c r="D771" s="1326" t="s">
        <v>227</v>
      </c>
      <c r="E771" s="1249" t="s">
        <v>3298</v>
      </c>
      <c r="F771" s="455" t="s">
        <v>328</v>
      </c>
      <c r="G771" s="456" t="s">
        <v>156</v>
      </c>
      <c r="H771" s="889">
        <v>1</v>
      </c>
      <c r="I771" s="891"/>
      <c r="J771" s="601">
        <v>17.763000000000002</v>
      </c>
      <c r="K771" s="602">
        <v>0.66666666666666663</v>
      </c>
      <c r="L771" s="981">
        <v>4</v>
      </c>
      <c r="M771" s="1249" t="s">
        <v>321</v>
      </c>
      <c r="N771" s="604" t="s">
        <v>227</v>
      </c>
      <c r="O771" s="465">
        <v>3</v>
      </c>
      <c r="P771" s="435">
        <v>17.763000000000002</v>
      </c>
      <c r="Q771" s="435">
        <v>2</v>
      </c>
      <c r="R771" s="401">
        <v>2</v>
      </c>
      <c r="S771" s="466">
        <v>0.8</v>
      </c>
      <c r="U771" s="1248">
        <f t="shared" si="10"/>
        <v>0</v>
      </c>
      <c r="V771" s="1304">
        <f t="shared" si="11"/>
        <v>1</v>
      </c>
    </row>
    <row r="772" spans="1:22" ht="16.5" thickTop="1" thickBot="1">
      <c r="A772" s="1244"/>
      <c r="B772" s="1245" t="s">
        <v>3168</v>
      </c>
      <c r="C772" s="1328" t="s">
        <v>3598</v>
      </c>
      <c r="D772" s="1327" t="s">
        <v>227</v>
      </c>
      <c r="E772" s="1245" t="s">
        <v>3598</v>
      </c>
      <c r="F772" s="457" t="s">
        <v>3600</v>
      </c>
      <c r="G772" s="458" t="s">
        <v>158</v>
      </c>
      <c r="H772" s="888">
        <v>1</v>
      </c>
      <c r="I772" s="890">
        <v>10.077999999999999</v>
      </c>
      <c r="J772" s="899">
        <v>10.077999999999999</v>
      </c>
      <c r="K772" s="603">
        <v>1</v>
      </c>
      <c r="L772" s="980">
        <v>2</v>
      </c>
      <c r="M772" s="1245" t="s">
        <v>322</v>
      </c>
      <c r="N772" s="604" t="s">
        <v>227</v>
      </c>
      <c r="O772" s="463">
        <v>2</v>
      </c>
      <c r="P772" s="434">
        <v>10.077999999999999</v>
      </c>
      <c r="Q772" s="434">
        <v>1</v>
      </c>
      <c r="R772" s="400">
        <v>1</v>
      </c>
      <c r="S772" s="464">
        <v>1</v>
      </c>
      <c r="U772" s="1248">
        <f t="shared" si="10"/>
        <v>0</v>
      </c>
      <c r="V772" s="1304">
        <f t="shared" si="11"/>
        <v>1</v>
      </c>
    </row>
    <row r="773" spans="1:22" ht="16.5" thickTop="1" thickBot="1">
      <c r="A773" s="1244"/>
      <c r="B773" s="1249" t="s">
        <v>3168</v>
      </c>
      <c r="C773" s="1329" t="s">
        <v>3598</v>
      </c>
      <c r="D773" s="1326" t="s">
        <v>227</v>
      </c>
      <c r="E773" s="1249" t="s">
        <v>3818</v>
      </c>
      <c r="F773" s="455" t="s">
        <v>3819</v>
      </c>
      <c r="G773" s="456" t="s">
        <v>156</v>
      </c>
      <c r="H773" s="889">
        <v>1</v>
      </c>
      <c r="I773" s="891"/>
      <c r="J773" s="601">
        <v>10.101000000000001</v>
      </c>
      <c r="K773" s="602">
        <v>0.4</v>
      </c>
      <c r="L773" s="981">
        <v>4</v>
      </c>
      <c r="M773" s="1249" t="s">
        <v>322</v>
      </c>
      <c r="N773" s="604" t="s">
        <v>227</v>
      </c>
      <c r="O773" s="465">
        <v>3</v>
      </c>
      <c r="P773" s="435">
        <v>10.101000000000001</v>
      </c>
      <c r="Q773" s="435">
        <v>1</v>
      </c>
      <c r="R773" s="401">
        <v>1</v>
      </c>
      <c r="S773" s="466">
        <v>0.4</v>
      </c>
      <c r="U773" s="1248">
        <f t="shared" si="10"/>
        <v>0</v>
      </c>
      <c r="V773" s="1304">
        <f t="shared" si="11"/>
        <v>1</v>
      </c>
    </row>
    <row r="774" spans="1:22" ht="16.5" thickTop="1" thickBot="1">
      <c r="A774" s="1244"/>
      <c r="B774" s="1245" t="s">
        <v>3168</v>
      </c>
      <c r="C774" s="1328" t="s">
        <v>3601</v>
      </c>
      <c r="D774" s="1327" t="s">
        <v>227</v>
      </c>
      <c r="E774" s="1245" t="s">
        <v>3659</v>
      </c>
      <c r="F774" s="457" t="s">
        <v>3661</v>
      </c>
      <c r="G774" s="458" t="s">
        <v>157</v>
      </c>
      <c r="H774" s="888">
        <v>1</v>
      </c>
      <c r="I774" s="890"/>
      <c r="J774" s="899">
        <v>40.860999999999997</v>
      </c>
      <c r="K774" s="603">
        <v>0</v>
      </c>
      <c r="L774" s="980">
        <v>2</v>
      </c>
      <c r="M774" s="1245" t="s">
        <v>323</v>
      </c>
      <c r="N774" s="604" t="s">
        <v>227</v>
      </c>
      <c r="O774" s="463">
        <v>2</v>
      </c>
      <c r="P774" s="434">
        <v>40.860999999999997</v>
      </c>
      <c r="Q774" s="434">
        <v>3</v>
      </c>
      <c r="R774" s="400">
        <v>0</v>
      </c>
      <c r="S774" s="464">
        <v>0</v>
      </c>
      <c r="U774" s="1248">
        <f t="shared" si="10"/>
        <v>0</v>
      </c>
      <c r="V774" s="1304">
        <f t="shared" si="11"/>
        <v>1</v>
      </c>
    </row>
    <row r="775" spans="1:22" ht="16.5" thickTop="1" thickBot="1">
      <c r="A775" s="1244"/>
      <c r="B775" s="1249" t="s">
        <v>3168</v>
      </c>
      <c r="C775" s="1329" t="s">
        <v>3601</v>
      </c>
      <c r="D775" s="1326" t="s">
        <v>227</v>
      </c>
      <c r="E775" s="1249" t="s">
        <v>3820</v>
      </c>
      <c r="F775" s="455" t="s">
        <v>3821</v>
      </c>
      <c r="G775" s="456" t="s">
        <v>156</v>
      </c>
      <c r="H775" s="889">
        <v>0</v>
      </c>
      <c r="I775" s="891"/>
      <c r="J775" s="601">
        <v>10.163</v>
      </c>
      <c r="K775" s="602">
        <v>0.66666666666666663</v>
      </c>
      <c r="L775" s="981">
        <v>3</v>
      </c>
      <c r="M775" s="1249" t="s">
        <v>227</v>
      </c>
      <c r="N775" s="604" t="s">
        <v>227</v>
      </c>
      <c r="O775" s="465">
        <v>3</v>
      </c>
      <c r="P775" s="435">
        <v>10.163</v>
      </c>
      <c r="Q775" s="435">
        <v>1</v>
      </c>
      <c r="R775" s="401">
        <v>1</v>
      </c>
      <c r="S775" s="466">
        <v>0.66666666666666663</v>
      </c>
      <c r="U775" s="1248">
        <f t="shared" si="10"/>
        <v>0</v>
      </c>
      <c r="V775" s="1304">
        <f t="shared" si="11"/>
        <v>1</v>
      </c>
    </row>
    <row r="776" spans="1:22" ht="16.5" thickTop="1" thickBot="1">
      <c r="A776" s="1244"/>
      <c r="B776" s="1245" t="s">
        <v>3168</v>
      </c>
      <c r="C776" s="1328" t="s">
        <v>3601</v>
      </c>
      <c r="D776" s="1327" t="s">
        <v>227</v>
      </c>
      <c r="E776" s="1245" t="s">
        <v>3822</v>
      </c>
      <c r="F776" s="457" t="s">
        <v>3823</v>
      </c>
      <c r="G776" s="458" t="s">
        <v>156</v>
      </c>
      <c r="H776" s="888">
        <v>0</v>
      </c>
      <c r="I776" s="890"/>
      <c r="J776" s="899"/>
      <c r="K776" s="603">
        <v>0.5</v>
      </c>
      <c r="L776" s="980">
        <v>8</v>
      </c>
      <c r="M776" s="1245" t="s">
        <v>227</v>
      </c>
      <c r="N776" s="604" t="s">
        <v>227</v>
      </c>
      <c r="O776" s="463">
        <v>8</v>
      </c>
      <c r="P776" s="434"/>
      <c r="Q776" s="434"/>
      <c r="R776" s="400">
        <v>2</v>
      </c>
      <c r="S776" s="464">
        <v>0.5</v>
      </c>
      <c r="U776" s="1248">
        <f t="shared" si="10"/>
        <v>0</v>
      </c>
      <c r="V776" s="1304">
        <f t="shared" si="11"/>
        <v>1</v>
      </c>
    </row>
    <row r="777" spans="1:22" ht="16.5" thickTop="1" thickBot="1">
      <c r="A777" s="1244"/>
      <c r="B777" s="1249" t="s">
        <v>3168</v>
      </c>
      <c r="C777" s="1329" t="s">
        <v>3601</v>
      </c>
      <c r="D777" s="1326" t="s">
        <v>227</v>
      </c>
      <c r="E777" s="1249" t="s">
        <v>3601</v>
      </c>
      <c r="F777" s="455" t="s">
        <v>3603</v>
      </c>
      <c r="G777" s="456" t="s">
        <v>158</v>
      </c>
      <c r="H777" s="889"/>
      <c r="I777" s="891">
        <v>10.048999999999999</v>
      </c>
      <c r="J777" s="601">
        <v>10.048999999999999</v>
      </c>
      <c r="K777" s="602">
        <v>1</v>
      </c>
      <c r="L777" s="981">
        <v>2</v>
      </c>
      <c r="M777" s="1249" t="s">
        <v>366</v>
      </c>
      <c r="N777" s="604" t="s">
        <v>227</v>
      </c>
      <c r="O777" s="465">
        <v>2</v>
      </c>
      <c r="P777" s="435">
        <v>10.048999999999999</v>
      </c>
      <c r="Q777" s="435">
        <v>1</v>
      </c>
      <c r="R777" s="401">
        <v>1</v>
      </c>
      <c r="S777" s="466">
        <v>1</v>
      </c>
      <c r="U777" s="1248">
        <f t="shared" si="10"/>
        <v>1</v>
      </c>
      <c r="V777" s="1304">
        <f t="shared" si="11"/>
        <v>1</v>
      </c>
    </row>
    <row r="778" spans="1:22" ht="16.5" thickTop="1" thickBot="1">
      <c r="A778" s="1244"/>
      <c r="B778" s="1245" t="s">
        <v>3520</v>
      </c>
      <c r="C778" s="1328" t="s">
        <v>668</v>
      </c>
      <c r="D778" s="1327" t="s">
        <v>227</v>
      </c>
      <c r="E778" s="1245" t="s">
        <v>682</v>
      </c>
      <c r="F778" s="457" t="s">
        <v>683</v>
      </c>
      <c r="G778" s="458" t="s">
        <v>156</v>
      </c>
      <c r="H778" s="888">
        <v>26</v>
      </c>
      <c r="I778" s="890">
        <v>332.78800000000001</v>
      </c>
      <c r="J778" s="899">
        <v>765.25300000000004</v>
      </c>
      <c r="K778" s="603">
        <v>0.34710743801652894</v>
      </c>
      <c r="L778" s="980">
        <v>10</v>
      </c>
      <c r="M778" s="1245" t="s">
        <v>323</v>
      </c>
      <c r="N778" s="604" t="s">
        <v>227</v>
      </c>
      <c r="O778" s="463"/>
      <c r="P778" s="434">
        <v>127.869</v>
      </c>
      <c r="Q778" s="434">
        <v>10</v>
      </c>
      <c r="R778" s="400">
        <v>5</v>
      </c>
      <c r="S778" s="464">
        <v>0.5</v>
      </c>
      <c r="U778" s="1248">
        <f t="shared" si="10"/>
        <v>0</v>
      </c>
      <c r="V778" s="1304">
        <f t="shared" si="11"/>
        <v>1</v>
      </c>
    </row>
    <row r="779" spans="1:22" ht="16.5" thickTop="1" thickBot="1">
      <c r="A779" s="1244"/>
      <c r="B779" s="1249" t="s">
        <v>3520</v>
      </c>
      <c r="C779" s="1329" t="s">
        <v>668</v>
      </c>
      <c r="D779" s="1326" t="s">
        <v>227</v>
      </c>
      <c r="E779" s="1249" t="s">
        <v>668</v>
      </c>
      <c r="F779" s="455" t="s">
        <v>673</v>
      </c>
      <c r="G779" s="456" t="s">
        <v>739</v>
      </c>
      <c r="H779" s="889">
        <v>26</v>
      </c>
      <c r="I779" s="891">
        <v>10.946</v>
      </c>
      <c r="J779" s="601">
        <v>30.225000000000001</v>
      </c>
      <c r="K779" s="602">
        <v>6.0606060606060608E-2</v>
      </c>
      <c r="L779" s="981">
        <v>5</v>
      </c>
      <c r="M779" s="1249" t="s">
        <v>366</v>
      </c>
      <c r="N779" s="604" t="s">
        <v>227</v>
      </c>
      <c r="O779" s="465">
        <v>1</v>
      </c>
      <c r="P779" s="435">
        <v>10.946</v>
      </c>
      <c r="Q779" s="435">
        <v>1</v>
      </c>
      <c r="R779" s="401">
        <v>1</v>
      </c>
      <c r="S779" s="466">
        <v>0.2</v>
      </c>
      <c r="U779" s="1248">
        <f t="shared" si="10"/>
        <v>1</v>
      </c>
      <c r="V779" s="1304">
        <f t="shared" si="11"/>
        <v>1</v>
      </c>
    </row>
    <row r="780" spans="1:22" ht="16.5" thickTop="1" thickBot="1">
      <c r="A780" s="1244"/>
      <c r="B780" s="1245" t="s">
        <v>3520</v>
      </c>
      <c r="C780" s="1328" t="s">
        <v>668</v>
      </c>
      <c r="D780" s="1327" t="s">
        <v>227</v>
      </c>
      <c r="E780" s="1245" t="s">
        <v>839</v>
      </c>
      <c r="F780" s="457" t="s">
        <v>840</v>
      </c>
      <c r="G780" s="458" t="s">
        <v>157</v>
      </c>
      <c r="H780" s="888">
        <v>23</v>
      </c>
      <c r="I780" s="890">
        <v>756.79</v>
      </c>
      <c r="J780" s="899">
        <v>1835.2750000000001</v>
      </c>
      <c r="K780" s="603">
        <v>0.48837209302325579</v>
      </c>
      <c r="L780" s="980">
        <v>8</v>
      </c>
      <c r="M780" s="1245" t="s">
        <v>323</v>
      </c>
      <c r="N780" s="604" t="s">
        <v>227</v>
      </c>
      <c r="O780" s="463">
        <v>1</v>
      </c>
      <c r="P780" s="434">
        <v>230.89400000000001</v>
      </c>
      <c r="Q780" s="434">
        <v>10</v>
      </c>
      <c r="R780" s="400">
        <v>4</v>
      </c>
      <c r="S780" s="464">
        <v>0.5</v>
      </c>
      <c r="U780" s="1248">
        <f t="shared" si="10"/>
        <v>0</v>
      </c>
      <c r="V780" s="1304">
        <f t="shared" si="11"/>
        <v>1</v>
      </c>
    </row>
    <row r="781" spans="1:22" ht="16.5" thickTop="1" thickBot="1">
      <c r="A781" s="1244"/>
      <c r="B781" s="1249" t="s">
        <v>3520</v>
      </c>
      <c r="C781" s="1329" t="s">
        <v>668</v>
      </c>
      <c r="D781" s="1326" t="s">
        <v>227</v>
      </c>
      <c r="E781" s="1249" t="s">
        <v>841</v>
      </c>
      <c r="F781" s="455" t="s">
        <v>842</v>
      </c>
      <c r="G781" s="456" t="s">
        <v>156</v>
      </c>
      <c r="H781" s="889">
        <v>23</v>
      </c>
      <c r="I781" s="891">
        <v>135.69800000000001</v>
      </c>
      <c r="J781" s="601">
        <v>644.62300000000005</v>
      </c>
      <c r="K781" s="602">
        <v>0.32369942196531792</v>
      </c>
      <c r="L781" s="981">
        <v>9</v>
      </c>
      <c r="M781" s="1249" t="s">
        <v>323</v>
      </c>
      <c r="N781" s="604" t="s">
        <v>227</v>
      </c>
      <c r="O781" s="465">
        <v>2</v>
      </c>
      <c r="P781" s="435">
        <v>101.738</v>
      </c>
      <c r="Q781" s="435">
        <v>8</v>
      </c>
      <c r="R781" s="401">
        <v>4</v>
      </c>
      <c r="S781" s="466">
        <v>0.44444444444444442</v>
      </c>
      <c r="U781" s="1248">
        <f t="shared" si="10"/>
        <v>0</v>
      </c>
      <c r="V781" s="1304">
        <f t="shared" si="11"/>
        <v>1</v>
      </c>
    </row>
    <row r="782" spans="1:22" ht="16.5" thickTop="1" thickBot="1">
      <c r="A782" s="1244"/>
      <c r="B782" s="1245" t="s">
        <v>3520</v>
      </c>
      <c r="C782" s="1328" t="s">
        <v>668</v>
      </c>
      <c r="D782" s="1327" t="s">
        <v>227</v>
      </c>
      <c r="E782" s="1245" t="s">
        <v>1058</v>
      </c>
      <c r="F782" s="457" t="s">
        <v>1059</v>
      </c>
      <c r="G782" s="458" t="s">
        <v>156</v>
      </c>
      <c r="H782" s="888">
        <v>19</v>
      </c>
      <c r="I782" s="890">
        <v>951.90899999999999</v>
      </c>
      <c r="J782" s="899">
        <v>1437.8789999999999</v>
      </c>
      <c r="K782" s="603">
        <v>0.32835820895522388</v>
      </c>
      <c r="L782" s="980">
        <v>5</v>
      </c>
      <c r="M782" s="1245" t="s">
        <v>323</v>
      </c>
      <c r="N782" s="604" t="s">
        <v>227</v>
      </c>
      <c r="O782" s="463">
        <v>2</v>
      </c>
      <c r="P782" s="434">
        <v>254.57</v>
      </c>
      <c r="Q782" s="434">
        <v>10</v>
      </c>
      <c r="R782" s="400">
        <v>3</v>
      </c>
      <c r="S782" s="464">
        <v>0.54545454545454541</v>
      </c>
      <c r="U782" s="1248">
        <f t="shared" si="10"/>
        <v>0</v>
      </c>
      <c r="V782" s="1304">
        <f t="shared" si="11"/>
        <v>1</v>
      </c>
    </row>
    <row r="783" spans="1:22" ht="16.5" thickTop="1" thickBot="1">
      <c r="A783" s="1244"/>
      <c r="B783" s="1249" t="s">
        <v>3520</v>
      </c>
      <c r="C783" s="1329" t="s">
        <v>668</v>
      </c>
      <c r="D783" s="1326" t="s">
        <v>227</v>
      </c>
      <c r="E783" s="1249" t="s">
        <v>1222</v>
      </c>
      <c r="F783" s="455" t="s">
        <v>1223</v>
      </c>
      <c r="G783" s="456" t="s">
        <v>157</v>
      </c>
      <c r="H783" s="889">
        <v>18</v>
      </c>
      <c r="I783" s="891">
        <v>106.827</v>
      </c>
      <c r="J783" s="601">
        <v>229.65799999999999</v>
      </c>
      <c r="K783" s="602">
        <v>0.23529411764705882</v>
      </c>
      <c r="L783" s="981">
        <v>5</v>
      </c>
      <c r="M783" s="1249" t="s">
        <v>322</v>
      </c>
      <c r="N783" s="604" t="s">
        <v>227</v>
      </c>
      <c r="O783" s="465"/>
      <c r="P783" s="435">
        <v>22.253</v>
      </c>
      <c r="Q783" s="435">
        <v>2</v>
      </c>
      <c r="R783" s="401">
        <v>2</v>
      </c>
      <c r="S783" s="466">
        <v>0.33333333333333331</v>
      </c>
      <c r="U783" s="1248">
        <f t="shared" si="10"/>
        <v>0</v>
      </c>
      <c r="V783" s="1304">
        <f t="shared" si="11"/>
        <v>1</v>
      </c>
    </row>
    <row r="784" spans="1:22" ht="16.5" thickTop="1" thickBot="1">
      <c r="A784" s="1244"/>
      <c r="B784" s="1245" t="s">
        <v>3520</v>
      </c>
      <c r="C784" s="1328" t="s">
        <v>668</v>
      </c>
      <c r="D784" s="1327" t="s">
        <v>227</v>
      </c>
      <c r="E784" s="1245" t="s">
        <v>2366</v>
      </c>
      <c r="F784" s="457" t="s">
        <v>2367</v>
      </c>
      <c r="G784" s="458" t="s">
        <v>156</v>
      </c>
      <c r="H784" s="888">
        <v>8</v>
      </c>
      <c r="I784" s="890">
        <v>234.66</v>
      </c>
      <c r="J784" s="899">
        <v>371.79599999999999</v>
      </c>
      <c r="K784" s="603">
        <v>0.33684210526315789</v>
      </c>
      <c r="L784" s="980">
        <v>8</v>
      </c>
      <c r="M784" s="1245" t="s">
        <v>323</v>
      </c>
      <c r="N784" s="604" t="s">
        <v>227</v>
      </c>
      <c r="O784" s="463">
        <v>2</v>
      </c>
      <c r="P784" s="434">
        <v>170.87100000000001</v>
      </c>
      <c r="Q784" s="434">
        <v>10</v>
      </c>
      <c r="R784" s="400">
        <v>5</v>
      </c>
      <c r="S784" s="464">
        <v>0.625</v>
      </c>
      <c r="U784" s="1248">
        <f t="shared" si="10"/>
        <v>0</v>
      </c>
      <c r="V784" s="1304">
        <f t="shared" si="11"/>
        <v>1</v>
      </c>
    </row>
    <row r="785" spans="1:22" ht="16.5" thickTop="1" thickBot="1">
      <c r="A785" s="1244"/>
      <c r="B785" s="1249" t="s">
        <v>3520</v>
      </c>
      <c r="C785" s="1329" t="s">
        <v>668</v>
      </c>
      <c r="D785" s="1326" t="s">
        <v>227</v>
      </c>
      <c r="E785" s="1249" t="s">
        <v>2492</v>
      </c>
      <c r="F785" s="455" t="s">
        <v>2493</v>
      </c>
      <c r="G785" s="456" t="s">
        <v>156</v>
      </c>
      <c r="H785" s="889">
        <v>6</v>
      </c>
      <c r="I785" s="891">
        <v>27.795000000000002</v>
      </c>
      <c r="J785" s="601">
        <v>273.61900000000003</v>
      </c>
      <c r="K785" s="602">
        <v>0.51428571428571423</v>
      </c>
      <c r="L785" s="981">
        <v>8</v>
      </c>
      <c r="M785" s="1249" t="s">
        <v>323</v>
      </c>
      <c r="N785" s="604" t="s">
        <v>227</v>
      </c>
      <c r="O785" s="465">
        <v>1</v>
      </c>
      <c r="P785" s="435">
        <v>48.906999999999996</v>
      </c>
      <c r="Q785" s="435">
        <v>4</v>
      </c>
      <c r="R785" s="401">
        <v>4</v>
      </c>
      <c r="S785" s="466">
        <v>0.53333333333333333</v>
      </c>
      <c r="U785" s="1248">
        <f t="shared" si="10"/>
        <v>0</v>
      </c>
      <c r="V785" s="1304">
        <f t="shared" si="11"/>
        <v>1</v>
      </c>
    </row>
    <row r="786" spans="1:22" ht="16.5" thickTop="1" thickBot="1">
      <c r="A786" s="1244"/>
      <c r="B786" s="1245" t="s">
        <v>3520</v>
      </c>
      <c r="C786" s="1328" t="s">
        <v>668</v>
      </c>
      <c r="D786" s="1327" t="s">
        <v>227</v>
      </c>
      <c r="E786" s="1245" t="s">
        <v>2739</v>
      </c>
      <c r="F786" s="457" t="s">
        <v>2741</v>
      </c>
      <c r="G786" s="458" t="s">
        <v>157</v>
      </c>
      <c r="H786" s="888">
        <v>3</v>
      </c>
      <c r="I786" s="890">
        <v>14.99</v>
      </c>
      <c r="J786" s="899">
        <v>14.99</v>
      </c>
      <c r="K786" s="603">
        <v>0.2857142857142857</v>
      </c>
      <c r="L786" s="980">
        <v>1</v>
      </c>
      <c r="M786" s="1245" t="s">
        <v>366</v>
      </c>
      <c r="N786" s="604" t="s">
        <v>227</v>
      </c>
      <c r="O786" s="463"/>
      <c r="P786" s="434"/>
      <c r="Q786" s="434"/>
      <c r="R786" s="400">
        <v>0</v>
      </c>
      <c r="S786" s="464">
        <v>0</v>
      </c>
      <c r="U786" s="1248">
        <f t="shared" si="10"/>
        <v>1</v>
      </c>
      <c r="V786" s="1304">
        <f t="shared" si="11"/>
        <v>1</v>
      </c>
    </row>
    <row r="787" spans="1:22" ht="16.5" thickTop="1" thickBot="1">
      <c r="A787" s="1244"/>
      <c r="B787" s="1249" t="s">
        <v>3520</v>
      </c>
      <c r="C787" s="1329" t="s">
        <v>668</v>
      </c>
      <c r="D787" s="1326" t="s">
        <v>227</v>
      </c>
      <c r="E787" s="1249" t="s">
        <v>3004</v>
      </c>
      <c r="F787" s="455" t="s">
        <v>3005</v>
      </c>
      <c r="G787" s="456" t="s">
        <v>155</v>
      </c>
      <c r="H787" s="889"/>
      <c r="I787" s="891"/>
      <c r="J787" s="601">
        <v>31.835999999999999</v>
      </c>
      <c r="K787" s="602">
        <v>0.35294117647058826</v>
      </c>
      <c r="L787" s="981">
        <v>3</v>
      </c>
      <c r="M787" s="1249" t="s">
        <v>366</v>
      </c>
      <c r="N787" s="604" t="s">
        <v>227</v>
      </c>
      <c r="O787" s="465"/>
      <c r="P787" s="435"/>
      <c r="Q787" s="435"/>
      <c r="R787" s="401">
        <v>0</v>
      </c>
      <c r="S787" s="466">
        <v>0</v>
      </c>
      <c r="U787" s="1248">
        <f t="shared" si="10"/>
        <v>1</v>
      </c>
      <c r="V787" s="1304">
        <f t="shared" si="11"/>
        <v>0</v>
      </c>
    </row>
    <row r="788" spans="1:22" ht="16.5" thickTop="1" thickBot="1">
      <c r="A788" s="1244"/>
      <c r="B788" s="1245" t="s">
        <v>3520</v>
      </c>
      <c r="C788" s="1328" t="s">
        <v>1174</v>
      </c>
      <c r="D788" s="1327" t="s">
        <v>227</v>
      </c>
      <c r="E788" s="1245" t="s">
        <v>1174</v>
      </c>
      <c r="F788" s="457" t="s">
        <v>1176</v>
      </c>
      <c r="G788" s="458" t="s">
        <v>739</v>
      </c>
      <c r="H788" s="888">
        <v>17</v>
      </c>
      <c r="I788" s="890">
        <v>159.10300000000001</v>
      </c>
      <c r="J788" s="899">
        <v>1088.683</v>
      </c>
      <c r="K788" s="603">
        <v>0.37142857142857144</v>
      </c>
      <c r="L788" s="980">
        <v>7</v>
      </c>
      <c r="M788" s="1245" t="s">
        <v>323</v>
      </c>
      <c r="N788" s="604" t="s">
        <v>227</v>
      </c>
      <c r="O788" s="463">
        <v>1</v>
      </c>
      <c r="P788" s="434">
        <v>71.045000000000002</v>
      </c>
      <c r="Q788" s="434">
        <v>6</v>
      </c>
      <c r="R788" s="400">
        <v>3</v>
      </c>
      <c r="S788" s="464">
        <v>0.4</v>
      </c>
      <c r="U788" s="1248">
        <f t="shared" si="10"/>
        <v>0</v>
      </c>
      <c r="V788" s="1304">
        <f t="shared" si="11"/>
        <v>1</v>
      </c>
    </row>
    <row r="789" spans="1:22" ht="16.5" thickTop="1" thickBot="1">
      <c r="A789" s="1244"/>
      <c r="B789" s="1249" t="s">
        <v>3520</v>
      </c>
      <c r="C789" s="1329" t="s">
        <v>1174</v>
      </c>
      <c r="D789" s="1326" t="s">
        <v>227</v>
      </c>
      <c r="E789" s="1249" t="s">
        <v>1395</v>
      </c>
      <c r="F789" s="455" t="s">
        <v>1028</v>
      </c>
      <c r="G789" s="456" t="s">
        <v>156</v>
      </c>
      <c r="H789" s="889">
        <v>15</v>
      </c>
      <c r="I789" s="891">
        <v>116.923</v>
      </c>
      <c r="J789" s="601">
        <v>231.90799999999999</v>
      </c>
      <c r="K789" s="602">
        <v>0.38297872340425532</v>
      </c>
      <c r="L789" s="981">
        <v>2</v>
      </c>
      <c r="M789" s="1249" t="s">
        <v>322</v>
      </c>
      <c r="N789" s="604" t="s">
        <v>227</v>
      </c>
      <c r="O789" s="465"/>
      <c r="P789" s="435">
        <v>44.997999999999998</v>
      </c>
      <c r="Q789" s="435">
        <v>3</v>
      </c>
      <c r="R789" s="401">
        <v>1</v>
      </c>
      <c r="S789" s="466">
        <v>0.5</v>
      </c>
      <c r="U789" s="1248">
        <f t="shared" si="10"/>
        <v>0</v>
      </c>
      <c r="V789" s="1304">
        <f t="shared" si="11"/>
        <v>1</v>
      </c>
    </row>
    <row r="790" spans="1:22" ht="16.5" thickTop="1" thickBot="1">
      <c r="A790" s="1244"/>
      <c r="B790" s="1245" t="s">
        <v>3520</v>
      </c>
      <c r="C790" s="1328" t="s">
        <v>1174</v>
      </c>
      <c r="D790" s="1327" t="s">
        <v>227</v>
      </c>
      <c r="E790" s="1245" t="s">
        <v>1619</v>
      </c>
      <c r="F790" s="457" t="s">
        <v>1620</v>
      </c>
      <c r="G790" s="458" t="s">
        <v>156</v>
      </c>
      <c r="H790" s="888">
        <v>13</v>
      </c>
      <c r="I790" s="890">
        <v>35.875</v>
      </c>
      <c r="J790" s="899">
        <v>156.46600000000001</v>
      </c>
      <c r="K790" s="603">
        <v>0.28169014084507044</v>
      </c>
      <c r="L790" s="980">
        <v>2</v>
      </c>
      <c r="M790" s="1245" t="s">
        <v>366</v>
      </c>
      <c r="N790" s="604" t="s">
        <v>227</v>
      </c>
      <c r="O790" s="463"/>
      <c r="P790" s="434">
        <v>7.0640000000000001</v>
      </c>
      <c r="Q790" s="434">
        <v>1</v>
      </c>
      <c r="R790" s="400">
        <v>1</v>
      </c>
      <c r="S790" s="464">
        <v>0.33333333333333331</v>
      </c>
      <c r="U790" s="1248">
        <f t="shared" si="10"/>
        <v>1</v>
      </c>
      <c r="V790" s="1304">
        <f t="shared" si="11"/>
        <v>1</v>
      </c>
    </row>
    <row r="791" spans="1:22" ht="16.5" thickTop="1" thickBot="1">
      <c r="A791" s="1244"/>
      <c r="B791" s="1249" t="s">
        <v>3520</v>
      </c>
      <c r="C791" s="1329" t="s">
        <v>1174</v>
      </c>
      <c r="D791" s="1326" t="s">
        <v>227</v>
      </c>
      <c r="E791" s="1249" t="s">
        <v>2368</v>
      </c>
      <c r="F791" s="455" t="s">
        <v>2369</v>
      </c>
      <c r="G791" s="456" t="s">
        <v>156</v>
      </c>
      <c r="H791" s="889">
        <v>8</v>
      </c>
      <c r="I791" s="891">
        <v>10.75</v>
      </c>
      <c r="J791" s="601">
        <v>215.14099999999999</v>
      </c>
      <c r="K791" s="602">
        <v>0.37142857142857144</v>
      </c>
      <c r="L791" s="981">
        <v>8</v>
      </c>
      <c r="M791" s="1249" t="s">
        <v>321</v>
      </c>
      <c r="N791" s="604" t="s">
        <v>227</v>
      </c>
      <c r="O791" s="465">
        <v>1</v>
      </c>
      <c r="P791" s="435">
        <v>89.703999999999994</v>
      </c>
      <c r="Q791" s="435">
        <v>6</v>
      </c>
      <c r="R791" s="401">
        <v>4</v>
      </c>
      <c r="S791" s="466">
        <v>0.5</v>
      </c>
      <c r="U791" s="1248">
        <f t="shared" si="10"/>
        <v>0</v>
      </c>
      <c r="V791" s="1304">
        <f t="shared" si="11"/>
        <v>1</v>
      </c>
    </row>
    <row r="792" spans="1:22" ht="16.5" thickTop="1" thickBot="1">
      <c r="A792" s="1244"/>
      <c r="B792" s="1245" t="s">
        <v>3520</v>
      </c>
      <c r="C792" s="1328" t="s">
        <v>1174</v>
      </c>
      <c r="D792" s="1327" t="s">
        <v>227</v>
      </c>
      <c r="E792" s="1245" t="s">
        <v>2370</v>
      </c>
      <c r="F792" s="457" t="s">
        <v>2371</v>
      </c>
      <c r="G792" s="458" t="s">
        <v>156</v>
      </c>
      <c r="H792" s="888">
        <v>7</v>
      </c>
      <c r="I792" s="890">
        <v>30.265999999999998</v>
      </c>
      <c r="J792" s="899">
        <v>138.65799999999999</v>
      </c>
      <c r="K792" s="603">
        <v>0.34482758620689657</v>
      </c>
      <c r="L792" s="980">
        <v>6</v>
      </c>
      <c r="M792" s="1245" t="s">
        <v>321</v>
      </c>
      <c r="N792" s="604" t="s">
        <v>227</v>
      </c>
      <c r="O792" s="463">
        <v>1</v>
      </c>
      <c r="P792" s="434">
        <v>71.123999999999995</v>
      </c>
      <c r="Q792" s="434">
        <v>7</v>
      </c>
      <c r="R792" s="400">
        <v>3</v>
      </c>
      <c r="S792" s="464">
        <v>0.54545454545454541</v>
      </c>
      <c r="U792" s="1248">
        <f t="shared" si="10"/>
        <v>0</v>
      </c>
      <c r="V792" s="1304">
        <f t="shared" si="11"/>
        <v>1</v>
      </c>
    </row>
    <row r="793" spans="1:22" ht="16.5" thickTop="1" thickBot="1">
      <c r="A793" s="1244"/>
      <c r="B793" s="1249" t="s">
        <v>3520</v>
      </c>
      <c r="C793" s="1329" t="s">
        <v>1354</v>
      </c>
      <c r="D793" s="1326" t="s">
        <v>227</v>
      </c>
      <c r="E793" s="1249" t="s">
        <v>1354</v>
      </c>
      <c r="F793" s="455" t="s">
        <v>1356</v>
      </c>
      <c r="G793" s="456" t="s">
        <v>158</v>
      </c>
      <c r="H793" s="889">
        <v>15</v>
      </c>
      <c r="I793" s="891"/>
      <c r="J793" s="601">
        <v>229.85300000000001</v>
      </c>
      <c r="K793" s="602">
        <v>0.22695035460992907</v>
      </c>
      <c r="L793" s="981">
        <v>4</v>
      </c>
      <c r="M793" s="1249" t="s">
        <v>322</v>
      </c>
      <c r="N793" s="604" t="s">
        <v>227</v>
      </c>
      <c r="O793" s="465"/>
      <c r="P793" s="435"/>
      <c r="Q793" s="435"/>
      <c r="R793" s="401">
        <v>0</v>
      </c>
      <c r="S793" s="466">
        <v>0</v>
      </c>
      <c r="U793" s="1248">
        <f t="shared" si="10"/>
        <v>0</v>
      </c>
      <c r="V793" s="1304">
        <f t="shared" si="11"/>
        <v>1</v>
      </c>
    </row>
    <row r="794" spans="1:22" ht="16.5" thickTop="1" thickBot="1">
      <c r="A794" s="1244"/>
      <c r="B794" s="1245" t="s">
        <v>3520</v>
      </c>
      <c r="C794" s="1328" t="s">
        <v>1354</v>
      </c>
      <c r="D794" s="1327" t="s">
        <v>227</v>
      </c>
      <c r="E794" s="1245" t="s">
        <v>2146</v>
      </c>
      <c r="F794" s="457" t="s">
        <v>2147</v>
      </c>
      <c r="G794" s="458" t="s">
        <v>156</v>
      </c>
      <c r="H794" s="888">
        <v>9</v>
      </c>
      <c r="I794" s="890">
        <v>321.16500000000002</v>
      </c>
      <c r="J794" s="899">
        <v>517.75900000000001</v>
      </c>
      <c r="K794" s="603">
        <v>0.57446808510638303</v>
      </c>
      <c r="L794" s="980">
        <v>6</v>
      </c>
      <c r="M794" s="1245" t="s">
        <v>323</v>
      </c>
      <c r="N794" s="604" t="s">
        <v>227</v>
      </c>
      <c r="O794" s="463"/>
      <c r="P794" s="434">
        <v>31.823</v>
      </c>
      <c r="Q794" s="434">
        <v>4</v>
      </c>
      <c r="R794" s="400">
        <v>4</v>
      </c>
      <c r="S794" s="464">
        <v>0.66666666666666663</v>
      </c>
      <c r="U794" s="1248">
        <f t="shared" si="10"/>
        <v>0</v>
      </c>
      <c r="V794" s="1304">
        <f t="shared" si="11"/>
        <v>1</v>
      </c>
    </row>
    <row r="795" spans="1:22" ht="16.5" thickTop="1" thickBot="1">
      <c r="A795" s="1244"/>
      <c r="B795" s="1249" t="s">
        <v>3520</v>
      </c>
      <c r="C795" s="1329" t="s">
        <v>1354</v>
      </c>
      <c r="D795" s="1326" t="s">
        <v>227</v>
      </c>
      <c r="E795" s="1249" t="s">
        <v>2083</v>
      </c>
      <c r="F795" s="455" t="s">
        <v>2085</v>
      </c>
      <c r="G795" s="456" t="s">
        <v>157</v>
      </c>
      <c r="H795" s="889">
        <v>9</v>
      </c>
      <c r="I795" s="891">
        <v>122.23</v>
      </c>
      <c r="J795" s="601">
        <v>122.23</v>
      </c>
      <c r="K795" s="602">
        <v>0.31578947368421051</v>
      </c>
      <c r="L795" s="981">
        <v>1</v>
      </c>
      <c r="M795" s="1249" t="s">
        <v>366</v>
      </c>
      <c r="N795" s="604" t="s">
        <v>227</v>
      </c>
      <c r="O795" s="465"/>
      <c r="P795" s="435"/>
      <c r="Q795" s="435"/>
      <c r="R795" s="401">
        <v>0</v>
      </c>
      <c r="S795" s="466">
        <v>0</v>
      </c>
      <c r="U795" s="1248">
        <f t="shared" si="10"/>
        <v>1</v>
      </c>
      <c r="V795" s="1304">
        <f t="shared" si="11"/>
        <v>1</v>
      </c>
    </row>
    <row r="796" spans="1:22" ht="16.5" thickTop="1" thickBot="1">
      <c r="A796" s="1244"/>
      <c r="B796" s="1245" t="s">
        <v>2708</v>
      </c>
      <c r="C796" s="1328" t="s">
        <v>227</v>
      </c>
      <c r="D796" s="1327" t="s">
        <v>227</v>
      </c>
      <c r="E796" s="1245" t="s">
        <v>2742</v>
      </c>
      <c r="F796" s="457" t="s">
        <v>2744</v>
      </c>
      <c r="G796" s="458" t="s">
        <v>157</v>
      </c>
      <c r="H796" s="888">
        <v>3</v>
      </c>
      <c r="I796" s="890"/>
      <c r="J796" s="899"/>
      <c r="K796" s="603">
        <v>0</v>
      </c>
      <c r="L796" s="980">
        <v>1</v>
      </c>
      <c r="M796" s="1245" t="s">
        <v>366</v>
      </c>
      <c r="N796" s="604" t="s">
        <v>227</v>
      </c>
      <c r="O796" s="463"/>
      <c r="P796" s="434"/>
      <c r="Q796" s="434"/>
      <c r="R796" s="400">
        <v>0</v>
      </c>
      <c r="S796" s="464">
        <v>0</v>
      </c>
      <c r="U796" s="1248">
        <f t="shared" si="10"/>
        <v>1</v>
      </c>
      <c r="V796" s="1304">
        <f t="shared" si="11"/>
        <v>1</v>
      </c>
    </row>
    <row r="797" spans="1:22" ht="16.5" thickTop="1" thickBot="1">
      <c r="A797" s="1244"/>
      <c r="B797" s="1249" t="s">
        <v>2708</v>
      </c>
      <c r="C797" s="1329" t="s">
        <v>227</v>
      </c>
      <c r="D797" s="1326" t="s">
        <v>227</v>
      </c>
      <c r="E797" s="1249" t="s">
        <v>2794</v>
      </c>
      <c r="F797" s="455" t="s">
        <v>2795</v>
      </c>
      <c r="G797" s="456" t="s">
        <v>156</v>
      </c>
      <c r="H797" s="889">
        <v>3</v>
      </c>
      <c r="I797" s="891"/>
      <c r="J797" s="601"/>
      <c r="K797" s="602">
        <v>0</v>
      </c>
      <c r="L797" s="981">
        <v>2</v>
      </c>
      <c r="M797" s="1249" t="s">
        <v>366</v>
      </c>
      <c r="N797" s="604" t="s">
        <v>227</v>
      </c>
      <c r="O797" s="465"/>
      <c r="P797" s="435"/>
      <c r="Q797" s="435"/>
      <c r="R797" s="401">
        <v>0</v>
      </c>
      <c r="S797" s="466">
        <v>0</v>
      </c>
      <c r="U797" s="1248">
        <f t="shared" si="10"/>
        <v>1</v>
      </c>
      <c r="V797" s="1304">
        <f t="shared" si="11"/>
        <v>1</v>
      </c>
    </row>
    <row r="798" spans="1:22" ht="16.5" thickTop="1" thickBot="1">
      <c r="A798" s="1244"/>
      <c r="B798" s="1245" t="s">
        <v>2708</v>
      </c>
      <c r="C798" s="1328" t="s">
        <v>227</v>
      </c>
      <c r="D798" s="1327" t="s">
        <v>227</v>
      </c>
      <c r="E798" s="1245" t="s">
        <v>2796</v>
      </c>
      <c r="F798" s="457" t="s">
        <v>816</v>
      </c>
      <c r="G798" s="458" t="s">
        <v>156</v>
      </c>
      <c r="H798" s="888">
        <v>3</v>
      </c>
      <c r="I798" s="890">
        <v>23.58</v>
      </c>
      <c r="J798" s="899">
        <v>23.58</v>
      </c>
      <c r="K798" s="603">
        <v>0.5714285714285714</v>
      </c>
      <c r="L798" s="980">
        <v>1</v>
      </c>
      <c r="M798" s="1245" t="s">
        <v>366</v>
      </c>
      <c r="N798" s="604" t="s">
        <v>227</v>
      </c>
      <c r="O798" s="463"/>
      <c r="P798" s="434"/>
      <c r="Q798" s="434"/>
      <c r="R798" s="400">
        <v>0</v>
      </c>
      <c r="S798" s="464">
        <v>0</v>
      </c>
      <c r="U798" s="1248">
        <f t="shared" si="10"/>
        <v>1</v>
      </c>
      <c r="V798" s="1304">
        <f t="shared" si="11"/>
        <v>1</v>
      </c>
    </row>
    <row r="799" spans="1:22" ht="16.5" thickTop="1" thickBot="1">
      <c r="A799" s="1244"/>
      <c r="B799" s="1249" t="s">
        <v>2708</v>
      </c>
      <c r="C799" s="1329" t="s">
        <v>227</v>
      </c>
      <c r="D799" s="1326" t="s">
        <v>227</v>
      </c>
      <c r="E799" s="1249" t="s">
        <v>2801</v>
      </c>
      <c r="F799" s="455" t="s">
        <v>2802</v>
      </c>
      <c r="G799" s="456" t="s">
        <v>156</v>
      </c>
      <c r="H799" s="889">
        <v>3</v>
      </c>
      <c r="I799" s="891">
        <v>14.67</v>
      </c>
      <c r="J799" s="601">
        <v>45.597000000000001</v>
      </c>
      <c r="K799" s="602">
        <v>0.34285714285714286</v>
      </c>
      <c r="L799" s="981">
        <v>7</v>
      </c>
      <c r="M799" s="1249" t="s">
        <v>322</v>
      </c>
      <c r="N799" s="604" t="s">
        <v>227</v>
      </c>
      <c r="O799" s="465">
        <v>1</v>
      </c>
      <c r="P799" s="435"/>
      <c r="Q799" s="435"/>
      <c r="R799" s="401">
        <v>0</v>
      </c>
      <c r="S799" s="466">
        <v>0</v>
      </c>
      <c r="U799" s="1248">
        <f t="shared" si="10"/>
        <v>0</v>
      </c>
      <c r="V799" s="1304">
        <f t="shared" si="11"/>
        <v>1</v>
      </c>
    </row>
    <row r="800" spans="1:22" ht="16.5" thickTop="1" thickBot="1">
      <c r="A800" s="1244"/>
      <c r="B800" s="1245" t="s">
        <v>2708</v>
      </c>
      <c r="C800" s="1328" t="s">
        <v>227</v>
      </c>
      <c r="D800" s="1327" t="s">
        <v>227</v>
      </c>
      <c r="E800" s="1245" t="s">
        <v>3301</v>
      </c>
      <c r="F800" s="457" t="s">
        <v>3302</v>
      </c>
      <c r="G800" s="458" t="s">
        <v>156</v>
      </c>
      <c r="H800" s="888">
        <v>1</v>
      </c>
      <c r="I800" s="890">
        <v>31.449000000000002</v>
      </c>
      <c r="J800" s="899">
        <v>42.481999999999999</v>
      </c>
      <c r="K800" s="603">
        <v>0.2857142857142857</v>
      </c>
      <c r="L800" s="980">
        <v>7</v>
      </c>
      <c r="M800" s="1245" t="s">
        <v>323</v>
      </c>
      <c r="N800" s="604" t="s">
        <v>227</v>
      </c>
      <c r="O800" s="463"/>
      <c r="P800" s="434">
        <v>-81.808000000000007</v>
      </c>
      <c r="Q800" s="434">
        <v>-4</v>
      </c>
      <c r="R800" s="400">
        <v>0</v>
      </c>
      <c r="S800" s="464">
        <v>0</v>
      </c>
      <c r="U800" s="1248">
        <f t="shared" si="10"/>
        <v>0</v>
      </c>
      <c r="V800" s="1304">
        <f t="shared" si="11"/>
        <v>1</v>
      </c>
    </row>
    <row r="801" spans="1:22" ht="16.5" thickTop="1" thickBot="1">
      <c r="A801" s="1244"/>
      <c r="B801" s="1249" t="s">
        <v>2708</v>
      </c>
      <c r="C801" s="1329" t="s">
        <v>227</v>
      </c>
      <c r="D801" s="1326" t="s">
        <v>227</v>
      </c>
      <c r="E801" s="1249" t="s">
        <v>3662</v>
      </c>
      <c r="F801" s="455" t="s">
        <v>3664</v>
      </c>
      <c r="G801" s="456" t="s">
        <v>157</v>
      </c>
      <c r="H801" s="889">
        <v>1</v>
      </c>
      <c r="I801" s="891"/>
      <c r="J801" s="601"/>
      <c r="K801" s="602">
        <v>0</v>
      </c>
      <c r="L801" s="981">
        <v>1</v>
      </c>
      <c r="M801" s="1249" t="s">
        <v>366</v>
      </c>
      <c r="N801" s="604" t="s">
        <v>227</v>
      </c>
      <c r="O801" s="465">
        <v>1</v>
      </c>
      <c r="P801" s="435"/>
      <c r="Q801" s="435"/>
      <c r="R801" s="401">
        <v>0</v>
      </c>
      <c r="S801" s="466">
        <v>0</v>
      </c>
      <c r="U801" s="1248">
        <f t="shared" si="10"/>
        <v>1</v>
      </c>
      <c r="V801" s="1304">
        <f t="shared" si="11"/>
        <v>1</v>
      </c>
    </row>
    <row r="802" spans="1:22" ht="16.5" thickTop="1" thickBot="1">
      <c r="A802" s="1244"/>
      <c r="B802" s="1245" t="s">
        <v>2708</v>
      </c>
      <c r="C802" s="1328" t="s">
        <v>227</v>
      </c>
      <c r="D802" s="1327" t="s">
        <v>227</v>
      </c>
      <c r="E802" s="1245" t="s">
        <v>3824</v>
      </c>
      <c r="F802" s="457" t="s">
        <v>1614</v>
      </c>
      <c r="G802" s="458" t="s">
        <v>156</v>
      </c>
      <c r="H802" s="888">
        <v>0</v>
      </c>
      <c r="I802" s="890"/>
      <c r="J802" s="899"/>
      <c r="K802" s="603">
        <v>0</v>
      </c>
      <c r="L802" s="980">
        <v>1</v>
      </c>
      <c r="M802" s="1245" t="s">
        <v>227</v>
      </c>
      <c r="N802" s="604" t="s">
        <v>227</v>
      </c>
      <c r="O802" s="463">
        <v>1</v>
      </c>
      <c r="P802" s="434"/>
      <c r="Q802" s="434"/>
      <c r="R802" s="400">
        <v>0</v>
      </c>
      <c r="S802" s="464">
        <v>0</v>
      </c>
      <c r="U802" s="1248">
        <f t="shared" si="10"/>
        <v>0</v>
      </c>
      <c r="V802" s="1304">
        <f t="shared" si="11"/>
        <v>1</v>
      </c>
    </row>
    <row r="803" spans="1:22" ht="16.5" thickTop="1" thickBot="1">
      <c r="A803" s="1244"/>
      <c r="B803" s="1249" t="s">
        <v>2708</v>
      </c>
      <c r="C803" s="1329" t="s">
        <v>745</v>
      </c>
      <c r="D803" s="1326" t="s">
        <v>227</v>
      </c>
      <c r="E803" s="1249" t="s">
        <v>745</v>
      </c>
      <c r="F803" s="455" t="s">
        <v>747</v>
      </c>
      <c r="G803" s="456" t="s">
        <v>158</v>
      </c>
      <c r="H803" s="889">
        <v>25</v>
      </c>
      <c r="I803" s="891">
        <v>45.084000000000003</v>
      </c>
      <c r="J803" s="601">
        <v>132.28</v>
      </c>
      <c r="K803" s="602">
        <v>0.21153846153846154</v>
      </c>
      <c r="L803" s="981">
        <v>2</v>
      </c>
      <c r="M803" s="1249" t="s">
        <v>366</v>
      </c>
      <c r="N803" s="604" t="s">
        <v>227</v>
      </c>
      <c r="O803" s="465">
        <v>1</v>
      </c>
      <c r="P803" s="435">
        <v>6.72</v>
      </c>
      <c r="Q803" s="435">
        <v>1</v>
      </c>
      <c r="R803" s="401">
        <v>1</v>
      </c>
      <c r="S803" s="466">
        <v>0.5</v>
      </c>
      <c r="U803" s="1248">
        <f t="shared" si="10"/>
        <v>1</v>
      </c>
      <c r="V803" s="1304">
        <f t="shared" si="11"/>
        <v>1</v>
      </c>
    </row>
    <row r="804" spans="1:22" ht="16.5" thickTop="1" thickBot="1">
      <c r="A804" s="1244"/>
      <c r="B804" s="1245" t="s">
        <v>2708</v>
      </c>
      <c r="C804" s="1328" t="s">
        <v>745</v>
      </c>
      <c r="D804" s="1327" t="s">
        <v>227</v>
      </c>
      <c r="E804" s="1245" t="s">
        <v>767</v>
      </c>
      <c r="F804" s="457" t="s">
        <v>768</v>
      </c>
      <c r="G804" s="458" t="s">
        <v>156</v>
      </c>
      <c r="H804" s="888">
        <v>25</v>
      </c>
      <c r="I804" s="890">
        <v>32.54</v>
      </c>
      <c r="J804" s="899">
        <v>439.18099999999998</v>
      </c>
      <c r="K804" s="603">
        <v>0.30769230769230771</v>
      </c>
      <c r="L804" s="980">
        <v>6</v>
      </c>
      <c r="M804" s="1245" t="s">
        <v>323</v>
      </c>
      <c r="N804" s="604" t="s">
        <v>227</v>
      </c>
      <c r="O804" s="463"/>
      <c r="P804" s="434">
        <v>104.85599999999999</v>
      </c>
      <c r="Q804" s="434">
        <v>4</v>
      </c>
      <c r="R804" s="400">
        <v>3</v>
      </c>
      <c r="S804" s="464">
        <v>0.46153846153846156</v>
      </c>
      <c r="U804" s="1248">
        <f t="shared" si="10"/>
        <v>0</v>
      </c>
      <c r="V804" s="1304">
        <f t="shared" si="11"/>
        <v>1</v>
      </c>
    </row>
    <row r="805" spans="1:22" ht="16.5" thickTop="1" thickBot="1">
      <c r="A805" s="1244"/>
      <c r="B805" s="1249" t="s">
        <v>2708</v>
      </c>
      <c r="C805" s="1329" t="s">
        <v>745</v>
      </c>
      <c r="D805" s="1326" t="s">
        <v>227</v>
      </c>
      <c r="E805" s="1249" t="s">
        <v>936</v>
      </c>
      <c r="F805" s="455" t="s">
        <v>937</v>
      </c>
      <c r="G805" s="456" t="s">
        <v>156</v>
      </c>
      <c r="H805" s="889">
        <v>20</v>
      </c>
      <c r="I805" s="891">
        <v>180.654</v>
      </c>
      <c r="J805" s="601">
        <v>1183.3499999999999</v>
      </c>
      <c r="K805" s="602">
        <v>0.37037037037037035</v>
      </c>
      <c r="L805" s="981">
        <v>5</v>
      </c>
      <c r="M805" s="1249" t="s">
        <v>323</v>
      </c>
      <c r="N805" s="604" t="s">
        <v>227</v>
      </c>
      <c r="O805" s="465"/>
      <c r="P805" s="435">
        <v>82.316000000000003</v>
      </c>
      <c r="Q805" s="435">
        <v>5</v>
      </c>
      <c r="R805" s="401">
        <v>2</v>
      </c>
      <c r="S805" s="466">
        <v>0.4</v>
      </c>
      <c r="U805" s="1248">
        <f t="shared" si="10"/>
        <v>0</v>
      </c>
      <c r="V805" s="1304">
        <f t="shared" si="11"/>
        <v>1</v>
      </c>
    </row>
    <row r="806" spans="1:22" ht="16.5" thickTop="1" thickBot="1">
      <c r="A806" s="1244"/>
      <c r="B806" s="1245" t="s">
        <v>2708</v>
      </c>
      <c r="C806" s="1328" t="s">
        <v>745</v>
      </c>
      <c r="D806" s="1327" t="s">
        <v>227</v>
      </c>
      <c r="E806" s="1245" t="s">
        <v>1911</v>
      </c>
      <c r="F806" s="457" t="s">
        <v>1912</v>
      </c>
      <c r="G806" s="458" t="s">
        <v>156</v>
      </c>
      <c r="H806" s="888">
        <v>12</v>
      </c>
      <c r="I806" s="890">
        <v>76.417000000000002</v>
      </c>
      <c r="J806" s="899">
        <v>194.184</v>
      </c>
      <c r="K806" s="603">
        <v>0.21518987341772153</v>
      </c>
      <c r="L806" s="980">
        <v>6</v>
      </c>
      <c r="M806" s="1245" t="s">
        <v>322</v>
      </c>
      <c r="N806" s="604" t="s">
        <v>227</v>
      </c>
      <c r="O806" s="463"/>
      <c r="P806" s="434">
        <v>0</v>
      </c>
      <c r="Q806" s="434"/>
      <c r="R806" s="400">
        <v>0</v>
      </c>
      <c r="S806" s="464">
        <v>0</v>
      </c>
      <c r="U806" s="1248">
        <f t="shared" si="10"/>
        <v>0</v>
      </c>
      <c r="V806" s="1304">
        <f t="shared" si="11"/>
        <v>1</v>
      </c>
    </row>
    <row r="807" spans="1:22" ht="16.5" thickTop="1" thickBot="1">
      <c r="A807" s="1244"/>
      <c r="B807" s="1249" t="s">
        <v>2708</v>
      </c>
      <c r="C807" s="1329" t="s">
        <v>745</v>
      </c>
      <c r="D807" s="1326" t="s">
        <v>227</v>
      </c>
      <c r="E807" s="1249" t="s">
        <v>2268</v>
      </c>
      <c r="F807" s="455" t="s">
        <v>971</v>
      </c>
      <c r="G807" s="456" t="s">
        <v>155</v>
      </c>
      <c r="H807" s="889"/>
      <c r="I807" s="891"/>
      <c r="J807" s="601">
        <v>66.59</v>
      </c>
      <c r="K807" s="602">
        <v>0.25806451612903225</v>
      </c>
      <c r="L807" s="981">
        <v>1</v>
      </c>
      <c r="M807" s="1249" t="s">
        <v>366</v>
      </c>
      <c r="N807" s="604" t="s">
        <v>227</v>
      </c>
      <c r="O807" s="465"/>
      <c r="P807" s="435"/>
      <c r="Q807" s="435"/>
      <c r="R807" s="401">
        <v>0</v>
      </c>
      <c r="S807" s="466">
        <v>0</v>
      </c>
      <c r="U807" s="1248">
        <f t="shared" si="10"/>
        <v>1</v>
      </c>
      <c r="V807" s="1304">
        <f t="shared" si="11"/>
        <v>0</v>
      </c>
    </row>
    <row r="808" spans="1:22" ht="16.5" thickTop="1" thickBot="1">
      <c r="A808" s="1244"/>
      <c r="B808" s="1245" t="s">
        <v>2708</v>
      </c>
      <c r="C808" s="1328" t="s">
        <v>745</v>
      </c>
      <c r="D808" s="1327" t="s">
        <v>227</v>
      </c>
      <c r="E808" s="1245" t="s">
        <v>2676</v>
      </c>
      <c r="F808" s="457" t="s">
        <v>2677</v>
      </c>
      <c r="G808" s="458" t="s">
        <v>155</v>
      </c>
      <c r="H808" s="888"/>
      <c r="I808" s="890"/>
      <c r="J808" s="899">
        <v>185.99100000000001</v>
      </c>
      <c r="K808" s="603">
        <v>0.33333333333333331</v>
      </c>
      <c r="L808" s="980">
        <v>3</v>
      </c>
      <c r="M808" s="1245" t="s">
        <v>366</v>
      </c>
      <c r="N808" s="604" t="s">
        <v>227</v>
      </c>
      <c r="O808" s="463">
        <v>1</v>
      </c>
      <c r="P808" s="434"/>
      <c r="Q808" s="434"/>
      <c r="R808" s="400">
        <v>0</v>
      </c>
      <c r="S808" s="464">
        <v>0</v>
      </c>
      <c r="U808" s="1248">
        <f t="shared" ref="U808:U871" si="12">IF(M808="U_200",1,0)</f>
        <v>1</v>
      </c>
      <c r="V808" s="1304">
        <f t="shared" ref="V808:V871" si="13">IF(G808&lt;&gt;"US",1,0)</f>
        <v>0</v>
      </c>
    </row>
    <row r="809" spans="1:22" ht="16.5" thickTop="1" thickBot="1">
      <c r="A809" s="1244"/>
      <c r="B809" s="1249" t="s">
        <v>2708</v>
      </c>
      <c r="C809" s="1329" t="s">
        <v>745</v>
      </c>
      <c r="D809" s="1326" t="s">
        <v>227</v>
      </c>
      <c r="E809" s="1249" t="s">
        <v>2792</v>
      </c>
      <c r="F809" s="455" t="s">
        <v>2793</v>
      </c>
      <c r="G809" s="456" t="s">
        <v>155</v>
      </c>
      <c r="H809" s="889"/>
      <c r="I809" s="891"/>
      <c r="J809" s="601">
        <v>54.819000000000003</v>
      </c>
      <c r="K809" s="602">
        <v>0.375</v>
      </c>
      <c r="L809" s="981">
        <v>2</v>
      </c>
      <c r="M809" s="1249" t="s">
        <v>366</v>
      </c>
      <c r="N809" s="604" t="s">
        <v>227</v>
      </c>
      <c r="O809" s="465"/>
      <c r="P809" s="435"/>
      <c r="Q809" s="435"/>
      <c r="R809" s="401">
        <v>0</v>
      </c>
      <c r="S809" s="466">
        <v>0</v>
      </c>
      <c r="U809" s="1248">
        <f t="shared" si="12"/>
        <v>1</v>
      </c>
      <c r="V809" s="1304">
        <f t="shared" si="13"/>
        <v>0</v>
      </c>
    </row>
    <row r="810" spans="1:22" ht="16.5" thickTop="1" thickBot="1">
      <c r="A810" s="1244"/>
      <c r="B810" s="1245" t="s">
        <v>2708</v>
      </c>
      <c r="C810" s="1328" t="s">
        <v>745</v>
      </c>
      <c r="D810" s="1327" t="s">
        <v>227</v>
      </c>
      <c r="E810" s="1245" t="s">
        <v>3825</v>
      </c>
      <c r="F810" s="457" t="s">
        <v>3826</v>
      </c>
      <c r="G810" s="458" t="s">
        <v>155</v>
      </c>
      <c r="H810" s="888"/>
      <c r="I810" s="890"/>
      <c r="J810" s="899"/>
      <c r="K810" s="603">
        <v>0</v>
      </c>
      <c r="L810" s="980">
        <v>2</v>
      </c>
      <c r="M810" s="1245" t="s">
        <v>366</v>
      </c>
      <c r="N810" s="604" t="s">
        <v>227</v>
      </c>
      <c r="O810" s="463"/>
      <c r="P810" s="434"/>
      <c r="Q810" s="434"/>
      <c r="R810" s="400">
        <v>0</v>
      </c>
      <c r="S810" s="464">
        <v>0</v>
      </c>
      <c r="U810" s="1248">
        <f t="shared" si="12"/>
        <v>1</v>
      </c>
      <c r="V810" s="1304">
        <f t="shared" si="13"/>
        <v>0</v>
      </c>
    </row>
    <row r="811" spans="1:22" ht="16.5" thickTop="1" thickBot="1">
      <c r="A811" s="1244"/>
      <c r="B811" s="1249" t="s">
        <v>2708</v>
      </c>
      <c r="C811" s="1329" t="s">
        <v>745</v>
      </c>
      <c r="D811" s="1326" t="s">
        <v>227</v>
      </c>
      <c r="E811" s="1249" t="s">
        <v>3827</v>
      </c>
      <c r="F811" s="455" t="s">
        <v>3828</v>
      </c>
      <c r="G811" s="456" t="s">
        <v>156</v>
      </c>
      <c r="H811" s="889"/>
      <c r="I811" s="891"/>
      <c r="J811" s="601"/>
      <c r="K811" s="602">
        <v>0</v>
      </c>
      <c r="L811" s="981">
        <v>2</v>
      </c>
      <c r="M811" s="1249" t="s">
        <v>366</v>
      </c>
      <c r="N811" s="604" t="s">
        <v>227</v>
      </c>
      <c r="O811" s="465">
        <v>2</v>
      </c>
      <c r="P811" s="435"/>
      <c r="Q811" s="435"/>
      <c r="R811" s="401">
        <v>0</v>
      </c>
      <c r="S811" s="466">
        <v>0</v>
      </c>
      <c r="U811" s="1248">
        <f t="shared" si="12"/>
        <v>1</v>
      </c>
      <c r="V811" s="1304">
        <f t="shared" si="13"/>
        <v>1</v>
      </c>
    </row>
    <row r="812" spans="1:22" ht="16.5" thickTop="1" thickBot="1">
      <c r="A812" s="1244"/>
      <c r="B812" s="1245" t="s">
        <v>2708</v>
      </c>
      <c r="C812" s="1328" t="s">
        <v>2905</v>
      </c>
      <c r="D812" s="1327" t="s">
        <v>227</v>
      </c>
      <c r="E812" s="1245" t="s">
        <v>2799</v>
      </c>
      <c r="F812" s="457" t="s">
        <v>2800</v>
      </c>
      <c r="G812" s="458" t="s">
        <v>156</v>
      </c>
      <c r="H812" s="888">
        <v>3</v>
      </c>
      <c r="I812" s="890">
        <v>32.56</v>
      </c>
      <c r="J812" s="899">
        <v>56.314</v>
      </c>
      <c r="K812" s="603">
        <v>0.2608695652173913</v>
      </c>
      <c r="L812" s="980">
        <v>5</v>
      </c>
      <c r="M812" s="1245" t="s">
        <v>321</v>
      </c>
      <c r="N812" s="604" t="s">
        <v>227</v>
      </c>
      <c r="O812" s="463">
        <v>1</v>
      </c>
      <c r="P812" s="434">
        <v>16.713999999999999</v>
      </c>
      <c r="Q812" s="434">
        <v>1</v>
      </c>
      <c r="R812" s="400">
        <v>1</v>
      </c>
      <c r="S812" s="464">
        <v>0.22222222222222221</v>
      </c>
      <c r="U812" s="1248">
        <f t="shared" si="12"/>
        <v>0</v>
      </c>
      <c r="V812" s="1304">
        <f t="shared" si="13"/>
        <v>1</v>
      </c>
    </row>
    <row r="813" spans="1:22" ht="16.5" thickTop="1" thickBot="1">
      <c r="A813" s="1244"/>
      <c r="B813" s="1249" t="s">
        <v>2708</v>
      </c>
      <c r="C813" s="1329" t="s">
        <v>2905</v>
      </c>
      <c r="D813" s="1326" t="s">
        <v>227</v>
      </c>
      <c r="E813" s="1249" t="s">
        <v>3008</v>
      </c>
      <c r="F813" s="455" t="s">
        <v>3009</v>
      </c>
      <c r="G813" s="456" t="s">
        <v>156</v>
      </c>
      <c r="H813" s="889">
        <v>3</v>
      </c>
      <c r="I813" s="891"/>
      <c r="J813" s="601"/>
      <c r="K813" s="602">
        <v>0</v>
      </c>
      <c r="L813" s="981">
        <v>1</v>
      </c>
      <c r="M813" s="1249" t="s">
        <v>366</v>
      </c>
      <c r="N813" s="604" t="s">
        <v>227</v>
      </c>
      <c r="O813" s="465"/>
      <c r="P813" s="435"/>
      <c r="Q813" s="435"/>
      <c r="R813" s="401">
        <v>0</v>
      </c>
      <c r="S813" s="466">
        <v>0</v>
      </c>
      <c r="U813" s="1248">
        <f t="shared" si="12"/>
        <v>1</v>
      </c>
      <c r="V813" s="1304">
        <f t="shared" si="13"/>
        <v>1</v>
      </c>
    </row>
    <row r="814" spans="1:22" ht="16.5" thickTop="1" thickBot="1">
      <c r="A814" s="1244"/>
      <c r="B814" s="1245" t="s">
        <v>2708</v>
      </c>
      <c r="C814" s="1328" t="s">
        <v>2905</v>
      </c>
      <c r="D814" s="1327" t="s">
        <v>227</v>
      </c>
      <c r="E814" s="1245" t="s">
        <v>2905</v>
      </c>
      <c r="F814" s="457" t="s">
        <v>1714</v>
      </c>
      <c r="G814" s="458" t="s">
        <v>158</v>
      </c>
      <c r="H814" s="888">
        <v>3</v>
      </c>
      <c r="I814" s="890"/>
      <c r="J814" s="899"/>
      <c r="K814" s="603">
        <v>0</v>
      </c>
      <c r="L814" s="980">
        <v>2</v>
      </c>
      <c r="M814" s="1245" t="s">
        <v>366</v>
      </c>
      <c r="N814" s="604" t="s">
        <v>227</v>
      </c>
      <c r="O814" s="463"/>
      <c r="P814" s="434"/>
      <c r="Q814" s="434"/>
      <c r="R814" s="400">
        <v>0</v>
      </c>
      <c r="S814" s="464">
        <v>0</v>
      </c>
      <c r="U814" s="1248">
        <f t="shared" si="12"/>
        <v>1</v>
      </c>
      <c r="V814" s="1304">
        <f t="shared" si="13"/>
        <v>1</v>
      </c>
    </row>
    <row r="815" spans="1:22" ht="16.5" thickTop="1" thickBot="1">
      <c r="A815" s="1244"/>
      <c r="B815" s="1249" t="s">
        <v>2708</v>
      </c>
      <c r="C815" s="1329" t="s">
        <v>2905</v>
      </c>
      <c r="D815" s="1326" t="s">
        <v>227</v>
      </c>
      <c r="E815" s="1249" t="s">
        <v>2938</v>
      </c>
      <c r="F815" s="455" t="s">
        <v>2379</v>
      </c>
      <c r="G815" s="456" t="s">
        <v>157</v>
      </c>
      <c r="H815" s="889">
        <v>3</v>
      </c>
      <c r="I815" s="891">
        <v>8.3119999999999994</v>
      </c>
      <c r="J815" s="601">
        <v>8.3119999999999994</v>
      </c>
      <c r="K815" s="602">
        <v>0.25</v>
      </c>
      <c r="L815" s="981">
        <v>2</v>
      </c>
      <c r="M815" s="1249" t="s">
        <v>366</v>
      </c>
      <c r="N815" s="604" t="s">
        <v>227</v>
      </c>
      <c r="O815" s="465"/>
      <c r="P815" s="435">
        <v>0</v>
      </c>
      <c r="Q815" s="435">
        <v>0</v>
      </c>
      <c r="R815" s="401">
        <v>0</v>
      </c>
      <c r="S815" s="466">
        <v>0</v>
      </c>
      <c r="U815" s="1248">
        <f t="shared" si="12"/>
        <v>1</v>
      </c>
      <c r="V815" s="1304">
        <f t="shared" si="13"/>
        <v>1</v>
      </c>
    </row>
    <row r="816" spans="1:22" ht="16.5" thickTop="1" thickBot="1">
      <c r="A816" s="1244"/>
      <c r="B816" s="1245" t="s">
        <v>2708</v>
      </c>
      <c r="C816" s="1328" t="s">
        <v>2905</v>
      </c>
      <c r="D816" s="1327" t="s">
        <v>227</v>
      </c>
      <c r="E816" s="1245" t="s">
        <v>3303</v>
      </c>
      <c r="F816" s="457" t="s">
        <v>3304</v>
      </c>
      <c r="G816" s="458" t="s">
        <v>156</v>
      </c>
      <c r="H816" s="888">
        <v>1</v>
      </c>
      <c r="I816" s="890"/>
      <c r="J816" s="899"/>
      <c r="K816" s="603">
        <v>0</v>
      </c>
      <c r="L816" s="980">
        <v>1</v>
      </c>
      <c r="M816" s="1245" t="s">
        <v>366</v>
      </c>
      <c r="N816" s="604" t="s">
        <v>227</v>
      </c>
      <c r="O816" s="463"/>
      <c r="P816" s="434"/>
      <c r="Q816" s="434"/>
      <c r="R816" s="400">
        <v>0</v>
      </c>
      <c r="S816" s="464">
        <v>0</v>
      </c>
      <c r="U816" s="1248">
        <f t="shared" si="12"/>
        <v>1</v>
      </c>
      <c r="V816" s="1304">
        <f t="shared" si="13"/>
        <v>1</v>
      </c>
    </row>
    <row r="817" spans="1:22" ht="16.5" thickTop="1" thickBot="1">
      <c r="A817" s="1244"/>
      <c r="B817" s="1249" t="s">
        <v>2708</v>
      </c>
      <c r="C817" s="1329" t="s">
        <v>2905</v>
      </c>
      <c r="D817" s="1326" t="s">
        <v>227</v>
      </c>
      <c r="E817" s="1249" t="s">
        <v>3829</v>
      </c>
      <c r="F817" s="455" t="s">
        <v>3830</v>
      </c>
      <c r="G817" s="456" t="s">
        <v>156</v>
      </c>
      <c r="H817" s="889">
        <v>0</v>
      </c>
      <c r="I817" s="891"/>
      <c r="J817" s="601"/>
      <c r="K817" s="602">
        <v>0</v>
      </c>
      <c r="L817" s="981">
        <v>1</v>
      </c>
      <c r="M817" s="1249" t="s">
        <v>227</v>
      </c>
      <c r="N817" s="604" t="s">
        <v>227</v>
      </c>
      <c r="O817" s="465">
        <v>1</v>
      </c>
      <c r="P817" s="435"/>
      <c r="Q817" s="435"/>
      <c r="R817" s="401">
        <v>0</v>
      </c>
      <c r="S817" s="466">
        <v>0</v>
      </c>
      <c r="U817" s="1248">
        <f t="shared" si="12"/>
        <v>0</v>
      </c>
      <c r="V817" s="1304">
        <f t="shared" si="13"/>
        <v>1</v>
      </c>
    </row>
    <row r="818" spans="1:22" ht="16.5" thickTop="1" thickBot="1">
      <c r="A818" s="1244"/>
      <c r="B818" s="1245" t="s">
        <v>2708</v>
      </c>
      <c r="C818" s="1328" t="s">
        <v>3196</v>
      </c>
      <c r="D818" s="1327" t="s">
        <v>227</v>
      </c>
      <c r="E818" s="1245" t="s">
        <v>3196</v>
      </c>
      <c r="F818" s="457" t="s">
        <v>3198</v>
      </c>
      <c r="G818" s="458" t="s">
        <v>739</v>
      </c>
      <c r="H818" s="888">
        <v>1</v>
      </c>
      <c r="I818" s="890"/>
      <c r="J818" s="899">
        <v>10.208</v>
      </c>
      <c r="K818" s="603">
        <v>0.5</v>
      </c>
      <c r="L818" s="980">
        <v>2</v>
      </c>
      <c r="M818" s="1245" t="s">
        <v>322</v>
      </c>
      <c r="N818" s="604" t="s">
        <v>227</v>
      </c>
      <c r="O818" s="463">
        <v>1</v>
      </c>
      <c r="P818" s="434">
        <v>10.208</v>
      </c>
      <c r="Q818" s="434">
        <v>1</v>
      </c>
      <c r="R818" s="400">
        <v>1</v>
      </c>
      <c r="S818" s="464">
        <v>0.66666666666666663</v>
      </c>
      <c r="U818" s="1248">
        <f t="shared" si="12"/>
        <v>0</v>
      </c>
      <c r="V818" s="1304">
        <f t="shared" si="13"/>
        <v>1</v>
      </c>
    </row>
    <row r="819" spans="1:22" ht="16.5" thickTop="1" thickBot="1">
      <c r="A819" s="1244"/>
      <c r="B819" s="1249" t="s">
        <v>2708</v>
      </c>
      <c r="C819" s="1329" t="s">
        <v>3196</v>
      </c>
      <c r="D819" s="1326" t="s">
        <v>227</v>
      </c>
      <c r="E819" s="1249" t="s">
        <v>3305</v>
      </c>
      <c r="F819" s="455" t="s">
        <v>3306</v>
      </c>
      <c r="G819" s="456" t="s">
        <v>157</v>
      </c>
      <c r="H819" s="889">
        <v>1</v>
      </c>
      <c r="I819" s="891">
        <v>7.3479999999999999</v>
      </c>
      <c r="J819" s="601">
        <v>104.444</v>
      </c>
      <c r="K819" s="602">
        <v>1</v>
      </c>
      <c r="L819" s="981">
        <v>2</v>
      </c>
      <c r="M819" s="1249" t="s">
        <v>323</v>
      </c>
      <c r="N819" s="604" t="s">
        <v>227</v>
      </c>
      <c r="O819" s="465">
        <v>1</v>
      </c>
      <c r="P819" s="435">
        <v>104.444</v>
      </c>
      <c r="Q819" s="435">
        <v>5</v>
      </c>
      <c r="R819" s="401">
        <v>2</v>
      </c>
      <c r="S819" s="466">
        <v>1.3333333333333333</v>
      </c>
      <c r="U819" s="1248">
        <f t="shared" si="12"/>
        <v>0</v>
      </c>
      <c r="V819" s="1304">
        <f t="shared" si="13"/>
        <v>1</v>
      </c>
    </row>
    <row r="820" spans="1:22" ht="16.5" thickTop="1" thickBot="1">
      <c r="A820" s="1244"/>
      <c r="B820" s="1245" t="s">
        <v>2708</v>
      </c>
      <c r="C820" s="1328" t="s">
        <v>3196</v>
      </c>
      <c r="D820" s="1327" t="s">
        <v>227</v>
      </c>
      <c r="E820" s="1245" t="s">
        <v>3307</v>
      </c>
      <c r="F820" s="457" t="s">
        <v>3308</v>
      </c>
      <c r="G820" s="458" t="s">
        <v>156</v>
      </c>
      <c r="H820" s="888">
        <v>1</v>
      </c>
      <c r="I820" s="890"/>
      <c r="J820" s="899">
        <v>31.116</v>
      </c>
      <c r="K820" s="603">
        <v>0.36363636363636365</v>
      </c>
      <c r="L820" s="980">
        <v>5</v>
      </c>
      <c r="M820" s="1245" t="s">
        <v>323</v>
      </c>
      <c r="N820" s="604" t="s">
        <v>227</v>
      </c>
      <c r="O820" s="463">
        <v>2</v>
      </c>
      <c r="P820" s="434">
        <v>21.09</v>
      </c>
      <c r="Q820" s="434">
        <v>2</v>
      </c>
      <c r="R820" s="400">
        <v>1</v>
      </c>
      <c r="S820" s="464">
        <v>0.25</v>
      </c>
      <c r="U820" s="1248">
        <f t="shared" si="12"/>
        <v>0</v>
      </c>
      <c r="V820" s="1304">
        <f t="shared" si="13"/>
        <v>1</v>
      </c>
    </row>
    <row r="821" spans="1:22" ht="16.5" thickTop="1" thickBot="1">
      <c r="A821" s="1244"/>
      <c r="B821" s="1249" t="s">
        <v>2708</v>
      </c>
      <c r="C821" s="1329" t="s">
        <v>3196</v>
      </c>
      <c r="D821" s="1326" t="s">
        <v>227</v>
      </c>
      <c r="E821" s="1249" t="s">
        <v>3309</v>
      </c>
      <c r="F821" s="455" t="s">
        <v>3310</v>
      </c>
      <c r="G821" s="456" t="s">
        <v>156</v>
      </c>
      <c r="H821" s="889">
        <v>1</v>
      </c>
      <c r="I821" s="891">
        <v>10.19</v>
      </c>
      <c r="J821" s="601">
        <v>43.758000000000003</v>
      </c>
      <c r="K821" s="602">
        <v>0.5714285714285714</v>
      </c>
      <c r="L821" s="981">
        <v>3</v>
      </c>
      <c r="M821" s="1249" t="s">
        <v>323</v>
      </c>
      <c r="N821" s="604" t="s">
        <v>227</v>
      </c>
      <c r="O821" s="465">
        <v>1</v>
      </c>
      <c r="P821" s="435">
        <v>33.567999999999998</v>
      </c>
      <c r="Q821" s="435">
        <v>2</v>
      </c>
      <c r="R821" s="401">
        <v>1</v>
      </c>
      <c r="S821" s="466">
        <v>0.4</v>
      </c>
      <c r="U821" s="1248">
        <f t="shared" si="12"/>
        <v>0</v>
      </c>
      <c r="V821" s="1304">
        <f t="shared" si="13"/>
        <v>1</v>
      </c>
    </row>
    <row r="822" spans="1:22" ht="16.5" thickTop="1" thickBot="1">
      <c r="A822" s="1244"/>
      <c r="B822" s="1245" t="s">
        <v>2708</v>
      </c>
      <c r="C822" s="1328" t="s">
        <v>3196</v>
      </c>
      <c r="D822" s="1327" t="s">
        <v>227</v>
      </c>
      <c r="E822" s="1245" t="s">
        <v>3665</v>
      </c>
      <c r="F822" s="457" t="s">
        <v>3667</v>
      </c>
      <c r="G822" s="458" t="s">
        <v>157</v>
      </c>
      <c r="H822" s="888">
        <v>0</v>
      </c>
      <c r="I822" s="890"/>
      <c r="J822" s="899">
        <v>10.066000000000001</v>
      </c>
      <c r="K822" s="603">
        <v>0.66666666666666663</v>
      </c>
      <c r="L822" s="980">
        <v>3</v>
      </c>
      <c r="M822" s="1245" t="s">
        <v>227</v>
      </c>
      <c r="N822" s="604" t="s">
        <v>227</v>
      </c>
      <c r="O822" s="463">
        <v>3</v>
      </c>
      <c r="P822" s="434">
        <v>10.066000000000001</v>
      </c>
      <c r="Q822" s="434">
        <v>1</v>
      </c>
      <c r="R822" s="400">
        <v>1</v>
      </c>
      <c r="S822" s="464">
        <v>0.66666666666666663</v>
      </c>
      <c r="U822" s="1248">
        <f t="shared" si="12"/>
        <v>0</v>
      </c>
      <c r="V822" s="1304">
        <f t="shared" si="13"/>
        <v>1</v>
      </c>
    </row>
    <row r="823" spans="1:22" ht="16.5" thickTop="1" thickBot="1">
      <c r="A823" s="1244"/>
      <c r="B823" s="1249" t="s">
        <v>2708</v>
      </c>
      <c r="C823" s="1329" t="s">
        <v>3196</v>
      </c>
      <c r="D823" s="1326" t="s">
        <v>227</v>
      </c>
      <c r="E823" s="1249" t="s">
        <v>3831</v>
      </c>
      <c r="F823" s="455" t="s">
        <v>3832</v>
      </c>
      <c r="G823" s="456" t="s">
        <v>156</v>
      </c>
      <c r="H823" s="889">
        <v>0</v>
      </c>
      <c r="I823" s="891">
        <v>10.010999999999999</v>
      </c>
      <c r="J823" s="601">
        <v>20.495000000000001</v>
      </c>
      <c r="K823" s="602">
        <v>1</v>
      </c>
      <c r="L823" s="981">
        <v>3</v>
      </c>
      <c r="M823" s="1249" t="s">
        <v>227</v>
      </c>
      <c r="N823" s="604" t="s">
        <v>227</v>
      </c>
      <c r="O823" s="465">
        <v>2</v>
      </c>
      <c r="P823" s="435">
        <v>20.495000000000001</v>
      </c>
      <c r="Q823" s="435">
        <v>2</v>
      </c>
      <c r="R823" s="401">
        <v>2</v>
      </c>
      <c r="S823" s="466">
        <v>1</v>
      </c>
      <c r="U823" s="1248">
        <f t="shared" si="12"/>
        <v>0</v>
      </c>
      <c r="V823" s="1304">
        <f t="shared" si="13"/>
        <v>1</v>
      </c>
    </row>
    <row r="824" spans="1:22" ht="16.5" thickTop="1" thickBot="1">
      <c r="A824" s="1244"/>
      <c r="B824" s="1245" t="s">
        <v>2708</v>
      </c>
      <c r="C824" s="1328" t="s">
        <v>3199</v>
      </c>
      <c r="D824" s="1327" t="s">
        <v>227</v>
      </c>
      <c r="E824" s="1245" t="s">
        <v>3199</v>
      </c>
      <c r="F824" s="457" t="s">
        <v>3201</v>
      </c>
      <c r="G824" s="458" t="s">
        <v>158</v>
      </c>
      <c r="H824" s="888">
        <v>1</v>
      </c>
      <c r="I824" s="890">
        <v>10.256</v>
      </c>
      <c r="J824" s="899">
        <v>10.256</v>
      </c>
      <c r="K824" s="603">
        <v>0.66666666666666663</v>
      </c>
      <c r="L824" s="980">
        <v>1</v>
      </c>
      <c r="M824" s="1245" t="s">
        <v>322</v>
      </c>
      <c r="N824" s="604" t="s">
        <v>227</v>
      </c>
      <c r="O824" s="463"/>
      <c r="P824" s="434">
        <v>10.256</v>
      </c>
      <c r="Q824" s="434">
        <v>1</v>
      </c>
      <c r="R824" s="400">
        <v>1</v>
      </c>
      <c r="S824" s="464">
        <v>1</v>
      </c>
      <c r="U824" s="1248">
        <f t="shared" si="12"/>
        <v>0</v>
      </c>
      <c r="V824" s="1304">
        <f t="shared" si="13"/>
        <v>1</v>
      </c>
    </row>
    <row r="825" spans="1:22" ht="16.5" thickTop="1" thickBot="1">
      <c r="A825" s="1244"/>
      <c r="B825" s="1249" t="s">
        <v>2708</v>
      </c>
      <c r="C825" s="1329" t="s">
        <v>3199</v>
      </c>
      <c r="D825" s="1326" t="s">
        <v>227</v>
      </c>
      <c r="E825" s="1249" t="s">
        <v>3311</v>
      </c>
      <c r="F825" s="455" t="s">
        <v>3312</v>
      </c>
      <c r="G825" s="456" t="s">
        <v>156</v>
      </c>
      <c r="H825" s="889">
        <v>1</v>
      </c>
      <c r="I825" s="891">
        <v>7.3710000000000004</v>
      </c>
      <c r="J825" s="601">
        <v>200.916</v>
      </c>
      <c r="K825" s="602">
        <v>0.56000000000000005</v>
      </c>
      <c r="L825" s="981">
        <v>13</v>
      </c>
      <c r="M825" s="1249" t="s">
        <v>323</v>
      </c>
      <c r="N825" s="604" t="s">
        <v>227</v>
      </c>
      <c r="O825" s="465">
        <v>7</v>
      </c>
      <c r="P825" s="435">
        <v>140.41499999999999</v>
      </c>
      <c r="Q825" s="435">
        <v>10</v>
      </c>
      <c r="R825" s="401">
        <v>5</v>
      </c>
      <c r="S825" s="466">
        <v>0.52631578947368418</v>
      </c>
      <c r="U825" s="1248">
        <f t="shared" si="12"/>
        <v>0</v>
      </c>
      <c r="V825" s="1304">
        <f t="shared" si="13"/>
        <v>1</v>
      </c>
    </row>
    <row r="826" spans="1:22" ht="16.5" thickTop="1" thickBot="1">
      <c r="A826" s="1244"/>
      <c r="B826" s="1245" t="s">
        <v>2708</v>
      </c>
      <c r="C826" s="1328" t="s">
        <v>3199</v>
      </c>
      <c r="D826" s="1327" t="s">
        <v>227</v>
      </c>
      <c r="E826" s="1245" t="s">
        <v>3313</v>
      </c>
      <c r="F826" s="457" t="s">
        <v>3314</v>
      </c>
      <c r="G826" s="458" t="s">
        <v>157</v>
      </c>
      <c r="H826" s="888">
        <v>1</v>
      </c>
      <c r="I826" s="890">
        <v>15.134</v>
      </c>
      <c r="J826" s="899">
        <v>28.231999999999999</v>
      </c>
      <c r="K826" s="603">
        <v>0.66666666666666663</v>
      </c>
      <c r="L826" s="980">
        <v>2</v>
      </c>
      <c r="M826" s="1245" t="s">
        <v>323</v>
      </c>
      <c r="N826" s="604" t="s">
        <v>227</v>
      </c>
      <c r="O826" s="463"/>
      <c r="P826" s="434">
        <v>15.611000000000001</v>
      </c>
      <c r="Q826" s="434">
        <v>1</v>
      </c>
      <c r="R826" s="400">
        <v>1</v>
      </c>
      <c r="S826" s="464">
        <v>0.5</v>
      </c>
      <c r="U826" s="1248">
        <f t="shared" si="12"/>
        <v>0</v>
      </c>
      <c r="V826" s="1304">
        <f t="shared" si="13"/>
        <v>1</v>
      </c>
    </row>
    <row r="827" spans="1:22" ht="16.5" thickTop="1" thickBot="1">
      <c r="A827" s="1244"/>
      <c r="B827" s="1249" t="s">
        <v>2708</v>
      </c>
      <c r="C827" s="1329" t="s">
        <v>3199</v>
      </c>
      <c r="D827" s="1326" t="s">
        <v>227</v>
      </c>
      <c r="E827" s="1249" t="s">
        <v>3315</v>
      </c>
      <c r="F827" s="455" t="s">
        <v>2586</v>
      </c>
      <c r="G827" s="456" t="s">
        <v>156</v>
      </c>
      <c r="H827" s="889">
        <v>1</v>
      </c>
      <c r="I827" s="891">
        <v>11.262</v>
      </c>
      <c r="J827" s="601">
        <v>21.262</v>
      </c>
      <c r="K827" s="602">
        <v>0.30769230769230771</v>
      </c>
      <c r="L827" s="981">
        <v>5</v>
      </c>
      <c r="M827" s="1249" t="s">
        <v>323</v>
      </c>
      <c r="N827" s="604" t="s">
        <v>227</v>
      </c>
      <c r="O827" s="465">
        <v>1</v>
      </c>
      <c r="P827" s="435">
        <v>21.262</v>
      </c>
      <c r="Q827" s="435">
        <v>2</v>
      </c>
      <c r="R827" s="401">
        <v>2</v>
      </c>
      <c r="S827" s="466">
        <v>0.44444444444444442</v>
      </c>
      <c r="U827" s="1248">
        <f t="shared" si="12"/>
        <v>0</v>
      </c>
      <c r="V827" s="1304">
        <f t="shared" si="13"/>
        <v>1</v>
      </c>
    </row>
    <row r="828" spans="1:22" ht="16.5" thickTop="1" thickBot="1">
      <c r="A828" s="1244"/>
      <c r="B828" s="1245" t="s">
        <v>2708</v>
      </c>
      <c r="C828" s="1328" t="s">
        <v>3604</v>
      </c>
      <c r="D828" s="1327" t="s">
        <v>227</v>
      </c>
      <c r="E828" s="1245" t="s">
        <v>3604</v>
      </c>
      <c r="F828" s="457" t="s">
        <v>3606</v>
      </c>
      <c r="G828" s="458" t="s">
        <v>158</v>
      </c>
      <c r="H828" s="888">
        <v>1</v>
      </c>
      <c r="I828" s="890"/>
      <c r="J828" s="899">
        <v>52.039000000000001</v>
      </c>
      <c r="K828" s="603">
        <v>0</v>
      </c>
      <c r="L828" s="980">
        <v>1</v>
      </c>
      <c r="M828" s="1245" t="s">
        <v>323</v>
      </c>
      <c r="N828" s="604" t="s">
        <v>227</v>
      </c>
      <c r="O828" s="463">
        <v>1</v>
      </c>
      <c r="P828" s="434">
        <v>52.039000000000001</v>
      </c>
      <c r="Q828" s="434">
        <v>5</v>
      </c>
      <c r="R828" s="400">
        <v>0</v>
      </c>
      <c r="S828" s="464">
        <v>0</v>
      </c>
      <c r="U828" s="1248">
        <f t="shared" si="12"/>
        <v>0</v>
      </c>
      <c r="V828" s="1304">
        <f t="shared" si="13"/>
        <v>1</v>
      </c>
    </row>
    <row r="829" spans="1:22" ht="16.5" thickTop="1" thickBot="1">
      <c r="A829" s="1244"/>
      <c r="B829" s="1249" t="s">
        <v>2708</v>
      </c>
      <c r="C829" s="1329" t="s">
        <v>3604</v>
      </c>
      <c r="D829" s="1326" t="s">
        <v>227</v>
      </c>
      <c r="E829" s="1249" t="s">
        <v>3668</v>
      </c>
      <c r="F829" s="455" t="s">
        <v>1059</v>
      </c>
      <c r="G829" s="456" t="s">
        <v>157</v>
      </c>
      <c r="H829" s="889">
        <v>1</v>
      </c>
      <c r="I829" s="891"/>
      <c r="J829" s="601"/>
      <c r="K829" s="602">
        <v>0</v>
      </c>
      <c r="L829" s="981">
        <v>1</v>
      </c>
      <c r="M829" s="1249" t="s">
        <v>366</v>
      </c>
      <c r="N829" s="604" t="s">
        <v>227</v>
      </c>
      <c r="O829" s="465">
        <v>1</v>
      </c>
      <c r="P829" s="435"/>
      <c r="Q829" s="435"/>
      <c r="R829" s="401">
        <v>0</v>
      </c>
      <c r="S829" s="466">
        <v>0</v>
      </c>
      <c r="U829" s="1248">
        <f t="shared" si="12"/>
        <v>1</v>
      </c>
      <c r="V829" s="1304">
        <f t="shared" si="13"/>
        <v>1</v>
      </c>
    </row>
    <row r="830" spans="1:22" ht="16.5" thickTop="1" thickBot="1">
      <c r="A830" s="1244"/>
      <c r="B830" s="1245" t="s">
        <v>2708</v>
      </c>
      <c r="C830" s="1328" t="s">
        <v>3604</v>
      </c>
      <c r="D830" s="1327" t="s">
        <v>227</v>
      </c>
      <c r="E830" s="1245" t="s">
        <v>3833</v>
      </c>
      <c r="F830" s="457" t="s">
        <v>3834</v>
      </c>
      <c r="G830" s="458" t="s">
        <v>156</v>
      </c>
      <c r="H830" s="888">
        <v>1</v>
      </c>
      <c r="I830" s="890">
        <v>90.366</v>
      </c>
      <c r="J830" s="899">
        <v>132.69300000000001</v>
      </c>
      <c r="K830" s="603">
        <v>1.25</v>
      </c>
      <c r="L830" s="980">
        <v>8</v>
      </c>
      <c r="M830" s="1245" t="s">
        <v>323</v>
      </c>
      <c r="N830" s="604" t="s">
        <v>227</v>
      </c>
      <c r="O830" s="463">
        <v>8</v>
      </c>
      <c r="P830" s="434">
        <v>132.69300000000001</v>
      </c>
      <c r="Q830" s="434">
        <v>12</v>
      </c>
      <c r="R830" s="400">
        <v>5</v>
      </c>
      <c r="S830" s="464">
        <v>1.25</v>
      </c>
      <c r="U830" s="1248">
        <f t="shared" si="12"/>
        <v>0</v>
      </c>
      <c r="V830" s="1304">
        <f t="shared" si="13"/>
        <v>1</v>
      </c>
    </row>
    <row r="831" spans="1:22" ht="16.5" thickTop="1" thickBot="1">
      <c r="A831" s="1244"/>
      <c r="B831" s="1249" t="s">
        <v>2708</v>
      </c>
      <c r="C831" s="1329" t="s">
        <v>3604</v>
      </c>
      <c r="D831" s="1326" t="s">
        <v>227</v>
      </c>
      <c r="E831" s="1249" t="s">
        <v>3835</v>
      </c>
      <c r="F831" s="455" t="s">
        <v>3836</v>
      </c>
      <c r="G831" s="456" t="s">
        <v>156</v>
      </c>
      <c r="H831" s="889">
        <v>1</v>
      </c>
      <c r="I831" s="891">
        <v>7.34</v>
      </c>
      <c r="J831" s="601">
        <v>17.552</v>
      </c>
      <c r="K831" s="602">
        <v>1.3333333333333333</v>
      </c>
      <c r="L831" s="981">
        <v>3</v>
      </c>
      <c r="M831" s="1249" t="s">
        <v>321</v>
      </c>
      <c r="N831" s="604" t="s">
        <v>227</v>
      </c>
      <c r="O831" s="465">
        <v>3</v>
      </c>
      <c r="P831" s="435">
        <v>17.552</v>
      </c>
      <c r="Q831" s="435">
        <v>2</v>
      </c>
      <c r="R831" s="401">
        <v>2</v>
      </c>
      <c r="S831" s="466">
        <v>1.3333333333333333</v>
      </c>
      <c r="U831" s="1248">
        <f t="shared" si="12"/>
        <v>0</v>
      </c>
      <c r="V831" s="1304">
        <f t="shared" si="13"/>
        <v>1</v>
      </c>
    </row>
    <row r="832" spans="1:22" ht="16.5" thickTop="1" thickBot="1">
      <c r="A832" s="1244"/>
      <c r="B832" s="1245" t="s">
        <v>2708</v>
      </c>
      <c r="C832" s="1328" t="s">
        <v>3604</v>
      </c>
      <c r="D832" s="1327" t="s">
        <v>227</v>
      </c>
      <c r="E832" s="1245" t="s">
        <v>3837</v>
      </c>
      <c r="F832" s="457" t="s">
        <v>3838</v>
      </c>
      <c r="G832" s="458" t="s">
        <v>156</v>
      </c>
      <c r="H832" s="888">
        <v>1</v>
      </c>
      <c r="I832" s="890">
        <v>24.167000000000002</v>
      </c>
      <c r="J832" s="899">
        <v>41.942999999999998</v>
      </c>
      <c r="K832" s="603">
        <v>1</v>
      </c>
      <c r="L832" s="980">
        <v>4</v>
      </c>
      <c r="M832" s="1245" t="s">
        <v>323</v>
      </c>
      <c r="N832" s="604" t="s">
        <v>227</v>
      </c>
      <c r="O832" s="463">
        <v>4</v>
      </c>
      <c r="P832" s="434">
        <v>41.942999999999998</v>
      </c>
      <c r="Q832" s="434">
        <v>4</v>
      </c>
      <c r="R832" s="400">
        <v>2</v>
      </c>
      <c r="S832" s="464">
        <v>1</v>
      </c>
      <c r="U832" s="1248">
        <f t="shared" si="12"/>
        <v>0</v>
      </c>
      <c r="V832" s="1304">
        <f t="shared" si="13"/>
        <v>1</v>
      </c>
    </row>
    <row r="833" spans="1:22" ht="16.5" thickTop="1" thickBot="1">
      <c r="A833" s="1244"/>
      <c r="B833" s="1249" t="s">
        <v>2708</v>
      </c>
      <c r="C833" s="1329" t="s">
        <v>3604</v>
      </c>
      <c r="D833" s="1326" t="s">
        <v>227</v>
      </c>
      <c r="E833" s="1249" t="s">
        <v>3839</v>
      </c>
      <c r="F833" s="455" t="s">
        <v>3840</v>
      </c>
      <c r="G833" s="456" t="s">
        <v>156</v>
      </c>
      <c r="H833" s="889">
        <v>0</v>
      </c>
      <c r="I833" s="891">
        <v>32.353000000000002</v>
      </c>
      <c r="J833" s="601">
        <v>43.024999999999999</v>
      </c>
      <c r="K833" s="602">
        <v>2</v>
      </c>
      <c r="L833" s="981">
        <v>2</v>
      </c>
      <c r="M833" s="1249" t="s">
        <v>227</v>
      </c>
      <c r="N833" s="604" t="s">
        <v>227</v>
      </c>
      <c r="O833" s="465">
        <v>2</v>
      </c>
      <c r="P833" s="435">
        <v>43.024999999999999</v>
      </c>
      <c r="Q833" s="435">
        <v>3</v>
      </c>
      <c r="R833" s="401">
        <v>2</v>
      </c>
      <c r="S833" s="466">
        <v>2</v>
      </c>
      <c r="U833" s="1248">
        <f t="shared" si="12"/>
        <v>0</v>
      </c>
      <c r="V833" s="1304">
        <f t="shared" si="13"/>
        <v>1</v>
      </c>
    </row>
    <row r="834" spans="1:22" ht="16.5" thickTop="1" thickBot="1">
      <c r="A834" s="1244"/>
      <c r="B834" s="1245" t="s">
        <v>2708</v>
      </c>
      <c r="C834" s="1328" t="s">
        <v>3604</v>
      </c>
      <c r="D834" s="1327" t="s">
        <v>227</v>
      </c>
      <c r="E834" s="1245" t="s">
        <v>3841</v>
      </c>
      <c r="F834" s="457" t="s">
        <v>3842</v>
      </c>
      <c r="G834" s="458" t="s">
        <v>156</v>
      </c>
      <c r="H834" s="888">
        <v>0</v>
      </c>
      <c r="I834" s="890">
        <v>91.826999999999998</v>
      </c>
      <c r="J834" s="899">
        <v>328.89800000000002</v>
      </c>
      <c r="K834" s="603">
        <v>0.90909090909090906</v>
      </c>
      <c r="L834" s="980">
        <v>11</v>
      </c>
      <c r="M834" s="1245" t="s">
        <v>227</v>
      </c>
      <c r="N834" s="604" t="s">
        <v>227</v>
      </c>
      <c r="O834" s="463">
        <v>11</v>
      </c>
      <c r="P834" s="434">
        <v>328.89800000000002</v>
      </c>
      <c r="Q834" s="434">
        <v>24</v>
      </c>
      <c r="R834" s="400">
        <v>5</v>
      </c>
      <c r="S834" s="464">
        <v>0.90909090909090906</v>
      </c>
      <c r="U834" s="1248">
        <f t="shared" si="12"/>
        <v>0</v>
      </c>
      <c r="V834" s="1304">
        <f t="shared" si="13"/>
        <v>1</v>
      </c>
    </row>
    <row r="835" spans="1:22" ht="16.5" thickTop="1" thickBot="1">
      <c r="A835" s="1244"/>
      <c r="B835" s="1249" t="s">
        <v>2708</v>
      </c>
      <c r="C835" s="1329" t="s">
        <v>3607</v>
      </c>
      <c r="D835" s="1326" t="s">
        <v>227</v>
      </c>
      <c r="E835" s="1249" t="s">
        <v>3670</v>
      </c>
      <c r="F835" s="455" t="s">
        <v>3672</v>
      </c>
      <c r="G835" s="456" t="s">
        <v>157</v>
      </c>
      <c r="H835" s="889">
        <v>1</v>
      </c>
      <c r="I835" s="891">
        <v>9.01</v>
      </c>
      <c r="J835" s="601">
        <v>9.01</v>
      </c>
      <c r="K835" s="602">
        <v>0.66666666666666663</v>
      </c>
      <c r="L835" s="981">
        <v>3</v>
      </c>
      <c r="M835" s="1249" t="s">
        <v>366</v>
      </c>
      <c r="N835" s="604" t="s">
        <v>227</v>
      </c>
      <c r="O835" s="465">
        <v>3</v>
      </c>
      <c r="P835" s="435">
        <v>9.01</v>
      </c>
      <c r="Q835" s="435">
        <v>1</v>
      </c>
      <c r="R835" s="401">
        <v>1</v>
      </c>
      <c r="S835" s="466">
        <v>0.66666666666666663</v>
      </c>
      <c r="U835" s="1248">
        <f t="shared" si="12"/>
        <v>1</v>
      </c>
      <c r="V835" s="1304">
        <f t="shared" si="13"/>
        <v>1</v>
      </c>
    </row>
    <row r="836" spans="1:22" ht="16.5" thickTop="1" thickBot="1">
      <c r="A836" s="1244"/>
      <c r="B836" s="1245" t="s">
        <v>2708</v>
      </c>
      <c r="C836" s="1328" t="s">
        <v>3607</v>
      </c>
      <c r="D836" s="1327" t="s">
        <v>227</v>
      </c>
      <c r="E836" s="1245" t="s">
        <v>3673</v>
      </c>
      <c r="F836" s="457" t="s">
        <v>3675</v>
      </c>
      <c r="G836" s="458" t="s">
        <v>157</v>
      </c>
      <c r="H836" s="888">
        <v>1</v>
      </c>
      <c r="I836" s="890"/>
      <c r="J836" s="899"/>
      <c r="K836" s="603">
        <v>0</v>
      </c>
      <c r="L836" s="980">
        <v>1</v>
      </c>
      <c r="M836" s="1245" t="s">
        <v>366</v>
      </c>
      <c r="N836" s="604" t="s">
        <v>227</v>
      </c>
      <c r="O836" s="463">
        <v>1</v>
      </c>
      <c r="P836" s="434"/>
      <c r="Q836" s="434"/>
      <c r="R836" s="400">
        <v>0</v>
      </c>
      <c r="S836" s="464">
        <v>0</v>
      </c>
      <c r="U836" s="1248">
        <f t="shared" si="12"/>
        <v>1</v>
      </c>
      <c r="V836" s="1304">
        <f t="shared" si="13"/>
        <v>1</v>
      </c>
    </row>
    <row r="837" spans="1:22" ht="16.5" thickTop="1" thickBot="1">
      <c r="A837" s="1244"/>
      <c r="B837" s="1249" t="s">
        <v>2708</v>
      </c>
      <c r="C837" s="1329" t="s">
        <v>3607</v>
      </c>
      <c r="D837" s="1326" t="s">
        <v>227</v>
      </c>
      <c r="E837" s="1249" t="s">
        <v>3843</v>
      </c>
      <c r="F837" s="455" t="s">
        <v>3844</v>
      </c>
      <c r="G837" s="456" t="s">
        <v>156</v>
      </c>
      <c r="H837" s="889">
        <v>1</v>
      </c>
      <c r="I837" s="891">
        <v>7.5590000000000002</v>
      </c>
      <c r="J837" s="601">
        <v>7.5590000000000002</v>
      </c>
      <c r="K837" s="602">
        <v>1</v>
      </c>
      <c r="L837" s="981">
        <v>2</v>
      </c>
      <c r="M837" s="1249" t="s">
        <v>366</v>
      </c>
      <c r="N837" s="604" t="s">
        <v>227</v>
      </c>
      <c r="O837" s="465">
        <v>3</v>
      </c>
      <c r="P837" s="435">
        <v>7.5590000000000002</v>
      </c>
      <c r="Q837" s="435">
        <v>1</v>
      </c>
      <c r="R837" s="401">
        <v>1</v>
      </c>
      <c r="S837" s="466">
        <v>1</v>
      </c>
      <c r="U837" s="1248">
        <f t="shared" si="12"/>
        <v>1</v>
      </c>
      <c r="V837" s="1304">
        <f t="shared" si="13"/>
        <v>1</v>
      </c>
    </row>
    <row r="838" spans="1:22" ht="16.5" thickTop="1" thickBot="1">
      <c r="A838" s="1244"/>
      <c r="B838" s="1245" t="s">
        <v>2708</v>
      </c>
      <c r="C838" s="1328" t="s">
        <v>3607</v>
      </c>
      <c r="D838" s="1327" t="s">
        <v>227</v>
      </c>
      <c r="E838" s="1245" t="s">
        <v>3676</v>
      </c>
      <c r="F838" s="457" t="s">
        <v>3678</v>
      </c>
      <c r="G838" s="458" t="s">
        <v>157</v>
      </c>
      <c r="H838" s="888">
        <v>1</v>
      </c>
      <c r="I838" s="890">
        <v>10.162000000000001</v>
      </c>
      <c r="J838" s="899">
        <v>45.908000000000001</v>
      </c>
      <c r="K838" s="603">
        <v>1.6666666666666667</v>
      </c>
      <c r="L838" s="980">
        <v>6</v>
      </c>
      <c r="M838" s="1245" t="s">
        <v>323</v>
      </c>
      <c r="N838" s="604" t="s">
        <v>227</v>
      </c>
      <c r="O838" s="463">
        <v>6</v>
      </c>
      <c r="P838" s="434">
        <v>45.908000000000001</v>
      </c>
      <c r="Q838" s="434">
        <v>5</v>
      </c>
      <c r="R838" s="400">
        <v>5</v>
      </c>
      <c r="S838" s="464">
        <v>1.6666666666666667</v>
      </c>
      <c r="U838" s="1248">
        <f t="shared" si="12"/>
        <v>0</v>
      </c>
      <c r="V838" s="1304">
        <f t="shared" si="13"/>
        <v>1</v>
      </c>
    </row>
    <row r="839" spans="1:22" ht="16.5" thickTop="1" thickBot="1">
      <c r="A839" s="1244"/>
      <c r="B839" s="1249" t="s">
        <v>2708</v>
      </c>
      <c r="C839" s="1329" t="s">
        <v>3607</v>
      </c>
      <c r="D839" s="1326" t="s">
        <v>227</v>
      </c>
      <c r="E839" s="1249" t="s">
        <v>3845</v>
      </c>
      <c r="F839" s="455" t="s">
        <v>3846</v>
      </c>
      <c r="G839" s="456" t="s">
        <v>156</v>
      </c>
      <c r="H839" s="889">
        <v>1</v>
      </c>
      <c r="I839" s="891">
        <v>10.35</v>
      </c>
      <c r="J839" s="601">
        <v>20.498999999999999</v>
      </c>
      <c r="K839" s="602">
        <v>1.3333333333333333</v>
      </c>
      <c r="L839" s="981">
        <v>3</v>
      </c>
      <c r="M839" s="1249" t="s">
        <v>323</v>
      </c>
      <c r="N839" s="604" t="s">
        <v>227</v>
      </c>
      <c r="O839" s="465">
        <v>3</v>
      </c>
      <c r="P839" s="435">
        <v>20.498999999999999</v>
      </c>
      <c r="Q839" s="435">
        <v>2</v>
      </c>
      <c r="R839" s="401">
        <v>2</v>
      </c>
      <c r="S839" s="466">
        <v>1.3333333333333333</v>
      </c>
      <c r="U839" s="1248">
        <f t="shared" si="12"/>
        <v>0</v>
      </c>
      <c r="V839" s="1304">
        <f t="shared" si="13"/>
        <v>1</v>
      </c>
    </row>
    <row r="840" spans="1:22" ht="16.5" thickTop="1" thickBot="1">
      <c r="A840" s="1244"/>
      <c r="B840" s="1245" t="s">
        <v>2708</v>
      </c>
      <c r="C840" s="1328" t="s">
        <v>3607</v>
      </c>
      <c r="D840" s="1327" t="s">
        <v>227</v>
      </c>
      <c r="E840" s="1245" t="s">
        <v>3847</v>
      </c>
      <c r="F840" s="457" t="s">
        <v>3848</v>
      </c>
      <c r="G840" s="458" t="s">
        <v>156</v>
      </c>
      <c r="H840" s="888">
        <v>1</v>
      </c>
      <c r="I840" s="890">
        <v>62.081000000000003</v>
      </c>
      <c r="J840" s="899">
        <v>162.59</v>
      </c>
      <c r="K840" s="603">
        <v>2</v>
      </c>
      <c r="L840" s="980">
        <v>3</v>
      </c>
      <c r="M840" s="1245" t="s">
        <v>323</v>
      </c>
      <c r="N840" s="604" t="s">
        <v>227</v>
      </c>
      <c r="O840" s="463">
        <v>3</v>
      </c>
      <c r="P840" s="434">
        <v>162.59</v>
      </c>
      <c r="Q840" s="434">
        <v>11</v>
      </c>
      <c r="R840" s="400">
        <v>3</v>
      </c>
      <c r="S840" s="464">
        <v>2</v>
      </c>
      <c r="U840" s="1248">
        <f t="shared" si="12"/>
        <v>0</v>
      </c>
      <c r="V840" s="1304">
        <f t="shared" si="13"/>
        <v>1</v>
      </c>
    </row>
    <row r="841" spans="1:22" ht="16.5" thickTop="1" thickBot="1">
      <c r="A841" s="1244"/>
      <c r="B841" s="1249" t="s">
        <v>2708</v>
      </c>
      <c r="C841" s="1329" t="s">
        <v>3607</v>
      </c>
      <c r="D841" s="1326" t="s">
        <v>227</v>
      </c>
      <c r="E841" s="1249" t="s">
        <v>3849</v>
      </c>
      <c r="F841" s="455" t="s">
        <v>840</v>
      </c>
      <c r="G841" s="456" t="s">
        <v>156</v>
      </c>
      <c r="H841" s="889">
        <v>1</v>
      </c>
      <c r="I841" s="891">
        <v>75.867999999999995</v>
      </c>
      <c r="J841" s="601">
        <v>75.867999999999995</v>
      </c>
      <c r="K841" s="602">
        <v>1</v>
      </c>
      <c r="L841" s="981">
        <v>2</v>
      </c>
      <c r="M841" s="1249" t="s">
        <v>323</v>
      </c>
      <c r="N841" s="604" t="s">
        <v>227</v>
      </c>
      <c r="O841" s="465">
        <v>2</v>
      </c>
      <c r="P841" s="435">
        <v>75.867999999999995</v>
      </c>
      <c r="Q841" s="435">
        <v>5</v>
      </c>
      <c r="R841" s="401">
        <v>1</v>
      </c>
      <c r="S841" s="466">
        <v>1</v>
      </c>
      <c r="U841" s="1248">
        <f t="shared" si="12"/>
        <v>0</v>
      </c>
      <c r="V841" s="1304">
        <f t="shared" si="13"/>
        <v>1</v>
      </c>
    </row>
    <row r="842" spans="1:22" ht="16.5" thickTop="1" thickBot="1">
      <c r="A842" s="1244"/>
      <c r="B842" s="1245" t="s">
        <v>2708</v>
      </c>
      <c r="C842" s="1328" t="s">
        <v>3607</v>
      </c>
      <c r="D842" s="1327" t="s">
        <v>227</v>
      </c>
      <c r="E842" s="1245" t="s">
        <v>3850</v>
      </c>
      <c r="F842" s="457" t="s">
        <v>3851</v>
      </c>
      <c r="G842" s="458" t="s">
        <v>156</v>
      </c>
      <c r="H842" s="888">
        <v>1</v>
      </c>
      <c r="I842" s="890"/>
      <c r="J842" s="899"/>
      <c r="K842" s="603">
        <v>0</v>
      </c>
      <c r="L842" s="980">
        <v>1</v>
      </c>
      <c r="M842" s="1245" t="s">
        <v>366</v>
      </c>
      <c r="N842" s="604" t="s">
        <v>227</v>
      </c>
      <c r="O842" s="463">
        <v>1</v>
      </c>
      <c r="P842" s="434"/>
      <c r="Q842" s="434"/>
      <c r="R842" s="400">
        <v>0</v>
      </c>
      <c r="S842" s="464">
        <v>0</v>
      </c>
      <c r="U842" s="1248">
        <f t="shared" si="12"/>
        <v>1</v>
      </c>
      <c r="V842" s="1304">
        <f t="shared" si="13"/>
        <v>1</v>
      </c>
    </row>
    <row r="843" spans="1:22" ht="16.5" thickTop="1" thickBot="1">
      <c r="A843" s="1244"/>
      <c r="B843" s="1249" t="s">
        <v>2708</v>
      </c>
      <c r="C843" s="1329" t="s">
        <v>3607</v>
      </c>
      <c r="D843" s="1326" t="s">
        <v>227</v>
      </c>
      <c r="E843" s="1249" t="s">
        <v>3852</v>
      </c>
      <c r="F843" s="455" t="s">
        <v>3853</v>
      </c>
      <c r="G843" s="456" t="s">
        <v>156</v>
      </c>
      <c r="H843" s="889">
        <v>1</v>
      </c>
      <c r="I843" s="891"/>
      <c r="J843" s="601">
        <v>36.076999999999998</v>
      </c>
      <c r="K843" s="602">
        <v>1</v>
      </c>
      <c r="L843" s="981">
        <v>6</v>
      </c>
      <c r="M843" s="1249" t="s">
        <v>323</v>
      </c>
      <c r="N843" s="604" t="s">
        <v>227</v>
      </c>
      <c r="O843" s="465">
        <v>6</v>
      </c>
      <c r="P843" s="435">
        <v>36.076999999999998</v>
      </c>
      <c r="Q843" s="435">
        <v>4</v>
      </c>
      <c r="R843" s="401">
        <v>3</v>
      </c>
      <c r="S843" s="466">
        <v>1</v>
      </c>
      <c r="U843" s="1248">
        <f t="shared" si="12"/>
        <v>0</v>
      </c>
      <c r="V843" s="1304">
        <f t="shared" si="13"/>
        <v>1</v>
      </c>
    </row>
    <row r="844" spans="1:22" ht="16.5" thickTop="1" thickBot="1">
      <c r="A844" s="1244"/>
      <c r="B844" s="1245" t="s">
        <v>2708</v>
      </c>
      <c r="C844" s="1328" t="s">
        <v>3607</v>
      </c>
      <c r="D844" s="1327" t="s">
        <v>227</v>
      </c>
      <c r="E844" s="1245" t="s">
        <v>3854</v>
      </c>
      <c r="F844" s="457" t="s">
        <v>3855</v>
      </c>
      <c r="G844" s="458" t="s">
        <v>156</v>
      </c>
      <c r="H844" s="888">
        <v>1</v>
      </c>
      <c r="I844" s="890"/>
      <c r="J844" s="899">
        <v>10.27</v>
      </c>
      <c r="K844" s="603">
        <v>0.5</v>
      </c>
      <c r="L844" s="980">
        <v>4</v>
      </c>
      <c r="M844" s="1245" t="s">
        <v>322</v>
      </c>
      <c r="N844" s="604" t="s">
        <v>227</v>
      </c>
      <c r="O844" s="463">
        <v>4</v>
      </c>
      <c r="P844" s="434">
        <v>10.27</v>
      </c>
      <c r="Q844" s="434">
        <v>1</v>
      </c>
      <c r="R844" s="400">
        <v>1</v>
      </c>
      <c r="S844" s="464">
        <v>0.5</v>
      </c>
      <c r="U844" s="1248">
        <f t="shared" si="12"/>
        <v>0</v>
      </c>
      <c r="V844" s="1304">
        <f t="shared" si="13"/>
        <v>1</v>
      </c>
    </row>
    <row r="845" spans="1:22" ht="16.5" thickTop="1" thickBot="1">
      <c r="A845" s="1244"/>
      <c r="B845" s="1249" t="s">
        <v>2708</v>
      </c>
      <c r="C845" s="1329" t="s">
        <v>3607</v>
      </c>
      <c r="D845" s="1326" t="s">
        <v>227</v>
      </c>
      <c r="E845" s="1249" t="s">
        <v>3607</v>
      </c>
      <c r="F845" s="455" t="s">
        <v>3609</v>
      </c>
      <c r="G845" s="456" t="s">
        <v>739</v>
      </c>
      <c r="H845" s="889">
        <v>1</v>
      </c>
      <c r="I845" s="891">
        <v>7.4509999999999996</v>
      </c>
      <c r="J845" s="601">
        <v>7.4509999999999996</v>
      </c>
      <c r="K845" s="602">
        <v>2</v>
      </c>
      <c r="L845" s="981">
        <v>1</v>
      </c>
      <c r="M845" s="1249" t="s">
        <v>366</v>
      </c>
      <c r="N845" s="604" t="s">
        <v>227</v>
      </c>
      <c r="O845" s="465">
        <v>1</v>
      </c>
      <c r="P845" s="435">
        <v>7.4509999999999996</v>
      </c>
      <c r="Q845" s="435">
        <v>1</v>
      </c>
      <c r="R845" s="401">
        <v>1</v>
      </c>
      <c r="S845" s="466">
        <v>2</v>
      </c>
      <c r="U845" s="1248">
        <f t="shared" si="12"/>
        <v>1</v>
      </c>
      <c r="V845" s="1304">
        <f t="shared" si="13"/>
        <v>1</v>
      </c>
    </row>
    <row r="846" spans="1:22" ht="16.5" thickTop="1" thickBot="1">
      <c r="A846" s="1244"/>
      <c r="B846" s="1245" t="s">
        <v>2708</v>
      </c>
      <c r="C846" s="1328" t="s">
        <v>3607</v>
      </c>
      <c r="D846" s="1327" t="s">
        <v>227</v>
      </c>
      <c r="E846" s="1245" t="s">
        <v>3856</v>
      </c>
      <c r="F846" s="457" t="s">
        <v>3857</v>
      </c>
      <c r="G846" s="458" t="s">
        <v>156</v>
      </c>
      <c r="H846" s="888">
        <v>1</v>
      </c>
      <c r="I846" s="890"/>
      <c r="J846" s="899">
        <v>49.997999999999998</v>
      </c>
      <c r="K846" s="603">
        <v>1.5</v>
      </c>
      <c r="L846" s="980">
        <v>4</v>
      </c>
      <c r="M846" s="1245" t="s">
        <v>323</v>
      </c>
      <c r="N846" s="604" t="s">
        <v>227</v>
      </c>
      <c r="O846" s="463">
        <v>4</v>
      </c>
      <c r="P846" s="434">
        <v>49.997999999999998</v>
      </c>
      <c r="Q846" s="434">
        <v>5</v>
      </c>
      <c r="R846" s="400">
        <v>3</v>
      </c>
      <c r="S846" s="464">
        <v>1.5</v>
      </c>
      <c r="U846" s="1248">
        <f t="shared" si="12"/>
        <v>0</v>
      </c>
      <c r="V846" s="1304">
        <f t="shared" si="13"/>
        <v>1</v>
      </c>
    </row>
    <row r="847" spans="1:22" ht="16.5" thickTop="1" thickBot="1">
      <c r="A847" s="1244"/>
      <c r="B847" s="1249" t="s">
        <v>2708</v>
      </c>
      <c r="C847" s="1329" t="s">
        <v>3610</v>
      </c>
      <c r="D847" s="1326" t="s">
        <v>227</v>
      </c>
      <c r="E847" s="1249" t="s">
        <v>2797</v>
      </c>
      <c r="F847" s="455" t="s">
        <v>2798</v>
      </c>
      <c r="G847" s="456" t="s">
        <v>156</v>
      </c>
      <c r="H847" s="889">
        <v>3</v>
      </c>
      <c r="I847" s="891">
        <v>154.83699999999999</v>
      </c>
      <c r="J847" s="601">
        <v>154.83699999999999</v>
      </c>
      <c r="K847" s="602">
        <v>0.36363636363636365</v>
      </c>
      <c r="L847" s="981">
        <v>5</v>
      </c>
      <c r="M847" s="1249" t="s">
        <v>323</v>
      </c>
      <c r="N847" s="604" t="s">
        <v>227</v>
      </c>
      <c r="O847" s="465">
        <v>4</v>
      </c>
      <c r="P847" s="435"/>
      <c r="Q847" s="435"/>
      <c r="R847" s="401">
        <v>0</v>
      </c>
      <c r="S847" s="466">
        <v>0</v>
      </c>
      <c r="U847" s="1248">
        <f t="shared" si="12"/>
        <v>0</v>
      </c>
      <c r="V847" s="1304">
        <f t="shared" si="13"/>
        <v>1</v>
      </c>
    </row>
    <row r="848" spans="1:22" ht="16.5" thickTop="1" thickBot="1">
      <c r="A848" s="1244"/>
      <c r="B848" s="1245" t="s">
        <v>2708</v>
      </c>
      <c r="C848" s="1328" t="s">
        <v>3610</v>
      </c>
      <c r="D848" s="1327" t="s">
        <v>227</v>
      </c>
      <c r="E848" s="1245" t="s">
        <v>2936</v>
      </c>
      <c r="F848" s="457" t="s">
        <v>2781</v>
      </c>
      <c r="G848" s="458" t="s">
        <v>157</v>
      </c>
      <c r="H848" s="888">
        <v>3</v>
      </c>
      <c r="I848" s="890"/>
      <c r="J848" s="899"/>
      <c r="K848" s="603">
        <v>0</v>
      </c>
      <c r="L848" s="980">
        <v>2</v>
      </c>
      <c r="M848" s="1245" t="s">
        <v>366</v>
      </c>
      <c r="N848" s="604" t="s">
        <v>227</v>
      </c>
      <c r="O848" s="463"/>
      <c r="P848" s="434"/>
      <c r="Q848" s="434"/>
      <c r="R848" s="400">
        <v>0</v>
      </c>
      <c r="S848" s="464">
        <v>0</v>
      </c>
      <c r="U848" s="1248">
        <f t="shared" si="12"/>
        <v>1</v>
      </c>
      <c r="V848" s="1304">
        <f t="shared" si="13"/>
        <v>1</v>
      </c>
    </row>
    <row r="849" spans="1:22" ht="16.5" thickTop="1" thickBot="1">
      <c r="A849" s="1244"/>
      <c r="B849" s="1249" t="s">
        <v>2708</v>
      </c>
      <c r="C849" s="1329" t="s">
        <v>3610</v>
      </c>
      <c r="D849" s="1326" t="s">
        <v>227</v>
      </c>
      <c r="E849" s="1249" t="s">
        <v>3006</v>
      </c>
      <c r="F849" s="455" t="s">
        <v>3007</v>
      </c>
      <c r="G849" s="456" t="s">
        <v>156</v>
      </c>
      <c r="H849" s="889">
        <v>3</v>
      </c>
      <c r="I849" s="891"/>
      <c r="J849" s="601"/>
      <c r="K849" s="602">
        <v>0</v>
      </c>
      <c r="L849" s="981">
        <v>1</v>
      </c>
      <c r="M849" s="1249" t="s">
        <v>366</v>
      </c>
      <c r="N849" s="604" t="s">
        <v>227</v>
      </c>
      <c r="O849" s="465"/>
      <c r="P849" s="435"/>
      <c r="Q849" s="435"/>
      <c r="R849" s="401">
        <v>0</v>
      </c>
      <c r="S849" s="466">
        <v>0</v>
      </c>
      <c r="U849" s="1248">
        <f t="shared" si="12"/>
        <v>1</v>
      </c>
      <c r="V849" s="1304">
        <f t="shared" si="13"/>
        <v>1</v>
      </c>
    </row>
    <row r="850" spans="1:22" ht="16.5" thickTop="1" thickBot="1">
      <c r="A850" s="1244"/>
      <c r="B850" s="1245" t="s">
        <v>2708</v>
      </c>
      <c r="C850" s="1328" t="s">
        <v>3610</v>
      </c>
      <c r="D850" s="1327" t="s">
        <v>227</v>
      </c>
      <c r="E850" s="1245" t="s">
        <v>3610</v>
      </c>
      <c r="F850" s="457" t="s">
        <v>3612</v>
      </c>
      <c r="G850" s="458" t="s">
        <v>739</v>
      </c>
      <c r="H850" s="888">
        <v>0</v>
      </c>
      <c r="I850" s="890"/>
      <c r="J850" s="899"/>
      <c r="K850" s="603">
        <v>0</v>
      </c>
      <c r="L850" s="980">
        <v>1</v>
      </c>
      <c r="M850" s="1245" t="s">
        <v>227</v>
      </c>
      <c r="N850" s="604" t="s">
        <v>227</v>
      </c>
      <c r="O850" s="463">
        <v>1</v>
      </c>
      <c r="P850" s="434"/>
      <c r="Q850" s="434"/>
      <c r="R850" s="400">
        <v>0</v>
      </c>
      <c r="S850" s="464">
        <v>0</v>
      </c>
      <c r="U850" s="1248">
        <f t="shared" si="12"/>
        <v>0</v>
      </c>
      <c r="V850" s="1304">
        <f t="shared" si="13"/>
        <v>1</v>
      </c>
    </row>
    <row r="851" spans="1:22" ht="16.5" thickTop="1" thickBot="1">
      <c r="A851" s="1244"/>
      <c r="B851" s="1249" t="s">
        <v>2708</v>
      </c>
      <c r="C851" s="1329" t="s">
        <v>3610</v>
      </c>
      <c r="D851" s="1326" t="s">
        <v>227</v>
      </c>
      <c r="E851" s="1249" t="s">
        <v>3858</v>
      </c>
      <c r="F851" s="455" t="s">
        <v>3859</v>
      </c>
      <c r="G851" s="456" t="s">
        <v>156</v>
      </c>
      <c r="H851" s="889">
        <v>0</v>
      </c>
      <c r="I851" s="891"/>
      <c r="J851" s="601"/>
      <c r="K851" s="602">
        <v>0</v>
      </c>
      <c r="L851" s="981">
        <v>1</v>
      </c>
      <c r="M851" s="1249" t="s">
        <v>227</v>
      </c>
      <c r="N851" s="604" t="s">
        <v>227</v>
      </c>
      <c r="O851" s="465">
        <v>1</v>
      </c>
      <c r="P851" s="435"/>
      <c r="Q851" s="435"/>
      <c r="R851" s="401">
        <v>0</v>
      </c>
      <c r="S851" s="466">
        <v>0</v>
      </c>
      <c r="U851" s="1248">
        <f t="shared" si="12"/>
        <v>0</v>
      </c>
      <c r="V851" s="1304">
        <f t="shared" si="13"/>
        <v>1</v>
      </c>
    </row>
    <row r="852" spans="1:22" ht="16.5" thickTop="1" thickBot="1">
      <c r="A852" s="1244"/>
      <c r="B852" s="1245" t="s">
        <v>2896</v>
      </c>
      <c r="C852" s="1328" t="s">
        <v>3613</v>
      </c>
      <c r="D852" s="1327" t="s">
        <v>227</v>
      </c>
      <c r="E852" s="1245" t="s">
        <v>3316</v>
      </c>
      <c r="F852" s="457" t="s">
        <v>3317</v>
      </c>
      <c r="G852" s="458" t="s">
        <v>156</v>
      </c>
      <c r="H852" s="888">
        <v>1</v>
      </c>
      <c r="I852" s="890"/>
      <c r="J852" s="899">
        <v>41.46</v>
      </c>
      <c r="K852" s="603">
        <v>0.8571428571428571</v>
      </c>
      <c r="L852" s="980">
        <v>3</v>
      </c>
      <c r="M852" s="1245" t="s">
        <v>323</v>
      </c>
      <c r="N852" s="604" t="s">
        <v>227</v>
      </c>
      <c r="O852" s="463">
        <v>1</v>
      </c>
      <c r="P852" s="434">
        <v>25.931000000000001</v>
      </c>
      <c r="Q852" s="434">
        <v>2</v>
      </c>
      <c r="R852" s="400">
        <v>2</v>
      </c>
      <c r="S852" s="464">
        <v>0.8</v>
      </c>
      <c r="U852" s="1248">
        <f t="shared" si="12"/>
        <v>0</v>
      </c>
      <c r="V852" s="1304">
        <f t="shared" si="13"/>
        <v>1</v>
      </c>
    </row>
    <row r="853" spans="1:22" ht="16.5" thickTop="1" thickBot="1">
      <c r="A853" s="1244"/>
      <c r="B853" s="1249" t="s">
        <v>2896</v>
      </c>
      <c r="C853" s="1329" t="s">
        <v>3613</v>
      </c>
      <c r="D853" s="1326" t="s">
        <v>227</v>
      </c>
      <c r="E853" s="1249" t="s">
        <v>3318</v>
      </c>
      <c r="F853" s="455" t="s">
        <v>3319</v>
      </c>
      <c r="G853" s="456" t="s">
        <v>156</v>
      </c>
      <c r="H853" s="889">
        <v>1</v>
      </c>
      <c r="I853" s="891">
        <v>75.483000000000004</v>
      </c>
      <c r="J853" s="601">
        <v>100.672</v>
      </c>
      <c r="K853" s="602">
        <v>1.25</v>
      </c>
      <c r="L853" s="981">
        <v>4</v>
      </c>
      <c r="M853" s="1249" t="s">
        <v>323</v>
      </c>
      <c r="N853" s="604" t="s">
        <v>227</v>
      </c>
      <c r="O853" s="465">
        <v>2</v>
      </c>
      <c r="P853" s="435">
        <v>79.974000000000004</v>
      </c>
      <c r="Q853" s="435">
        <v>4</v>
      </c>
      <c r="R853" s="401">
        <v>3</v>
      </c>
      <c r="S853" s="466">
        <v>1</v>
      </c>
      <c r="U853" s="1248">
        <f t="shared" si="12"/>
        <v>0</v>
      </c>
      <c r="V853" s="1304">
        <f t="shared" si="13"/>
        <v>1</v>
      </c>
    </row>
    <row r="854" spans="1:22" ht="16.5" thickTop="1" thickBot="1">
      <c r="A854" s="1244"/>
      <c r="B854" s="1245" t="s">
        <v>2896</v>
      </c>
      <c r="C854" s="1328" t="s">
        <v>3613</v>
      </c>
      <c r="D854" s="1327" t="s">
        <v>227</v>
      </c>
      <c r="E854" s="1245" t="s">
        <v>3320</v>
      </c>
      <c r="F854" s="457" t="s">
        <v>3321</v>
      </c>
      <c r="G854" s="458" t="s">
        <v>156</v>
      </c>
      <c r="H854" s="888">
        <v>1</v>
      </c>
      <c r="I854" s="890">
        <v>25.46</v>
      </c>
      <c r="J854" s="899">
        <v>36.31</v>
      </c>
      <c r="K854" s="603">
        <v>0.5</v>
      </c>
      <c r="L854" s="980">
        <v>4</v>
      </c>
      <c r="M854" s="1245" t="s">
        <v>323</v>
      </c>
      <c r="N854" s="604" t="s">
        <v>227</v>
      </c>
      <c r="O854" s="463">
        <v>2</v>
      </c>
      <c r="P854" s="434">
        <v>25.46</v>
      </c>
      <c r="Q854" s="434">
        <v>1</v>
      </c>
      <c r="R854" s="400">
        <v>1</v>
      </c>
      <c r="S854" s="464">
        <v>0.33333333333333331</v>
      </c>
      <c r="U854" s="1248">
        <f t="shared" si="12"/>
        <v>0</v>
      </c>
      <c r="V854" s="1304">
        <f t="shared" si="13"/>
        <v>1</v>
      </c>
    </row>
    <row r="855" spans="1:22" ht="16.5" thickTop="1" thickBot="1">
      <c r="A855" s="1244"/>
      <c r="B855" s="1249" t="s">
        <v>2896</v>
      </c>
      <c r="C855" s="1329" t="s">
        <v>3613</v>
      </c>
      <c r="D855" s="1326" t="s">
        <v>227</v>
      </c>
      <c r="E855" s="1249" t="s">
        <v>3613</v>
      </c>
      <c r="F855" s="455" t="s">
        <v>3615</v>
      </c>
      <c r="G855" s="456" t="s">
        <v>158</v>
      </c>
      <c r="H855" s="889">
        <v>1</v>
      </c>
      <c r="I855" s="891">
        <v>15.095000000000001</v>
      </c>
      <c r="J855" s="601">
        <v>15.095000000000001</v>
      </c>
      <c r="K855" s="602">
        <v>1</v>
      </c>
      <c r="L855" s="981">
        <v>1</v>
      </c>
      <c r="M855" s="1249" t="s">
        <v>321</v>
      </c>
      <c r="N855" s="604" t="s">
        <v>227</v>
      </c>
      <c r="O855" s="465"/>
      <c r="P855" s="435">
        <v>15.095000000000001</v>
      </c>
      <c r="Q855" s="435">
        <v>2</v>
      </c>
      <c r="R855" s="401">
        <v>1</v>
      </c>
      <c r="S855" s="466">
        <v>1</v>
      </c>
      <c r="U855" s="1248">
        <f t="shared" si="12"/>
        <v>0</v>
      </c>
      <c r="V855" s="1304">
        <f t="shared" si="13"/>
        <v>1</v>
      </c>
    </row>
    <row r="856" spans="1:22" ht="16.5" thickTop="1" thickBot="1">
      <c r="A856" s="1244"/>
      <c r="B856" s="1245" t="s">
        <v>2896</v>
      </c>
      <c r="C856" s="1328" t="s">
        <v>3613</v>
      </c>
      <c r="D856" s="1327" t="s">
        <v>227</v>
      </c>
      <c r="E856" s="1245" t="s">
        <v>3860</v>
      </c>
      <c r="F856" s="457" t="s">
        <v>3861</v>
      </c>
      <c r="G856" s="458" t="s">
        <v>156</v>
      </c>
      <c r="H856" s="888">
        <v>0</v>
      </c>
      <c r="I856" s="890"/>
      <c r="J856" s="899"/>
      <c r="K856" s="603">
        <v>0</v>
      </c>
      <c r="L856" s="980">
        <v>4</v>
      </c>
      <c r="M856" s="1245" t="s">
        <v>227</v>
      </c>
      <c r="N856" s="604" t="s">
        <v>227</v>
      </c>
      <c r="O856" s="463">
        <v>4</v>
      </c>
      <c r="P856" s="434"/>
      <c r="Q856" s="434"/>
      <c r="R856" s="400">
        <v>0</v>
      </c>
      <c r="S856" s="464">
        <v>0</v>
      </c>
      <c r="U856" s="1248">
        <f t="shared" si="12"/>
        <v>0</v>
      </c>
      <c r="V856" s="1304">
        <f t="shared" si="13"/>
        <v>1</v>
      </c>
    </row>
    <row r="857" spans="1:22" ht="16.5" thickTop="1" thickBot="1">
      <c r="A857" s="1244"/>
      <c r="B857" s="1249" t="s">
        <v>2896</v>
      </c>
      <c r="C857" s="1329" t="s">
        <v>3613</v>
      </c>
      <c r="D857" s="1326" t="s">
        <v>227</v>
      </c>
      <c r="E857" s="1249" t="s">
        <v>3862</v>
      </c>
      <c r="F857" s="455" t="s">
        <v>3863</v>
      </c>
      <c r="G857" s="456" t="s">
        <v>156</v>
      </c>
      <c r="H857" s="889">
        <v>0</v>
      </c>
      <c r="I857" s="891"/>
      <c r="J857" s="601">
        <v>118.916</v>
      </c>
      <c r="K857" s="602">
        <v>1</v>
      </c>
      <c r="L857" s="981">
        <v>2</v>
      </c>
      <c r="M857" s="1249" t="s">
        <v>227</v>
      </c>
      <c r="N857" s="604" t="s">
        <v>227</v>
      </c>
      <c r="O857" s="465">
        <v>2</v>
      </c>
      <c r="P857" s="435">
        <v>118.916</v>
      </c>
      <c r="Q857" s="435">
        <v>7</v>
      </c>
      <c r="R857" s="401">
        <v>1</v>
      </c>
      <c r="S857" s="466">
        <v>1</v>
      </c>
      <c r="U857" s="1248">
        <f t="shared" si="12"/>
        <v>0</v>
      </c>
      <c r="V857" s="1304">
        <f t="shared" si="13"/>
        <v>1</v>
      </c>
    </row>
    <row r="858" spans="1:22" ht="16.5" thickTop="1" thickBot="1">
      <c r="A858" s="1244"/>
      <c r="B858" s="1245" t="s">
        <v>2896</v>
      </c>
      <c r="C858" s="1328" t="s">
        <v>3613</v>
      </c>
      <c r="D858" s="1327" t="s">
        <v>227</v>
      </c>
      <c r="E858" s="1245" t="s">
        <v>3864</v>
      </c>
      <c r="F858" s="457" t="s">
        <v>3865</v>
      </c>
      <c r="G858" s="458" t="s">
        <v>156</v>
      </c>
      <c r="H858" s="888"/>
      <c r="I858" s="890"/>
      <c r="J858" s="899"/>
      <c r="K858" s="603">
        <v>0</v>
      </c>
      <c r="L858" s="980">
        <v>1</v>
      </c>
      <c r="M858" s="1245" t="s">
        <v>366</v>
      </c>
      <c r="N858" s="604" t="s">
        <v>227</v>
      </c>
      <c r="O858" s="463">
        <v>1</v>
      </c>
      <c r="P858" s="434"/>
      <c r="Q858" s="434"/>
      <c r="R858" s="400">
        <v>0</v>
      </c>
      <c r="S858" s="464">
        <v>0</v>
      </c>
      <c r="U858" s="1248">
        <f t="shared" si="12"/>
        <v>1</v>
      </c>
      <c r="V858" s="1304">
        <f t="shared" si="13"/>
        <v>1</v>
      </c>
    </row>
    <row r="859" spans="1:22" ht="16.5" thickTop="1" thickBot="1">
      <c r="A859" s="1244"/>
      <c r="B859" s="1249" t="s">
        <v>1015</v>
      </c>
      <c r="C859" s="1329" t="s">
        <v>227</v>
      </c>
      <c r="D859" s="1326" t="s">
        <v>227</v>
      </c>
      <c r="E859" s="1249" t="s">
        <v>1195</v>
      </c>
      <c r="F859" s="455" t="s">
        <v>1197</v>
      </c>
      <c r="G859" s="456" t="s">
        <v>157</v>
      </c>
      <c r="H859" s="889">
        <v>17</v>
      </c>
      <c r="I859" s="891">
        <v>126.896</v>
      </c>
      <c r="J859" s="601">
        <v>288.03300000000002</v>
      </c>
      <c r="K859" s="602">
        <v>0.15767634854771784</v>
      </c>
      <c r="L859" s="981">
        <v>13</v>
      </c>
      <c r="M859" s="1249" t="s">
        <v>322</v>
      </c>
      <c r="N859" s="604" t="s">
        <v>227</v>
      </c>
      <c r="O859" s="465"/>
      <c r="P859" s="435">
        <v>0</v>
      </c>
      <c r="Q859" s="435"/>
      <c r="R859" s="401">
        <v>0</v>
      </c>
      <c r="S859" s="466">
        <v>0</v>
      </c>
      <c r="U859" s="1248">
        <f t="shared" si="12"/>
        <v>0</v>
      </c>
      <c r="V859" s="1304">
        <f t="shared" si="13"/>
        <v>1</v>
      </c>
    </row>
    <row r="860" spans="1:22" ht="16.5" thickTop="1" thickBot="1">
      <c r="A860" s="1244"/>
      <c r="B860" s="1245" t="s">
        <v>1015</v>
      </c>
      <c r="C860" s="1328" t="s">
        <v>227</v>
      </c>
      <c r="D860" s="1327" t="s">
        <v>227</v>
      </c>
      <c r="E860" s="1245" t="s">
        <v>1913</v>
      </c>
      <c r="F860" s="457" t="s">
        <v>1914</v>
      </c>
      <c r="G860" s="458" t="s">
        <v>156</v>
      </c>
      <c r="H860" s="888">
        <v>12</v>
      </c>
      <c r="I860" s="890">
        <v>59.933999999999997</v>
      </c>
      <c r="J860" s="899">
        <v>450.40100000000001</v>
      </c>
      <c r="K860" s="603">
        <v>0.36363636363636365</v>
      </c>
      <c r="L860" s="980">
        <v>6</v>
      </c>
      <c r="M860" s="1245" t="s">
        <v>323</v>
      </c>
      <c r="N860" s="604" t="s">
        <v>227</v>
      </c>
      <c r="O860" s="463">
        <v>1</v>
      </c>
      <c r="P860" s="434">
        <v>36.186</v>
      </c>
      <c r="Q860" s="434">
        <v>3</v>
      </c>
      <c r="R860" s="400">
        <v>3</v>
      </c>
      <c r="S860" s="464">
        <v>0.54545454545454541</v>
      </c>
      <c r="U860" s="1248">
        <f t="shared" si="12"/>
        <v>0</v>
      </c>
      <c r="V860" s="1304">
        <f t="shared" si="13"/>
        <v>1</v>
      </c>
    </row>
    <row r="861" spans="1:22" ht="16.5" thickTop="1" thickBot="1">
      <c r="A861" s="1244"/>
      <c r="B861" s="1249" t="s">
        <v>1015</v>
      </c>
      <c r="C861" s="1329" t="s">
        <v>227</v>
      </c>
      <c r="D861" s="1326" t="s">
        <v>227</v>
      </c>
      <c r="E861" s="1249" t="s">
        <v>2372</v>
      </c>
      <c r="F861" s="455" t="s">
        <v>2373</v>
      </c>
      <c r="G861" s="456" t="s">
        <v>156</v>
      </c>
      <c r="H861" s="889">
        <v>8</v>
      </c>
      <c r="I861" s="891">
        <v>35.021000000000001</v>
      </c>
      <c r="J861" s="601">
        <v>193.262</v>
      </c>
      <c r="K861" s="602">
        <v>0.20952380952380953</v>
      </c>
      <c r="L861" s="981">
        <v>7</v>
      </c>
      <c r="M861" s="1249" t="s">
        <v>321</v>
      </c>
      <c r="N861" s="604" t="s">
        <v>227</v>
      </c>
      <c r="O861" s="465"/>
      <c r="P861" s="435"/>
      <c r="Q861" s="435"/>
      <c r="R861" s="401">
        <v>0</v>
      </c>
      <c r="S861" s="466">
        <v>0</v>
      </c>
      <c r="U861" s="1248">
        <f t="shared" si="12"/>
        <v>0</v>
      </c>
      <c r="V861" s="1304">
        <f t="shared" si="13"/>
        <v>1</v>
      </c>
    </row>
    <row r="862" spans="1:22" ht="16.5" thickTop="1" thickBot="1">
      <c r="A862" s="1244"/>
      <c r="B862" s="1245" t="s">
        <v>1015</v>
      </c>
      <c r="C862" s="1328" t="s">
        <v>227</v>
      </c>
      <c r="D862" s="1327" t="s">
        <v>227</v>
      </c>
      <c r="E862" s="1245" t="s">
        <v>2374</v>
      </c>
      <c r="F862" s="457" t="s">
        <v>2375</v>
      </c>
      <c r="G862" s="458" t="s">
        <v>156</v>
      </c>
      <c r="H862" s="888">
        <v>7</v>
      </c>
      <c r="I862" s="890">
        <v>335.37400000000002</v>
      </c>
      <c r="J862" s="899">
        <v>456.47300000000001</v>
      </c>
      <c r="K862" s="603">
        <v>0.5</v>
      </c>
      <c r="L862" s="980">
        <v>10</v>
      </c>
      <c r="M862" s="1245" t="s">
        <v>323</v>
      </c>
      <c r="N862" s="604" t="s">
        <v>227</v>
      </c>
      <c r="O862" s="463">
        <v>4</v>
      </c>
      <c r="P862" s="434">
        <v>44.051000000000002</v>
      </c>
      <c r="Q862" s="434">
        <v>4</v>
      </c>
      <c r="R862" s="400">
        <v>4</v>
      </c>
      <c r="S862" s="464">
        <v>0.5</v>
      </c>
      <c r="U862" s="1248">
        <f t="shared" si="12"/>
        <v>0</v>
      </c>
      <c r="V862" s="1304">
        <f t="shared" si="13"/>
        <v>1</v>
      </c>
    </row>
    <row r="863" spans="1:22" ht="16.5" thickTop="1" thickBot="1">
      <c r="A863" s="1244"/>
      <c r="B863" s="1249" t="s">
        <v>1015</v>
      </c>
      <c r="C863" s="1329" t="s">
        <v>227</v>
      </c>
      <c r="D863" s="1326" t="s">
        <v>227</v>
      </c>
      <c r="E863" s="1249" t="s">
        <v>2803</v>
      </c>
      <c r="F863" s="455" t="s">
        <v>2804</v>
      </c>
      <c r="G863" s="456" t="s">
        <v>155</v>
      </c>
      <c r="H863" s="889"/>
      <c r="I863" s="891"/>
      <c r="J863" s="601">
        <v>10.948</v>
      </c>
      <c r="K863" s="602">
        <v>0.125</v>
      </c>
      <c r="L863" s="981">
        <v>2</v>
      </c>
      <c r="M863" s="1249" t="s">
        <v>366</v>
      </c>
      <c r="N863" s="604" t="s">
        <v>227</v>
      </c>
      <c r="O863" s="465"/>
      <c r="P863" s="435"/>
      <c r="Q863" s="435"/>
      <c r="R863" s="401">
        <v>0</v>
      </c>
      <c r="S863" s="466">
        <v>0</v>
      </c>
      <c r="U863" s="1248">
        <f t="shared" si="12"/>
        <v>1</v>
      </c>
      <c r="V863" s="1304">
        <f t="shared" si="13"/>
        <v>0</v>
      </c>
    </row>
    <row r="864" spans="1:22" ht="16.5" thickTop="1" thickBot="1">
      <c r="A864" s="1244"/>
      <c r="B864" s="1245" t="s">
        <v>1015</v>
      </c>
      <c r="C864" s="1328" t="s">
        <v>227</v>
      </c>
      <c r="D864" s="1327" t="s">
        <v>227</v>
      </c>
      <c r="E864" s="1245" t="s">
        <v>3010</v>
      </c>
      <c r="F864" s="457" t="s">
        <v>3011</v>
      </c>
      <c r="G864" s="458" t="s">
        <v>155</v>
      </c>
      <c r="H864" s="888"/>
      <c r="I864" s="890"/>
      <c r="J864" s="899">
        <v>44.426000000000002</v>
      </c>
      <c r="K864" s="603">
        <v>0.4</v>
      </c>
      <c r="L864" s="980">
        <v>5</v>
      </c>
      <c r="M864" s="1245" t="s">
        <v>366</v>
      </c>
      <c r="N864" s="604" t="s">
        <v>227</v>
      </c>
      <c r="O864" s="463">
        <v>3</v>
      </c>
      <c r="P864" s="434">
        <v>28.135999999999999</v>
      </c>
      <c r="Q864" s="434">
        <v>2</v>
      </c>
      <c r="R864" s="400">
        <v>2</v>
      </c>
      <c r="S864" s="464">
        <v>0.5714285714285714</v>
      </c>
      <c r="U864" s="1248">
        <f t="shared" si="12"/>
        <v>1</v>
      </c>
      <c r="V864" s="1304">
        <f t="shared" si="13"/>
        <v>0</v>
      </c>
    </row>
    <row r="865" spans="1:22" ht="16.5" thickTop="1" thickBot="1">
      <c r="A865" s="1244"/>
      <c r="B865" s="1249" t="s">
        <v>1015</v>
      </c>
      <c r="C865" s="1329" t="s">
        <v>1369</v>
      </c>
      <c r="D865" s="1326" t="s">
        <v>227</v>
      </c>
      <c r="E865" s="1249" t="s">
        <v>1369</v>
      </c>
      <c r="F865" s="455" t="s">
        <v>1371</v>
      </c>
      <c r="G865" s="456" t="s">
        <v>158</v>
      </c>
      <c r="H865" s="889">
        <v>16</v>
      </c>
      <c r="I865" s="891">
        <v>125.96</v>
      </c>
      <c r="J865" s="601">
        <v>739.952</v>
      </c>
      <c r="K865" s="602">
        <v>0.24</v>
      </c>
      <c r="L865" s="981">
        <v>6</v>
      </c>
      <c r="M865" s="1249" t="s">
        <v>323</v>
      </c>
      <c r="N865" s="604" t="s">
        <v>227</v>
      </c>
      <c r="O865" s="465"/>
      <c r="P865" s="435">
        <v>104.351</v>
      </c>
      <c r="Q865" s="435">
        <v>8</v>
      </c>
      <c r="R865" s="401">
        <v>1</v>
      </c>
      <c r="S865" s="466">
        <v>0.16666666666666666</v>
      </c>
      <c r="U865" s="1248">
        <f t="shared" si="12"/>
        <v>0</v>
      </c>
      <c r="V865" s="1304">
        <f t="shared" si="13"/>
        <v>1</v>
      </c>
    </row>
    <row r="866" spans="1:22" ht="16.5" thickTop="1" thickBot="1">
      <c r="A866" s="1244"/>
      <c r="B866" s="1245" t="s">
        <v>1015</v>
      </c>
      <c r="C866" s="1328" t="s">
        <v>1369</v>
      </c>
      <c r="D866" s="1327" t="s">
        <v>227</v>
      </c>
      <c r="E866" s="1245" t="s">
        <v>1483</v>
      </c>
      <c r="F866" s="457" t="s">
        <v>1484</v>
      </c>
      <c r="G866" s="458" t="s">
        <v>156</v>
      </c>
      <c r="H866" s="888">
        <v>14</v>
      </c>
      <c r="I866" s="890">
        <v>23.530999999999999</v>
      </c>
      <c r="J866" s="899">
        <v>45.828000000000003</v>
      </c>
      <c r="K866" s="603">
        <v>5.128205128205128E-2</v>
      </c>
      <c r="L866" s="980">
        <v>5</v>
      </c>
      <c r="M866" s="1245" t="s">
        <v>366</v>
      </c>
      <c r="N866" s="604" t="s">
        <v>227</v>
      </c>
      <c r="O866" s="463"/>
      <c r="P866" s="434">
        <v>0</v>
      </c>
      <c r="Q866" s="434"/>
      <c r="R866" s="400">
        <v>0</v>
      </c>
      <c r="S866" s="464">
        <v>0</v>
      </c>
      <c r="U866" s="1248">
        <f t="shared" si="12"/>
        <v>1</v>
      </c>
      <c r="V866" s="1304">
        <f t="shared" si="13"/>
        <v>1</v>
      </c>
    </row>
    <row r="867" spans="1:22" ht="16.5" thickTop="1" thickBot="1">
      <c r="A867" s="1244"/>
      <c r="B867" s="1249" t="s">
        <v>1015</v>
      </c>
      <c r="C867" s="1329" t="s">
        <v>1369</v>
      </c>
      <c r="D867" s="1326" t="s">
        <v>227</v>
      </c>
      <c r="E867" s="1249" t="s">
        <v>1688</v>
      </c>
      <c r="F867" s="455" t="s">
        <v>1689</v>
      </c>
      <c r="G867" s="456" t="s">
        <v>156</v>
      </c>
      <c r="H867" s="889">
        <v>12</v>
      </c>
      <c r="I867" s="891"/>
      <c r="J867" s="601">
        <v>110.783</v>
      </c>
      <c r="K867" s="602">
        <v>0.13793103448275862</v>
      </c>
      <c r="L867" s="981">
        <v>4</v>
      </c>
      <c r="M867" s="1249" t="s">
        <v>366</v>
      </c>
      <c r="N867" s="604" t="s">
        <v>227</v>
      </c>
      <c r="O867" s="465"/>
      <c r="P867" s="435"/>
      <c r="Q867" s="435"/>
      <c r="R867" s="401">
        <v>0</v>
      </c>
      <c r="S867" s="466">
        <v>0</v>
      </c>
      <c r="U867" s="1248">
        <f t="shared" si="12"/>
        <v>1</v>
      </c>
      <c r="V867" s="1304">
        <f t="shared" si="13"/>
        <v>1</v>
      </c>
    </row>
    <row r="868" spans="1:22" ht="16.5" thickTop="1" thickBot="1">
      <c r="A868" s="1244"/>
      <c r="B868" s="1245" t="s">
        <v>1015</v>
      </c>
      <c r="C868" s="1328" t="s">
        <v>1369</v>
      </c>
      <c r="D868" s="1327" t="s">
        <v>227</v>
      </c>
      <c r="E868" s="1245" t="s">
        <v>1915</v>
      </c>
      <c r="F868" s="457" t="s">
        <v>1916</v>
      </c>
      <c r="G868" s="458" t="s">
        <v>156</v>
      </c>
      <c r="H868" s="888">
        <v>11</v>
      </c>
      <c r="I868" s="890">
        <v>32.719000000000001</v>
      </c>
      <c r="J868" s="899">
        <v>210.47900000000001</v>
      </c>
      <c r="K868" s="603">
        <v>0.2361111111111111</v>
      </c>
      <c r="L868" s="980">
        <v>8</v>
      </c>
      <c r="M868" s="1245" t="s">
        <v>322</v>
      </c>
      <c r="N868" s="604" t="s">
        <v>227</v>
      </c>
      <c r="O868" s="463"/>
      <c r="P868" s="434"/>
      <c r="Q868" s="434"/>
      <c r="R868" s="400">
        <v>0</v>
      </c>
      <c r="S868" s="464">
        <v>0</v>
      </c>
      <c r="U868" s="1248">
        <f t="shared" si="12"/>
        <v>0</v>
      </c>
      <c r="V868" s="1304">
        <f t="shared" si="13"/>
        <v>1</v>
      </c>
    </row>
    <row r="869" spans="1:22" ht="16.5" thickTop="1" thickBot="1">
      <c r="A869" s="1244"/>
      <c r="B869" s="1249" t="s">
        <v>1015</v>
      </c>
      <c r="C869" s="1329" t="s">
        <v>1369</v>
      </c>
      <c r="D869" s="1326" t="s">
        <v>227</v>
      </c>
      <c r="E869" s="1249" t="s">
        <v>1917</v>
      </c>
      <c r="F869" s="455" t="s">
        <v>1918</v>
      </c>
      <c r="G869" s="456" t="s">
        <v>156</v>
      </c>
      <c r="H869" s="889">
        <v>11</v>
      </c>
      <c r="I869" s="891">
        <v>62.612000000000002</v>
      </c>
      <c r="J869" s="601">
        <v>150.67699999999999</v>
      </c>
      <c r="K869" s="602">
        <v>0.15652173913043479</v>
      </c>
      <c r="L869" s="981">
        <v>5</v>
      </c>
      <c r="M869" s="1249" t="s">
        <v>366</v>
      </c>
      <c r="N869" s="604" t="s">
        <v>227</v>
      </c>
      <c r="O869" s="465"/>
      <c r="P869" s="435">
        <v>7.343</v>
      </c>
      <c r="Q869" s="435">
        <v>1</v>
      </c>
      <c r="R869" s="401">
        <v>1</v>
      </c>
      <c r="S869" s="466">
        <v>0.2</v>
      </c>
      <c r="U869" s="1248">
        <f t="shared" si="12"/>
        <v>1</v>
      </c>
      <c r="V869" s="1304">
        <f t="shared" si="13"/>
        <v>1</v>
      </c>
    </row>
    <row r="870" spans="1:22" ht="16.5" thickTop="1" thickBot="1">
      <c r="A870" s="1244"/>
      <c r="B870" s="1245" t="s">
        <v>1015</v>
      </c>
      <c r="C870" s="1328" t="s">
        <v>1369</v>
      </c>
      <c r="D870" s="1327" t="s">
        <v>227</v>
      </c>
      <c r="E870" s="1245" t="s">
        <v>1993</v>
      </c>
      <c r="F870" s="457" t="s">
        <v>1994</v>
      </c>
      <c r="G870" s="458" t="s">
        <v>156</v>
      </c>
      <c r="H870" s="888">
        <v>10</v>
      </c>
      <c r="I870" s="890">
        <v>89.278000000000006</v>
      </c>
      <c r="J870" s="899">
        <v>247.63</v>
      </c>
      <c r="K870" s="603">
        <v>0.30769230769230771</v>
      </c>
      <c r="L870" s="980">
        <v>4</v>
      </c>
      <c r="M870" s="1245" t="s">
        <v>321</v>
      </c>
      <c r="N870" s="604" t="s">
        <v>227</v>
      </c>
      <c r="O870" s="463"/>
      <c r="P870" s="434"/>
      <c r="Q870" s="434"/>
      <c r="R870" s="400">
        <v>0</v>
      </c>
      <c r="S870" s="464">
        <v>0</v>
      </c>
      <c r="U870" s="1248">
        <f t="shared" si="12"/>
        <v>0</v>
      </c>
      <c r="V870" s="1304">
        <f t="shared" si="13"/>
        <v>1</v>
      </c>
    </row>
    <row r="871" spans="1:22" ht="16.5" thickTop="1" thickBot="1">
      <c r="A871" s="1244"/>
      <c r="B871" s="1249" t="s">
        <v>1015</v>
      </c>
      <c r="C871" s="1329" t="s">
        <v>1369</v>
      </c>
      <c r="D871" s="1326" t="s">
        <v>227</v>
      </c>
      <c r="E871" s="1249" t="s">
        <v>1995</v>
      </c>
      <c r="F871" s="455" t="s">
        <v>1996</v>
      </c>
      <c r="G871" s="456" t="s">
        <v>156</v>
      </c>
      <c r="H871" s="889">
        <v>10</v>
      </c>
      <c r="I871" s="891">
        <v>250.154</v>
      </c>
      <c r="J871" s="601">
        <v>1049.4760000000001</v>
      </c>
      <c r="K871" s="602">
        <v>0.55421686746987953</v>
      </c>
      <c r="L871" s="981">
        <v>9</v>
      </c>
      <c r="M871" s="1249" t="s">
        <v>323</v>
      </c>
      <c r="N871" s="604" t="s">
        <v>227</v>
      </c>
      <c r="O871" s="465">
        <v>2</v>
      </c>
      <c r="P871" s="435">
        <v>76.575000000000003</v>
      </c>
      <c r="Q871" s="435">
        <v>8</v>
      </c>
      <c r="R871" s="401">
        <v>6</v>
      </c>
      <c r="S871" s="466">
        <v>0.75</v>
      </c>
      <c r="U871" s="1248">
        <f t="shared" si="12"/>
        <v>0</v>
      </c>
      <c r="V871" s="1304">
        <f t="shared" si="13"/>
        <v>1</v>
      </c>
    </row>
    <row r="872" spans="1:22" ht="16.5" thickTop="1" thickBot="1">
      <c r="A872" s="1244"/>
      <c r="B872" s="1245" t="s">
        <v>1015</v>
      </c>
      <c r="C872" s="1328" t="s">
        <v>1369</v>
      </c>
      <c r="D872" s="1327" t="s">
        <v>227</v>
      </c>
      <c r="E872" s="1245" t="s">
        <v>1968</v>
      </c>
      <c r="F872" s="457" t="s">
        <v>1970</v>
      </c>
      <c r="G872" s="458" t="s">
        <v>157</v>
      </c>
      <c r="H872" s="888">
        <v>10</v>
      </c>
      <c r="I872" s="890">
        <v>165.70400000000001</v>
      </c>
      <c r="J872" s="899">
        <v>296.77600000000001</v>
      </c>
      <c r="K872" s="603">
        <v>0.2857142857142857</v>
      </c>
      <c r="L872" s="980">
        <v>7</v>
      </c>
      <c r="M872" s="1245" t="s">
        <v>323</v>
      </c>
      <c r="N872" s="604" t="s">
        <v>227</v>
      </c>
      <c r="O872" s="463"/>
      <c r="P872" s="434">
        <v>66.566000000000003</v>
      </c>
      <c r="Q872" s="434">
        <v>5</v>
      </c>
      <c r="R872" s="400">
        <v>1</v>
      </c>
      <c r="S872" s="464">
        <v>0.14285714285714285</v>
      </c>
      <c r="U872" s="1248">
        <f t="shared" ref="U872:U935" si="14">IF(M872="U_200",1,0)</f>
        <v>0</v>
      </c>
      <c r="V872" s="1304">
        <f t="shared" ref="V872:V935" si="15">IF(G872&lt;&gt;"US",1,0)</f>
        <v>1</v>
      </c>
    </row>
    <row r="873" spans="1:22" ht="16.5" thickTop="1" thickBot="1">
      <c r="A873" s="1244"/>
      <c r="B873" s="1249" t="s">
        <v>1015</v>
      </c>
      <c r="C873" s="1329" t="s">
        <v>1369</v>
      </c>
      <c r="D873" s="1326" t="s">
        <v>227</v>
      </c>
      <c r="E873" s="1249" t="s">
        <v>2148</v>
      </c>
      <c r="F873" s="455" t="s">
        <v>2149</v>
      </c>
      <c r="G873" s="456" t="s">
        <v>156</v>
      </c>
      <c r="H873" s="889">
        <v>9</v>
      </c>
      <c r="I873" s="891">
        <v>110.51600000000001</v>
      </c>
      <c r="J873" s="601">
        <v>362.50299999999999</v>
      </c>
      <c r="K873" s="602">
        <v>0.43939393939393939</v>
      </c>
      <c r="L873" s="981">
        <v>9</v>
      </c>
      <c r="M873" s="1249" t="s">
        <v>323</v>
      </c>
      <c r="N873" s="604" t="s">
        <v>227</v>
      </c>
      <c r="O873" s="465"/>
      <c r="P873" s="435">
        <v>37.122</v>
      </c>
      <c r="Q873" s="435">
        <v>3</v>
      </c>
      <c r="R873" s="401">
        <v>2</v>
      </c>
      <c r="S873" s="466">
        <v>0.22222222222222221</v>
      </c>
      <c r="U873" s="1248">
        <f t="shared" si="14"/>
        <v>0</v>
      </c>
      <c r="V873" s="1304">
        <f t="shared" si="15"/>
        <v>1</v>
      </c>
    </row>
    <row r="874" spans="1:22" ht="16.5" thickTop="1" thickBot="1">
      <c r="A874" s="1244"/>
      <c r="B874" s="1245" t="s">
        <v>1015</v>
      </c>
      <c r="C874" s="1328" t="s">
        <v>1369</v>
      </c>
      <c r="D874" s="1327" t="s">
        <v>227</v>
      </c>
      <c r="E874" s="1245" t="s">
        <v>3012</v>
      </c>
      <c r="F874" s="457" t="s">
        <v>3013</v>
      </c>
      <c r="G874" s="458" t="s">
        <v>155</v>
      </c>
      <c r="H874" s="888"/>
      <c r="I874" s="890"/>
      <c r="J874" s="899">
        <v>17.821999999999999</v>
      </c>
      <c r="K874" s="603">
        <v>0.30769230769230771</v>
      </c>
      <c r="L874" s="980">
        <v>3</v>
      </c>
      <c r="M874" s="1245" t="s">
        <v>366</v>
      </c>
      <c r="N874" s="604" t="s">
        <v>227</v>
      </c>
      <c r="O874" s="463">
        <v>1</v>
      </c>
      <c r="P874" s="434">
        <v>10.507999999999999</v>
      </c>
      <c r="Q874" s="434">
        <v>1</v>
      </c>
      <c r="R874" s="400">
        <v>1</v>
      </c>
      <c r="S874" s="464">
        <v>0.4</v>
      </c>
      <c r="U874" s="1248">
        <f t="shared" si="14"/>
        <v>1</v>
      </c>
      <c r="V874" s="1304">
        <f t="shared" si="15"/>
        <v>0</v>
      </c>
    </row>
    <row r="875" spans="1:22" ht="16.5" thickTop="1" thickBot="1">
      <c r="A875" s="1244"/>
      <c r="B875" s="1249" t="s">
        <v>1015</v>
      </c>
      <c r="C875" s="1329" t="s">
        <v>1369</v>
      </c>
      <c r="D875" s="1326" t="s">
        <v>227</v>
      </c>
      <c r="E875" s="1249" t="s">
        <v>3014</v>
      </c>
      <c r="F875" s="455" t="s">
        <v>1085</v>
      </c>
      <c r="G875" s="456" t="s">
        <v>155</v>
      </c>
      <c r="H875" s="889"/>
      <c r="I875" s="891"/>
      <c r="J875" s="601">
        <v>164.13800000000001</v>
      </c>
      <c r="K875" s="602">
        <v>0.43478260869565216</v>
      </c>
      <c r="L875" s="981">
        <v>6</v>
      </c>
      <c r="M875" s="1249" t="s">
        <v>366</v>
      </c>
      <c r="N875" s="604" t="s">
        <v>227</v>
      </c>
      <c r="O875" s="465">
        <v>2</v>
      </c>
      <c r="P875" s="435">
        <v>127.42400000000001</v>
      </c>
      <c r="Q875" s="435">
        <v>12</v>
      </c>
      <c r="R875" s="401">
        <v>3</v>
      </c>
      <c r="S875" s="466">
        <v>0.6</v>
      </c>
      <c r="U875" s="1248">
        <f t="shared" si="14"/>
        <v>1</v>
      </c>
      <c r="V875" s="1304">
        <f t="shared" si="15"/>
        <v>0</v>
      </c>
    </row>
    <row r="876" spans="1:22" ht="16.5" thickTop="1" thickBot="1">
      <c r="A876" s="1244"/>
      <c r="B876" s="1245" t="s">
        <v>1015</v>
      </c>
      <c r="C876" s="1328" t="s">
        <v>1369</v>
      </c>
      <c r="D876" s="1327" t="s">
        <v>227</v>
      </c>
      <c r="E876" s="1245" t="s">
        <v>3322</v>
      </c>
      <c r="F876" s="457" t="s">
        <v>3323</v>
      </c>
      <c r="G876" s="458" t="s">
        <v>155</v>
      </c>
      <c r="H876" s="888"/>
      <c r="I876" s="890"/>
      <c r="J876" s="899">
        <v>94.36</v>
      </c>
      <c r="K876" s="603">
        <v>0.46153846153846156</v>
      </c>
      <c r="L876" s="980">
        <v>4</v>
      </c>
      <c r="M876" s="1245" t="s">
        <v>366</v>
      </c>
      <c r="N876" s="604" t="s">
        <v>227</v>
      </c>
      <c r="O876" s="463">
        <v>1</v>
      </c>
      <c r="P876" s="434">
        <v>60.228000000000002</v>
      </c>
      <c r="Q876" s="434">
        <v>5</v>
      </c>
      <c r="R876" s="400">
        <v>2</v>
      </c>
      <c r="S876" s="464">
        <v>0.5714285714285714</v>
      </c>
      <c r="U876" s="1248">
        <f t="shared" si="14"/>
        <v>1</v>
      </c>
      <c r="V876" s="1304">
        <f t="shared" si="15"/>
        <v>0</v>
      </c>
    </row>
    <row r="877" spans="1:22" ht="16.5" thickTop="1" thickBot="1">
      <c r="A877" s="1244"/>
      <c r="B877" s="1249" t="s">
        <v>1015</v>
      </c>
      <c r="C877" s="1329" t="s">
        <v>1369</v>
      </c>
      <c r="D877" s="1326" t="s">
        <v>227</v>
      </c>
      <c r="E877" s="1249" t="s">
        <v>3866</v>
      </c>
      <c r="F877" s="455" t="s">
        <v>3867</v>
      </c>
      <c r="G877" s="456" t="s">
        <v>155</v>
      </c>
      <c r="H877" s="889"/>
      <c r="I877" s="891"/>
      <c r="J877" s="601">
        <v>173.32400000000001</v>
      </c>
      <c r="K877" s="602">
        <v>0.88888888888888884</v>
      </c>
      <c r="L877" s="981">
        <v>13</v>
      </c>
      <c r="M877" s="1249" t="s">
        <v>366</v>
      </c>
      <c r="N877" s="604" t="s">
        <v>227</v>
      </c>
      <c r="O877" s="465">
        <v>8</v>
      </c>
      <c r="P877" s="435">
        <v>173.32400000000001</v>
      </c>
      <c r="Q877" s="435">
        <v>12</v>
      </c>
      <c r="R877" s="401">
        <v>8</v>
      </c>
      <c r="S877" s="466">
        <v>0.88888888888888884</v>
      </c>
      <c r="U877" s="1248">
        <f t="shared" si="14"/>
        <v>1</v>
      </c>
      <c r="V877" s="1304">
        <f t="shared" si="15"/>
        <v>0</v>
      </c>
    </row>
    <row r="878" spans="1:22" ht="16.5" thickTop="1" thickBot="1">
      <c r="A878" s="1244"/>
      <c r="B878" s="1245" t="s">
        <v>825</v>
      </c>
      <c r="C878" s="1328" t="s">
        <v>227</v>
      </c>
      <c r="D878" s="1327" t="s">
        <v>227</v>
      </c>
      <c r="E878" s="1245" t="s">
        <v>871</v>
      </c>
      <c r="F878" s="457" t="s">
        <v>872</v>
      </c>
      <c r="G878" s="458" t="s">
        <v>156</v>
      </c>
      <c r="H878" s="888">
        <v>22</v>
      </c>
      <c r="I878" s="890">
        <v>488.28699999999998</v>
      </c>
      <c r="J878" s="899">
        <v>494.536</v>
      </c>
      <c r="K878" s="603">
        <v>6.3157894736842107E-2</v>
      </c>
      <c r="L878" s="980">
        <v>7</v>
      </c>
      <c r="M878" s="1245" t="s">
        <v>323</v>
      </c>
      <c r="N878" s="604" t="s">
        <v>227</v>
      </c>
      <c r="O878" s="463"/>
      <c r="P878" s="434">
        <v>15.002000000000001</v>
      </c>
      <c r="Q878" s="434">
        <v>1</v>
      </c>
      <c r="R878" s="400">
        <v>1</v>
      </c>
      <c r="S878" s="464">
        <v>0.14285714285714285</v>
      </c>
      <c r="U878" s="1248">
        <f t="shared" si="14"/>
        <v>0</v>
      </c>
      <c r="V878" s="1304">
        <f t="shared" si="15"/>
        <v>1</v>
      </c>
    </row>
    <row r="879" spans="1:22" ht="16.5" thickTop="1" thickBot="1">
      <c r="A879" s="1244"/>
      <c r="B879" s="1249" t="s">
        <v>825</v>
      </c>
      <c r="C879" s="1329" t="s">
        <v>227</v>
      </c>
      <c r="D879" s="1326" t="s">
        <v>227</v>
      </c>
      <c r="E879" s="1249" t="s">
        <v>1621</v>
      </c>
      <c r="F879" s="455" t="s">
        <v>1622</v>
      </c>
      <c r="G879" s="456" t="s">
        <v>156</v>
      </c>
      <c r="H879" s="889">
        <v>14</v>
      </c>
      <c r="I879" s="891">
        <v>144.48500000000001</v>
      </c>
      <c r="J879" s="601">
        <v>219.18899999999999</v>
      </c>
      <c r="K879" s="602">
        <v>0.1889763779527559</v>
      </c>
      <c r="L879" s="981">
        <v>4</v>
      </c>
      <c r="M879" s="1249" t="s">
        <v>322</v>
      </c>
      <c r="N879" s="604" t="s">
        <v>227</v>
      </c>
      <c r="O879" s="465"/>
      <c r="P879" s="435">
        <v>0</v>
      </c>
      <c r="Q879" s="435"/>
      <c r="R879" s="401">
        <v>0</v>
      </c>
      <c r="S879" s="466">
        <v>0</v>
      </c>
      <c r="U879" s="1248">
        <f t="shared" si="14"/>
        <v>0</v>
      </c>
      <c r="V879" s="1304">
        <f t="shared" si="15"/>
        <v>1</v>
      </c>
    </row>
    <row r="880" spans="1:22" ht="16.5" thickTop="1" thickBot="1">
      <c r="A880" s="1244"/>
      <c r="B880" s="1245" t="s">
        <v>825</v>
      </c>
      <c r="C880" s="1328" t="s">
        <v>227</v>
      </c>
      <c r="D880" s="1327" t="s">
        <v>227</v>
      </c>
      <c r="E880" s="1245" t="s">
        <v>1723</v>
      </c>
      <c r="F880" s="457" t="s">
        <v>1271</v>
      </c>
      <c r="G880" s="458" t="s">
        <v>156</v>
      </c>
      <c r="H880" s="888">
        <v>13</v>
      </c>
      <c r="I880" s="890">
        <v>317.90800000000002</v>
      </c>
      <c r="J880" s="899">
        <v>437.673</v>
      </c>
      <c r="K880" s="603">
        <v>0.33027522935779818</v>
      </c>
      <c r="L880" s="980">
        <v>4</v>
      </c>
      <c r="M880" s="1245" t="s">
        <v>323</v>
      </c>
      <c r="N880" s="604" t="s">
        <v>227</v>
      </c>
      <c r="O880" s="463"/>
      <c r="P880" s="434">
        <v>8.048</v>
      </c>
      <c r="Q880" s="434">
        <v>1</v>
      </c>
      <c r="R880" s="400">
        <v>1</v>
      </c>
      <c r="S880" s="464">
        <v>0.22222222222222221</v>
      </c>
      <c r="U880" s="1248">
        <f t="shared" si="14"/>
        <v>0</v>
      </c>
      <c r="V880" s="1304">
        <f t="shared" si="15"/>
        <v>1</v>
      </c>
    </row>
    <row r="881" spans="1:22" ht="16.5" thickTop="1" thickBot="1">
      <c r="A881" s="1244"/>
      <c r="B881" s="1249" t="s">
        <v>825</v>
      </c>
      <c r="C881" s="1329" t="s">
        <v>227</v>
      </c>
      <c r="D881" s="1326" t="s">
        <v>227</v>
      </c>
      <c r="E881" s="1249" t="s">
        <v>1997</v>
      </c>
      <c r="F881" s="455" t="s">
        <v>1998</v>
      </c>
      <c r="G881" s="456" t="s">
        <v>155</v>
      </c>
      <c r="H881" s="889"/>
      <c r="I881" s="891"/>
      <c r="J881" s="601">
        <v>45.674999999999997</v>
      </c>
      <c r="K881" s="602">
        <v>0.1702127659574468</v>
      </c>
      <c r="L881" s="981">
        <v>4</v>
      </c>
      <c r="M881" s="1249" t="s">
        <v>366</v>
      </c>
      <c r="N881" s="604" t="s">
        <v>227</v>
      </c>
      <c r="O881" s="465"/>
      <c r="P881" s="435">
        <v>25.446999999999999</v>
      </c>
      <c r="Q881" s="435">
        <v>2</v>
      </c>
      <c r="R881" s="401">
        <v>2</v>
      </c>
      <c r="S881" s="466">
        <v>0.5</v>
      </c>
      <c r="U881" s="1248">
        <f t="shared" si="14"/>
        <v>1</v>
      </c>
      <c r="V881" s="1304">
        <f t="shared" si="15"/>
        <v>0</v>
      </c>
    </row>
    <row r="882" spans="1:22" ht="16.5" thickTop="1" thickBot="1">
      <c r="A882" s="1244"/>
      <c r="B882" s="1245" t="s">
        <v>825</v>
      </c>
      <c r="C882" s="1328" t="s">
        <v>227</v>
      </c>
      <c r="D882" s="1327" t="s">
        <v>227</v>
      </c>
      <c r="E882" s="1245" t="s">
        <v>1999</v>
      </c>
      <c r="F882" s="457" t="s">
        <v>219</v>
      </c>
      <c r="G882" s="458" t="s">
        <v>156</v>
      </c>
      <c r="H882" s="888">
        <v>10</v>
      </c>
      <c r="I882" s="890">
        <v>88.159000000000006</v>
      </c>
      <c r="J882" s="899">
        <v>374.57</v>
      </c>
      <c r="K882" s="603">
        <v>0.45652173913043476</v>
      </c>
      <c r="L882" s="980">
        <v>4</v>
      </c>
      <c r="M882" s="1245" t="s">
        <v>323</v>
      </c>
      <c r="N882" s="604" t="s">
        <v>227</v>
      </c>
      <c r="O882" s="463"/>
      <c r="P882" s="434">
        <v>10.336</v>
      </c>
      <c r="Q882" s="434">
        <v>1</v>
      </c>
      <c r="R882" s="400">
        <v>1</v>
      </c>
      <c r="S882" s="464">
        <v>0.25</v>
      </c>
      <c r="U882" s="1248">
        <f t="shared" si="14"/>
        <v>0</v>
      </c>
      <c r="V882" s="1304">
        <f t="shared" si="15"/>
        <v>1</v>
      </c>
    </row>
    <row r="883" spans="1:22" ht="16.5" thickTop="1" thickBot="1">
      <c r="A883" s="1244"/>
      <c r="B883" s="1249" t="s">
        <v>825</v>
      </c>
      <c r="C883" s="1329" t="s">
        <v>227</v>
      </c>
      <c r="D883" s="1326" t="s">
        <v>227</v>
      </c>
      <c r="E883" s="1249" t="s">
        <v>2325</v>
      </c>
      <c r="F883" s="455" t="s">
        <v>675</v>
      </c>
      <c r="G883" s="456" t="s">
        <v>157</v>
      </c>
      <c r="H883" s="889">
        <v>8</v>
      </c>
      <c r="I883" s="891">
        <v>178.89</v>
      </c>
      <c r="J883" s="601">
        <v>178.89</v>
      </c>
      <c r="K883" s="602">
        <v>0.38461538461538464</v>
      </c>
      <c r="L883" s="981">
        <v>2</v>
      </c>
      <c r="M883" s="1249" t="s">
        <v>321</v>
      </c>
      <c r="N883" s="604" t="s">
        <v>227</v>
      </c>
      <c r="O883" s="465"/>
      <c r="P883" s="435"/>
      <c r="Q883" s="435"/>
      <c r="R883" s="401">
        <v>0</v>
      </c>
      <c r="S883" s="466">
        <v>0</v>
      </c>
      <c r="U883" s="1248">
        <f t="shared" si="14"/>
        <v>0</v>
      </c>
      <c r="V883" s="1304">
        <f t="shared" si="15"/>
        <v>1</v>
      </c>
    </row>
    <row r="884" spans="1:22" ht="16.5" thickTop="1" thickBot="1">
      <c r="A884" s="1244"/>
      <c r="B884" s="1245" t="s">
        <v>825</v>
      </c>
      <c r="C884" s="1328" t="s">
        <v>227</v>
      </c>
      <c r="D884" s="1327" t="s">
        <v>227</v>
      </c>
      <c r="E884" s="1245" t="s">
        <v>2376</v>
      </c>
      <c r="F884" s="457" t="s">
        <v>2377</v>
      </c>
      <c r="G884" s="458" t="s">
        <v>156</v>
      </c>
      <c r="H884" s="888">
        <v>7</v>
      </c>
      <c r="I884" s="890">
        <v>56.119</v>
      </c>
      <c r="J884" s="899">
        <v>63.671999999999997</v>
      </c>
      <c r="K884" s="603">
        <v>0.17543859649122806</v>
      </c>
      <c r="L884" s="980">
        <v>3</v>
      </c>
      <c r="M884" s="1245" t="s">
        <v>366</v>
      </c>
      <c r="N884" s="604" t="s">
        <v>227</v>
      </c>
      <c r="O884" s="463"/>
      <c r="P884" s="434"/>
      <c r="Q884" s="434"/>
      <c r="R884" s="400">
        <v>0</v>
      </c>
      <c r="S884" s="464">
        <v>0</v>
      </c>
      <c r="U884" s="1248">
        <f t="shared" si="14"/>
        <v>1</v>
      </c>
      <c r="V884" s="1304">
        <f t="shared" si="15"/>
        <v>1</v>
      </c>
    </row>
    <row r="885" spans="1:22" ht="16.5" thickTop="1" thickBot="1">
      <c r="A885" s="1244"/>
      <c r="B885" s="1249" t="s">
        <v>825</v>
      </c>
      <c r="C885" s="1329" t="s">
        <v>227</v>
      </c>
      <c r="D885" s="1326" t="s">
        <v>227</v>
      </c>
      <c r="E885" s="1249" t="s">
        <v>2449</v>
      </c>
      <c r="F885" s="455" t="s">
        <v>2451</v>
      </c>
      <c r="G885" s="456" t="s">
        <v>157</v>
      </c>
      <c r="H885" s="889">
        <v>7</v>
      </c>
      <c r="I885" s="891">
        <v>196.56299999999999</v>
      </c>
      <c r="J885" s="601">
        <v>244.137</v>
      </c>
      <c r="K885" s="602">
        <v>0.36842105263157893</v>
      </c>
      <c r="L885" s="981">
        <v>3</v>
      </c>
      <c r="M885" s="1249" t="s">
        <v>323</v>
      </c>
      <c r="N885" s="604" t="s">
        <v>227</v>
      </c>
      <c r="O885" s="465"/>
      <c r="P885" s="435">
        <v>13.228999999999999</v>
      </c>
      <c r="Q885" s="435">
        <v>1</v>
      </c>
      <c r="R885" s="401">
        <v>1</v>
      </c>
      <c r="S885" s="466">
        <v>0.2857142857142857</v>
      </c>
      <c r="U885" s="1248">
        <f t="shared" si="14"/>
        <v>0</v>
      </c>
      <c r="V885" s="1304">
        <f t="shared" si="15"/>
        <v>1</v>
      </c>
    </row>
    <row r="886" spans="1:22" ht="16.5" thickTop="1" thickBot="1">
      <c r="A886" s="1244"/>
      <c r="B886" s="1245" t="s">
        <v>825</v>
      </c>
      <c r="C886" s="1328" t="s">
        <v>227</v>
      </c>
      <c r="D886" s="1327" t="s">
        <v>227</v>
      </c>
      <c r="E886" s="1245" t="s">
        <v>2494</v>
      </c>
      <c r="F886" s="457" t="s">
        <v>2495</v>
      </c>
      <c r="G886" s="458" t="s">
        <v>156</v>
      </c>
      <c r="H886" s="888">
        <v>7</v>
      </c>
      <c r="I886" s="890">
        <v>54.154000000000003</v>
      </c>
      <c r="J886" s="899">
        <v>141.27799999999999</v>
      </c>
      <c r="K886" s="603">
        <v>0.36363636363636365</v>
      </c>
      <c r="L886" s="980">
        <v>4</v>
      </c>
      <c r="M886" s="1245" t="s">
        <v>321</v>
      </c>
      <c r="N886" s="604" t="s">
        <v>227</v>
      </c>
      <c r="O886" s="463"/>
      <c r="P886" s="434">
        <v>16.074000000000002</v>
      </c>
      <c r="Q886" s="434">
        <v>2</v>
      </c>
      <c r="R886" s="400">
        <v>2</v>
      </c>
      <c r="S886" s="464">
        <v>0.5</v>
      </c>
      <c r="U886" s="1248">
        <f t="shared" si="14"/>
        <v>0</v>
      </c>
      <c r="V886" s="1304">
        <f t="shared" si="15"/>
        <v>1</v>
      </c>
    </row>
    <row r="887" spans="1:22" ht="16.5" thickTop="1" thickBot="1">
      <c r="A887" s="1244"/>
      <c r="B887" s="1249" t="s">
        <v>825</v>
      </c>
      <c r="C887" s="1329" t="s">
        <v>227</v>
      </c>
      <c r="D887" s="1326" t="s">
        <v>227</v>
      </c>
      <c r="E887" s="1249" t="s">
        <v>2591</v>
      </c>
      <c r="F887" s="455" t="s">
        <v>2592</v>
      </c>
      <c r="G887" s="456" t="s">
        <v>156</v>
      </c>
      <c r="H887" s="889">
        <v>5</v>
      </c>
      <c r="I887" s="891">
        <v>46.716000000000001</v>
      </c>
      <c r="J887" s="601">
        <v>108.039</v>
      </c>
      <c r="K887" s="602">
        <v>0.2978723404255319</v>
      </c>
      <c r="L887" s="981">
        <v>6</v>
      </c>
      <c r="M887" s="1249" t="s">
        <v>321</v>
      </c>
      <c r="N887" s="604" t="s">
        <v>227</v>
      </c>
      <c r="O887" s="465">
        <v>1</v>
      </c>
      <c r="P887" s="435"/>
      <c r="Q887" s="435"/>
      <c r="R887" s="401">
        <v>0</v>
      </c>
      <c r="S887" s="466">
        <v>0</v>
      </c>
      <c r="U887" s="1248">
        <f t="shared" si="14"/>
        <v>0</v>
      </c>
      <c r="V887" s="1304">
        <f t="shared" si="15"/>
        <v>1</v>
      </c>
    </row>
    <row r="888" spans="1:22" ht="16.5" thickTop="1" thickBot="1">
      <c r="A888" s="1244"/>
      <c r="B888" s="1245" t="s">
        <v>825</v>
      </c>
      <c r="C888" s="1328" t="s">
        <v>227</v>
      </c>
      <c r="D888" s="1327" t="s">
        <v>227</v>
      </c>
      <c r="E888" s="1245" t="s">
        <v>2745</v>
      </c>
      <c r="F888" s="457" t="s">
        <v>921</v>
      </c>
      <c r="G888" s="458" t="s">
        <v>157</v>
      </c>
      <c r="H888" s="888">
        <v>4</v>
      </c>
      <c r="I888" s="890">
        <v>15.515000000000001</v>
      </c>
      <c r="J888" s="899">
        <v>53.121000000000002</v>
      </c>
      <c r="K888" s="603">
        <v>0.375</v>
      </c>
      <c r="L888" s="980">
        <v>5</v>
      </c>
      <c r="M888" s="1245" t="s">
        <v>322</v>
      </c>
      <c r="N888" s="604" t="s">
        <v>227</v>
      </c>
      <c r="O888" s="463">
        <v>1</v>
      </c>
      <c r="P888" s="434">
        <v>37.606000000000002</v>
      </c>
      <c r="Q888" s="434">
        <v>3</v>
      </c>
      <c r="R888" s="400">
        <v>1</v>
      </c>
      <c r="S888" s="464">
        <v>0.18181818181818182</v>
      </c>
      <c r="U888" s="1248">
        <f t="shared" si="14"/>
        <v>0</v>
      </c>
      <c r="V888" s="1304">
        <f t="shared" si="15"/>
        <v>1</v>
      </c>
    </row>
    <row r="889" spans="1:22" ht="16.5" thickTop="1" thickBot="1">
      <c r="A889" s="1244"/>
      <c r="B889" s="1249" t="s">
        <v>825</v>
      </c>
      <c r="C889" s="1329" t="s">
        <v>227</v>
      </c>
      <c r="D889" s="1326" t="s">
        <v>227</v>
      </c>
      <c r="E889" s="1249" t="s">
        <v>2805</v>
      </c>
      <c r="F889" s="455" t="s">
        <v>2806</v>
      </c>
      <c r="G889" s="456" t="s">
        <v>156</v>
      </c>
      <c r="H889" s="889">
        <v>4</v>
      </c>
      <c r="I889" s="891"/>
      <c r="J889" s="601">
        <v>58.091999999999999</v>
      </c>
      <c r="K889" s="602">
        <v>0.33333333333333331</v>
      </c>
      <c r="L889" s="981">
        <v>5</v>
      </c>
      <c r="M889" s="1249" t="s">
        <v>322</v>
      </c>
      <c r="N889" s="604" t="s">
        <v>227</v>
      </c>
      <c r="O889" s="465"/>
      <c r="P889" s="435"/>
      <c r="Q889" s="435"/>
      <c r="R889" s="401">
        <v>0</v>
      </c>
      <c r="S889" s="466">
        <v>0</v>
      </c>
      <c r="U889" s="1248">
        <f t="shared" si="14"/>
        <v>0</v>
      </c>
      <c r="V889" s="1304">
        <f t="shared" si="15"/>
        <v>1</v>
      </c>
    </row>
    <row r="890" spans="1:22" ht="16.5" thickTop="1" thickBot="1">
      <c r="A890" s="1244"/>
      <c r="B890" s="1245" t="s">
        <v>825</v>
      </c>
      <c r="C890" s="1328" t="s">
        <v>227</v>
      </c>
      <c r="D890" s="1327" t="s">
        <v>227</v>
      </c>
      <c r="E890" s="1245" t="s">
        <v>2807</v>
      </c>
      <c r="F890" s="457" t="s">
        <v>2808</v>
      </c>
      <c r="G890" s="458" t="s">
        <v>156</v>
      </c>
      <c r="H890" s="888">
        <v>4</v>
      </c>
      <c r="I890" s="890">
        <v>25.361999999999998</v>
      </c>
      <c r="J890" s="899">
        <v>35.646000000000001</v>
      </c>
      <c r="K890" s="603">
        <v>0.20689655172413793</v>
      </c>
      <c r="L890" s="980">
        <v>4</v>
      </c>
      <c r="M890" s="1245" t="s">
        <v>366</v>
      </c>
      <c r="N890" s="604" t="s">
        <v>227</v>
      </c>
      <c r="O890" s="463"/>
      <c r="P890" s="434"/>
      <c r="Q890" s="434"/>
      <c r="R890" s="400">
        <v>0</v>
      </c>
      <c r="S890" s="464">
        <v>0</v>
      </c>
      <c r="U890" s="1248">
        <f t="shared" si="14"/>
        <v>1</v>
      </c>
      <c r="V890" s="1304">
        <f t="shared" si="15"/>
        <v>1</v>
      </c>
    </row>
    <row r="891" spans="1:22" ht="16.5" thickTop="1" thickBot="1">
      <c r="A891" s="1244"/>
      <c r="B891" s="1249" t="s">
        <v>825</v>
      </c>
      <c r="C891" s="1329" t="s">
        <v>227</v>
      </c>
      <c r="D891" s="1326" t="s">
        <v>227</v>
      </c>
      <c r="E891" s="1249" t="s">
        <v>2809</v>
      </c>
      <c r="F891" s="455" t="s">
        <v>1886</v>
      </c>
      <c r="G891" s="456" t="s">
        <v>156</v>
      </c>
      <c r="H891" s="889">
        <v>4</v>
      </c>
      <c r="I891" s="891">
        <v>24.021999999999998</v>
      </c>
      <c r="J891" s="601">
        <v>34.567</v>
      </c>
      <c r="K891" s="602">
        <v>0.23076923076923078</v>
      </c>
      <c r="L891" s="981">
        <v>2</v>
      </c>
      <c r="M891" s="1249" t="s">
        <v>366</v>
      </c>
      <c r="N891" s="604" t="s">
        <v>227</v>
      </c>
      <c r="O891" s="465"/>
      <c r="P891" s="435"/>
      <c r="Q891" s="435"/>
      <c r="R891" s="401">
        <v>0</v>
      </c>
      <c r="S891" s="466">
        <v>0</v>
      </c>
      <c r="U891" s="1248">
        <f t="shared" si="14"/>
        <v>1</v>
      </c>
      <c r="V891" s="1304">
        <f t="shared" si="15"/>
        <v>1</v>
      </c>
    </row>
    <row r="892" spans="1:22" ht="16.5" thickTop="1" thickBot="1">
      <c r="A892" s="1244"/>
      <c r="B892" s="1245" t="s">
        <v>825</v>
      </c>
      <c r="C892" s="1328" t="s">
        <v>227</v>
      </c>
      <c r="D892" s="1327" t="s">
        <v>227</v>
      </c>
      <c r="E892" s="1245" t="s">
        <v>3324</v>
      </c>
      <c r="F892" s="457" t="s">
        <v>3325</v>
      </c>
      <c r="G892" s="458" t="s">
        <v>156</v>
      </c>
      <c r="H892" s="888">
        <v>1</v>
      </c>
      <c r="I892" s="890"/>
      <c r="J892" s="899">
        <v>10.087</v>
      </c>
      <c r="K892" s="603">
        <v>0.2857142857142857</v>
      </c>
      <c r="L892" s="980">
        <v>3</v>
      </c>
      <c r="M892" s="1245" t="s">
        <v>322</v>
      </c>
      <c r="N892" s="604" t="s">
        <v>227</v>
      </c>
      <c r="O892" s="463">
        <v>1</v>
      </c>
      <c r="P892" s="434">
        <v>10.087</v>
      </c>
      <c r="Q892" s="434">
        <v>1</v>
      </c>
      <c r="R892" s="400">
        <v>1</v>
      </c>
      <c r="S892" s="464">
        <v>0.4</v>
      </c>
      <c r="U892" s="1248">
        <f t="shared" si="14"/>
        <v>0</v>
      </c>
      <c r="V892" s="1304">
        <f t="shared" si="15"/>
        <v>1</v>
      </c>
    </row>
    <row r="893" spans="1:22" ht="16.5" thickTop="1" thickBot="1">
      <c r="A893" s="1244"/>
      <c r="B893" s="1249" t="s">
        <v>825</v>
      </c>
      <c r="C893" s="1329" t="s">
        <v>2719</v>
      </c>
      <c r="D893" s="1326" t="s">
        <v>227</v>
      </c>
      <c r="E893" s="1249" t="s">
        <v>2719</v>
      </c>
      <c r="F893" s="455" t="s">
        <v>2721</v>
      </c>
      <c r="G893" s="456" t="s">
        <v>739</v>
      </c>
      <c r="H893" s="889">
        <v>3</v>
      </c>
      <c r="I893" s="891">
        <v>37.698</v>
      </c>
      <c r="J893" s="601">
        <v>167.98500000000001</v>
      </c>
      <c r="K893" s="602">
        <v>0.63157894736842102</v>
      </c>
      <c r="L893" s="981">
        <v>3</v>
      </c>
      <c r="M893" s="1249" t="s">
        <v>323</v>
      </c>
      <c r="N893" s="604" t="s">
        <v>227</v>
      </c>
      <c r="O893" s="465"/>
      <c r="P893" s="435">
        <v>40.706000000000003</v>
      </c>
      <c r="Q893" s="435">
        <v>4</v>
      </c>
      <c r="R893" s="401">
        <v>2</v>
      </c>
      <c r="S893" s="466">
        <v>0.5</v>
      </c>
      <c r="U893" s="1248">
        <f t="shared" si="14"/>
        <v>0</v>
      </c>
      <c r="V893" s="1304">
        <f t="shared" si="15"/>
        <v>1</v>
      </c>
    </row>
    <row r="894" spans="1:22" ht="16.5" thickTop="1" thickBot="1">
      <c r="A894" s="1244"/>
      <c r="B894" s="1245" t="s">
        <v>825</v>
      </c>
      <c r="C894" s="1328" t="s">
        <v>2719</v>
      </c>
      <c r="D894" s="1327" t="s">
        <v>227</v>
      </c>
      <c r="E894" s="1245" t="s">
        <v>3328</v>
      </c>
      <c r="F894" s="457" t="s">
        <v>3329</v>
      </c>
      <c r="G894" s="458" t="s">
        <v>157</v>
      </c>
      <c r="H894" s="888">
        <v>1</v>
      </c>
      <c r="I894" s="890">
        <v>101.723</v>
      </c>
      <c r="J894" s="899">
        <v>101.723</v>
      </c>
      <c r="K894" s="603">
        <v>1.3333333333333333</v>
      </c>
      <c r="L894" s="980">
        <v>1</v>
      </c>
      <c r="M894" s="1245" t="s">
        <v>323</v>
      </c>
      <c r="N894" s="604" t="s">
        <v>227</v>
      </c>
      <c r="O894" s="463"/>
      <c r="P894" s="434">
        <v>91.213999999999999</v>
      </c>
      <c r="Q894" s="434">
        <v>3</v>
      </c>
      <c r="R894" s="400">
        <v>1</v>
      </c>
      <c r="S894" s="464">
        <v>1</v>
      </c>
      <c r="U894" s="1248">
        <f t="shared" si="14"/>
        <v>0</v>
      </c>
      <c r="V894" s="1304">
        <f t="shared" si="15"/>
        <v>1</v>
      </c>
    </row>
    <row r="895" spans="1:22" ht="16.5" thickTop="1" thickBot="1">
      <c r="A895" s="1244"/>
      <c r="B895" s="1249" t="s">
        <v>825</v>
      </c>
      <c r="C895" s="1329" t="s">
        <v>2719</v>
      </c>
      <c r="D895" s="1326" t="s">
        <v>227</v>
      </c>
      <c r="E895" s="1249" t="s">
        <v>3330</v>
      </c>
      <c r="F895" s="455" t="s">
        <v>3331</v>
      </c>
      <c r="G895" s="456" t="s">
        <v>156</v>
      </c>
      <c r="H895" s="889">
        <v>1</v>
      </c>
      <c r="I895" s="891">
        <v>15.359</v>
      </c>
      <c r="J895" s="601">
        <v>348.65600000000001</v>
      </c>
      <c r="K895" s="602">
        <v>0.76923076923076927</v>
      </c>
      <c r="L895" s="981">
        <v>11</v>
      </c>
      <c r="M895" s="1249" t="s">
        <v>323</v>
      </c>
      <c r="N895" s="604" t="s">
        <v>227</v>
      </c>
      <c r="O895" s="465">
        <v>5</v>
      </c>
      <c r="P895" s="435">
        <v>273.07799999999997</v>
      </c>
      <c r="Q895" s="435">
        <v>15</v>
      </c>
      <c r="R895" s="401">
        <v>9</v>
      </c>
      <c r="S895" s="466">
        <v>1.0588235294117647</v>
      </c>
      <c r="U895" s="1248">
        <f t="shared" si="14"/>
        <v>0</v>
      </c>
      <c r="V895" s="1304">
        <f t="shared" si="15"/>
        <v>1</v>
      </c>
    </row>
    <row r="896" spans="1:22" ht="16.5" thickTop="1" thickBot="1">
      <c r="A896" s="1244"/>
      <c r="B896" s="1245" t="s">
        <v>825</v>
      </c>
      <c r="C896" s="1328" t="s">
        <v>2719</v>
      </c>
      <c r="D896" s="1327" t="s">
        <v>227</v>
      </c>
      <c r="E896" s="1245" t="s">
        <v>3868</v>
      </c>
      <c r="F896" s="457" t="s">
        <v>3869</v>
      </c>
      <c r="G896" s="458" t="s">
        <v>156</v>
      </c>
      <c r="H896" s="888">
        <v>0</v>
      </c>
      <c r="I896" s="890"/>
      <c r="J896" s="899">
        <v>12.295</v>
      </c>
      <c r="K896" s="603">
        <v>1</v>
      </c>
      <c r="L896" s="980">
        <v>2</v>
      </c>
      <c r="M896" s="1245" t="s">
        <v>227</v>
      </c>
      <c r="N896" s="604" t="s">
        <v>227</v>
      </c>
      <c r="O896" s="463">
        <v>2</v>
      </c>
      <c r="P896" s="434">
        <v>12.295</v>
      </c>
      <c r="Q896" s="434">
        <v>1</v>
      </c>
      <c r="R896" s="400">
        <v>1</v>
      </c>
      <c r="S896" s="464">
        <v>1</v>
      </c>
      <c r="U896" s="1248">
        <f t="shared" si="14"/>
        <v>0</v>
      </c>
      <c r="V896" s="1304">
        <f t="shared" si="15"/>
        <v>1</v>
      </c>
    </row>
    <row r="897" spans="1:22" ht="16.5" thickTop="1" thickBot="1">
      <c r="A897" s="1244"/>
      <c r="B897" s="1249" t="s">
        <v>825</v>
      </c>
      <c r="C897" s="1329" t="s">
        <v>2719</v>
      </c>
      <c r="D897" s="1326" t="s">
        <v>227</v>
      </c>
      <c r="E897" s="1249" t="s">
        <v>3870</v>
      </c>
      <c r="F897" s="455" t="s">
        <v>3871</v>
      </c>
      <c r="G897" s="456" t="s">
        <v>156</v>
      </c>
      <c r="H897" s="889">
        <v>0</v>
      </c>
      <c r="I897" s="891"/>
      <c r="J897" s="601"/>
      <c r="K897" s="602">
        <v>0</v>
      </c>
      <c r="L897" s="981">
        <v>1</v>
      </c>
      <c r="M897" s="1249" t="s">
        <v>227</v>
      </c>
      <c r="N897" s="604" t="s">
        <v>227</v>
      </c>
      <c r="O897" s="465">
        <v>1</v>
      </c>
      <c r="P897" s="435"/>
      <c r="Q897" s="435"/>
      <c r="R897" s="401">
        <v>0</v>
      </c>
      <c r="S897" s="466">
        <v>0</v>
      </c>
      <c r="U897" s="1248">
        <f t="shared" si="14"/>
        <v>0</v>
      </c>
      <c r="V897" s="1304">
        <f t="shared" si="15"/>
        <v>1</v>
      </c>
    </row>
    <row r="898" spans="1:22" ht="16.5" thickTop="1" thickBot="1">
      <c r="A898" s="1244"/>
      <c r="B898" s="1245" t="s">
        <v>902</v>
      </c>
      <c r="C898" s="1328" t="s">
        <v>910</v>
      </c>
      <c r="D898" s="1327" t="s">
        <v>227</v>
      </c>
      <c r="E898" s="1245" t="s">
        <v>910</v>
      </c>
      <c r="F898" s="457" t="s">
        <v>912</v>
      </c>
      <c r="G898" s="458" t="s">
        <v>158</v>
      </c>
      <c r="H898" s="888">
        <v>20</v>
      </c>
      <c r="I898" s="890">
        <v>353.29599999999999</v>
      </c>
      <c r="J898" s="899">
        <v>1438.6569999999999</v>
      </c>
      <c r="K898" s="603">
        <v>0.35971223021582732</v>
      </c>
      <c r="L898" s="980">
        <v>8</v>
      </c>
      <c r="M898" s="1245" t="s">
        <v>323</v>
      </c>
      <c r="N898" s="604" t="s">
        <v>227</v>
      </c>
      <c r="O898" s="463">
        <v>1</v>
      </c>
      <c r="P898" s="434">
        <v>298.46800000000002</v>
      </c>
      <c r="Q898" s="434">
        <v>17</v>
      </c>
      <c r="R898" s="400">
        <v>6</v>
      </c>
      <c r="S898" s="464">
        <v>0.66666666666666663</v>
      </c>
      <c r="U898" s="1248">
        <f t="shared" si="14"/>
        <v>0</v>
      </c>
      <c r="V898" s="1304">
        <f t="shared" si="15"/>
        <v>1</v>
      </c>
    </row>
    <row r="899" spans="1:22" ht="16.5" thickTop="1" thickBot="1">
      <c r="A899" s="1244"/>
      <c r="B899" s="1249" t="s">
        <v>902</v>
      </c>
      <c r="C899" s="1329" t="s">
        <v>910</v>
      </c>
      <c r="D899" s="1326" t="s">
        <v>227</v>
      </c>
      <c r="E899" s="1249" t="s">
        <v>919</v>
      </c>
      <c r="F899" s="455" t="s">
        <v>921</v>
      </c>
      <c r="G899" s="456" t="s">
        <v>157</v>
      </c>
      <c r="H899" s="889">
        <v>20</v>
      </c>
      <c r="I899" s="891">
        <v>48.01</v>
      </c>
      <c r="J899" s="601">
        <v>48.01</v>
      </c>
      <c r="K899" s="602">
        <v>0.125</v>
      </c>
      <c r="L899" s="981">
        <v>1</v>
      </c>
      <c r="M899" s="1249" t="s">
        <v>366</v>
      </c>
      <c r="N899" s="604" t="s">
        <v>227</v>
      </c>
      <c r="O899" s="465"/>
      <c r="P899" s="435">
        <v>13.161</v>
      </c>
      <c r="Q899" s="435">
        <v>1</v>
      </c>
      <c r="R899" s="401">
        <v>1</v>
      </c>
      <c r="S899" s="466">
        <v>0.66666666666666663</v>
      </c>
      <c r="U899" s="1248">
        <f t="shared" si="14"/>
        <v>1</v>
      </c>
      <c r="V899" s="1304">
        <f t="shared" si="15"/>
        <v>1</v>
      </c>
    </row>
    <row r="900" spans="1:22" ht="16.5" thickTop="1" thickBot="1">
      <c r="A900" s="1244"/>
      <c r="B900" s="1245" t="s">
        <v>902</v>
      </c>
      <c r="C900" s="1328" t="s">
        <v>910</v>
      </c>
      <c r="D900" s="1327" t="s">
        <v>227</v>
      </c>
      <c r="E900" s="1245" t="s">
        <v>993</v>
      </c>
      <c r="F900" s="457" t="s">
        <v>994</v>
      </c>
      <c r="G900" s="458" t="s">
        <v>156</v>
      </c>
      <c r="H900" s="888">
        <v>19</v>
      </c>
      <c r="I900" s="890">
        <v>241.88800000000001</v>
      </c>
      <c r="J900" s="899">
        <v>878.97500000000002</v>
      </c>
      <c r="K900" s="603">
        <v>0.35294117647058826</v>
      </c>
      <c r="L900" s="980">
        <v>6</v>
      </c>
      <c r="M900" s="1245" t="s">
        <v>323</v>
      </c>
      <c r="N900" s="604" t="s">
        <v>227</v>
      </c>
      <c r="O900" s="463">
        <v>2</v>
      </c>
      <c r="P900" s="434">
        <v>200.72900000000001</v>
      </c>
      <c r="Q900" s="434">
        <v>10</v>
      </c>
      <c r="R900" s="400">
        <v>5</v>
      </c>
      <c r="S900" s="464">
        <v>0.83333333333333337</v>
      </c>
      <c r="U900" s="1248">
        <f t="shared" si="14"/>
        <v>0</v>
      </c>
      <c r="V900" s="1304">
        <f t="shared" si="15"/>
        <v>1</v>
      </c>
    </row>
    <row r="901" spans="1:22" ht="16.5" thickTop="1" thickBot="1">
      <c r="A901" s="1244"/>
      <c r="B901" s="1249" t="s">
        <v>902</v>
      </c>
      <c r="C901" s="1329" t="s">
        <v>910</v>
      </c>
      <c r="D901" s="1326" t="s">
        <v>227</v>
      </c>
      <c r="E901" s="1249" t="s">
        <v>1035</v>
      </c>
      <c r="F901" s="455" t="s">
        <v>1037</v>
      </c>
      <c r="G901" s="456" t="s">
        <v>157</v>
      </c>
      <c r="H901" s="889">
        <v>19</v>
      </c>
      <c r="I901" s="891">
        <v>324.01600000000002</v>
      </c>
      <c r="J901" s="601">
        <v>417.42200000000003</v>
      </c>
      <c r="K901" s="602">
        <v>0.25641025641025639</v>
      </c>
      <c r="L901" s="981">
        <v>3</v>
      </c>
      <c r="M901" s="1249" t="s">
        <v>323</v>
      </c>
      <c r="N901" s="604" t="s">
        <v>227</v>
      </c>
      <c r="O901" s="465"/>
      <c r="P901" s="435">
        <v>68.936000000000007</v>
      </c>
      <c r="Q901" s="435">
        <v>4</v>
      </c>
      <c r="R901" s="401">
        <v>1</v>
      </c>
      <c r="S901" s="466">
        <v>0.2857142857142857</v>
      </c>
      <c r="U901" s="1248">
        <f t="shared" si="14"/>
        <v>0</v>
      </c>
      <c r="V901" s="1304">
        <f t="shared" si="15"/>
        <v>1</v>
      </c>
    </row>
    <row r="902" spans="1:22" ht="16.5" thickTop="1" thickBot="1">
      <c r="A902" s="1244"/>
      <c r="B902" s="1245" t="s">
        <v>902</v>
      </c>
      <c r="C902" s="1328" t="s">
        <v>910</v>
      </c>
      <c r="D902" s="1327" t="s">
        <v>227</v>
      </c>
      <c r="E902" s="1245" t="s">
        <v>1061</v>
      </c>
      <c r="F902" s="457" t="s">
        <v>1062</v>
      </c>
      <c r="G902" s="458" t="s">
        <v>157</v>
      </c>
      <c r="H902" s="888">
        <v>18</v>
      </c>
      <c r="I902" s="890">
        <v>84.067999999999998</v>
      </c>
      <c r="J902" s="899">
        <v>92.259</v>
      </c>
      <c r="K902" s="603">
        <v>0.21621621621621623</v>
      </c>
      <c r="L902" s="980">
        <v>1</v>
      </c>
      <c r="M902" s="1245" t="s">
        <v>366</v>
      </c>
      <c r="N902" s="604" t="s">
        <v>227</v>
      </c>
      <c r="O902" s="463"/>
      <c r="P902" s="434"/>
      <c r="Q902" s="434"/>
      <c r="R902" s="400">
        <v>0</v>
      </c>
      <c r="S902" s="464">
        <v>0</v>
      </c>
      <c r="U902" s="1248">
        <f t="shared" si="14"/>
        <v>1</v>
      </c>
      <c r="V902" s="1304">
        <f t="shared" si="15"/>
        <v>1</v>
      </c>
    </row>
    <row r="903" spans="1:22" ht="16.5" thickTop="1" thickBot="1">
      <c r="A903" s="1244"/>
      <c r="B903" s="1249" t="s">
        <v>902</v>
      </c>
      <c r="C903" s="1329" t="s">
        <v>910</v>
      </c>
      <c r="D903" s="1326" t="s">
        <v>227</v>
      </c>
      <c r="E903" s="1249" t="s">
        <v>1063</v>
      </c>
      <c r="F903" s="455" t="s">
        <v>1064</v>
      </c>
      <c r="G903" s="456" t="s">
        <v>156</v>
      </c>
      <c r="H903" s="889">
        <v>18</v>
      </c>
      <c r="I903" s="891">
        <v>65.918000000000006</v>
      </c>
      <c r="J903" s="601">
        <v>323.66500000000002</v>
      </c>
      <c r="K903" s="602">
        <v>0.3146067415730337</v>
      </c>
      <c r="L903" s="981">
        <v>3</v>
      </c>
      <c r="M903" s="1249" t="s">
        <v>321</v>
      </c>
      <c r="N903" s="604" t="s">
        <v>227</v>
      </c>
      <c r="O903" s="465"/>
      <c r="P903" s="435">
        <v>26.338000000000001</v>
      </c>
      <c r="Q903" s="435">
        <v>2</v>
      </c>
      <c r="R903" s="401">
        <v>2</v>
      </c>
      <c r="S903" s="466">
        <v>0.5714285714285714</v>
      </c>
      <c r="U903" s="1248">
        <f t="shared" si="14"/>
        <v>0</v>
      </c>
      <c r="V903" s="1304">
        <f t="shared" si="15"/>
        <v>1</v>
      </c>
    </row>
    <row r="904" spans="1:22" ht="16.5" thickTop="1" thickBot="1">
      <c r="A904" s="1244"/>
      <c r="B904" s="1245" t="s">
        <v>902</v>
      </c>
      <c r="C904" s="1328" t="s">
        <v>910</v>
      </c>
      <c r="D904" s="1327" t="s">
        <v>227</v>
      </c>
      <c r="E904" s="1245" t="s">
        <v>1225</v>
      </c>
      <c r="F904" s="457" t="s">
        <v>816</v>
      </c>
      <c r="G904" s="458" t="s">
        <v>156</v>
      </c>
      <c r="H904" s="888">
        <v>18</v>
      </c>
      <c r="I904" s="890">
        <v>22.556000000000001</v>
      </c>
      <c r="J904" s="899">
        <v>204.209</v>
      </c>
      <c r="K904" s="603">
        <v>0.31746031746031744</v>
      </c>
      <c r="L904" s="980">
        <v>2</v>
      </c>
      <c r="M904" s="1245" t="s">
        <v>322</v>
      </c>
      <c r="N904" s="604" t="s">
        <v>227</v>
      </c>
      <c r="O904" s="463"/>
      <c r="P904" s="434">
        <v>0</v>
      </c>
      <c r="Q904" s="434"/>
      <c r="R904" s="400">
        <v>0</v>
      </c>
      <c r="S904" s="464">
        <v>0</v>
      </c>
      <c r="U904" s="1248">
        <f t="shared" si="14"/>
        <v>0</v>
      </c>
      <c r="V904" s="1304">
        <f t="shared" si="15"/>
        <v>1</v>
      </c>
    </row>
    <row r="905" spans="1:22" ht="16.5" thickTop="1" thickBot="1">
      <c r="A905" s="1244"/>
      <c r="B905" s="1249" t="s">
        <v>902</v>
      </c>
      <c r="C905" s="1329" t="s">
        <v>910</v>
      </c>
      <c r="D905" s="1326" t="s">
        <v>227</v>
      </c>
      <c r="E905" s="1249" t="s">
        <v>1396</v>
      </c>
      <c r="F905" s="455" t="s">
        <v>1397</v>
      </c>
      <c r="G905" s="456" t="s">
        <v>156</v>
      </c>
      <c r="H905" s="889">
        <v>15</v>
      </c>
      <c r="I905" s="891">
        <v>217.80699999999999</v>
      </c>
      <c r="J905" s="601">
        <v>788.19399999999996</v>
      </c>
      <c r="K905" s="602">
        <v>0.3742690058479532</v>
      </c>
      <c r="L905" s="981">
        <v>7</v>
      </c>
      <c r="M905" s="1249" t="s">
        <v>323</v>
      </c>
      <c r="N905" s="604" t="s">
        <v>227</v>
      </c>
      <c r="O905" s="465"/>
      <c r="P905" s="435">
        <v>130.155</v>
      </c>
      <c r="Q905" s="435">
        <v>6</v>
      </c>
      <c r="R905" s="401">
        <v>4</v>
      </c>
      <c r="S905" s="466">
        <v>0.5714285714285714</v>
      </c>
      <c r="U905" s="1248">
        <f t="shared" si="14"/>
        <v>0</v>
      </c>
      <c r="V905" s="1304">
        <f t="shared" si="15"/>
        <v>1</v>
      </c>
    </row>
    <row r="906" spans="1:22" ht="16.5" thickTop="1" thickBot="1">
      <c r="A906" s="1244"/>
      <c r="B906" s="1245" t="s">
        <v>902</v>
      </c>
      <c r="C906" s="1328" t="s">
        <v>910</v>
      </c>
      <c r="D906" s="1327" t="s">
        <v>227</v>
      </c>
      <c r="E906" s="1245" t="s">
        <v>1372</v>
      </c>
      <c r="F906" s="457" t="s">
        <v>1374</v>
      </c>
      <c r="G906" s="458" t="s">
        <v>157</v>
      </c>
      <c r="H906" s="888">
        <v>15</v>
      </c>
      <c r="I906" s="890">
        <v>36.561999999999998</v>
      </c>
      <c r="J906" s="899">
        <v>43.962000000000003</v>
      </c>
      <c r="K906" s="603">
        <v>0.15384615384615385</v>
      </c>
      <c r="L906" s="980">
        <v>2</v>
      </c>
      <c r="M906" s="1245" t="s">
        <v>366</v>
      </c>
      <c r="N906" s="604" t="s">
        <v>227</v>
      </c>
      <c r="O906" s="463"/>
      <c r="P906" s="434">
        <v>7.9450000000000003</v>
      </c>
      <c r="Q906" s="434">
        <v>1</v>
      </c>
      <c r="R906" s="400">
        <v>1</v>
      </c>
      <c r="S906" s="464">
        <v>0.5</v>
      </c>
      <c r="U906" s="1248">
        <f t="shared" si="14"/>
        <v>1</v>
      </c>
      <c r="V906" s="1304">
        <f t="shared" si="15"/>
        <v>1</v>
      </c>
    </row>
    <row r="907" spans="1:22" ht="16.5" thickTop="1" thickBot="1">
      <c r="A907" s="1244"/>
      <c r="B907" s="1249" t="s">
        <v>902</v>
      </c>
      <c r="C907" s="1329" t="s">
        <v>910</v>
      </c>
      <c r="D907" s="1326" t="s">
        <v>227</v>
      </c>
      <c r="E907" s="1249" t="s">
        <v>1625</v>
      </c>
      <c r="F907" s="455" t="s">
        <v>1626</v>
      </c>
      <c r="G907" s="456" t="s">
        <v>156</v>
      </c>
      <c r="H907" s="889">
        <v>14</v>
      </c>
      <c r="I907" s="891">
        <v>72.17</v>
      </c>
      <c r="J907" s="601">
        <v>94.341999999999999</v>
      </c>
      <c r="K907" s="602">
        <v>0.10810810810810811</v>
      </c>
      <c r="L907" s="981">
        <v>1</v>
      </c>
      <c r="M907" s="1249" t="s">
        <v>366</v>
      </c>
      <c r="N907" s="604" t="s">
        <v>227</v>
      </c>
      <c r="O907" s="465"/>
      <c r="P907" s="435">
        <v>23.085000000000001</v>
      </c>
      <c r="Q907" s="435"/>
      <c r="R907" s="401">
        <v>0</v>
      </c>
      <c r="S907" s="466">
        <v>0</v>
      </c>
      <c r="U907" s="1248">
        <f t="shared" si="14"/>
        <v>1</v>
      </c>
      <c r="V907" s="1304">
        <f t="shared" si="15"/>
        <v>1</v>
      </c>
    </row>
    <row r="908" spans="1:22" ht="16.5" thickTop="1" thickBot="1">
      <c r="A908" s="1244"/>
      <c r="B908" s="1245" t="s">
        <v>902</v>
      </c>
      <c r="C908" s="1328" t="s">
        <v>910</v>
      </c>
      <c r="D908" s="1327" t="s">
        <v>227</v>
      </c>
      <c r="E908" s="1245" t="s">
        <v>1627</v>
      </c>
      <c r="F908" s="457" t="s">
        <v>1628</v>
      </c>
      <c r="G908" s="458" t="s">
        <v>156</v>
      </c>
      <c r="H908" s="888">
        <v>13</v>
      </c>
      <c r="I908" s="890">
        <v>40.451999999999998</v>
      </c>
      <c r="J908" s="899">
        <v>48.677999999999997</v>
      </c>
      <c r="K908" s="603">
        <v>0.21739130434782608</v>
      </c>
      <c r="L908" s="980">
        <v>1</v>
      </c>
      <c r="M908" s="1245" t="s">
        <v>366</v>
      </c>
      <c r="N908" s="604" t="s">
        <v>227</v>
      </c>
      <c r="O908" s="463"/>
      <c r="P908" s="434"/>
      <c r="Q908" s="434"/>
      <c r="R908" s="400">
        <v>0</v>
      </c>
      <c r="S908" s="464">
        <v>0</v>
      </c>
      <c r="U908" s="1248">
        <f t="shared" si="14"/>
        <v>1</v>
      </c>
      <c r="V908" s="1304">
        <f t="shared" si="15"/>
        <v>1</v>
      </c>
    </row>
    <row r="909" spans="1:22" ht="16.5" thickTop="1" thickBot="1">
      <c r="A909" s="1244"/>
      <c r="B909" s="1249" t="s">
        <v>902</v>
      </c>
      <c r="C909" s="1329" t="s">
        <v>910</v>
      </c>
      <c r="D909" s="1326" t="s">
        <v>227</v>
      </c>
      <c r="E909" s="1249" t="s">
        <v>1724</v>
      </c>
      <c r="F909" s="455" t="s">
        <v>1725</v>
      </c>
      <c r="G909" s="456" t="s">
        <v>156</v>
      </c>
      <c r="H909" s="889">
        <v>13</v>
      </c>
      <c r="I909" s="891">
        <v>81.099999999999994</v>
      </c>
      <c r="J909" s="601">
        <v>307.04500000000002</v>
      </c>
      <c r="K909" s="602">
        <v>0.35164835164835168</v>
      </c>
      <c r="L909" s="981">
        <v>8</v>
      </c>
      <c r="M909" s="1249" t="s">
        <v>321</v>
      </c>
      <c r="N909" s="604" t="s">
        <v>227</v>
      </c>
      <c r="O909" s="465">
        <v>2</v>
      </c>
      <c r="P909" s="435">
        <v>38.953000000000003</v>
      </c>
      <c r="Q909" s="435">
        <v>3</v>
      </c>
      <c r="R909" s="401">
        <v>3</v>
      </c>
      <c r="S909" s="466">
        <v>0.42857142857142855</v>
      </c>
      <c r="U909" s="1248">
        <f t="shared" si="14"/>
        <v>0</v>
      </c>
      <c r="V909" s="1304">
        <f t="shared" si="15"/>
        <v>1</v>
      </c>
    </row>
    <row r="910" spans="1:22" ht="16.5" thickTop="1" thickBot="1">
      <c r="A910" s="1244"/>
      <c r="B910" s="1245" t="s">
        <v>902</v>
      </c>
      <c r="C910" s="1328" t="s">
        <v>910</v>
      </c>
      <c r="D910" s="1327" t="s">
        <v>227</v>
      </c>
      <c r="E910" s="1245" t="s">
        <v>2154</v>
      </c>
      <c r="F910" s="457" t="s">
        <v>2155</v>
      </c>
      <c r="G910" s="458" t="s">
        <v>156</v>
      </c>
      <c r="H910" s="888">
        <v>9</v>
      </c>
      <c r="I910" s="890">
        <v>116.16200000000001</v>
      </c>
      <c r="J910" s="899">
        <v>131.066</v>
      </c>
      <c r="K910" s="603">
        <v>0.20289855072463769</v>
      </c>
      <c r="L910" s="980">
        <v>5</v>
      </c>
      <c r="M910" s="1245" t="s">
        <v>322</v>
      </c>
      <c r="N910" s="604" t="s">
        <v>227</v>
      </c>
      <c r="O910" s="463"/>
      <c r="P910" s="434"/>
      <c r="Q910" s="434"/>
      <c r="R910" s="400">
        <v>0</v>
      </c>
      <c r="S910" s="464">
        <v>0</v>
      </c>
      <c r="U910" s="1248">
        <f t="shared" si="14"/>
        <v>0</v>
      </c>
      <c r="V910" s="1304">
        <f t="shared" si="15"/>
        <v>1</v>
      </c>
    </row>
    <row r="911" spans="1:22" ht="16.5" thickTop="1" thickBot="1">
      <c r="A911" s="1244"/>
      <c r="B911" s="1249" t="s">
        <v>902</v>
      </c>
      <c r="C911" s="1329" t="s">
        <v>910</v>
      </c>
      <c r="D911" s="1326" t="s">
        <v>227</v>
      </c>
      <c r="E911" s="1249" t="s">
        <v>2382</v>
      </c>
      <c r="F911" s="455" t="s">
        <v>2383</v>
      </c>
      <c r="G911" s="456" t="s">
        <v>156</v>
      </c>
      <c r="H911" s="889">
        <v>7</v>
      </c>
      <c r="I911" s="891">
        <v>55.628999999999998</v>
      </c>
      <c r="J911" s="601">
        <v>111.02500000000001</v>
      </c>
      <c r="K911" s="602">
        <v>0.29090909090909089</v>
      </c>
      <c r="L911" s="981">
        <v>3</v>
      </c>
      <c r="M911" s="1249" t="s">
        <v>322</v>
      </c>
      <c r="N911" s="604" t="s">
        <v>227</v>
      </c>
      <c r="O911" s="465"/>
      <c r="P911" s="435"/>
      <c r="Q911" s="435"/>
      <c r="R911" s="401">
        <v>0</v>
      </c>
      <c r="S911" s="466">
        <v>0</v>
      </c>
      <c r="U911" s="1248">
        <f t="shared" si="14"/>
        <v>0</v>
      </c>
      <c r="V911" s="1304">
        <f t="shared" si="15"/>
        <v>1</v>
      </c>
    </row>
    <row r="912" spans="1:22" ht="16.5" thickTop="1" thickBot="1">
      <c r="A912" s="1244"/>
      <c r="B912" s="1245" t="s">
        <v>902</v>
      </c>
      <c r="C912" s="1328" t="s">
        <v>910</v>
      </c>
      <c r="D912" s="1327" t="s">
        <v>227</v>
      </c>
      <c r="E912" s="1245" t="s">
        <v>2498</v>
      </c>
      <c r="F912" s="457" t="s">
        <v>2499</v>
      </c>
      <c r="G912" s="458" t="s">
        <v>156</v>
      </c>
      <c r="H912" s="888">
        <v>6</v>
      </c>
      <c r="I912" s="890">
        <v>1248.17</v>
      </c>
      <c r="J912" s="899">
        <v>2140.348</v>
      </c>
      <c r="K912" s="603">
        <v>0.84615384615384615</v>
      </c>
      <c r="L912" s="980">
        <v>10</v>
      </c>
      <c r="M912" s="1245" t="s">
        <v>323</v>
      </c>
      <c r="N912" s="604" t="s">
        <v>227</v>
      </c>
      <c r="O912" s="463">
        <v>4</v>
      </c>
      <c r="P912" s="434">
        <v>212.857</v>
      </c>
      <c r="Q912" s="434">
        <v>12</v>
      </c>
      <c r="R912" s="400">
        <v>8</v>
      </c>
      <c r="S912" s="464">
        <v>1</v>
      </c>
      <c r="U912" s="1248">
        <f t="shared" si="14"/>
        <v>0</v>
      </c>
      <c r="V912" s="1304">
        <f t="shared" si="15"/>
        <v>1</v>
      </c>
    </row>
    <row r="913" spans="1:22" ht="16.5" thickTop="1" thickBot="1">
      <c r="A913" s="1244"/>
      <c r="B913" s="1249" t="s">
        <v>902</v>
      </c>
      <c r="C913" s="1329" t="s">
        <v>910</v>
      </c>
      <c r="D913" s="1326" t="s">
        <v>227</v>
      </c>
      <c r="E913" s="1249" t="s">
        <v>2597</v>
      </c>
      <c r="F913" s="455" t="s">
        <v>2598</v>
      </c>
      <c r="G913" s="456" t="s">
        <v>155</v>
      </c>
      <c r="H913" s="889"/>
      <c r="I913" s="891"/>
      <c r="J913" s="601">
        <v>17.297000000000001</v>
      </c>
      <c r="K913" s="602">
        <v>7.5471698113207544E-2</v>
      </c>
      <c r="L913" s="981">
        <v>2</v>
      </c>
      <c r="M913" s="1249" t="s">
        <v>366</v>
      </c>
      <c r="N913" s="604" t="s">
        <v>227</v>
      </c>
      <c r="O913" s="465"/>
      <c r="P913" s="435"/>
      <c r="Q913" s="435"/>
      <c r="R913" s="401">
        <v>0</v>
      </c>
      <c r="S913" s="466">
        <v>0</v>
      </c>
      <c r="U913" s="1248">
        <f t="shared" si="14"/>
        <v>1</v>
      </c>
      <c r="V913" s="1304">
        <f t="shared" si="15"/>
        <v>0</v>
      </c>
    </row>
    <row r="914" spans="1:22" ht="16.5" thickTop="1" thickBot="1">
      <c r="A914" s="1244"/>
      <c r="B914" s="1245" t="s">
        <v>902</v>
      </c>
      <c r="C914" s="1328" t="s">
        <v>910</v>
      </c>
      <c r="D914" s="1327" t="s">
        <v>227</v>
      </c>
      <c r="E914" s="1245" t="s">
        <v>2599</v>
      </c>
      <c r="F914" s="457" t="s">
        <v>2600</v>
      </c>
      <c r="G914" s="458" t="s">
        <v>155</v>
      </c>
      <c r="H914" s="888"/>
      <c r="I914" s="890"/>
      <c r="J914" s="899">
        <v>150.53700000000001</v>
      </c>
      <c r="K914" s="603">
        <v>0.4</v>
      </c>
      <c r="L914" s="980">
        <v>6</v>
      </c>
      <c r="M914" s="1245" t="s">
        <v>366</v>
      </c>
      <c r="N914" s="604" t="s">
        <v>227</v>
      </c>
      <c r="O914" s="463">
        <v>1</v>
      </c>
      <c r="P914" s="434">
        <v>18.754999999999999</v>
      </c>
      <c r="Q914" s="434">
        <v>2</v>
      </c>
      <c r="R914" s="400">
        <v>2</v>
      </c>
      <c r="S914" s="464">
        <v>0.36363636363636365</v>
      </c>
      <c r="U914" s="1248">
        <f t="shared" si="14"/>
        <v>1</v>
      </c>
      <c r="V914" s="1304">
        <f t="shared" si="15"/>
        <v>0</v>
      </c>
    </row>
    <row r="915" spans="1:22" ht="16.5" thickTop="1" thickBot="1">
      <c r="A915" s="1244"/>
      <c r="B915" s="1249" t="s">
        <v>902</v>
      </c>
      <c r="C915" s="1329" t="s">
        <v>910</v>
      </c>
      <c r="D915" s="1326" t="s">
        <v>227</v>
      </c>
      <c r="E915" s="1249" t="s">
        <v>3017</v>
      </c>
      <c r="F915" s="455" t="s">
        <v>3018</v>
      </c>
      <c r="G915" s="456" t="s">
        <v>155</v>
      </c>
      <c r="H915" s="889"/>
      <c r="I915" s="891"/>
      <c r="J915" s="601">
        <v>43.115000000000002</v>
      </c>
      <c r="K915" s="602">
        <v>0.44444444444444442</v>
      </c>
      <c r="L915" s="981">
        <v>4</v>
      </c>
      <c r="M915" s="1249" t="s">
        <v>366</v>
      </c>
      <c r="N915" s="604" t="s">
        <v>227</v>
      </c>
      <c r="O915" s="465"/>
      <c r="P915" s="435">
        <v>10.183999999999999</v>
      </c>
      <c r="Q915" s="435">
        <v>1</v>
      </c>
      <c r="R915" s="401">
        <v>1</v>
      </c>
      <c r="S915" s="466">
        <v>0.25</v>
      </c>
      <c r="U915" s="1248">
        <f t="shared" si="14"/>
        <v>1</v>
      </c>
      <c r="V915" s="1304">
        <f t="shared" si="15"/>
        <v>0</v>
      </c>
    </row>
    <row r="916" spans="1:22" ht="16.5" thickTop="1" thickBot="1">
      <c r="A916" s="1244"/>
      <c r="B916" s="1245" t="s">
        <v>902</v>
      </c>
      <c r="C916" s="1328" t="s">
        <v>910</v>
      </c>
      <c r="D916" s="1327" t="s">
        <v>227</v>
      </c>
      <c r="E916" s="1245" t="s">
        <v>3332</v>
      </c>
      <c r="F916" s="457" t="s">
        <v>3333</v>
      </c>
      <c r="G916" s="458" t="s">
        <v>155</v>
      </c>
      <c r="H916" s="888"/>
      <c r="I916" s="890"/>
      <c r="J916" s="899">
        <v>11.916</v>
      </c>
      <c r="K916" s="603">
        <v>0.16666666666666666</v>
      </c>
      <c r="L916" s="980">
        <v>3</v>
      </c>
      <c r="M916" s="1245" t="s">
        <v>366</v>
      </c>
      <c r="N916" s="604" t="s">
        <v>227</v>
      </c>
      <c r="O916" s="463"/>
      <c r="P916" s="434"/>
      <c r="Q916" s="434"/>
      <c r="R916" s="400">
        <v>0</v>
      </c>
      <c r="S916" s="464">
        <v>0</v>
      </c>
      <c r="U916" s="1248">
        <f t="shared" si="14"/>
        <v>1</v>
      </c>
      <c r="V916" s="1304">
        <f t="shared" si="15"/>
        <v>0</v>
      </c>
    </row>
    <row r="917" spans="1:22" ht="16.5" thickTop="1" thickBot="1">
      <c r="A917" s="1244"/>
      <c r="B917" s="1249" t="s">
        <v>902</v>
      </c>
      <c r="C917" s="1329" t="s">
        <v>910</v>
      </c>
      <c r="D917" s="1326" t="s">
        <v>227</v>
      </c>
      <c r="E917" s="1249" t="s">
        <v>3334</v>
      </c>
      <c r="F917" s="455" t="s">
        <v>3335</v>
      </c>
      <c r="G917" s="456" t="s">
        <v>155</v>
      </c>
      <c r="H917" s="889"/>
      <c r="I917" s="891"/>
      <c r="J917" s="601">
        <v>28.594000000000001</v>
      </c>
      <c r="K917" s="602">
        <v>0.26666666666666666</v>
      </c>
      <c r="L917" s="981">
        <v>4</v>
      </c>
      <c r="M917" s="1249" t="s">
        <v>366</v>
      </c>
      <c r="N917" s="604" t="s">
        <v>227</v>
      </c>
      <c r="O917" s="465"/>
      <c r="P917" s="435">
        <v>8.3810000000000002</v>
      </c>
      <c r="Q917" s="435">
        <v>1</v>
      </c>
      <c r="R917" s="401">
        <v>1</v>
      </c>
      <c r="S917" s="466">
        <v>0.25</v>
      </c>
      <c r="U917" s="1248">
        <f t="shared" si="14"/>
        <v>1</v>
      </c>
      <c r="V917" s="1304">
        <f t="shared" si="15"/>
        <v>0</v>
      </c>
    </row>
    <row r="918" spans="1:22" ht="16.5" thickTop="1" thickBot="1">
      <c r="A918" s="1244"/>
      <c r="B918" s="1245" t="s">
        <v>902</v>
      </c>
      <c r="C918" s="1328" t="s">
        <v>910</v>
      </c>
      <c r="D918" s="1327" t="s">
        <v>227</v>
      </c>
      <c r="E918" s="1245" t="s">
        <v>3336</v>
      </c>
      <c r="F918" s="457" t="s">
        <v>3337</v>
      </c>
      <c r="G918" s="458" t="s">
        <v>156</v>
      </c>
      <c r="H918" s="888">
        <v>1</v>
      </c>
      <c r="I918" s="890"/>
      <c r="J918" s="899"/>
      <c r="K918" s="603">
        <v>0</v>
      </c>
      <c r="L918" s="980">
        <v>2</v>
      </c>
      <c r="M918" s="1245" t="s">
        <v>366</v>
      </c>
      <c r="N918" s="604" t="s">
        <v>227</v>
      </c>
      <c r="O918" s="463">
        <v>1</v>
      </c>
      <c r="P918" s="434"/>
      <c r="Q918" s="434"/>
      <c r="R918" s="400">
        <v>0</v>
      </c>
      <c r="S918" s="464">
        <v>0</v>
      </c>
      <c r="U918" s="1248">
        <f t="shared" si="14"/>
        <v>1</v>
      </c>
      <c r="V918" s="1304">
        <f t="shared" si="15"/>
        <v>1</v>
      </c>
    </row>
    <row r="919" spans="1:22" ht="16.5" thickTop="1" thickBot="1">
      <c r="A919" s="1244"/>
      <c r="B919" s="1249" t="s">
        <v>902</v>
      </c>
      <c r="C919" s="1329" t="s">
        <v>1859</v>
      </c>
      <c r="D919" s="1326" t="s">
        <v>227</v>
      </c>
      <c r="E919" s="1249" t="s">
        <v>1623</v>
      </c>
      <c r="F919" s="455" t="s">
        <v>1624</v>
      </c>
      <c r="G919" s="456" t="s">
        <v>156</v>
      </c>
      <c r="H919" s="889">
        <v>13</v>
      </c>
      <c r="I919" s="891">
        <v>94.694999999999993</v>
      </c>
      <c r="J919" s="601">
        <v>290.19200000000001</v>
      </c>
      <c r="K919" s="602">
        <v>0.30252100840336132</v>
      </c>
      <c r="L919" s="981">
        <v>3</v>
      </c>
      <c r="M919" s="1249" t="s">
        <v>321</v>
      </c>
      <c r="N919" s="604" t="s">
        <v>227</v>
      </c>
      <c r="O919" s="465"/>
      <c r="P919" s="435">
        <v>13.348000000000001</v>
      </c>
      <c r="Q919" s="435">
        <v>1</v>
      </c>
      <c r="R919" s="401">
        <v>1</v>
      </c>
      <c r="S919" s="466">
        <v>0.2857142857142857</v>
      </c>
      <c r="U919" s="1248">
        <f t="shared" si="14"/>
        <v>0</v>
      </c>
      <c r="V919" s="1304">
        <f t="shared" si="15"/>
        <v>1</v>
      </c>
    </row>
    <row r="920" spans="1:22" ht="16.5" thickTop="1" thickBot="1">
      <c r="A920" s="1244"/>
      <c r="B920" s="1245" t="s">
        <v>902</v>
      </c>
      <c r="C920" s="1328" t="s">
        <v>1859</v>
      </c>
      <c r="D920" s="1327" t="s">
        <v>227</v>
      </c>
      <c r="E920" s="1245" t="s">
        <v>1859</v>
      </c>
      <c r="F920" s="457" t="s">
        <v>1861</v>
      </c>
      <c r="G920" s="458" t="s">
        <v>158</v>
      </c>
      <c r="H920" s="888">
        <v>12</v>
      </c>
      <c r="I920" s="890">
        <v>220.25700000000001</v>
      </c>
      <c r="J920" s="899">
        <v>362.01100000000002</v>
      </c>
      <c r="K920" s="603">
        <v>0.57777777777777772</v>
      </c>
      <c r="L920" s="980">
        <v>3</v>
      </c>
      <c r="M920" s="1245" t="s">
        <v>323</v>
      </c>
      <c r="N920" s="604" t="s">
        <v>227</v>
      </c>
      <c r="O920" s="463"/>
      <c r="P920" s="434">
        <v>23.439</v>
      </c>
      <c r="Q920" s="434">
        <v>2</v>
      </c>
      <c r="R920" s="400">
        <v>2</v>
      </c>
      <c r="S920" s="464">
        <v>0.66666666666666663</v>
      </c>
      <c r="U920" s="1248">
        <f t="shared" si="14"/>
        <v>0</v>
      </c>
      <c r="V920" s="1304">
        <f t="shared" si="15"/>
        <v>1</v>
      </c>
    </row>
    <row r="921" spans="1:22" ht="16.5" thickTop="1" thickBot="1">
      <c r="A921" s="1244"/>
      <c r="B921" s="1249" t="s">
        <v>902</v>
      </c>
      <c r="C921" s="1329" t="s">
        <v>1859</v>
      </c>
      <c r="D921" s="1326" t="s">
        <v>227</v>
      </c>
      <c r="E921" s="1249" t="s">
        <v>2000</v>
      </c>
      <c r="F921" s="455" t="s">
        <v>2001</v>
      </c>
      <c r="G921" s="456" t="s">
        <v>156</v>
      </c>
      <c r="H921" s="889">
        <v>10</v>
      </c>
      <c r="I921" s="891">
        <v>114.633</v>
      </c>
      <c r="J921" s="601">
        <v>316.47000000000003</v>
      </c>
      <c r="K921" s="602">
        <v>0.37383177570093457</v>
      </c>
      <c r="L921" s="981">
        <v>4</v>
      </c>
      <c r="M921" s="1249" t="s">
        <v>323</v>
      </c>
      <c r="N921" s="604" t="s">
        <v>227</v>
      </c>
      <c r="O921" s="465"/>
      <c r="P921" s="435">
        <v>37.021000000000001</v>
      </c>
      <c r="Q921" s="435">
        <v>3</v>
      </c>
      <c r="R921" s="401">
        <v>2</v>
      </c>
      <c r="S921" s="466">
        <v>0.44444444444444442</v>
      </c>
      <c r="U921" s="1248">
        <f t="shared" si="14"/>
        <v>0</v>
      </c>
      <c r="V921" s="1304">
        <f t="shared" si="15"/>
        <v>1</v>
      </c>
    </row>
    <row r="922" spans="1:22" ht="16.5" thickTop="1" thickBot="1">
      <c r="A922" s="1244"/>
      <c r="B922" s="1245" t="s">
        <v>902</v>
      </c>
      <c r="C922" s="1328" t="s">
        <v>1859</v>
      </c>
      <c r="D922" s="1327" t="s">
        <v>227</v>
      </c>
      <c r="E922" s="1245" t="s">
        <v>2002</v>
      </c>
      <c r="F922" s="457" t="s">
        <v>2003</v>
      </c>
      <c r="G922" s="458" t="s">
        <v>156</v>
      </c>
      <c r="H922" s="888">
        <v>10</v>
      </c>
      <c r="I922" s="890">
        <v>75.138999999999996</v>
      </c>
      <c r="J922" s="899">
        <v>484.41800000000001</v>
      </c>
      <c r="K922" s="603">
        <v>0.31034482758620691</v>
      </c>
      <c r="L922" s="980">
        <v>8</v>
      </c>
      <c r="M922" s="1245" t="s">
        <v>323</v>
      </c>
      <c r="N922" s="604" t="s">
        <v>227</v>
      </c>
      <c r="O922" s="463">
        <v>1</v>
      </c>
      <c r="P922" s="434">
        <v>150.327</v>
      </c>
      <c r="Q922" s="434">
        <v>13</v>
      </c>
      <c r="R922" s="400">
        <v>4</v>
      </c>
      <c r="S922" s="464">
        <v>0.5</v>
      </c>
      <c r="U922" s="1248">
        <f t="shared" si="14"/>
        <v>0</v>
      </c>
      <c r="V922" s="1304">
        <f t="shared" si="15"/>
        <v>1</v>
      </c>
    </row>
    <row r="923" spans="1:22" ht="16.5" thickTop="1" thickBot="1">
      <c r="A923" s="1244"/>
      <c r="B923" s="1249" t="s">
        <v>902</v>
      </c>
      <c r="C923" s="1329" t="s">
        <v>1859</v>
      </c>
      <c r="D923" s="1326" t="s">
        <v>227</v>
      </c>
      <c r="E923" s="1249" t="s">
        <v>2384</v>
      </c>
      <c r="F923" s="455" t="s">
        <v>2385</v>
      </c>
      <c r="G923" s="456" t="s">
        <v>156</v>
      </c>
      <c r="H923" s="889">
        <v>8</v>
      </c>
      <c r="I923" s="891">
        <v>73.566000000000003</v>
      </c>
      <c r="J923" s="601">
        <v>114.779</v>
      </c>
      <c r="K923" s="602">
        <v>0.17647058823529413</v>
      </c>
      <c r="L923" s="981">
        <v>4</v>
      </c>
      <c r="M923" s="1249" t="s">
        <v>322</v>
      </c>
      <c r="N923" s="604" t="s">
        <v>227</v>
      </c>
      <c r="O923" s="465">
        <v>1</v>
      </c>
      <c r="P923" s="435"/>
      <c r="Q923" s="435"/>
      <c r="R923" s="401">
        <v>0</v>
      </c>
      <c r="S923" s="466">
        <v>0</v>
      </c>
      <c r="U923" s="1248">
        <f t="shared" si="14"/>
        <v>0</v>
      </c>
      <c r="V923" s="1304">
        <f t="shared" si="15"/>
        <v>1</v>
      </c>
    </row>
    <row r="924" spans="1:22" ht="16.5" thickTop="1" thickBot="1">
      <c r="A924" s="1244"/>
      <c r="B924" s="1245" t="s">
        <v>902</v>
      </c>
      <c r="C924" s="1328" t="s">
        <v>1859</v>
      </c>
      <c r="D924" s="1327" t="s">
        <v>227</v>
      </c>
      <c r="E924" s="1245" t="s">
        <v>3019</v>
      </c>
      <c r="F924" s="457" t="s">
        <v>3020</v>
      </c>
      <c r="G924" s="458" t="s">
        <v>155</v>
      </c>
      <c r="H924" s="888"/>
      <c r="I924" s="890"/>
      <c r="J924" s="899">
        <v>23.78</v>
      </c>
      <c r="K924" s="603">
        <v>0.11764705882352941</v>
      </c>
      <c r="L924" s="980">
        <v>3</v>
      </c>
      <c r="M924" s="1245" t="s">
        <v>366</v>
      </c>
      <c r="N924" s="604" t="s">
        <v>227</v>
      </c>
      <c r="O924" s="463"/>
      <c r="P924" s="434"/>
      <c r="Q924" s="434"/>
      <c r="R924" s="400">
        <v>0</v>
      </c>
      <c r="S924" s="464">
        <v>0</v>
      </c>
      <c r="U924" s="1248">
        <f t="shared" si="14"/>
        <v>1</v>
      </c>
      <c r="V924" s="1304">
        <f t="shared" si="15"/>
        <v>0</v>
      </c>
    </row>
    <row r="925" spans="1:22" ht="16.5" thickTop="1" thickBot="1">
      <c r="A925" s="1244"/>
      <c r="B925" s="1249" t="s">
        <v>902</v>
      </c>
      <c r="C925" s="1329" t="s">
        <v>1859</v>
      </c>
      <c r="D925" s="1326" t="s">
        <v>227</v>
      </c>
      <c r="E925" s="1249" t="s">
        <v>3679</v>
      </c>
      <c r="F925" s="455" t="s">
        <v>3681</v>
      </c>
      <c r="G925" s="456" t="s">
        <v>157</v>
      </c>
      <c r="H925" s="889">
        <v>0</v>
      </c>
      <c r="I925" s="891"/>
      <c r="J925" s="601"/>
      <c r="K925" s="602">
        <v>0</v>
      </c>
      <c r="L925" s="981">
        <v>2</v>
      </c>
      <c r="M925" s="1249" t="s">
        <v>227</v>
      </c>
      <c r="N925" s="604" t="s">
        <v>227</v>
      </c>
      <c r="O925" s="465">
        <v>2</v>
      </c>
      <c r="P925" s="435"/>
      <c r="Q925" s="435"/>
      <c r="R925" s="401">
        <v>0</v>
      </c>
      <c r="S925" s="466">
        <v>0</v>
      </c>
      <c r="U925" s="1248">
        <f t="shared" si="14"/>
        <v>0</v>
      </c>
      <c r="V925" s="1304">
        <f t="shared" si="15"/>
        <v>1</v>
      </c>
    </row>
    <row r="926" spans="1:22" ht="16.5" thickTop="1" thickBot="1">
      <c r="A926" s="1244"/>
      <c r="B926" s="1245" t="s">
        <v>902</v>
      </c>
      <c r="C926" s="1328" t="s">
        <v>1859</v>
      </c>
      <c r="D926" s="1327" t="s">
        <v>227</v>
      </c>
      <c r="E926" s="1245" t="s">
        <v>3872</v>
      </c>
      <c r="F926" s="457" t="s">
        <v>785</v>
      </c>
      <c r="G926" s="458" t="s">
        <v>156</v>
      </c>
      <c r="H926" s="888">
        <v>0</v>
      </c>
      <c r="I926" s="890">
        <v>17.222999999999999</v>
      </c>
      <c r="J926" s="899">
        <v>105.255</v>
      </c>
      <c r="K926" s="603">
        <v>1.2</v>
      </c>
      <c r="L926" s="980">
        <v>3</v>
      </c>
      <c r="M926" s="1245" t="s">
        <v>227</v>
      </c>
      <c r="N926" s="604" t="s">
        <v>227</v>
      </c>
      <c r="O926" s="463">
        <v>1</v>
      </c>
      <c r="P926" s="434">
        <v>105.255</v>
      </c>
      <c r="Q926" s="434">
        <v>3</v>
      </c>
      <c r="R926" s="400">
        <v>3</v>
      </c>
      <c r="S926" s="464">
        <v>1.2</v>
      </c>
      <c r="U926" s="1248">
        <f t="shared" si="14"/>
        <v>0</v>
      </c>
      <c r="V926" s="1304">
        <f t="shared" si="15"/>
        <v>1</v>
      </c>
    </row>
    <row r="927" spans="1:22" ht="16.5" thickTop="1" thickBot="1">
      <c r="A927" s="1244"/>
      <c r="B927" s="1249" t="s">
        <v>902</v>
      </c>
      <c r="C927" s="1329" t="s">
        <v>1859</v>
      </c>
      <c r="D927" s="1326" t="s">
        <v>227</v>
      </c>
      <c r="E927" s="1249" t="s">
        <v>3873</v>
      </c>
      <c r="F927" s="455" t="s">
        <v>3874</v>
      </c>
      <c r="G927" s="456" t="s">
        <v>156</v>
      </c>
      <c r="H927" s="889">
        <v>0</v>
      </c>
      <c r="I927" s="891"/>
      <c r="J927" s="601"/>
      <c r="K927" s="602">
        <v>0</v>
      </c>
      <c r="L927" s="981">
        <v>1</v>
      </c>
      <c r="M927" s="1249" t="s">
        <v>227</v>
      </c>
      <c r="N927" s="604" t="s">
        <v>227</v>
      </c>
      <c r="O927" s="465">
        <v>1</v>
      </c>
      <c r="P927" s="435"/>
      <c r="Q927" s="435"/>
      <c r="R927" s="401">
        <v>0</v>
      </c>
      <c r="S927" s="466">
        <v>0</v>
      </c>
      <c r="U927" s="1248">
        <f t="shared" si="14"/>
        <v>0</v>
      </c>
      <c r="V927" s="1304">
        <f t="shared" si="15"/>
        <v>1</v>
      </c>
    </row>
    <row r="928" spans="1:22" ht="16.5" thickTop="1" thickBot="1">
      <c r="A928" s="1244"/>
      <c r="B928" s="1245" t="s">
        <v>3170</v>
      </c>
      <c r="C928" s="1328" t="s">
        <v>227</v>
      </c>
      <c r="D928" s="1327" t="s">
        <v>227</v>
      </c>
      <c r="E928" s="1245" t="s">
        <v>214</v>
      </c>
      <c r="F928" s="457" t="s">
        <v>215</v>
      </c>
      <c r="G928" s="458" t="s">
        <v>157</v>
      </c>
      <c r="H928" s="888">
        <v>39</v>
      </c>
      <c r="I928" s="890">
        <v>139.69499999999999</v>
      </c>
      <c r="J928" s="899">
        <v>742.15300000000002</v>
      </c>
      <c r="K928" s="603">
        <v>0.30379746835443039</v>
      </c>
      <c r="L928" s="980">
        <v>8</v>
      </c>
      <c r="M928" s="1245" t="s">
        <v>366</v>
      </c>
      <c r="N928" s="604" t="s">
        <v>227</v>
      </c>
      <c r="O928" s="463"/>
      <c r="P928" s="434">
        <v>8.5039999999999996</v>
      </c>
      <c r="Q928" s="434">
        <v>1</v>
      </c>
      <c r="R928" s="400">
        <v>1</v>
      </c>
      <c r="S928" s="464">
        <v>0.11764705882352941</v>
      </c>
      <c r="U928" s="1248">
        <f t="shared" si="14"/>
        <v>1</v>
      </c>
      <c r="V928" s="1304">
        <f t="shared" si="15"/>
        <v>1</v>
      </c>
    </row>
    <row r="929" spans="1:22" ht="16.5" thickTop="1" thickBot="1">
      <c r="A929" s="1244"/>
      <c r="B929" s="1249" t="s">
        <v>3170</v>
      </c>
      <c r="C929" s="1329" t="s">
        <v>227</v>
      </c>
      <c r="D929" s="1326" t="s">
        <v>227</v>
      </c>
      <c r="E929" s="1249" t="s">
        <v>213</v>
      </c>
      <c r="F929" s="455" t="s">
        <v>216</v>
      </c>
      <c r="G929" s="456" t="s">
        <v>157</v>
      </c>
      <c r="H929" s="889">
        <v>39</v>
      </c>
      <c r="I929" s="891">
        <v>218.17</v>
      </c>
      <c r="J929" s="601">
        <v>466.21699999999998</v>
      </c>
      <c r="K929" s="602">
        <v>0.27272727272727271</v>
      </c>
      <c r="L929" s="981">
        <v>9</v>
      </c>
      <c r="M929" s="1249" t="s">
        <v>366</v>
      </c>
      <c r="N929" s="604" t="s">
        <v>227</v>
      </c>
      <c r="O929" s="465"/>
      <c r="P929" s="435">
        <v>19.678000000000001</v>
      </c>
      <c r="Q929" s="435">
        <v>1</v>
      </c>
      <c r="R929" s="401">
        <v>1</v>
      </c>
      <c r="S929" s="466">
        <v>0.1</v>
      </c>
      <c r="U929" s="1248">
        <f t="shared" si="14"/>
        <v>1</v>
      </c>
      <c r="V929" s="1304">
        <f t="shared" si="15"/>
        <v>1</v>
      </c>
    </row>
    <row r="930" spans="1:22" ht="16.5" thickTop="1" thickBot="1">
      <c r="A930" s="1244"/>
      <c r="B930" s="1245" t="s">
        <v>3170</v>
      </c>
      <c r="C930" s="1328" t="s">
        <v>227</v>
      </c>
      <c r="D930" s="1327" t="s">
        <v>227</v>
      </c>
      <c r="E930" s="1245" t="s">
        <v>562</v>
      </c>
      <c r="F930" s="457" t="s">
        <v>219</v>
      </c>
      <c r="G930" s="458" t="s">
        <v>156</v>
      </c>
      <c r="H930" s="888">
        <v>30</v>
      </c>
      <c r="I930" s="890">
        <v>41.633000000000003</v>
      </c>
      <c r="J930" s="899">
        <v>313.09100000000001</v>
      </c>
      <c r="K930" s="603">
        <v>0.28169014084507044</v>
      </c>
      <c r="L930" s="980">
        <v>7</v>
      </c>
      <c r="M930" s="1245" t="s">
        <v>321</v>
      </c>
      <c r="N930" s="604" t="s">
        <v>227</v>
      </c>
      <c r="O930" s="463"/>
      <c r="P930" s="434">
        <v>2.823</v>
      </c>
      <c r="Q930" s="434"/>
      <c r="R930" s="400">
        <v>0</v>
      </c>
      <c r="S930" s="464">
        <v>0</v>
      </c>
      <c r="U930" s="1248">
        <f t="shared" si="14"/>
        <v>0</v>
      </c>
      <c r="V930" s="1304">
        <f t="shared" si="15"/>
        <v>1</v>
      </c>
    </row>
    <row r="931" spans="1:22" ht="16.5" thickTop="1" thickBot="1">
      <c r="A931" s="1244"/>
      <c r="B931" s="1249" t="s">
        <v>3170</v>
      </c>
      <c r="C931" s="1329" t="s">
        <v>227</v>
      </c>
      <c r="D931" s="1326" t="s">
        <v>227</v>
      </c>
      <c r="E931" s="1249" t="s">
        <v>1877</v>
      </c>
      <c r="F931" s="455" t="s">
        <v>1879</v>
      </c>
      <c r="G931" s="456" t="s">
        <v>157</v>
      </c>
      <c r="H931" s="889">
        <v>11</v>
      </c>
      <c r="I931" s="891">
        <v>1004.058</v>
      </c>
      <c r="J931" s="601">
        <v>2004.9880000000001</v>
      </c>
      <c r="K931" s="602">
        <v>0.50649350649350644</v>
      </c>
      <c r="L931" s="981">
        <v>16</v>
      </c>
      <c r="M931" s="1249" t="s">
        <v>323</v>
      </c>
      <c r="N931" s="604" t="s">
        <v>227</v>
      </c>
      <c r="O931" s="465">
        <v>2</v>
      </c>
      <c r="P931" s="435">
        <v>279.43200000000002</v>
      </c>
      <c r="Q931" s="435">
        <v>12</v>
      </c>
      <c r="R931" s="401">
        <v>4</v>
      </c>
      <c r="S931" s="466">
        <v>0.26666666666666666</v>
      </c>
      <c r="U931" s="1248">
        <f t="shared" si="14"/>
        <v>0</v>
      </c>
      <c r="V931" s="1304">
        <f t="shared" si="15"/>
        <v>1</v>
      </c>
    </row>
    <row r="932" spans="1:22" ht="16.5" thickTop="1" thickBot="1">
      <c r="A932" s="1244"/>
      <c r="B932" s="1245" t="s">
        <v>3170</v>
      </c>
      <c r="C932" s="1328" t="s">
        <v>227</v>
      </c>
      <c r="D932" s="1327" t="s">
        <v>227</v>
      </c>
      <c r="E932" s="1245" t="s">
        <v>1919</v>
      </c>
      <c r="F932" s="457" t="s">
        <v>1920</v>
      </c>
      <c r="G932" s="458" t="s">
        <v>156</v>
      </c>
      <c r="H932" s="888">
        <v>11</v>
      </c>
      <c r="I932" s="890">
        <v>633.02099999999996</v>
      </c>
      <c r="J932" s="899">
        <v>916.97799999999995</v>
      </c>
      <c r="K932" s="603">
        <v>0.43795620437956206</v>
      </c>
      <c r="L932" s="980">
        <v>7</v>
      </c>
      <c r="M932" s="1245" t="s">
        <v>323</v>
      </c>
      <c r="N932" s="604" t="s">
        <v>227</v>
      </c>
      <c r="O932" s="463"/>
      <c r="P932" s="434">
        <v>122.60299999999999</v>
      </c>
      <c r="Q932" s="434">
        <v>12</v>
      </c>
      <c r="R932" s="400">
        <v>2</v>
      </c>
      <c r="S932" s="464">
        <v>0.2857142857142857</v>
      </c>
      <c r="U932" s="1248">
        <f t="shared" si="14"/>
        <v>0</v>
      </c>
      <c r="V932" s="1304">
        <f t="shared" si="15"/>
        <v>1</v>
      </c>
    </row>
    <row r="933" spans="1:22" ht="16.5" thickTop="1" thickBot="1">
      <c r="A933" s="1244"/>
      <c r="B933" s="1249" t="s">
        <v>3170</v>
      </c>
      <c r="C933" s="1329" t="s">
        <v>227</v>
      </c>
      <c r="D933" s="1326" t="s">
        <v>227</v>
      </c>
      <c r="E933" s="1249" t="s">
        <v>1921</v>
      </c>
      <c r="F933" s="455" t="s">
        <v>1922</v>
      </c>
      <c r="G933" s="456" t="s">
        <v>156</v>
      </c>
      <c r="H933" s="889">
        <v>11</v>
      </c>
      <c r="I933" s="891">
        <v>624.56600000000003</v>
      </c>
      <c r="J933" s="601">
        <v>1272.721</v>
      </c>
      <c r="K933" s="602">
        <v>0.35874439461883406</v>
      </c>
      <c r="L933" s="981">
        <v>11</v>
      </c>
      <c r="M933" s="1249" t="s">
        <v>323</v>
      </c>
      <c r="N933" s="604" t="s">
        <v>227</v>
      </c>
      <c r="O933" s="465"/>
      <c r="P933" s="435">
        <v>168.37200000000001</v>
      </c>
      <c r="Q933" s="435">
        <v>8</v>
      </c>
      <c r="R933" s="401">
        <v>1</v>
      </c>
      <c r="S933" s="466">
        <v>9.0909090909090912E-2</v>
      </c>
      <c r="U933" s="1248">
        <f t="shared" si="14"/>
        <v>0</v>
      </c>
      <c r="V933" s="1304">
        <f t="shared" si="15"/>
        <v>1</v>
      </c>
    </row>
    <row r="934" spans="1:22" ht="16.5" thickTop="1" thickBot="1">
      <c r="A934" s="1244"/>
      <c r="B934" s="1245" t="s">
        <v>3170</v>
      </c>
      <c r="C934" s="1328" t="s">
        <v>227</v>
      </c>
      <c r="D934" s="1327" t="s">
        <v>227</v>
      </c>
      <c r="E934" s="1245" t="s">
        <v>2156</v>
      </c>
      <c r="F934" s="457" t="s">
        <v>2157</v>
      </c>
      <c r="G934" s="458" t="s">
        <v>156</v>
      </c>
      <c r="H934" s="888">
        <v>10</v>
      </c>
      <c r="I934" s="890">
        <v>216.93799999999999</v>
      </c>
      <c r="J934" s="899">
        <v>775.83100000000002</v>
      </c>
      <c r="K934" s="603">
        <v>0.3188405797101449</v>
      </c>
      <c r="L934" s="980">
        <v>16</v>
      </c>
      <c r="M934" s="1245" t="s">
        <v>323</v>
      </c>
      <c r="N934" s="604" t="s">
        <v>227</v>
      </c>
      <c r="O934" s="463">
        <v>4</v>
      </c>
      <c r="P934" s="434">
        <v>29.582000000000001</v>
      </c>
      <c r="Q934" s="434">
        <v>3</v>
      </c>
      <c r="R934" s="400">
        <v>3</v>
      </c>
      <c r="S934" s="464">
        <v>0.21428571428571427</v>
      </c>
      <c r="U934" s="1248">
        <f t="shared" si="14"/>
        <v>0</v>
      </c>
      <c r="V934" s="1304">
        <f t="shared" si="15"/>
        <v>1</v>
      </c>
    </row>
    <row r="935" spans="1:22" ht="16.5" thickTop="1" thickBot="1">
      <c r="A935" s="1244"/>
      <c r="B935" s="1249" t="s">
        <v>3170</v>
      </c>
      <c r="C935" s="1329" t="s">
        <v>227</v>
      </c>
      <c r="D935" s="1326" t="s">
        <v>227</v>
      </c>
      <c r="E935" s="1249" t="s">
        <v>2386</v>
      </c>
      <c r="F935" s="455" t="s">
        <v>2387</v>
      </c>
      <c r="G935" s="456" t="s">
        <v>156</v>
      </c>
      <c r="H935" s="889">
        <v>8</v>
      </c>
      <c r="I935" s="891">
        <v>28.984999999999999</v>
      </c>
      <c r="J935" s="601">
        <v>407.53800000000001</v>
      </c>
      <c r="K935" s="602">
        <v>0.34074074074074073</v>
      </c>
      <c r="L935" s="981">
        <v>11</v>
      </c>
      <c r="M935" s="1249" t="s">
        <v>323</v>
      </c>
      <c r="N935" s="604" t="s">
        <v>227</v>
      </c>
      <c r="O935" s="465"/>
      <c r="P935" s="435">
        <v>89.3</v>
      </c>
      <c r="Q935" s="435">
        <v>3</v>
      </c>
      <c r="R935" s="401">
        <v>2</v>
      </c>
      <c r="S935" s="466">
        <v>0.18181818181818182</v>
      </c>
      <c r="U935" s="1248">
        <f t="shared" si="14"/>
        <v>0</v>
      </c>
      <c r="V935" s="1304">
        <f t="shared" si="15"/>
        <v>1</v>
      </c>
    </row>
    <row r="936" spans="1:22" ht="16.5" thickTop="1" thickBot="1">
      <c r="A936" s="1244"/>
      <c r="B936" s="1245" t="s">
        <v>3170</v>
      </c>
      <c r="C936" s="1328" t="s">
        <v>227</v>
      </c>
      <c r="D936" s="1327" t="s">
        <v>227</v>
      </c>
      <c r="E936" s="1245" t="s">
        <v>2812</v>
      </c>
      <c r="F936" s="457" t="s">
        <v>840</v>
      </c>
      <c r="G936" s="458" t="s">
        <v>156</v>
      </c>
      <c r="H936" s="888">
        <v>4</v>
      </c>
      <c r="I936" s="890">
        <v>40.332000000000001</v>
      </c>
      <c r="J936" s="899">
        <v>817.37</v>
      </c>
      <c r="K936" s="603">
        <v>0.45833333333333331</v>
      </c>
      <c r="L936" s="980">
        <v>7</v>
      </c>
      <c r="M936" s="1245" t="s">
        <v>323</v>
      </c>
      <c r="N936" s="604" t="s">
        <v>227</v>
      </c>
      <c r="O936" s="463"/>
      <c r="P936" s="434">
        <v>96.867000000000004</v>
      </c>
      <c r="Q936" s="434">
        <v>5</v>
      </c>
      <c r="R936" s="400">
        <v>3</v>
      </c>
      <c r="S936" s="464">
        <v>0.42857142857142855</v>
      </c>
      <c r="U936" s="1248">
        <f t="shared" ref="U936:U999" si="16">IF(M936="U_200",1,0)</f>
        <v>0</v>
      </c>
      <c r="V936" s="1304">
        <f t="shared" ref="V936:V999" si="17">IF(G936&lt;&gt;"US",1,0)</f>
        <v>1</v>
      </c>
    </row>
    <row r="937" spans="1:22" ht="16.5" thickTop="1" thickBot="1">
      <c r="A937" s="1244"/>
      <c r="B937" s="1249" t="s">
        <v>3170</v>
      </c>
      <c r="C937" s="1329" t="s">
        <v>227</v>
      </c>
      <c r="D937" s="1326" t="s">
        <v>227</v>
      </c>
      <c r="E937" s="1249" t="s">
        <v>2813</v>
      </c>
      <c r="F937" s="455" t="s">
        <v>2814</v>
      </c>
      <c r="G937" s="456" t="s">
        <v>155</v>
      </c>
      <c r="H937" s="889"/>
      <c r="I937" s="891"/>
      <c r="J937" s="601">
        <v>12.881</v>
      </c>
      <c r="K937" s="602">
        <v>0.125</v>
      </c>
      <c r="L937" s="981">
        <v>2</v>
      </c>
      <c r="M937" s="1249" t="s">
        <v>366</v>
      </c>
      <c r="N937" s="604" t="s">
        <v>227</v>
      </c>
      <c r="O937" s="465"/>
      <c r="P937" s="435"/>
      <c r="Q937" s="435"/>
      <c r="R937" s="401">
        <v>0</v>
      </c>
      <c r="S937" s="466">
        <v>0</v>
      </c>
      <c r="U937" s="1248">
        <f t="shared" si="16"/>
        <v>1</v>
      </c>
      <c r="V937" s="1304">
        <f t="shared" si="17"/>
        <v>0</v>
      </c>
    </row>
    <row r="938" spans="1:22" ht="16.5" thickTop="1" thickBot="1">
      <c r="A938" s="1244"/>
      <c r="B938" s="1245" t="s">
        <v>3170</v>
      </c>
      <c r="C938" s="1328" t="s">
        <v>227</v>
      </c>
      <c r="D938" s="1327" t="s">
        <v>227</v>
      </c>
      <c r="E938" s="1245" t="s">
        <v>3021</v>
      </c>
      <c r="F938" s="457" t="s">
        <v>3022</v>
      </c>
      <c r="G938" s="458" t="s">
        <v>155</v>
      </c>
      <c r="H938" s="888"/>
      <c r="I938" s="890"/>
      <c r="J938" s="899">
        <v>10.276</v>
      </c>
      <c r="K938" s="603">
        <v>0.15384615384615385</v>
      </c>
      <c r="L938" s="980">
        <v>3</v>
      </c>
      <c r="M938" s="1245" t="s">
        <v>366</v>
      </c>
      <c r="N938" s="604" t="s">
        <v>227</v>
      </c>
      <c r="O938" s="463">
        <v>1</v>
      </c>
      <c r="P938" s="434">
        <v>10.276</v>
      </c>
      <c r="Q938" s="434">
        <v>1</v>
      </c>
      <c r="R938" s="400">
        <v>1</v>
      </c>
      <c r="S938" s="464">
        <v>0.4</v>
      </c>
      <c r="U938" s="1248">
        <f t="shared" si="16"/>
        <v>1</v>
      </c>
      <c r="V938" s="1304">
        <f t="shared" si="17"/>
        <v>0</v>
      </c>
    </row>
    <row r="939" spans="1:22" ht="16.5" thickTop="1" thickBot="1">
      <c r="A939" s="1244"/>
      <c r="B939" s="1249" t="s">
        <v>3170</v>
      </c>
      <c r="C939" s="1329" t="s">
        <v>2224</v>
      </c>
      <c r="D939" s="1326" t="s">
        <v>227</v>
      </c>
      <c r="E939" s="1249" t="s">
        <v>2224</v>
      </c>
      <c r="F939" s="455" t="s">
        <v>2226</v>
      </c>
      <c r="G939" s="456" t="s">
        <v>158</v>
      </c>
      <c r="H939" s="889">
        <v>37</v>
      </c>
      <c r="I939" s="891">
        <v>94.013999999999996</v>
      </c>
      <c r="J939" s="601">
        <v>187.92500000000001</v>
      </c>
      <c r="K939" s="602">
        <v>0.28169014084507044</v>
      </c>
      <c r="L939" s="981">
        <v>8</v>
      </c>
      <c r="M939" s="1249" t="s">
        <v>366</v>
      </c>
      <c r="N939" s="604" t="s">
        <v>227</v>
      </c>
      <c r="O939" s="465"/>
      <c r="P939" s="435"/>
      <c r="Q939" s="435"/>
      <c r="R939" s="401">
        <v>0</v>
      </c>
      <c r="S939" s="466">
        <v>0</v>
      </c>
      <c r="U939" s="1248">
        <f t="shared" si="16"/>
        <v>1</v>
      </c>
      <c r="V939" s="1304">
        <f t="shared" si="17"/>
        <v>1</v>
      </c>
    </row>
    <row r="940" spans="1:22" ht="16.5" thickTop="1" thickBot="1">
      <c r="A940" s="1244"/>
      <c r="B940" s="1245" t="s">
        <v>3170</v>
      </c>
      <c r="C940" s="1328" t="s">
        <v>2224</v>
      </c>
      <c r="D940" s="1327" t="s">
        <v>227</v>
      </c>
      <c r="E940" s="1245" t="s">
        <v>2271</v>
      </c>
      <c r="F940" s="457" t="s">
        <v>2272</v>
      </c>
      <c r="G940" s="458" t="s">
        <v>156</v>
      </c>
      <c r="H940" s="888">
        <v>8</v>
      </c>
      <c r="I940" s="890">
        <v>22.71</v>
      </c>
      <c r="J940" s="899">
        <v>59.033999999999999</v>
      </c>
      <c r="K940" s="603">
        <v>0.11940298507462686</v>
      </c>
      <c r="L940" s="980">
        <v>5</v>
      </c>
      <c r="M940" s="1245" t="s">
        <v>366</v>
      </c>
      <c r="N940" s="604" t="s">
        <v>227</v>
      </c>
      <c r="O940" s="463"/>
      <c r="P940" s="434"/>
      <c r="Q940" s="434"/>
      <c r="R940" s="400">
        <v>0</v>
      </c>
      <c r="S940" s="464">
        <v>0</v>
      </c>
      <c r="U940" s="1248">
        <f t="shared" si="16"/>
        <v>1</v>
      </c>
      <c r="V940" s="1304">
        <f t="shared" si="17"/>
        <v>1</v>
      </c>
    </row>
    <row r="941" spans="1:22" ht="16.5" thickTop="1" thickBot="1">
      <c r="A941" s="1244"/>
      <c r="B941" s="1249" t="s">
        <v>3170</v>
      </c>
      <c r="C941" s="1329" t="s">
        <v>2224</v>
      </c>
      <c r="D941" s="1326" t="s">
        <v>227</v>
      </c>
      <c r="E941" s="1249" t="s">
        <v>2500</v>
      </c>
      <c r="F941" s="455" t="s">
        <v>2501</v>
      </c>
      <c r="G941" s="456" t="s">
        <v>156</v>
      </c>
      <c r="H941" s="889">
        <v>6</v>
      </c>
      <c r="I941" s="891">
        <v>13.95</v>
      </c>
      <c r="J941" s="601">
        <v>13.95</v>
      </c>
      <c r="K941" s="602">
        <v>4.7619047619047616E-2</v>
      </c>
      <c r="L941" s="981">
        <v>4</v>
      </c>
      <c r="M941" s="1249" t="s">
        <v>366</v>
      </c>
      <c r="N941" s="604" t="s">
        <v>227</v>
      </c>
      <c r="O941" s="465"/>
      <c r="P941" s="435"/>
      <c r="Q941" s="435"/>
      <c r="R941" s="401">
        <v>0</v>
      </c>
      <c r="S941" s="466">
        <v>0</v>
      </c>
      <c r="U941" s="1248">
        <f t="shared" si="16"/>
        <v>1</v>
      </c>
      <c r="V941" s="1304">
        <f t="shared" si="17"/>
        <v>1</v>
      </c>
    </row>
    <row r="942" spans="1:22" ht="16.5" thickTop="1" thickBot="1">
      <c r="A942" s="1244"/>
      <c r="B942" s="1245" t="s">
        <v>3170</v>
      </c>
      <c r="C942" s="1328" t="s">
        <v>2224</v>
      </c>
      <c r="D942" s="1327" t="s">
        <v>227</v>
      </c>
      <c r="E942" s="1245" t="s">
        <v>2601</v>
      </c>
      <c r="F942" s="457" t="s">
        <v>2602</v>
      </c>
      <c r="G942" s="458" t="s">
        <v>156</v>
      </c>
      <c r="H942" s="888">
        <v>5</v>
      </c>
      <c r="I942" s="890">
        <v>13.513999999999999</v>
      </c>
      <c r="J942" s="899">
        <v>13.513999999999999</v>
      </c>
      <c r="K942" s="603">
        <v>9.0909090909090912E-2</v>
      </c>
      <c r="L942" s="980">
        <v>2</v>
      </c>
      <c r="M942" s="1245" t="s">
        <v>366</v>
      </c>
      <c r="N942" s="604" t="s">
        <v>227</v>
      </c>
      <c r="O942" s="463"/>
      <c r="P942" s="434"/>
      <c r="Q942" s="434"/>
      <c r="R942" s="400">
        <v>0</v>
      </c>
      <c r="S942" s="464">
        <v>0</v>
      </c>
      <c r="U942" s="1248">
        <f t="shared" si="16"/>
        <v>1</v>
      </c>
      <c r="V942" s="1304">
        <f t="shared" si="17"/>
        <v>1</v>
      </c>
    </row>
    <row r="943" spans="1:22" ht="16.5" thickTop="1" thickBot="1">
      <c r="A943" s="1244"/>
      <c r="B943" s="1249" t="s">
        <v>3170</v>
      </c>
      <c r="C943" s="1329" t="s">
        <v>2224</v>
      </c>
      <c r="D943" s="1326" t="s">
        <v>227</v>
      </c>
      <c r="E943" s="1249" t="s">
        <v>3023</v>
      </c>
      <c r="F943" s="455" t="s">
        <v>3024</v>
      </c>
      <c r="G943" s="456" t="s">
        <v>155</v>
      </c>
      <c r="H943" s="889"/>
      <c r="I943" s="891"/>
      <c r="J943" s="601">
        <v>20.111000000000001</v>
      </c>
      <c r="K943" s="602">
        <v>0.33333333333333331</v>
      </c>
      <c r="L943" s="981">
        <v>2</v>
      </c>
      <c r="M943" s="1249" t="s">
        <v>366</v>
      </c>
      <c r="N943" s="604" t="s">
        <v>227</v>
      </c>
      <c r="O943" s="465"/>
      <c r="P943" s="435"/>
      <c r="Q943" s="435"/>
      <c r="R943" s="401">
        <v>0</v>
      </c>
      <c r="S943" s="466">
        <v>0</v>
      </c>
      <c r="U943" s="1248">
        <f t="shared" si="16"/>
        <v>1</v>
      </c>
      <c r="V943" s="1304">
        <f t="shared" si="17"/>
        <v>0</v>
      </c>
    </row>
    <row r="944" spans="1:22" ht="16.5" thickTop="1" thickBot="1">
      <c r="A944" s="1244"/>
      <c r="B944" s="1245" t="s">
        <v>3170</v>
      </c>
      <c r="C944" s="1328" t="s">
        <v>360</v>
      </c>
      <c r="D944" s="1327" t="s">
        <v>227</v>
      </c>
      <c r="E944" s="1245" t="s">
        <v>360</v>
      </c>
      <c r="F944" s="457" t="s">
        <v>361</v>
      </c>
      <c r="G944" s="458" t="s">
        <v>158</v>
      </c>
      <c r="H944" s="888">
        <v>34</v>
      </c>
      <c r="I944" s="890">
        <v>274.27199999999999</v>
      </c>
      <c r="J944" s="899">
        <v>588.57500000000005</v>
      </c>
      <c r="K944" s="603">
        <v>0.32467532467532467</v>
      </c>
      <c r="L944" s="980">
        <v>6</v>
      </c>
      <c r="M944" s="1245" t="s">
        <v>366</v>
      </c>
      <c r="N944" s="604" t="s">
        <v>227</v>
      </c>
      <c r="O944" s="463"/>
      <c r="P944" s="434">
        <v>72.927999999999997</v>
      </c>
      <c r="Q944" s="434">
        <v>4</v>
      </c>
      <c r="R944" s="400">
        <v>3</v>
      </c>
      <c r="S944" s="464">
        <v>0.5</v>
      </c>
      <c r="U944" s="1248">
        <f t="shared" si="16"/>
        <v>1</v>
      </c>
      <c r="V944" s="1304">
        <f t="shared" si="17"/>
        <v>1</v>
      </c>
    </row>
    <row r="945" spans="1:22" ht="16.5" thickTop="1" thickBot="1">
      <c r="A945" s="1244"/>
      <c r="B945" s="1249" t="s">
        <v>3170</v>
      </c>
      <c r="C945" s="1329" t="s">
        <v>360</v>
      </c>
      <c r="D945" s="1326" t="s">
        <v>227</v>
      </c>
      <c r="E945" s="1249" t="s">
        <v>444</v>
      </c>
      <c r="F945" s="455" t="s">
        <v>445</v>
      </c>
      <c r="G945" s="456" t="s">
        <v>157</v>
      </c>
      <c r="H945" s="889">
        <v>33</v>
      </c>
      <c r="I945" s="891">
        <v>79.486000000000004</v>
      </c>
      <c r="J945" s="601">
        <v>564.16800000000001</v>
      </c>
      <c r="K945" s="602">
        <v>0.34666666666666668</v>
      </c>
      <c r="L945" s="981">
        <v>7</v>
      </c>
      <c r="M945" s="1249" t="s">
        <v>366</v>
      </c>
      <c r="N945" s="604" t="s">
        <v>227</v>
      </c>
      <c r="O945" s="465">
        <v>1</v>
      </c>
      <c r="P945" s="435">
        <v>63.582000000000001</v>
      </c>
      <c r="Q945" s="435">
        <v>4</v>
      </c>
      <c r="R945" s="401">
        <v>3</v>
      </c>
      <c r="S945" s="466">
        <v>0.46153846153846156</v>
      </c>
      <c r="U945" s="1248">
        <f t="shared" si="16"/>
        <v>1</v>
      </c>
      <c r="V945" s="1304">
        <f t="shared" si="17"/>
        <v>1</v>
      </c>
    </row>
    <row r="946" spans="1:22" ht="16.5" thickTop="1" thickBot="1">
      <c r="A946" s="1244"/>
      <c r="B946" s="1245" t="s">
        <v>3170</v>
      </c>
      <c r="C946" s="1328" t="s">
        <v>360</v>
      </c>
      <c r="D946" s="1327" t="s">
        <v>227</v>
      </c>
      <c r="E946" s="1245" t="s">
        <v>769</v>
      </c>
      <c r="F946" s="457" t="s">
        <v>770</v>
      </c>
      <c r="G946" s="458" t="s">
        <v>157</v>
      </c>
      <c r="H946" s="888">
        <v>24</v>
      </c>
      <c r="I946" s="890">
        <v>179.50700000000001</v>
      </c>
      <c r="J946" s="899">
        <v>231.34800000000001</v>
      </c>
      <c r="K946" s="603">
        <v>0.29850746268656714</v>
      </c>
      <c r="L946" s="980">
        <v>3</v>
      </c>
      <c r="M946" s="1245" t="s">
        <v>322</v>
      </c>
      <c r="N946" s="604" t="s">
        <v>227</v>
      </c>
      <c r="O946" s="463"/>
      <c r="P946" s="434">
        <v>0</v>
      </c>
      <c r="Q946" s="434"/>
      <c r="R946" s="400">
        <v>0</v>
      </c>
      <c r="S946" s="464">
        <v>0</v>
      </c>
      <c r="U946" s="1248">
        <f t="shared" si="16"/>
        <v>0</v>
      </c>
      <c r="V946" s="1304">
        <f t="shared" si="17"/>
        <v>1</v>
      </c>
    </row>
    <row r="947" spans="1:22" ht="16.5" thickTop="1" thickBot="1">
      <c r="A947" s="1244"/>
      <c r="B947" s="1249" t="s">
        <v>3170</v>
      </c>
      <c r="C947" s="1329" t="s">
        <v>360</v>
      </c>
      <c r="D947" s="1326" t="s">
        <v>227</v>
      </c>
      <c r="E947" s="1249" t="s">
        <v>1065</v>
      </c>
      <c r="F947" s="455" t="s">
        <v>1066</v>
      </c>
      <c r="G947" s="456" t="s">
        <v>155</v>
      </c>
      <c r="H947" s="889"/>
      <c r="I947" s="891"/>
      <c r="J947" s="601">
        <v>249.011</v>
      </c>
      <c r="K947" s="602">
        <v>0.25</v>
      </c>
      <c r="L947" s="981">
        <v>2</v>
      </c>
      <c r="M947" s="1249" t="s">
        <v>366</v>
      </c>
      <c r="N947" s="604" t="s">
        <v>227</v>
      </c>
      <c r="O947" s="465"/>
      <c r="P947" s="435">
        <v>0</v>
      </c>
      <c r="Q947" s="435"/>
      <c r="R947" s="401">
        <v>0</v>
      </c>
      <c r="S947" s="466">
        <v>0</v>
      </c>
      <c r="U947" s="1248">
        <f t="shared" si="16"/>
        <v>1</v>
      </c>
      <c r="V947" s="1304">
        <f t="shared" si="17"/>
        <v>0</v>
      </c>
    </row>
    <row r="948" spans="1:22" ht="16.5" thickTop="1" thickBot="1">
      <c r="A948" s="1244"/>
      <c r="B948" s="1245" t="s">
        <v>3170</v>
      </c>
      <c r="C948" s="1328" t="s">
        <v>360</v>
      </c>
      <c r="D948" s="1327" t="s">
        <v>227</v>
      </c>
      <c r="E948" s="1245" t="s">
        <v>1226</v>
      </c>
      <c r="F948" s="457" t="s">
        <v>1227</v>
      </c>
      <c r="G948" s="458" t="s">
        <v>156</v>
      </c>
      <c r="H948" s="888">
        <v>18</v>
      </c>
      <c r="I948" s="890">
        <v>144.26499999999999</v>
      </c>
      <c r="J948" s="899">
        <v>774.46</v>
      </c>
      <c r="K948" s="603">
        <v>0.2318840579710145</v>
      </c>
      <c r="L948" s="980">
        <v>5</v>
      </c>
      <c r="M948" s="1245" t="s">
        <v>323</v>
      </c>
      <c r="N948" s="604" t="s">
        <v>227</v>
      </c>
      <c r="O948" s="463"/>
      <c r="P948" s="434">
        <v>0</v>
      </c>
      <c r="Q948" s="434"/>
      <c r="R948" s="400">
        <v>0</v>
      </c>
      <c r="S948" s="464">
        <v>0</v>
      </c>
      <c r="U948" s="1248">
        <f t="shared" si="16"/>
        <v>0</v>
      </c>
      <c r="V948" s="1304">
        <f t="shared" si="17"/>
        <v>1</v>
      </c>
    </row>
    <row r="949" spans="1:22" ht="16.5" thickTop="1" thickBot="1">
      <c r="A949" s="1244"/>
      <c r="B949" s="1249" t="s">
        <v>3170</v>
      </c>
      <c r="C949" s="1329" t="s">
        <v>360</v>
      </c>
      <c r="D949" s="1326" t="s">
        <v>227</v>
      </c>
      <c r="E949" s="1249" t="s">
        <v>1485</v>
      </c>
      <c r="F949" s="455" t="s">
        <v>1486</v>
      </c>
      <c r="G949" s="456" t="s">
        <v>156</v>
      </c>
      <c r="H949" s="889">
        <v>15</v>
      </c>
      <c r="I949" s="891">
        <v>60.975000000000001</v>
      </c>
      <c r="J949" s="601">
        <v>310.92500000000001</v>
      </c>
      <c r="K949" s="602">
        <v>0.27777777777777779</v>
      </c>
      <c r="L949" s="981">
        <v>3</v>
      </c>
      <c r="M949" s="1249" t="s">
        <v>321</v>
      </c>
      <c r="N949" s="604" t="s">
        <v>227</v>
      </c>
      <c r="O949" s="465"/>
      <c r="P949" s="435">
        <v>0</v>
      </c>
      <c r="Q949" s="435"/>
      <c r="R949" s="401">
        <v>0</v>
      </c>
      <c r="S949" s="466">
        <v>0</v>
      </c>
      <c r="U949" s="1248">
        <f t="shared" si="16"/>
        <v>0</v>
      </c>
      <c r="V949" s="1304">
        <f t="shared" si="17"/>
        <v>1</v>
      </c>
    </row>
    <row r="950" spans="1:22" ht="16.5" thickTop="1" thickBot="1">
      <c r="A950" s="1244"/>
      <c r="B950" s="1245" t="s">
        <v>3170</v>
      </c>
      <c r="C950" s="1328" t="s">
        <v>360</v>
      </c>
      <c r="D950" s="1327" t="s">
        <v>227</v>
      </c>
      <c r="E950" s="1245" t="s">
        <v>2502</v>
      </c>
      <c r="F950" s="457" t="s">
        <v>2503</v>
      </c>
      <c r="G950" s="458" t="s">
        <v>155</v>
      </c>
      <c r="H950" s="888"/>
      <c r="I950" s="890"/>
      <c r="J950" s="899">
        <v>365.49700000000001</v>
      </c>
      <c r="K950" s="603">
        <v>0.35714285714285715</v>
      </c>
      <c r="L950" s="980">
        <v>2</v>
      </c>
      <c r="M950" s="1245" t="s">
        <v>366</v>
      </c>
      <c r="N950" s="604" t="s">
        <v>227</v>
      </c>
      <c r="O950" s="463"/>
      <c r="P950" s="434"/>
      <c r="Q950" s="434"/>
      <c r="R950" s="400">
        <v>0</v>
      </c>
      <c r="S950" s="464">
        <v>0</v>
      </c>
      <c r="U950" s="1248">
        <f t="shared" si="16"/>
        <v>1</v>
      </c>
      <c r="V950" s="1304">
        <f t="shared" si="17"/>
        <v>0</v>
      </c>
    </row>
    <row r="951" spans="1:22" ht="16.5" thickTop="1" thickBot="1">
      <c r="A951" s="1244"/>
      <c r="B951" s="1249" t="s">
        <v>3171</v>
      </c>
      <c r="C951" s="1329" t="s">
        <v>667</v>
      </c>
      <c r="D951" s="1326" t="s">
        <v>227</v>
      </c>
      <c r="E951" s="1249" t="s">
        <v>667</v>
      </c>
      <c r="F951" s="455" t="s">
        <v>671</v>
      </c>
      <c r="G951" s="456" t="s">
        <v>158</v>
      </c>
      <c r="H951" s="889">
        <v>26</v>
      </c>
      <c r="I951" s="891">
        <v>46.889000000000003</v>
      </c>
      <c r="J951" s="601">
        <v>114.92400000000001</v>
      </c>
      <c r="K951" s="602">
        <v>0.15384615384615385</v>
      </c>
      <c r="L951" s="981">
        <v>4</v>
      </c>
      <c r="M951" s="1249" t="s">
        <v>366</v>
      </c>
      <c r="N951" s="604" t="s">
        <v>227</v>
      </c>
      <c r="O951" s="465"/>
      <c r="P951" s="435">
        <v>27.446999999999999</v>
      </c>
      <c r="Q951" s="435">
        <v>2</v>
      </c>
      <c r="R951" s="401">
        <v>2</v>
      </c>
      <c r="S951" s="466">
        <v>0.5</v>
      </c>
      <c r="U951" s="1248">
        <f t="shared" si="16"/>
        <v>1</v>
      </c>
      <c r="V951" s="1304">
        <f t="shared" si="17"/>
        <v>1</v>
      </c>
    </row>
    <row r="952" spans="1:22" ht="16.5" thickTop="1" thickBot="1">
      <c r="A952" s="1244"/>
      <c r="B952" s="1245" t="s">
        <v>3171</v>
      </c>
      <c r="C952" s="1328" t="s">
        <v>667</v>
      </c>
      <c r="D952" s="1327" t="s">
        <v>227</v>
      </c>
      <c r="E952" s="1245" t="s">
        <v>705</v>
      </c>
      <c r="F952" s="457" t="s">
        <v>716</v>
      </c>
      <c r="G952" s="458" t="s">
        <v>156</v>
      </c>
      <c r="H952" s="888">
        <v>26</v>
      </c>
      <c r="I952" s="890">
        <v>16.783000000000001</v>
      </c>
      <c r="J952" s="899">
        <v>126.79900000000001</v>
      </c>
      <c r="K952" s="603">
        <v>0.16666666666666666</v>
      </c>
      <c r="L952" s="980">
        <v>3</v>
      </c>
      <c r="M952" s="1245" t="s">
        <v>366</v>
      </c>
      <c r="N952" s="604" t="s">
        <v>227</v>
      </c>
      <c r="O952" s="463"/>
      <c r="P952" s="434">
        <v>0</v>
      </c>
      <c r="Q952" s="434"/>
      <c r="R952" s="400">
        <v>0</v>
      </c>
      <c r="S952" s="464">
        <v>0</v>
      </c>
      <c r="U952" s="1248">
        <f t="shared" si="16"/>
        <v>1</v>
      </c>
      <c r="V952" s="1304">
        <f t="shared" si="17"/>
        <v>1</v>
      </c>
    </row>
    <row r="953" spans="1:22" ht="16.5" thickTop="1" thickBot="1">
      <c r="A953" s="1244"/>
      <c r="B953" s="1249" t="s">
        <v>3171</v>
      </c>
      <c r="C953" s="1329" t="s">
        <v>667</v>
      </c>
      <c r="D953" s="1326" t="s">
        <v>227</v>
      </c>
      <c r="E953" s="1249" t="s">
        <v>877</v>
      </c>
      <c r="F953" s="455" t="s">
        <v>878</v>
      </c>
      <c r="G953" s="456" t="s">
        <v>156</v>
      </c>
      <c r="H953" s="889">
        <v>21</v>
      </c>
      <c r="I953" s="891">
        <v>104.83499999999999</v>
      </c>
      <c r="J953" s="601">
        <v>104.83499999999999</v>
      </c>
      <c r="K953" s="602">
        <v>8.1632653061224483E-2</v>
      </c>
      <c r="L953" s="981">
        <v>1</v>
      </c>
      <c r="M953" s="1249" t="s">
        <v>366</v>
      </c>
      <c r="N953" s="604" t="s">
        <v>227</v>
      </c>
      <c r="O953" s="465"/>
      <c r="P953" s="435"/>
      <c r="Q953" s="435"/>
      <c r="R953" s="401">
        <v>0</v>
      </c>
      <c r="S953" s="466">
        <v>0</v>
      </c>
      <c r="U953" s="1248">
        <f t="shared" si="16"/>
        <v>1</v>
      </c>
      <c r="V953" s="1304">
        <f t="shared" si="17"/>
        <v>1</v>
      </c>
    </row>
    <row r="954" spans="1:22" ht="16.5" thickTop="1" thickBot="1">
      <c r="A954" s="1244"/>
      <c r="B954" s="1245" t="s">
        <v>3171</v>
      </c>
      <c r="C954" s="1328" t="s">
        <v>667</v>
      </c>
      <c r="D954" s="1327" t="s">
        <v>227</v>
      </c>
      <c r="E954" s="1245" t="s">
        <v>932</v>
      </c>
      <c r="F954" s="457" t="s">
        <v>933</v>
      </c>
      <c r="G954" s="458" t="s">
        <v>156</v>
      </c>
      <c r="H954" s="888">
        <v>21</v>
      </c>
      <c r="I954" s="890">
        <v>59.777999999999999</v>
      </c>
      <c r="J954" s="899">
        <v>245.19200000000001</v>
      </c>
      <c r="K954" s="603">
        <v>0.20689655172413793</v>
      </c>
      <c r="L954" s="980">
        <v>6</v>
      </c>
      <c r="M954" s="1245" t="s">
        <v>322</v>
      </c>
      <c r="N954" s="604" t="s">
        <v>227</v>
      </c>
      <c r="O954" s="463"/>
      <c r="P954" s="434">
        <v>30.969000000000001</v>
      </c>
      <c r="Q954" s="434">
        <v>2</v>
      </c>
      <c r="R954" s="400">
        <v>2</v>
      </c>
      <c r="S954" s="464">
        <v>0.30769230769230771</v>
      </c>
      <c r="U954" s="1248">
        <f t="shared" si="16"/>
        <v>0</v>
      </c>
      <c r="V954" s="1304">
        <f t="shared" si="17"/>
        <v>1</v>
      </c>
    </row>
    <row r="955" spans="1:22" ht="16.5" thickTop="1" thickBot="1">
      <c r="A955" s="1244"/>
      <c r="B955" s="1249" t="s">
        <v>3171</v>
      </c>
      <c r="C955" s="1329" t="s">
        <v>667</v>
      </c>
      <c r="D955" s="1326" t="s">
        <v>227</v>
      </c>
      <c r="E955" s="1249" t="s">
        <v>962</v>
      </c>
      <c r="F955" s="455" t="s">
        <v>963</v>
      </c>
      <c r="G955" s="456" t="s">
        <v>156</v>
      </c>
      <c r="H955" s="889">
        <v>20</v>
      </c>
      <c r="I955" s="891">
        <v>13.105</v>
      </c>
      <c r="J955" s="601">
        <v>71.271000000000001</v>
      </c>
      <c r="K955" s="602">
        <v>0.10126582278481013</v>
      </c>
      <c r="L955" s="981">
        <v>2</v>
      </c>
      <c r="M955" s="1249" t="s">
        <v>366</v>
      </c>
      <c r="N955" s="604" t="s">
        <v>227</v>
      </c>
      <c r="O955" s="465"/>
      <c r="P955" s="435">
        <v>0</v>
      </c>
      <c r="Q955" s="435"/>
      <c r="R955" s="401">
        <v>0</v>
      </c>
      <c r="S955" s="466">
        <v>0</v>
      </c>
      <c r="U955" s="1248">
        <f t="shared" si="16"/>
        <v>1</v>
      </c>
      <c r="V955" s="1304">
        <f t="shared" si="17"/>
        <v>1</v>
      </c>
    </row>
    <row r="956" spans="1:22" ht="16.5" thickTop="1" thickBot="1">
      <c r="A956" s="1244"/>
      <c r="B956" s="1245" t="s">
        <v>3171</v>
      </c>
      <c r="C956" s="1328" t="s">
        <v>667</v>
      </c>
      <c r="D956" s="1327" t="s">
        <v>227</v>
      </c>
      <c r="E956" s="1245" t="s">
        <v>1391</v>
      </c>
      <c r="F956" s="457" t="s">
        <v>1392</v>
      </c>
      <c r="G956" s="458" t="s">
        <v>156</v>
      </c>
      <c r="H956" s="888">
        <v>15</v>
      </c>
      <c r="I956" s="890">
        <v>33.64</v>
      </c>
      <c r="J956" s="899">
        <v>1339.7070000000001</v>
      </c>
      <c r="K956" s="603">
        <v>0.39370078740157483</v>
      </c>
      <c r="L956" s="980">
        <v>8</v>
      </c>
      <c r="M956" s="1245" t="s">
        <v>323</v>
      </c>
      <c r="N956" s="604" t="s">
        <v>227</v>
      </c>
      <c r="O956" s="463">
        <v>1</v>
      </c>
      <c r="P956" s="434">
        <v>34.427</v>
      </c>
      <c r="Q956" s="434">
        <v>2</v>
      </c>
      <c r="R956" s="400">
        <v>2</v>
      </c>
      <c r="S956" s="464">
        <v>0.26666666666666666</v>
      </c>
      <c r="U956" s="1248">
        <f t="shared" si="16"/>
        <v>0</v>
      </c>
      <c r="V956" s="1304">
        <f t="shared" si="17"/>
        <v>1</v>
      </c>
    </row>
    <row r="957" spans="1:22" ht="16.5" thickTop="1" thickBot="1">
      <c r="A957" s="1244"/>
      <c r="B957" s="1249" t="s">
        <v>3171</v>
      </c>
      <c r="C957" s="1329" t="s">
        <v>667</v>
      </c>
      <c r="D957" s="1326" t="s">
        <v>227</v>
      </c>
      <c r="E957" s="1249" t="s">
        <v>1867</v>
      </c>
      <c r="F957" s="455" t="s">
        <v>1869</v>
      </c>
      <c r="G957" s="456" t="s">
        <v>157</v>
      </c>
      <c r="H957" s="889">
        <v>11</v>
      </c>
      <c r="I957" s="891">
        <v>127.461</v>
      </c>
      <c r="J957" s="601">
        <v>159.589</v>
      </c>
      <c r="K957" s="602">
        <v>0.15730337078651685</v>
      </c>
      <c r="L957" s="981">
        <v>5</v>
      </c>
      <c r="M957" s="1249" t="s">
        <v>322</v>
      </c>
      <c r="N957" s="604" t="s">
        <v>227</v>
      </c>
      <c r="O957" s="465"/>
      <c r="P957" s="435"/>
      <c r="Q957" s="435"/>
      <c r="R957" s="401">
        <v>0</v>
      </c>
      <c r="S957" s="466">
        <v>0</v>
      </c>
      <c r="U957" s="1248">
        <f t="shared" si="16"/>
        <v>0</v>
      </c>
      <c r="V957" s="1304">
        <f t="shared" si="17"/>
        <v>1</v>
      </c>
    </row>
    <row r="958" spans="1:22" ht="16.5" thickTop="1" thickBot="1">
      <c r="A958" s="1244"/>
      <c r="B958" s="1245" t="s">
        <v>3171</v>
      </c>
      <c r="C958" s="1328" t="s">
        <v>667</v>
      </c>
      <c r="D958" s="1327" t="s">
        <v>227</v>
      </c>
      <c r="E958" s="1245" t="s">
        <v>1907</v>
      </c>
      <c r="F958" s="457" t="s">
        <v>1908</v>
      </c>
      <c r="G958" s="458" t="s">
        <v>156</v>
      </c>
      <c r="H958" s="888">
        <v>11</v>
      </c>
      <c r="I958" s="890">
        <v>73.795000000000002</v>
      </c>
      <c r="J958" s="899">
        <v>230.11199999999999</v>
      </c>
      <c r="K958" s="603">
        <v>0.22222222222222221</v>
      </c>
      <c r="L958" s="980">
        <v>5</v>
      </c>
      <c r="M958" s="1245" t="s">
        <v>322</v>
      </c>
      <c r="N958" s="604" t="s">
        <v>227</v>
      </c>
      <c r="O958" s="463">
        <v>1</v>
      </c>
      <c r="P958" s="434"/>
      <c r="Q958" s="434"/>
      <c r="R958" s="400">
        <v>0</v>
      </c>
      <c r="S958" s="464">
        <v>0</v>
      </c>
      <c r="U958" s="1248">
        <f t="shared" si="16"/>
        <v>0</v>
      </c>
      <c r="V958" s="1304">
        <f t="shared" si="17"/>
        <v>1</v>
      </c>
    </row>
    <row r="959" spans="1:22" ht="16.5" thickTop="1" thickBot="1">
      <c r="A959" s="1244"/>
      <c r="B959" s="1249" t="s">
        <v>3171</v>
      </c>
      <c r="C959" s="1329" t="s">
        <v>667</v>
      </c>
      <c r="D959" s="1326" t="s">
        <v>227</v>
      </c>
      <c r="E959" s="1249" t="s">
        <v>2252</v>
      </c>
      <c r="F959" s="455" t="s">
        <v>1530</v>
      </c>
      <c r="G959" s="456" t="s">
        <v>155</v>
      </c>
      <c r="H959" s="889"/>
      <c r="I959" s="891"/>
      <c r="J959" s="601">
        <v>36.198999999999998</v>
      </c>
      <c r="K959" s="602">
        <v>0.5</v>
      </c>
      <c r="L959" s="981">
        <v>1</v>
      </c>
      <c r="M959" s="1249" t="s">
        <v>366</v>
      </c>
      <c r="N959" s="604" t="s">
        <v>227</v>
      </c>
      <c r="O959" s="465"/>
      <c r="P959" s="435">
        <v>10.959</v>
      </c>
      <c r="Q959" s="435">
        <v>1</v>
      </c>
      <c r="R959" s="401">
        <v>1</v>
      </c>
      <c r="S959" s="466">
        <v>1</v>
      </c>
      <c r="U959" s="1248">
        <f t="shared" si="16"/>
        <v>1</v>
      </c>
      <c r="V959" s="1304">
        <f t="shared" si="17"/>
        <v>0</v>
      </c>
    </row>
    <row r="960" spans="1:22" ht="16.5" thickTop="1" thickBot="1">
      <c r="A960" s="1244"/>
      <c r="B960" s="1245" t="s">
        <v>3171</v>
      </c>
      <c r="C960" s="1328" t="s">
        <v>667</v>
      </c>
      <c r="D960" s="1327" t="s">
        <v>227</v>
      </c>
      <c r="E960" s="1245" t="s">
        <v>2253</v>
      </c>
      <c r="F960" s="457" t="s">
        <v>2254</v>
      </c>
      <c r="G960" s="458" t="s">
        <v>155</v>
      </c>
      <c r="H960" s="888"/>
      <c r="I960" s="890"/>
      <c r="J960" s="899">
        <v>29.135999999999999</v>
      </c>
      <c r="K960" s="603">
        <v>0.1111111111111111</v>
      </c>
      <c r="L960" s="980">
        <v>2</v>
      </c>
      <c r="M960" s="1245" t="s">
        <v>366</v>
      </c>
      <c r="N960" s="604" t="s">
        <v>227</v>
      </c>
      <c r="O960" s="463"/>
      <c r="P960" s="434"/>
      <c r="Q960" s="434"/>
      <c r="R960" s="400">
        <v>0</v>
      </c>
      <c r="S960" s="464">
        <v>0</v>
      </c>
      <c r="U960" s="1248">
        <f t="shared" si="16"/>
        <v>1</v>
      </c>
      <c r="V960" s="1304">
        <f t="shared" si="17"/>
        <v>0</v>
      </c>
    </row>
    <row r="961" spans="1:22" ht="16.5" thickTop="1" thickBot="1">
      <c r="A961" s="1244"/>
      <c r="B961" s="1249" t="s">
        <v>642</v>
      </c>
      <c r="C961" s="1329" t="s">
        <v>227</v>
      </c>
      <c r="D961" s="1326" t="s">
        <v>227</v>
      </c>
      <c r="E961" s="1249" t="s">
        <v>759</v>
      </c>
      <c r="F961" s="455" t="s">
        <v>761</v>
      </c>
      <c r="G961" s="456" t="s">
        <v>157</v>
      </c>
      <c r="H961" s="889">
        <v>24</v>
      </c>
      <c r="I961" s="891">
        <v>487.48050000000001</v>
      </c>
      <c r="J961" s="601">
        <v>766.47500000000002</v>
      </c>
      <c r="K961" s="602">
        <v>0.3087248322147651</v>
      </c>
      <c r="L961" s="981">
        <v>5</v>
      </c>
      <c r="M961" s="1249" t="s">
        <v>323</v>
      </c>
      <c r="N961" s="604" t="s">
        <v>227</v>
      </c>
      <c r="O961" s="465"/>
      <c r="P961" s="435">
        <v>25.251999999999999</v>
      </c>
      <c r="Q961" s="435">
        <v>1</v>
      </c>
      <c r="R961" s="401">
        <v>1</v>
      </c>
      <c r="S961" s="466">
        <v>0.2</v>
      </c>
      <c r="U961" s="1248">
        <f t="shared" si="16"/>
        <v>0</v>
      </c>
      <c r="V961" s="1304">
        <f t="shared" si="17"/>
        <v>1</v>
      </c>
    </row>
    <row r="962" spans="1:22" ht="16.5" thickTop="1" thickBot="1">
      <c r="A962" s="1244"/>
      <c r="B962" s="1245" t="s">
        <v>642</v>
      </c>
      <c r="C962" s="1328" t="s">
        <v>2227</v>
      </c>
      <c r="D962" s="1327" t="s">
        <v>227</v>
      </c>
      <c r="E962" s="1245" t="s">
        <v>2227</v>
      </c>
      <c r="F962" s="457" t="s">
        <v>2229</v>
      </c>
      <c r="G962" s="458" t="s">
        <v>739</v>
      </c>
      <c r="H962" s="888">
        <v>8</v>
      </c>
      <c r="I962" s="890">
        <v>110.488</v>
      </c>
      <c r="J962" s="899">
        <v>754.37900000000002</v>
      </c>
      <c r="K962" s="603">
        <v>0.61261261261261257</v>
      </c>
      <c r="L962" s="980">
        <v>11</v>
      </c>
      <c r="M962" s="1245" t="s">
        <v>323</v>
      </c>
      <c r="N962" s="604" t="s">
        <v>227</v>
      </c>
      <c r="O962" s="463">
        <v>1</v>
      </c>
      <c r="P962" s="434">
        <v>168.69399999999999</v>
      </c>
      <c r="Q962" s="434">
        <v>14</v>
      </c>
      <c r="R962" s="400">
        <v>6</v>
      </c>
      <c r="S962" s="464">
        <v>0.54545454545454541</v>
      </c>
      <c r="U962" s="1248">
        <f t="shared" si="16"/>
        <v>0</v>
      </c>
      <c r="V962" s="1304">
        <f t="shared" si="17"/>
        <v>1</v>
      </c>
    </row>
    <row r="963" spans="1:22" ht="16.5" thickTop="1" thickBot="1">
      <c r="A963" s="1244"/>
      <c r="B963" s="1249" t="s">
        <v>642</v>
      </c>
      <c r="C963" s="1329" t="s">
        <v>2227</v>
      </c>
      <c r="D963" s="1326" t="s">
        <v>227</v>
      </c>
      <c r="E963" s="1249" t="s">
        <v>2237</v>
      </c>
      <c r="F963" s="455" t="s">
        <v>2239</v>
      </c>
      <c r="G963" s="456" t="s">
        <v>157</v>
      </c>
      <c r="H963" s="889">
        <v>8</v>
      </c>
      <c r="I963" s="891">
        <v>481.15600000000001</v>
      </c>
      <c r="J963" s="601">
        <v>624.69299999999998</v>
      </c>
      <c r="K963" s="602">
        <v>0.36956521739130432</v>
      </c>
      <c r="L963" s="981">
        <v>8</v>
      </c>
      <c r="M963" s="1249" t="s">
        <v>323</v>
      </c>
      <c r="N963" s="604" t="s">
        <v>227</v>
      </c>
      <c r="O963" s="465">
        <v>2</v>
      </c>
      <c r="P963" s="435">
        <v>104.18899999999999</v>
      </c>
      <c r="Q963" s="435">
        <v>5</v>
      </c>
      <c r="R963" s="401">
        <v>4</v>
      </c>
      <c r="S963" s="466">
        <v>0.47058823529411764</v>
      </c>
      <c r="U963" s="1248">
        <f t="shared" si="16"/>
        <v>0</v>
      </c>
      <c r="V963" s="1304">
        <f t="shared" si="17"/>
        <v>1</v>
      </c>
    </row>
    <row r="964" spans="1:22" ht="16.5" thickTop="1" thickBot="1">
      <c r="A964" s="1244"/>
      <c r="B964" s="1245" t="s">
        <v>642</v>
      </c>
      <c r="C964" s="1328" t="s">
        <v>2227</v>
      </c>
      <c r="D964" s="1327" t="s">
        <v>227</v>
      </c>
      <c r="E964" s="1245" t="s">
        <v>2273</v>
      </c>
      <c r="F964" s="457" t="s">
        <v>2121</v>
      </c>
      <c r="G964" s="458" t="s">
        <v>156</v>
      </c>
      <c r="H964" s="888">
        <v>8</v>
      </c>
      <c r="I964" s="890">
        <v>93.275000000000006</v>
      </c>
      <c r="J964" s="899">
        <v>357.339</v>
      </c>
      <c r="K964" s="603">
        <v>0.43902439024390244</v>
      </c>
      <c r="L964" s="980">
        <v>6</v>
      </c>
      <c r="M964" s="1245" t="s">
        <v>323</v>
      </c>
      <c r="N964" s="604" t="s">
        <v>227</v>
      </c>
      <c r="O964" s="463"/>
      <c r="P964" s="434">
        <v>34.113999999999997</v>
      </c>
      <c r="Q964" s="434">
        <v>3</v>
      </c>
      <c r="R964" s="400">
        <v>1</v>
      </c>
      <c r="S964" s="464">
        <v>0.15384615384615385</v>
      </c>
      <c r="U964" s="1248">
        <f t="shared" si="16"/>
        <v>0</v>
      </c>
      <c r="V964" s="1304">
        <f t="shared" si="17"/>
        <v>1</v>
      </c>
    </row>
    <row r="965" spans="1:22" ht="16.5" thickTop="1" thickBot="1">
      <c r="A965" s="1244"/>
      <c r="B965" s="1249" t="s">
        <v>642</v>
      </c>
      <c r="C965" s="1329" t="s">
        <v>2227</v>
      </c>
      <c r="D965" s="1326" t="s">
        <v>227</v>
      </c>
      <c r="E965" s="1249" t="s">
        <v>2388</v>
      </c>
      <c r="F965" s="455" t="s">
        <v>2389</v>
      </c>
      <c r="G965" s="456" t="s">
        <v>156</v>
      </c>
      <c r="H965" s="889">
        <v>7</v>
      </c>
      <c r="I965" s="891">
        <v>93.534999999999997</v>
      </c>
      <c r="J965" s="601">
        <v>439.84699999999998</v>
      </c>
      <c r="K965" s="602">
        <v>0.41904761904761906</v>
      </c>
      <c r="L965" s="981">
        <v>8</v>
      </c>
      <c r="M965" s="1249" t="s">
        <v>323</v>
      </c>
      <c r="N965" s="604" t="s">
        <v>227</v>
      </c>
      <c r="O965" s="465">
        <v>2</v>
      </c>
      <c r="P965" s="435">
        <v>36.994999999999997</v>
      </c>
      <c r="Q965" s="435">
        <v>3</v>
      </c>
      <c r="R965" s="401">
        <v>3</v>
      </c>
      <c r="S965" s="466">
        <v>0.42857142857142855</v>
      </c>
      <c r="U965" s="1248">
        <f t="shared" si="16"/>
        <v>0</v>
      </c>
      <c r="V965" s="1304">
        <f t="shared" si="17"/>
        <v>1</v>
      </c>
    </row>
    <row r="966" spans="1:22" ht="16.5" thickTop="1" thickBot="1">
      <c r="A966" s="1244"/>
      <c r="B966" s="1245" t="s">
        <v>642</v>
      </c>
      <c r="C966" s="1328" t="s">
        <v>2227</v>
      </c>
      <c r="D966" s="1327" t="s">
        <v>227</v>
      </c>
      <c r="E966" s="1245" t="s">
        <v>3025</v>
      </c>
      <c r="F966" s="457" t="s">
        <v>3026</v>
      </c>
      <c r="G966" s="458" t="s">
        <v>155</v>
      </c>
      <c r="H966" s="888"/>
      <c r="I966" s="890"/>
      <c r="J966" s="899">
        <v>455.66199999999998</v>
      </c>
      <c r="K966" s="603">
        <v>0.33333333333333331</v>
      </c>
      <c r="L966" s="980">
        <v>5</v>
      </c>
      <c r="M966" s="1245" t="s">
        <v>366</v>
      </c>
      <c r="N966" s="604" t="s">
        <v>227</v>
      </c>
      <c r="O966" s="463">
        <v>1</v>
      </c>
      <c r="P966" s="434">
        <v>385.351</v>
      </c>
      <c r="Q966" s="434">
        <v>6</v>
      </c>
      <c r="R966" s="400">
        <v>2</v>
      </c>
      <c r="S966" s="464">
        <v>0.44444444444444442</v>
      </c>
      <c r="U966" s="1248">
        <f t="shared" si="16"/>
        <v>1</v>
      </c>
      <c r="V966" s="1304">
        <f t="shared" si="17"/>
        <v>0</v>
      </c>
    </row>
    <row r="967" spans="1:22" ht="16.5" thickTop="1" thickBot="1">
      <c r="A967" s="1244"/>
      <c r="B967" s="1249" t="s">
        <v>642</v>
      </c>
      <c r="C967" s="1329" t="s">
        <v>2227</v>
      </c>
      <c r="D967" s="1326" t="s">
        <v>227</v>
      </c>
      <c r="E967" s="1249" t="s">
        <v>3338</v>
      </c>
      <c r="F967" s="455" t="s">
        <v>3339</v>
      </c>
      <c r="G967" s="456" t="s">
        <v>156</v>
      </c>
      <c r="H967" s="889">
        <v>1</v>
      </c>
      <c r="I967" s="891">
        <v>10.028</v>
      </c>
      <c r="J967" s="601">
        <v>10.028</v>
      </c>
      <c r="K967" s="602">
        <v>0.22222222222222221</v>
      </c>
      <c r="L967" s="981">
        <v>3</v>
      </c>
      <c r="M967" s="1249" t="s">
        <v>322</v>
      </c>
      <c r="N967" s="604" t="s">
        <v>227</v>
      </c>
      <c r="O967" s="465"/>
      <c r="P967" s="435"/>
      <c r="Q967" s="435"/>
      <c r="R967" s="401">
        <v>0</v>
      </c>
      <c r="S967" s="466">
        <v>0</v>
      </c>
      <c r="U967" s="1248">
        <f t="shared" si="16"/>
        <v>0</v>
      </c>
      <c r="V967" s="1304">
        <f t="shared" si="17"/>
        <v>1</v>
      </c>
    </row>
    <row r="968" spans="1:22" ht="16.5" thickTop="1" thickBot="1">
      <c r="A968" s="1244"/>
      <c r="B968" s="1245" t="s">
        <v>642</v>
      </c>
      <c r="C968" s="1328" t="s">
        <v>2568</v>
      </c>
      <c r="D968" s="1327" t="s">
        <v>227</v>
      </c>
      <c r="E968" s="1245" t="s">
        <v>686</v>
      </c>
      <c r="F968" s="457" t="s">
        <v>687</v>
      </c>
      <c r="G968" s="458" t="s">
        <v>156</v>
      </c>
      <c r="H968" s="888">
        <v>26</v>
      </c>
      <c r="I968" s="890">
        <v>128.732</v>
      </c>
      <c r="J968" s="899">
        <v>226.565</v>
      </c>
      <c r="K968" s="603">
        <v>0.20952380952380953</v>
      </c>
      <c r="L968" s="980">
        <v>7</v>
      </c>
      <c r="M968" s="1245" t="s">
        <v>322</v>
      </c>
      <c r="N968" s="604" t="s">
        <v>227</v>
      </c>
      <c r="O968" s="463">
        <v>1</v>
      </c>
      <c r="P968" s="434">
        <v>7.7060000000000004</v>
      </c>
      <c r="Q968" s="434">
        <v>1</v>
      </c>
      <c r="R968" s="400">
        <v>1</v>
      </c>
      <c r="S968" s="464">
        <v>0.15384615384615385</v>
      </c>
      <c r="U968" s="1248">
        <f t="shared" si="16"/>
        <v>0</v>
      </c>
      <c r="V968" s="1304">
        <f t="shared" si="17"/>
        <v>1</v>
      </c>
    </row>
    <row r="969" spans="1:22" ht="16.5" thickTop="1" thickBot="1">
      <c r="A969" s="1244"/>
      <c r="B969" s="1249" t="s">
        <v>642</v>
      </c>
      <c r="C969" s="1329" t="s">
        <v>2568</v>
      </c>
      <c r="D969" s="1326" t="s">
        <v>227</v>
      </c>
      <c r="E969" s="1249" t="s">
        <v>706</v>
      </c>
      <c r="F969" s="455" t="s">
        <v>717</v>
      </c>
      <c r="G969" s="456" t="s">
        <v>157</v>
      </c>
      <c r="H969" s="889">
        <v>26</v>
      </c>
      <c r="I969" s="891">
        <v>293.40100000000001</v>
      </c>
      <c r="J969" s="601">
        <v>423.28100000000001</v>
      </c>
      <c r="K969" s="602">
        <v>0.47887323943661969</v>
      </c>
      <c r="L969" s="981">
        <v>2</v>
      </c>
      <c r="M969" s="1249" t="s">
        <v>323</v>
      </c>
      <c r="N969" s="604" t="s">
        <v>227</v>
      </c>
      <c r="O969" s="465"/>
      <c r="P969" s="435">
        <v>21.721</v>
      </c>
      <c r="Q969" s="435">
        <v>2</v>
      </c>
      <c r="R969" s="401">
        <v>2</v>
      </c>
      <c r="S969" s="466">
        <v>1</v>
      </c>
      <c r="U969" s="1248">
        <f t="shared" si="16"/>
        <v>0</v>
      </c>
      <c r="V969" s="1304">
        <f t="shared" si="17"/>
        <v>1</v>
      </c>
    </row>
    <row r="970" spans="1:22" ht="16.5" thickTop="1" thickBot="1">
      <c r="A970" s="1244"/>
      <c r="B970" s="1245" t="s">
        <v>642</v>
      </c>
      <c r="C970" s="1328" t="s">
        <v>2568</v>
      </c>
      <c r="D970" s="1327" t="s">
        <v>227</v>
      </c>
      <c r="E970" s="1245" t="s">
        <v>771</v>
      </c>
      <c r="F970" s="457" t="s">
        <v>772</v>
      </c>
      <c r="G970" s="458" t="s">
        <v>156</v>
      </c>
      <c r="H970" s="888">
        <v>25</v>
      </c>
      <c r="I970" s="890">
        <v>170.173</v>
      </c>
      <c r="J970" s="899">
        <v>241.185</v>
      </c>
      <c r="K970" s="603">
        <v>0.27586206896551724</v>
      </c>
      <c r="L970" s="980">
        <v>5</v>
      </c>
      <c r="M970" s="1245" t="s">
        <v>322</v>
      </c>
      <c r="N970" s="604" t="s">
        <v>227</v>
      </c>
      <c r="O970" s="463"/>
      <c r="P970" s="434">
        <v>3.3620000000000001</v>
      </c>
      <c r="Q970" s="434">
        <v>1</v>
      </c>
      <c r="R970" s="400">
        <v>1</v>
      </c>
      <c r="S970" s="464">
        <v>0.2</v>
      </c>
      <c r="U970" s="1248">
        <f t="shared" si="16"/>
        <v>0</v>
      </c>
      <c r="V970" s="1304">
        <f t="shared" si="17"/>
        <v>1</v>
      </c>
    </row>
    <row r="971" spans="1:22" ht="16.5" thickTop="1" thickBot="1">
      <c r="A971" s="1244"/>
      <c r="B971" s="1249" t="s">
        <v>642</v>
      </c>
      <c r="C971" s="1329" t="s">
        <v>2568</v>
      </c>
      <c r="D971" s="1326" t="s">
        <v>227</v>
      </c>
      <c r="E971" s="1249" t="s">
        <v>1487</v>
      </c>
      <c r="F971" s="455" t="s">
        <v>1488</v>
      </c>
      <c r="G971" s="456" t="s">
        <v>156</v>
      </c>
      <c r="H971" s="889">
        <v>15</v>
      </c>
      <c r="I971" s="891">
        <v>558.59100000000001</v>
      </c>
      <c r="J971" s="601">
        <v>558.59100000000001</v>
      </c>
      <c r="K971" s="602">
        <v>0.24</v>
      </c>
      <c r="L971" s="981">
        <v>1</v>
      </c>
      <c r="M971" s="1249" t="s">
        <v>323</v>
      </c>
      <c r="N971" s="604" t="s">
        <v>227</v>
      </c>
      <c r="O971" s="465"/>
      <c r="P971" s="435">
        <v>0</v>
      </c>
      <c r="Q971" s="435"/>
      <c r="R971" s="401">
        <v>0</v>
      </c>
      <c r="S971" s="466">
        <v>0</v>
      </c>
      <c r="U971" s="1248">
        <f t="shared" si="16"/>
        <v>0</v>
      </c>
      <c r="V971" s="1304">
        <f t="shared" si="17"/>
        <v>1</v>
      </c>
    </row>
    <row r="972" spans="1:22" ht="16.5" thickTop="1" thickBot="1">
      <c r="A972" s="1244"/>
      <c r="B972" s="1245" t="s">
        <v>642</v>
      </c>
      <c r="C972" s="1328" t="s">
        <v>2568</v>
      </c>
      <c r="D972" s="1327" t="s">
        <v>227</v>
      </c>
      <c r="E972" s="1245" t="s">
        <v>1489</v>
      </c>
      <c r="F972" s="457" t="s">
        <v>1490</v>
      </c>
      <c r="G972" s="458" t="s">
        <v>157</v>
      </c>
      <c r="H972" s="888">
        <v>14</v>
      </c>
      <c r="I972" s="890">
        <v>21.675999999999998</v>
      </c>
      <c r="J972" s="899">
        <v>394.31400000000002</v>
      </c>
      <c r="K972" s="603">
        <v>0.20512820512820512</v>
      </c>
      <c r="L972" s="980">
        <v>2</v>
      </c>
      <c r="M972" s="1245" t="s">
        <v>323</v>
      </c>
      <c r="N972" s="604" t="s">
        <v>227</v>
      </c>
      <c r="O972" s="463"/>
      <c r="P972" s="434">
        <v>164.422</v>
      </c>
      <c r="Q972" s="434">
        <v>1</v>
      </c>
      <c r="R972" s="400">
        <v>1</v>
      </c>
      <c r="S972" s="464">
        <v>0.5</v>
      </c>
      <c r="U972" s="1248">
        <f t="shared" si="16"/>
        <v>0</v>
      </c>
      <c r="V972" s="1304">
        <f t="shared" si="17"/>
        <v>1</v>
      </c>
    </row>
    <row r="973" spans="1:22" ht="16.5" thickTop="1" thickBot="1">
      <c r="A973" s="1244"/>
      <c r="B973" s="1249" t="s">
        <v>642</v>
      </c>
      <c r="C973" s="1329" t="s">
        <v>2568</v>
      </c>
      <c r="D973" s="1326" t="s">
        <v>227</v>
      </c>
      <c r="E973" s="1249" t="s">
        <v>1491</v>
      </c>
      <c r="F973" s="455" t="s">
        <v>1492</v>
      </c>
      <c r="G973" s="456" t="s">
        <v>157</v>
      </c>
      <c r="H973" s="889">
        <v>14</v>
      </c>
      <c r="I973" s="891">
        <v>384.82900000000001</v>
      </c>
      <c r="J973" s="601">
        <v>479.36099999999999</v>
      </c>
      <c r="K973" s="602">
        <v>0.2413793103448276</v>
      </c>
      <c r="L973" s="981">
        <v>3</v>
      </c>
      <c r="M973" s="1249" t="s">
        <v>323</v>
      </c>
      <c r="N973" s="604" t="s">
        <v>227</v>
      </c>
      <c r="O973" s="465"/>
      <c r="P973" s="435"/>
      <c r="Q973" s="435"/>
      <c r="R973" s="401">
        <v>0</v>
      </c>
      <c r="S973" s="466">
        <v>0</v>
      </c>
      <c r="U973" s="1248">
        <f t="shared" si="16"/>
        <v>0</v>
      </c>
      <c r="V973" s="1304">
        <f t="shared" si="17"/>
        <v>1</v>
      </c>
    </row>
    <row r="974" spans="1:22" ht="16.5" thickTop="1" thickBot="1">
      <c r="A974" s="1244"/>
      <c r="B974" s="1245" t="s">
        <v>642</v>
      </c>
      <c r="C974" s="1328" t="s">
        <v>2568</v>
      </c>
      <c r="D974" s="1327" t="s">
        <v>227</v>
      </c>
      <c r="E974" s="1245" t="s">
        <v>1493</v>
      </c>
      <c r="F974" s="457" t="s">
        <v>1494</v>
      </c>
      <c r="G974" s="458" t="s">
        <v>156</v>
      </c>
      <c r="H974" s="888">
        <v>14</v>
      </c>
      <c r="I974" s="890">
        <v>84.918999999999997</v>
      </c>
      <c r="J974" s="899">
        <v>136.02799999999999</v>
      </c>
      <c r="K974" s="603">
        <v>0.17777777777777778</v>
      </c>
      <c r="L974" s="980">
        <v>4</v>
      </c>
      <c r="M974" s="1245" t="s">
        <v>366</v>
      </c>
      <c r="N974" s="604" t="s">
        <v>227</v>
      </c>
      <c r="O974" s="463">
        <v>1</v>
      </c>
      <c r="P974" s="434">
        <v>27.029</v>
      </c>
      <c r="Q974" s="434">
        <v>2</v>
      </c>
      <c r="R974" s="400">
        <v>2</v>
      </c>
      <c r="S974" s="464">
        <v>0.5714285714285714</v>
      </c>
      <c r="U974" s="1248">
        <f t="shared" si="16"/>
        <v>1</v>
      </c>
      <c r="V974" s="1304">
        <f t="shared" si="17"/>
        <v>1</v>
      </c>
    </row>
    <row r="975" spans="1:22" ht="16.5" thickTop="1" thickBot="1">
      <c r="A975" s="1244"/>
      <c r="B975" s="1249" t="s">
        <v>642</v>
      </c>
      <c r="C975" s="1329" t="s">
        <v>2568</v>
      </c>
      <c r="D975" s="1326" t="s">
        <v>227</v>
      </c>
      <c r="E975" s="1249" t="s">
        <v>1495</v>
      </c>
      <c r="F975" s="455" t="s">
        <v>1496</v>
      </c>
      <c r="G975" s="456" t="s">
        <v>156</v>
      </c>
      <c r="H975" s="889">
        <v>14</v>
      </c>
      <c r="I975" s="891">
        <v>26.5</v>
      </c>
      <c r="J975" s="601">
        <v>221.01400000000001</v>
      </c>
      <c r="K975" s="602">
        <v>0.26829268292682928</v>
      </c>
      <c r="L975" s="981">
        <v>3</v>
      </c>
      <c r="M975" s="1249" t="s">
        <v>322</v>
      </c>
      <c r="N975" s="604" t="s">
        <v>227</v>
      </c>
      <c r="O975" s="465"/>
      <c r="P975" s="435">
        <v>34.298999999999999</v>
      </c>
      <c r="Q975" s="435">
        <v>3</v>
      </c>
      <c r="R975" s="401">
        <v>2</v>
      </c>
      <c r="S975" s="466">
        <v>0.66666666666666663</v>
      </c>
      <c r="U975" s="1248">
        <f t="shared" si="16"/>
        <v>0</v>
      </c>
      <c r="V975" s="1304">
        <f t="shared" si="17"/>
        <v>1</v>
      </c>
    </row>
    <row r="976" spans="1:22" ht="16.5" thickTop="1" thickBot="1">
      <c r="A976" s="1244"/>
      <c r="B976" s="1245" t="s">
        <v>642</v>
      </c>
      <c r="C976" s="1328" t="s">
        <v>2568</v>
      </c>
      <c r="D976" s="1327" t="s">
        <v>227</v>
      </c>
      <c r="E976" s="1245" t="s">
        <v>2568</v>
      </c>
      <c r="F976" s="457" t="s">
        <v>2570</v>
      </c>
      <c r="G976" s="458" t="s">
        <v>158</v>
      </c>
      <c r="H976" s="888">
        <v>5</v>
      </c>
      <c r="I976" s="890">
        <v>92.113</v>
      </c>
      <c r="J976" s="899">
        <v>432.69400000000002</v>
      </c>
      <c r="K976" s="603">
        <v>0.25</v>
      </c>
      <c r="L976" s="980">
        <v>15</v>
      </c>
      <c r="M976" s="1245" t="s">
        <v>323</v>
      </c>
      <c r="N976" s="604" t="s">
        <v>227</v>
      </c>
      <c r="O976" s="463">
        <v>1</v>
      </c>
      <c r="P976" s="434">
        <v>99.912999999999997</v>
      </c>
      <c r="Q976" s="434">
        <v>6</v>
      </c>
      <c r="R976" s="400">
        <v>5</v>
      </c>
      <c r="S976" s="464">
        <v>0.32258064516129031</v>
      </c>
      <c r="U976" s="1248">
        <f t="shared" si="16"/>
        <v>0</v>
      </c>
      <c r="V976" s="1304">
        <f t="shared" si="17"/>
        <v>1</v>
      </c>
    </row>
    <row r="977" spans="1:22" ht="16.5" thickTop="1" thickBot="1">
      <c r="A977" s="1244"/>
      <c r="B977" s="1249" t="s">
        <v>642</v>
      </c>
      <c r="C977" s="1329" t="s">
        <v>2568</v>
      </c>
      <c r="D977" s="1326" t="s">
        <v>227</v>
      </c>
      <c r="E977" s="1249" t="s">
        <v>3875</v>
      </c>
      <c r="F977" s="455" t="s">
        <v>3876</v>
      </c>
      <c r="G977" s="456" t="s">
        <v>155</v>
      </c>
      <c r="H977" s="889"/>
      <c r="I977" s="891"/>
      <c r="J977" s="601"/>
      <c r="K977" s="602">
        <v>0</v>
      </c>
      <c r="L977" s="981">
        <v>2</v>
      </c>
      <c r="M977" s="1249" t="s">
        <v>366</v>
      </c>
      <c r="N977" s="604" t="s">
        <v>227</v>
      </c>
      <c r="O977" s="465"/>
      <c r="P977" s="435"/>
      <c r="Q977" s="435"/>
      <c r="R977" s="401">
        <v>0</v>
      </c>
      <c r="S977" s="466">
        <v>0</v>
      </c>
      <c r="U977" s="1248">
        <f t="shared" si="16"/>
        <v>1</v>
      </c>
      <c r="V977" s="1304">
        <f t="shared" si="17"/>
        <v>0</v>
      </c>
    </row>
    <row r="978" spans="1:22" ht="16.5" thickTop="1" thickBot="1">
      <c r="A978" s="1244"/>
      <c r="B978" s="1245" t="s">
        <v>91</v>
      </c>
      <c r="C978" s="1328" t="s">
        <v>227</v>
      </c>
      <c r="D978" s="1327" t="s">
        <v>227</v>
      </c>
      <c r="E978" s="1245" t="s">
        <v>114</v>
      </c>
      <c r="F978" s="457" t="s">
        <v>324</v>
      </c>
      <c r="G978" s="458" t="s">
        <v>157</v>
      </c>
      <c r="H978" s="888">
        <v>43</v>
      </c>
      <c r="I978" s="890">
        <v>104.758</v>
      </c>
      <c r="J978" s="899">
        <v>104.758</v>
      </c>
      <c r="K978" s="603">
        <v>0.17142857142857143</v>
      </c>
      <c r="L978" s="980">
        <v>1</v>
      </c>
      <c r="M978" s="1245" t="s">
        <v>366</v>
      </c>
      <c r="N978" s="604" t="s">
        <v>227</v>
      </c>
      <c r="O978" s="463"/>
      <c r="P978" s="434">
        <v>0</v>
      </c>
      <c r="Q978" s="434"/>
      <c r="R978" s="400">
        <v>0</v>
      </c>
      <c r="S978" s="464">
        <v>0</v>
      </c>
      <c r="U978" s="1248">
        <f t="shared" si="16"/>
        <v>1</v>
      </c>
      <c r="V978" s="1304">
        <f t="shared" si="17"/>
        <v>1</v>
      </c>
    </row>
    <row r="979" spans="1:22" ht="16.5" thickTop="1" thickBot="1">
      <c r="A979" s="1244"/>
      <c r="B979" s="1249" t="s">
        <v>91</v>
      </c>
      <c r="C979" s="1329" t="s">
        <v>227</v>
      </c>
      <c r="D979" s="1326" t="s">
        <v>227</v>
      </c>
      <c r="E979" s="1249" t="s">
        <v>1923</v>
      </c>
      <c r="F979" s="455" t="s">
        <v>1924</v>
      </c>
      <c r="G979" s="456" t="s">
        <v>156</v>
      </c>
      <c r="H979" s="889">
        <v>39</v>
      </c>
      <c r="I979" s="891">
        <v>44.057000000000002</v>
      </c>
      <c r="J979" s="601">
        <v>1030.223</v>
      </c>
      <c r="K979" s="602">
        <v>0.46728971962616822</v>
      </c>
      <c r="L979" s="981">
        <v>4</v>
      </c>
      <c r="M979" s="1249" t="s">
        <v>366</v>
      </c>
      <c r="N979" s="604" t="s">
        <v>227</v>
      </c>
      <c r="O979" s="465"/>
      <c r="P979" s="435">
        <v>58.997999999999998</v>
      </c>
      <c r="Q979" s="435">
        <v>3</v>
      </c>
      <c r="R979" s="401">
        <v>2</v>
      </c>
      <c r="S979" s="466">
        <v>0.5</v>
      </c>
      <c r="U979" s="1248">
        <f t="shared" si="16"/>
        <v>1</v>
      </c>
      <c r="V979" s="1304">
        <f t="shared" si="17"/>
        <v>1</v>
      </c>
    </row>
    <row r="980" spans="1:22" ht="16.5" thickTop="1" thickBot="1">
      <c r="A980" s="1244"/>
      <c r="B980" s="1245" t="s">
        <v>91</v>
      </c>
      <c r="C980" s="1328" t="s">
        <v>227</v>
      </c>
      <c r="D980" s="1327" t="s">
        <v>227</v>
      </c>
      <c r="E980" s="1245" t="s">
        <v>446</v>
      </c>
      <c r="F980" s="457" t="s">
        <v>448</v>
      </c>
      <c r="G980" s="458" t="s">
        <v>157</v>
      </c>
      <c r="H980" s="888">
        <v>34</v>
      </c>
      <c r="I980" s="890">
        <v>199.27799999999999</v>
      </c>
      <c r="J980" s="899">
        <v>328.15699999999998</v>
      </c>
      <c r="K980" s="603">
        <v>0.34782608695652173</v>
      </c>
      <c r="L980" s="980">
        <v>3</v>
      </c>
      <c r="M980" s="1245" t="s">
        <v>366</v>
      </c>
      <c r="N980" s="604" t="s">
        <v>227</v>
      </c>
      <c r="O980" s="463"/>
      <c r="P980" s="434">
        <v>153.06100000000001</v>
      </c>
      <c r="Q980" s="434">
        <v>6</v>
      </c>
      <c r="R980" s="400">
        <v>2</v>
      </c>
      <c r="S980" s="464">
        <v>0.66666666666666663</v>
      </c>
      <c r="U980" s="1248">
        <f t="shared" si="16"/>
        <v>1</v>
      </c>
      <c r="V980" s="1304">
        <f t="shared" si="17"/>
        <v>1</v>
      </c>
    </row>
    <row r="981" spans="1:22" ht="16.5" thickTop="1" thickBot="1">
      <c r="A981" s="1244"/>
      <c r="B981" s="1249" t="s">
        <v>91</v>
      </c>
      <c r="C981" s="1329" t="s">
        <v>227</v>
      </c>
      <c r="D981" s="1326" t="s">
        <v>227</v>
      </c>
      <c r="E981" s="1249" t="s">
        <v>468</v>
      </c>
      <c r="F981" s="455" t="s">
        <v>470</v>
      </c>
      <c r="G981" s="456" t="s">
        <v>156</v>
      </c>
      <c r="H981" s="889">
        <v>32</v>
      </c>
      <c r="I981" s="891">
        <v>92.789000000000001</v>
      </c>
      <c r="J981" s="601">
        <v>126.258</v>
      </c>
      <c r="K981" s="602">
        <v>0.18181818181818182</v>
      </c>
      <c r="L981" s="981">
        <v>2</v>
      </c>
      <c r="M981" s="1249" t="s">
        <v>366</v>
      </c>
      <c r="N981" s="604" t="s">
        <v>227</v>
      </c>
      <c r="O981" s="465"/>
      <c r="P981" s="435">
        <v>0</v>
      </c>
      <c r="Q981" s="435"/>
      <c r="R981" s="401">
        <v>0</v>
      </c>
      <c r="S981" s="466">
        <v>0</v>
      </c>
      <c r="U981" s="1248">
        <f t="shared" si="16"/>
        <v>1</v>
      </c>
      <c r="V981" s="1304">
        <f t="shared" si="17"/>
        <v>1</v>
      </c>
    </row>
    <row r="982" spans="1:22" ht="16.5" thickTop="1" thickBot="1">
      <c r="A982" s="1244"/>
      <c r="B982" s="1245" t="s">
        <v>91</v>
      </c>
      <c r="C982" s="1328" t="s">
        <v>227</v>
      </c>
      <c r="D982" s="1327" t="s">
        <v>227</v>
      </c>
      <c r="E982" s="1245" t="s">
        <v>679</v>
      </c>
      <c r="F982" s="457" t="s">
        <v>681</v>
      </c>
      <c r="G982" s="458" t="s">
        <v>157</v>
      </c>
      <c r="H982" s="888">
        <v>27</v>
      </c>
      <c r="I982" s="890">
        <v>42.387999999999998</v>
      </c>
      <c r="J982" s="899">
        <v>42.387999999999998</v>
      </c>
      <c r="K982" s="603">
        <v>8.3333333333333329E-2</v>
      </c>
      <c r="L982" s="980">
        <v>1</v>
      </c>
      <c r="M982" s="1245" t="s">
        <v>366</v>
      </c>
      <c r="N982" s="604" t="s">
        <v>227</v>
      </c>
      <c r="O982" s="463"/>
      <c r="P982" s="434">
        <v>0</v>
      </c>
      <c r="Q982" s="434"/>
      <c r="R982" s="400">
        <v>0</v>
      </c>
      <c r="S982" s="464">
        <v>0</v>
      </c>
      <c r="U982" s="1248">
        <f t="shared" si="16"/>
        <v>1</v>
      </c>
      <c r="V982" s="1304">
        <f t="shared" si="17"/>
        <v>1</v>
      </c>
    </row>
    <row r="983" spans="1:22" ht="16.5" thickTop="1" thickBot="1">
      <c r="A983" s="1244"/>
      <c r="B983" s="1249" t="s">
        <v>91</v>
      </c>
      <c r="C983" s="1329" t="s">
        <v>227</v>
      </c>
      <c r="D983" s="1326" t="s">
        <v>227</v>
      </c>
      <c r="E983" s="1249" t="s">
        <v>843</v>
      </c>
      <c r="F983" s="455" t="s">
        <v>844</v>
      </c>
      <c r="G983" s="456" t="s">
        <v>157</v>
      </c>
      <c r="H983" s="889">
        <v>23</v>
      </c>
      <c r="I983" s="891">
        <v>100.098</v>
      </c>
      <c r="J983" s="601">
        <v>1318.182</v>
      </c>
      <c r="K983" s="602">
        <v>0.58823529411764708</v>
      </c>
      <c r="L983" s="981">
        <v>6</v>
      </c>
      <c r="M983" s="1249" t="s">
        <v>323</v>
      </c>
      <c r="N983" s="604" t="s">
        <v>227</v>
      </c>
      <c r="O983" s="465">
        <v>1</v>
      </c>
      <c r="P983" s="435">
        <v>179.167</v>
      </c>
      <c r="Q983" s="435">
        <v>10</v>
      </c>
      <c r="R983" s="401">
        <v>4</v>
      </c>
      <c r="S983" s="466">
        <v>0.72727272727272729</v>
      </c>
      <c r="U983" s="1248">
        <f t="shared" si="16"/>
        <v>0</v>
      </c>
      <c r="V983" s="1304">
        <f t="shared" si="17"/>
        <v>1</v>
      </c>
    </row>
    <row r="984" spans="1:22" ht="16.5" thickTop="1" thickBot="1">
      <c r="A984" s="1244"/>
      <c r="B984" s="1245" t="s">
        <v>91</v>
      </c>
      <c r="C984" s="1328" t="s">
        <v>227</v>
      </c>
      <c r="D984" s="1327" t="s">
        <v>227</v>
      </c>
      <c r="E984" s="1245" t="s">
        <v>851</v>
      </c>
      <c r="F984" s="457" t="s">
        <v>852</v>
      </c>
      <c r="G984" s="458" t="s">
        <v>157</v>
      </c>
      <c r="H984" s="888">
        <v>22</v>
      </c>
      <c r="I984" s="890">
        <v>33.533999999999999</v>
      </c>
      <c r="J984" s="899">
        <v>298.755</v>
      </c>
      <c r="K984" s="603">
        <v>0.36363636363636365</v>
      </c>
      <c r="L984" s="980">
        <v>2</v>
      </c>
      <c r="M984" s="1245" t="s">
        <v>322</v>
      </c>
      <c r="N984" s="604" t="s">
        <v>227</v>
      </c>
      <c r="O984" s="463"/>
      <c r="P984" s="434">
        <v>7.4</v>
      </c>
      <c r="Q984" s="434">
        <v>1</v>
      </c>
      <c r="R984" s="400">
        <v>1</v>
      </c>
      <c r="S984" s="464">
        <v>0.5</v>
      </c>
      <c r="U984" s="1248">
        <f t="shared" si="16"/>
        <v>0</v>
      </c>
      <c r="V984" s="1304">
        <f t="shared" si="17"/>
        <v>1</v>
      </c>
    </row>
    <row r="985" spans="1:22" ht="16.5" thickTop="1" thickBot="1">
      <c r="A985" s="1244"/>
      <c r="B985" s="1249" t="s">
        <v>91</v>
      </c>
      <c r="C985" s="1329" t="s">
        <v>227</v>
      </c>
      <c r="D985" s="1326" t="s">
        <v>227</v>
      </c>
      <c r="E985" s="1249" t="s">
        <v>888</v>
      </c>
      <c r="F985" s="455" t="s">
        <v>561</v>
      </c>
      <c r="G985" s="456" t="s">
        <v>157</v>
      </c>
      <c r="H985" s="889">
        <v>21</v>
      </c>
      <c r="I985" s="891">
        <v>42.536999999999999</v>
      </c>
      <c r="J985" s="601">
        <v>314.86</v>
      </c>
      <c r="K985" s="602">
        <v>0.29473684210526313</v>
      </c>
      <c r="L985" s="981">
        <v>4</v>
      </c>
      <c r="M985" s="1249" t="s">
        <v>321</v>
      </c>
      <c r="N985" s="604" t="s">
        <v>227</v>
      </c>
      <c r="O985" s="465"/>
      <c r="P985" s="435"/>
      <c r="Q985" s="435"/>
      <c r="R985" s="401">
        <v>0</v>
      </c>
      <c r="S985" s="466">
        <v>0</v>
      </c>
      <c r="U985" s="1248">
        <f t="shared" si="16"/>
        <v>0</v>
      </c>
      <c r="V985" s="1304">
        <f t="shared" si="17"/>
        <v>1</v>
      </c>
    </row>
    <row r="986" spans="1:22" ht="16.5" thickTop="1" thickBot="1">
      <c r="A986" s="1244"/>
      <c r="B986" s="1245" t="s">
        <v>91</v>
      </c>
      <c r="C986" s="1328" t="s">
        <v>227</v>
      </c>
      <c r="D986" s="1327" t="s">
        <v>227</v>
      </c>
      <c r="E986" s="1245" t="s">
        <v>1022</v>
      </c>
      <c r="F986" s="457" t="s">
        <v>1024</v>
      </c>
      <c r="G986" s="458" t="s">
        <v>157</v>
      </c>
      <c r="H986" s="888">
        <v>18</v>
      </c>
      <c r="I986" s="890">
        <v>98.186999999999998</v>
      </c>
      <c r="J986" s="899">
        <v>104.645</v>
      </c>
      <c r="K986" s="603">
        <v>0.17142857142857143</v>
      </c>
      <c r="L986" s="980">
        <v>2</v>
      </c>
      <c r="M986" s="1245" t="s">
        <v>366</v>
      </c>
      <c r="N986" s="604" t="s">
        <v>227</v>
      </c>
      <c r="O986" s="463"/>
      <c r="P986" s="434">
        <v>0</v>
      </c>
      <c r="Q986" s="434"/>
      <c r="R986" s="400">
        <v>0</v>
      </c>
      <c r="S986" s="464">
        <v>0</v>
      </c>
      <c r="U986" s="1248">
        <f t="shared" si="16"/>
        <v>1</v>
      </c>
      <c r="V986" s="1304">
        <f t="shared" si="17"/>
        <v>1</v>
      </c>
    </row>
    <row r="987" spans="1:22" ht="16.5" thickTop="1" thickBot="1">
      <c r="A987" s="1244"/>
      <c r="B987" s="1249" t="s">
        <v>91</v>
      </c>
      <c r="C987" s="1329" t="s">
        <v>227</v>
      </c>
      <c r="D987" s="1326" t="s">
        <v>227</v>
      </c>
      <c r="E987" s="1249" t="s">
        <v>2004</v>
      </c>
      <c r="F987" s="455" t="s">
        <v>2005</v>
      </c>
      <c r="G987" s="456" t="s">
        <v>156</v>
      </c>
      <c r="H987" s="889">
        <v>10</v>
      </c>
      <c r="I987" s="891">
        <v>197.773</v>
      </c>
      <c r="J987" s="601">
        <v>378.649</v>
      </c>
      <c r="K987" s="602">
        <v>0.35714285714285715</v>
      </c>
      <c r="L987" s="981">
        <v>6</v>
      </c>
      <c r="M987" s="1249" t="s">
        <v>323</v>
      </c>
      <c r="N987" s="604" t="s">
        <v>227</v>
      </c>
      <c r="O987" s="465"/>
      <c r="P987" s="435">
        <v>41.423000000000002</v>
      </c>
      <c r="Q987" s="435">
        <v>2</v>
      </c>
      <c r="R987" s="401">
        <v>2</v>
      </c>
      <c r="S987" s="466">
        <v>0.33333333333333331</v>
      </c>
      <c r="U987" s="1248">
        <f t="shared" si="16"/>
        <v>0</v>
      </c>
      <c r="V987" s="1304">
        <f t="shared" si="17"/>
        <v>1</v>
      </c>
    </row>
    <row r="988" spans="1:22" ht="16.5" thickTop="1" thickBot="1">
      <c r="A988" s="1244"/>
      <c r="B988" s="1245" t="s">
        <v>91</v>
      </c>
      <c r="C988" s="1328" t="s">
        <v>227</v>
      </c>
      <c r="D988" s="1327" t="s">
        <v>227</v>
      </c>
      <c r="E988" s="1245" t="s">
        <v>2006</v>
      </c>
      <c r="F988" s="457" t="s">
        <v>2007</v>
      </c>
      <c r="G988" s="458" t="s">
        <v>156</v>
      </c>
      <c r="H988" s="888">
        <v>10</v>
      </c>
      <c r="I988" s="890">
        <v>401.11599999999999</v>
      </c>
      <c r="J988" s="899">
        <v>601.87699999999995</v>
      </c>
      <c r="K988" s="603">
        <v>0.20472440944881889</v>
      </c>
      <c r="L988" s="980">
        <v>7</v>
      </c>
      <c r="M988" s="1245" t="s">
        <v>323</v>
      </c>
      <c r="N988" s="604" t="s">
        <v>227</v>
      </c>
      <c r="O988" s="463"/>
      <c r="P988" s="434">
        <v>11.656000000000001</v>
      </c>
      <c r="Q988" s="434">
        <v>1</v>
      </c>
      <c r="R988" s="400">
        <v>1</v>
      </c>
      <c r="S988" s="464">
        <v>0.14285714285714285</v>
      </c>
      <c r="U988" s="1248">
        <f t="shared" si="16"/>
        <v>0</v>
      </c>
      <c r="V988" s="1304">
        <f t="shared" si="17"/>
        <v>1</v>
      </c>
    </row>
    <row r="989" spans="1:22" ht="16.5" thickTop="1" thickBot="1">
      <c r="A989" s="1244"/>
      <c r="B989" s="1249" t="s">
        <v>91</v>
      </c>
      <c r="C989" s="1329" t="s">
        <v>227</v>
      </c>
      <c r="D989" s="1326" t="s">
        <v>227</v>
      </c>
      <c r="E989" s="1249" t="s">
        <v>2274</v>
      </c>
      <c r="F989" s="455" t="s">
        <v>2275</v>
      </c>
      <c r="G989" s="456" t="s">
        <v>156</v>
      </c>
      <c r="H989" s="889">
        <v>8</v>
      </c>
      <c r="I989" s="891">
        <v>114.05</v>
      </c>
      <c r="J989" s="601">
        <v>208.79900000000001</v>
      </c>
      <c r="K989" s="602">
        <v>0.24657534246575341</v>
      </c>
      <c r="L989" s="981">
        <v>5</v>
      </c>
      <c r="M989" s="1249" t="s">
        <v>321</v>
      </c>
      <c r="N989" s="604" t="s">
        <v>227</v>
      </c>
      <c r="O989" s="465"/>
      <c r="P989" s="435">
        <v>22.175999999999998</v>
      </c>
      <c r="Q989" s="435">
        <v>1</v>
      </c>
      <c r="R989" s="401">
        <v>1</v>
      </c>
      <c r="S989" s="466">
        <v>0.2</v>
      </c>
      <c r="U989" s="1248">
        <f t="shared" si="16"/>
        <v>0</v>
      </c>
      <c r="V989" s="1304">
        <f t="shared" si="17"/>
        <v>1</v>
      </c>
    </row>
    <row r="990" spans="1:22" ht="16.5" thickTop="1" thickBot="1">
      <c r="A990" s="1244"/>
      <c r="B990" s="1245" t="s">
        <v>91</v>
      </c>
      <c r="C990" s="1328" t="s">
        <v>227</v>
      </c>
      <c r="D990" s="1327" t="s">
        <v>227</v>
      </c>
      <c r="E990" s="1245" t="s">
        <v>2504</v>
      </c>
      <c r="F990" s="457" t="s">
        <v>2505</v>
      </c>
      <c r="G990" s="458" t="s">
        <v>155</v>
      </c>
      <c r="H990" s="888"/>
      <c r="I990" s="890"/>
      <c r="J990" s="899">
        <v>60.03</v>
      </c>
      <c r="K990" s="603">
        <v>5.4054054054054057E-2</v>
      </c>
      <c r="L990" s="980">
        <v>3</v>
      </c>
      <c r="M990" s="1245" t="s">
        <v>366</v>
      </c>
      <c r="N990" s="604" t="s">
        <v>227</v>
      </c>
      <c r="O990" s="463"/>
      <c r="P990" s="434"/>
      <c r="Q990" s="434"/>
      <c r="R990" s="400">
        <v>0</v>
      </c>
      <c r="S990" s="464">
        <v>0</v>
      </c>
      <c r="U990" s="1248">
        <f t="shared" si="16"/>
        <v>1</v>
      </c>
      <c r="V990" s="1304">
        <f t="shared" si="17"/>
        <v>0</v>
      </c>
    </row>
    <row r="991" spans="1:22" ht="16.5" thickTop="1" thickBot="1">
      <c r="A991" s="1244"/>
      <c r="B991" s="1249" t="s">
        <v>91</v>
      </c>
      <c r="C991" s="1329" t="s">
        <v>227</v>
      </c>
      <c r="D991" s="1326" t="s">
        <v>227</v>
      </c>
      <c r="E991" s="1249" t="s">
        <v>2603</v>
      </c>
      <c r="F991" s="455" t="s">
        <v>2604</v>
      </c>
      <c r="G991" s="456" t="s">
        <v>155</v>
      </c>
      <c r="H991" s="889"/>
      <c r="I991" s="891"/>
      <c r="J991" s="601">
        <v>114.751</v>
      </c>
      <c r="K991" s="602">
        <v>0.34285714285714286</v>
      </c>
      <c r="L991" s="981">
        <v>3</v>
      </c>
      <c r="M991" s="1249" t="s">
        <v>366</v>
      </c>
      <c r="N991" s="604" t="s">
        <v>227</v>
      </c>
      <c r="O991" s="465"/>
      <c r="P991" s="435">
        <v>7.3280000000000003</v>
      </c>
      <c r="Q991" s="435">
        <v>1</v>
      </c>
      <c r="R991" s="401">
        <v>1</v>
      </c>
      <c r="S991" s="466">
        <v>0.33333333333333331</v>
      </c>
      <c r="U991" s="1248">
        <f t="shared" si="16"/>
        <v>1</v>
      </c>
      <c r="V991" s="1304">
        <f t="shared" si="17"/>
        <v>0</v>
      </c>
    </row>
    <row r="992" spans="1:22" ht="16.5" thickTop="1" thickBot="1">
      <c r="A992" s="1244"/>
      <c r="B992" s="1245" t="s">
        <v>91</v>
      </c>
      <c r="C992" s="1328" t="s">
        <v>227</v>
      </c>
      <c r="D992" s="1327" t="s">
        <v>227</v>
      </c>
      <c r="E992" s="1245" t="s">
        <v>2605</v>
      </c>
      <c r="F992" s="457" t="s">
        <v>2606</v>
      </c>
      <c r="G992" s="458" t="s">
        <v>155</v>
      </c>
      <c r="H992" s="888"/>
      <c r="I992" s="890"/>
      <c r="J992" s="899">
        <v>27.556000000000001</v>
      </c>
      <c r="K992" s="603">
        <v>0.25</v>
      </c>
      <c r="L992" s="980"/>
      <c r="M992" s="1245" t="s">
        <v>366</v>
      </c>
      <c r="N992" s="604" t="s">
        <v>227</v>
      </c>
      <c r="O992" s="463"/>
      <c r="P992" s="434"/>
      <c r="Q992" s="434"/>
      <c r="R992" s="400">
        <v>0</v>
      </c>
      <c r="S992" s="464">
        <v>0</v>
      </c>
      <c r="U992" s="1248">
        <f t="shared" si="16"/>
        <v>1</v>
      </c>
      <c r="V992" s="1304">
        <f t="shared" si="17"/>
        <v>0</v>
      </c>
    </row>
    <row r="993" spans="1:22" ht="16.5" thickTop="1" thickBot="1">
      <c r="A993" s="1244"/>
      <c r="B993" s="1249" t="s">
        <v>91</v>
      </c>
      <c r="C993" s="1329" t="s">
        <v>227</v>
      </c>
      <c r="D993" s="1326" t="s">
        <v>227</v>
      </c>
      <c r="E993" s="1249" t="s">
        <v>2815</v>
      </c>
      <c r="F993" s="455" t="s">
        <v>2816</v>
      </c>
      <c r="G993" s="456" t="s">
        <v>156</v>
      </c>
      <c r="H993" s="889">
        <v>3</v>
      </c>
      <c r="I993" s="891">
        <v>145.874</v>
      </c>
      <c r="J993" s="601">
        <v>253.702</v>
      </c>
      <c r="K993" s="602">
        <v>0.39285714285714285</v>
      </c>
      <c r="L993" s="981">
        <v>13</v>
      </c>
      <c r="M993" s="1249" t="s">
        <v>323</v>
      </c>
      <c r="N993" s="604" t="s">
        <v>227</v>
      </c>
      <c r="O993" s="465">
        <v>3</v>
      </c>
      <c r="P993" s="435">
        <v>80.992999999999995</v>
      </c>
      <c r="Q993" s="435">
        <v>7</v>
      </c>
      <c r="R993" s="401">
        <v>4</v>
      </c>
      <c r="S993" s="466">
        <v>0.34782608695652173</v>
      </c>
      <c r="U993" s="1248">
        <f t="shared" si="16"/>
        <v>0</v>
      </c>
      <c r="V993" s="1304">
        <f t="shared" si="17"/>
        <v>1</v>
      </c>
    </row>
    <row r="994" spans="1:22" ht="16.5" thickTop="1" thickBot="1">
      <c r="A994" s="1244"/>
      <c r="B994" s="1245" t="s">
        <v>91</v>
      </c>
      <c r="C994" s="1328" t="s">
        <v>227</v>
      </c>
      <c r="D994" s="1327" t="s">
        <v>227</v>
      </c>
      <c r="E994" s="1245" t="s">
        <v>3027</v>
      </c>
      <c r="F994" s="457" t="s">
        <v>3028</v>
      </c>
      <c r="G994" s="458" t="s">
        <v>156</v>
      </c>
      <c r="H994" s="888">
        <v>3</v>
      </c>
      <c r="I994" s="890"/>
      <c r="J994" s="899">
        <v>21.042999999999999</v>
      </c>
      <c r="K994" s="603">
        <v>0.26666666666666666</v>
      </c>
      <c r="L994" s="980">
        <v>3</v>
      </c>
      <c r="M994" s="1245" t="s">
        <v>366</v>
      </c>
      <c r="N994" s="604" t="s">
        <v>227</v>
      </c>
      <c r="O994" s="463"/>
      <c r="P994" s="434"/>
      <c r="Q994" s="434"/>
      <c r="R994" s="400">
        <v>0</v>
      </c>
      <c r="S994" s="464">
        <v>0</v>
      </c>
      <c r="U994" s="1248">
        <f t="shared" si="16"/>
        <v>1</v>
      </c>
      <c r="V994" s="1304">
        <f t="shared" si="17"/>
        <v>1</v>
      </c>
    </row>
    <row r="995" spans="1:22" ht="16.5" thickTop="1" thickBot="1">
      <c r="A995" s="1244"/>
      <c r="B995" s="1249" t="s">
        <v>91</v>
      </c>
      <c r="C995" s="1329" t="s">
        <v>227</v>
      </c>
      <c r="D995" s="1326" t="s">
        <v>227</v>
      </c>
      <c r="E995" s="1249" t="s">
        <v>3029</v>
      </c>
      <c r="F995" s="455" t="s">
        <v>3030</v>
      </c>
      <c r="G995" s="456" t="s">
        <v>155</v>
      </c>
      <c r="H995" s="889"/>
      <c r="I995" s="891"/>
      <c r="J995" s="601"/>
      <c r="K995" s="602">
        <v>0.16666666666666666</v>
      </c>
      <c r="L995" s="981">
        <v>2</v>
      </c>
      <c r="M995" s="1249" t="s">
        <v>366</v>
      </c>
      <c r="N995" s="604" t="s">
        <v>227</v>
      </c>
      <c r="O995" s="465"/>
      <c r="P995" s="435"/>
      <c r="Q995" s="435"/>
      <c r="R995" s="401">
        <v>0</v>
      </c>
      <c r="S995" s="466">
        <v>0</v>
      </c>
      <c r="U995" s="1248">
        <f t="shared" si="16"/>
        <v>1</v>
      </c>
      <c r="V995" s="1304">
        <f t="shared" si="17"/>
        <v>0</v>
      </c>
    </row>
    <row r="996" spans="1:22" ht="16.5" thickTop="1" thickBot="1">
      <c r="A996" s="1244"/>
      <c r="B996" s="1245" t="s">
        <v>91</v>
      </c>
      <c r="C996" s="1328" t="s">
        <v>227</v>
      </c>
      <c r="D996" s="1327" t="s">
        <v>227</v>
      </c>
      <c r="E996" s="1245" t="s">
        <v>3340</v>
      </c>
      <c r="F996" s="457" t="s">
        <v>3341</v>
      </c>
      <c r="G996" s="458" t="s">
        <v>155</v>
      </c>
      <c r="H996" s="888"/>
      <c r="I996" s="890"/>
      <c r="J996" s="899">
        <v>21.096</v>
      </c>
      <c r="K996" s="603">
        <v>0.1</v>
      </c>
      <c r="L996" s="980">
        <v>5</v>
      </c>
      <c r="M996" s="1245" t="s">
        <v>366</v>
      </c>
      <c r="N996" s="604" t="s">
        <v>227</v>
      </c>
      <c r="O996" s="463"/>
      <c r="P996" s="434">
        <v>21.096</v>
      </c>
      <c r="Q996" s="434">
        <v>1</v>
      </c>
      <c r="R996" s="400">
        <v>1</v>
      </c>
      <c r="S996" s="464">
        <v>0.2</v>
      </c>
      <c r="U996" s="1248">
        <f t="shared" si="16"/>
        <v>1</v>
      </c>
      <c r="V996" s="1304">
        <f t="shared" si="17"/>
        <v>0</v>
      </c>
    </row>
    <row r="997" spans="1:22" ht="16.5" thickTop="1" thickBot="1">
      <c r="A997" s="1244"/>
      <c r="B997" s="1249" t="s">
        <v>91</v>
      </c>
      <c r="C997" s="1329" t="s">
        <v>272</v>
      </c>
      <c r="D997" s="1326" t="s">
        <v>227</v>
      </c>
      <c r="E997" s="1249" t="s">
        <v>272</v>
      </c>
      <c r="F997" s="455" t="s">
        <v>273</v>
      </c>
      <c r="G997" s="456" t="s">
        <v>739</v>
      </c>
      <c r="H997" s="889">
        <v>37</v>
      </c>
      <c r="I997" s="891">
        <v>0</v>
      </c>
      <c r="J997" s="601">
        <v>5.8239999999999998</v>
      </c>
      <c r="K997" s="602">
        <v>0</v>
      </c>
      <c r="L997" s="981">
        <v>1</v>
      </c>
      <c r="M997" s="1249" t="s">
        <v>366</v>
      </c>
      <c r="N997" s="604" t="s">
        <v>227</v>
      </c>
      <c r="O997" s="465"/>
      <c r="P997" s="435"/>
      <c r="Q997" s="435"/>
      <c r="R997" s="401">
        <v>0</v>
      </c>
      <c r="S997" s="466">
        <v>0</v>
      </c>
      <c r="U997" s="1248">
        <f t="shared" si="16"/>
        <v>1</v>
      </c>
      <c r="V997" s="1304">
        <f t="shared" si="17"/>
        <v>1</v>
      </c>
    </row>
    <row r="998" spans="1:22" ht="16.5" thickTop="1" thickBot="1">
      <c r="A998" s="1244"/>
      <c r="B998" s="1245" t="s">
        <v>91</v>
      </c>
      <c r="C998" s="1328" t="s">
        <v>272</v>
      </c>
      <c r="D998" s="1327" t="s">
        <v>227</v>
      </c>
      <c r="E998" s="1245" t="s">
        <v>316</v>
      </c>
      <c r="F998" s="457" t="s">
        <v>318</v>
      </c>
      <c r="G998" s="458" t="s">
        <v>157</v>
      </c>
      <c r="H998" s="888">
        <v>36</v>
      </c>
      <c r="I998" s="890">
        <v>54.542000000000002</v>
      </c>
      <c r="J998" s="899">
        <v>125.77200000000001</v>
      </c>
      <c r="K998" s="603">
        <v>0.13207547169811321</v>
      </c>
      <c r="L998" s="980">
        <v>4</v>
      </c>
      <c r="M998" s="1245" t="s">
        <v>366</v>
      </c>
      <c r="N998" s="604" t="s">
        <v>227</v>
      </c>
      <c r="O998" s="463"/>
      <c r="P998" s="434">
        <v>0</v>
      </c>
      <c r="Q998" s="434"/>
      <c r="R998" s="400">
        <v>0</v>
      </c>
      <c r="S998" s="464">
        <v>0</v>
      </c>
      <c r="U998" s="1248">
        <f t="shared" si="16"/>
        <v>1</v>
      </c>
      <c r="V998" s="1304">
        <f t="shared" si="17"/>
        <v>1</v>
      </c>
    </row>
    <row r="999" spans="1:22" ht="16.5" thickTop="1" thickBot="1">
      <c r="A999" s="1244"/>
      <c r="B999" s="1249" t="s">
        <v>91</v>
      </c>
      <c r="C999" s="1329" t="s">
        <v>272</v>
      </c>
      <c r="D999" s="1326" t="s">
        <v>227</v>
      </c>
      <c r="E999" s="1249" t="s">
        <v>362</v>
      </c>
      <c r="F999" s="455" t="s">
        <v>363</v>
      </c>
      <c r="G999" s="456" t="s">
        <v>156</v>
      </c>
      <c r="H999" s="889">
        <v>34</v>
      </c>
      <c r="I999" s="891">
        <v>55.954000000000001</v>
      </c>
      <c r="J999" s="601">
        <v>765.11699999999996</v>
      </c>
      <c r="K999" s="602">
        <v>0.26484018264840181</v>
      </c>
      <c r="L999" s="981">
        <v>7</v>
      </c>
      <c r="M999" s="1249" t="s">
        <v>366</v>
      </c>
      <c r="N999" s="604" t="s">
        <v>227</v>
      </c>
      <c r="O999" s="465"/>
      <c r="P999" s="435">
        <v>0</v>
      </c>
      <c r="Q999" s="435"/>
      <c r="R999" s="401">
        <v>0</v>
      </c>
      <c r="S999" s="466">
        <v>0</v>
      </c>
      <c r="U999" s="1248">
        <f t="shared" si="16"/>
        <v>1</v>
      </c>
      <c r="V999" s="1304">
        <f t="shared" si="17"/>
        <v>1</v>
      </c>
    </row>
    <row r="1000" spans="1:22" ht="16.5" thickTop="1" thickBot="1">
      <c r="A1000" s="1244"/>
      <c r="B1000" s="1245" t="s">
        <v>91</v>
      </c>
      <c r="C1000" s="1328" t="s">
        <v>272</v>
      </c>
      <c r="D1000" s="1327" t="s">
        <v>227</v>
      </c>
      <c r="E1000" s="1245" t="s">
        <v>467</v>
      </c>
      <c r="F1000" s="457" t="s">
        <v>469</v>
      </c>
      <c r="G1000" s="458" t="s">
        <v>157</v>
      </c>
      <c r="H1000" s="888">
        <v>31</v>
      </c>
      <c r="I1000" s="890">
        <v>122.45699999999999</v>
      </c>
      <c r="J1000" s="899">
        <v>158.91800000000001</v>
      </c>
      <c r="K1000" s="603">
        <v>0.20779220779220781</v>
      </c>
      <c r="L1000" s="980">
        <v>4</v>
      </c>
      <c r="M1000" s="1245" t="s">
        <v>366</v>
      </c>
      <c r="N1000" s="604" t="s">
        <v>227</v>
      </c>
      <c r="O1000" s="463">
        <v>1</v>
      </c>
      <c r="P1000" s="434">
        <v>10.266999999999999</v>
      </c>
      <c r="Q1000" s="434">
        <v>1</v>
      </c>
      <c r="R1000" s="400">
        <v>1</v>
      </c>
      <c r="S1000" s="464">
        <v>0.2857142857142857</v>
      </c>
      <c r="U1000" s="1248">
        <f t="shared" ref="U1000:U1063" si="18">IF(M1000="U_200",1,0)</f>
        <v>1</v>
      </c>
      <c r="V1000" s="1304">
        <f t="shared" ref="V1000:V1063" si="19">IF(G1000&lt;&gt;"US",1,0)</f>
        <v>1</v>
      </c>
    </row>
    <row r="1001" spans="1:22" ht="16.5" thickTop="1" thickBot="1">
      <c r="A1001" s="1244"/>
      <c r="B1001" s="1249" t="s">
        <v>91</v>
      </c>
      <c r="C1001" s="1329" t="s">
        <v>272</v>
      </c>
      <c r="D1001" s="1326" t="s">
        <v>227</v>
      </c>
      <c r="E1001" s="1249" t="s">
        <v>489</v>
      </c>
      <c r="F1001" s="455" t="s">
        <v>328</v>
      </c>
      <c r="G1001" s="456" t="s">
        <v>157</v>
      </c>
      <c r="H1001" s="889">
        <v>31</v>
      </c>
      <c r="I1001" s="891">
        <v>52.317999999999998</v>
      </c>
      <c r="J1001" s="601">
        <v>52.317999999999998</v>
      </c>
      <c r="K1001" s="602">
        <v>0.14814814814814814</v>
      </c>
      <c r="L1001" s="981">
        <v>2</v>
      </c>
      <c r="M1001" s="1249" t="s">
        <v>366</v>
      </c>
      <c r="N1001" s="604" t="s">
        <v>227</v>
      </c>
      <c r="O1001" s="465"/>
      <c r="P1001" s="435"/>
      <c r="Q1001" s="435"/>
      <c r="R1001" s="401">
        <v>0</v>
      </c>
      <c r="S1001" s="466">
        <v>0</v>
      </c>
      <c r="U1001" s="1248">
        <f t="shared" si="18"/>
        <v>1</v>
      </c>
      <c r="V1001" s="1304">
        <f t="shared" si="19"/>
        <v>1</v>
      </c>
    </row>
    <row r="1002" spans="1:22" ht="16.5" thickTop="1" thickBot="1">
      <c r="A1002" s="1244"/>
      <c r="B1002" s="1245" t="s">
        <v>91</v>
      </c>
      <c r="C1002" s="1328" t="s">
        <v>272</v>
      </c>
      <c r="D1002" s="1327" t="s">
        <v>227</v>
      </c>
      <c r="E1002" s="1245" t="s">
        <v>638</v>
      </c>
      <c r="F1002" s="457" t="s">
        <v>634</v>
      </c>
      <c r="G1002" s="458" t="s">
        <v>157</v>
      </c>
      <c r="H1002" s="888">
        <v>28</v>
      </c>
      <c r="I1002" s="890">
        <v>87.727000000000004</v>
      </c>
      <c r="J1002" s="899">
        <v>112.425</v>
      </c>
      <c r="K1002" s="603">
        <v>0.20689655172413793</v>
      </c>
      <c r="L1002" s="980">
        <v>3</v>
      </c>
      <c r="M1002" s="1245" t="s">
        <v>366</v>
      </c>
      <c r="N1002" s="604" t="s">
        <v>227</v>
      </c>
      <c r="O1002" s="463">
        <v>1</v>
      </c>
      <c r="P1002" s="434">
        <v>25.893999999999998</v>
      </c>
      <c r="Q1002" s="434">
        <v>1</v>
      </c>
      <c r="R1002" s="400">
        <v>1</v>
      </c>
      <c r="S1002" s="464">
        <v>0.4</v>
      </c>
      <c r="U1002" s="1248">
        <f t="shared" si="18"/>
        <v>1</v>
      </c>
      <c r="V1002" s="1304">
        <f t="shared" si="19"/>
        <v>1</v>
      </c>
    </row>
    <row r="1003" spans="1:22" ht="16.5" thickTop="1" thickBot="1">
      <c r="A1003" s="1244"/>
      <c r="B1003" s="1249" t="s">
        <v>91</v>
      </c>
      <c r="C1003" s="1329" t="s">
        <v>272</v>
      </c>
      <c r="D1003" s="1326" t="s">
        <v>227</v>
      </c>
      <c r="E1003" s="1249" t="s">
        <v>817</v>
      </c>
      <c r="F1003" s="455" t="s">
        <v>818</v>
      </c>
      <c r="G1003" s="456" t="s">
        <v>156</v>
      </c>
      <c r="H1003" s="889">
        <v>24</v>
      </c>
      <c r="I1003" s="891">
        <v>76.194999999999993</v>
      </c>
      <c r="J1003" s="601">
        <v>109.11</v>
      </c>
      <c r="K1003" s="602">
        <v>0.44444444444444442</v>
      </c>
      <c r="L1003" s="981">
        <v>2</v>
      </c>
      <c r="M1003" s="1249" t="s">
        <v>366</v>
      </c>
      <c r="N1003" s="604" t="s">
        <v>227</v>
      </c>
      <c r="O1003" s="465">
        <v>1</v>
      </c>
      <c r="P1003" s="435">
        <v>62.213000000000001</v>
      </c>
      <c r="Q1003" s="435">
        <v>4</v>
      </c>
      <c r="R1003" s="401">
        <v>2</v>
      </c>
      <c r="S1003" s="466">
        <v>1.3333333333333333</v>
      </c>
      <c r="U1003" s="1248">
        <f t="shared" si="18"/>
        <v>1</v>
      </c>
      <c r="V1003" s="1304">
        <f t="shared" si="19"/>
        <v>1</v>
      </c>
    </row>
    <row r="1004" spans="1:22" ht="16.5" thickTop="1" thickBot="1">
      <c r="A1004" s="1244"/>
      <c r="B1004" s="1245" t="s">
        <v>91</v>
      </c>
      <c r="C1004" s="1328" t="s">
        <v>272</v>
      </c>
      <c r="D1004" s="1327" t="s">
        <v>227</v>
      </c>
      <c r="E1004" s="1245" t="s">
        <v>1067</v>
      </c>
      <c r="F1004" s="457" t="s">
        <v>1068</v>
      </c>
      <c r="G1004" s="458" t="s">
        <v>156</v>
      </c>
      <c r="H1004" s="888">
        <v>19</v>
      </c>
      <c r="I1004" s="890">
        <v>54.530999999999999</v>
      </c>
      <c r="J1004" s="899">
        <v>185.483</v>
      </c>
      <c r="K1004" s="603">
        <v>0.16822429906542055</v>
      </c>
      <c r="L1004" s="980">
        <v>3</v>
      </c>
      <c r="M1004" s="1245" t="s">
        <v>366</v>
      </c>
      <c r="N1004" s="604" t="s">
        <v>227</v>
      </c>
      <c r="O1004" s="463"/>
      <c r="P1004" s="434">
        <v>0</v>
      </c>
      <c r="Q1004" s="434"/>
      <c r="R1004" s="400">
        <v>0</v>
      </c>
      <c r="S1004" s="464">
        <v>0</v>
      </c>
      <c r="U1004" s="1248">
        <f t="shared" si="18"/>
        <v>1</v>
      </c>
      <c r="V1004" s="1304">
        <f t="shared" si="19"/>
        <v>1</v>
      </c>
    </row>
    <row r="1005" spans="1:22" ht="16.5" thickTop="1" thickBot="1">
      <c r="A1005" s="1244"/>
      <c r="B1005" s="1249" t="s">
        <v>91</v>
      </c>
      <c r="C1005" s="1329" t="s">
        <v>272</v>
      </c>
      <c r="D1005" s="1326" t="s">
        <v>227</v>
      </c>
      <c r="E1005" s="1249" t="s">
        <v>1726</v>
      </c>
      <c r="F1005" s="455" t="s">
        <v>1727</v>
      </c>
      <c r="G1005" s="456" t="s">
        <v>155</v>
      </c>
      <c r="H1005" s="889"/>
      <c r="I1005" s="891"/>
      <c r="J1005" s="601">
        <v>107.515</v>
      </c>
      <c r="K1005" s="602">
        <v>0.19047619047619047</v>
      </c>
      <c r="L1005" s="981"/>
      <c r="M1005" s="1249" t="s">
        <v>366</v>
      </c>
      <c r="N1005" s="604" t="s">
        <v>227</v>
      </c>
      <c r="O1005" s="465"/>
      <c r="P1005" s="435"/>
      <c r="Q1005" s="435"/>
      <c r="R1005" s="401">
        <v>0</v>
      </c>
      <c r="S1005" s="466">
        <v>0</v>
      </c>
      <c r="U1005" s="1248">
        <f t="shared" si="18"/>
        <v>1</v>
      </c>
      <c r="V1005" s="1304">
        <f t="shared" si="19"/>
        <v>0</v>
      </c>
    </row>
    <row r="1006" spans="1:22" ht="16.5" thickTop="1" thickBot="1">
      <c r="A1006" s="1244"/>
      <c r="B1006" s="1245" t="s">
        <v>91</v>
      </c>
      <c r="C1006" s="1328" t="s">
        <v>487</v>
      </c>
      <c r="D1006" s="1327" t="s">
        <v>227</v>
      </c>
      <c r="E1006" s="1245" t="s">
        <v>220</v>
      </c>
      <c r="F1006" s="457" t="s">
        <v>221</v>
      </c>
      <c r="G1006" s="458" t="s">
        <v>157</v>
      </c>
      <c r="H1006" s="888">
        <v>39</v>
      </c>
      <c r="I1006" s="890">
        <v>560.68600000000004</v>
      </c>
      <c r="J1006" s="899">
        <v>579.14700000000005</v>
      </c>
      <c r="K1006" s="603">
        <v>0.2</v>
      </c>
      <c r="L1006" s="980">
        <v>6</v>
      </c>
      <c r="M1006" s="1245" t="s">
        <v>366</v>
      </c>
      <c r="N1006" s="604" t="s">
        <v>227</v>
      </c>
      <c r="O1006" s="463"/>
      <c r="P1006" s="434">
        <v>0</v>
      </c>
      <c r="Q1006" s="434"/>
      <c r="R1006" s="400">
        <v>0</v>
      </c>
      <c r="S1006" s="464">
        <v>0</v>
      </c>
      <c r="U1006" s="1248">
        <f t="shared" si="18"/>
        <v>1</v>
      </c>
      <c r="V1006" s="1304">
        <f t="shared" si="19"/>
        <v>1</v>
      </c>
    </row>
    <row r="1007" spans="1:22" ht="16.5" thickTop="1" thickBot="1">
      <c r="A1007" s="1244"/>
      <c r="B1007" s="1249" t="s">
        <v>91</v>
      </c>
      <c r="C1007" s="1329" t="s">
        <v>487</v>
      </c>
      <c r="D1007" s="1326" t="s">
        <v>227</v>
      </c>
      <c r="E1007" s="1249" t="s">
        <v>325</v>
      </c>
      <c r="F1007" s="455" t="s">
        <v>326</v>
      </c>
      <c r="G1007" s="456" t="s">
        <v>156</v>
      </c>
      <c r="H1007" s="889">
        <v>35</v>
      </c>
      <c r="I1007" s="891">
        <v>7.3719999999999999</v>
      </c>
      <c r="J1007" s="601">
        <v>224.221</v>
      </c>
      <c r="K1007" s="602">
        <v>0.21848739495798319</v>
      </c>
      <c r="L1007" s="981">
        <v>6</v>
      </c>
      <c r="M1007" s="1249" t="s">
        <v>366</v>
      </c>
      <c r="N1007" s="604" t="s">
        <v>227</v>
      </c>
      <c r="O1007" s="465"/>
      <c r="P1007" s="435">
        <v>0</v>
      </c>
      <c r="Q1007" s="435"/>
      <c r="R1007" s="401">
        <v>0</v>
      </c>
      <c r="S1007" s="466">
        <v>0</v>
      </c>
      <c r="U1007" s="1248">
        <f t="shared" si="18"/>
        <v>1</v>
      </c>
      <c r="V1007" s="1304">
        <f t="shared" si="19"/>
        <v>1</v>
      </c>
    </row>
    <row r="1008" spans="1:22" ht="16.5" thickTop="1" thickBot="1">
      <c r="A1008" s="1244"/>
      <c r="B1008" s="1245" t="s">
        <v>91</v>
      </c>
      <c r="C1008" s="1328" t="s">
        <v>487</v>
      </c>
      <c r="D1008" s="1327" t="s">
        <v>227</v>
      </c>
      <c r="E1008" s="1245" t="s">
        <v>487</v>
      </c>
      <c r="F1008" s="457" t="s">
        <v>488</v>
      </c>
      <c r="G1008" s="458" t="s">
        <v>158</v>
      </c>
      <c r="H1008" s="888">
        <v>31</v>
      </c>
      <c r="I1008" s="890">
        <v>127.396</v>
      </c>
      <c r="J1008" s="899">
        <v>327.10000000000002</v>
      </c>
      <c r="K1008" s="603">
        <v>0.17258883248730963</v>
      </c>
      <c r="L1008" s="980">
        <v>7</v>
      </c>
      <c r="M1008" s="1245" t="s">
        <v>366</v>
      </c>
      <c r="N1008" s="604" t="s">
        <v>227</v>
      </c>
      <c r="O1008" s="463"/>
      <c r="P1008" s="434">
        <v>56.841000000000001</v>
      </c>
      <c r="Q1008" s="434">
        <v>2</v>
      </c>
      <c r="R1008" s="400">
        <v>2</v>
      </c>
      <c r="S1008" s="464">
        <v>0.2857142857142857</v>
      </c>
      <c r="U1008" s="1248">
        <f t="shared" si="18"/>
        <v>1</v>
      </c>
      <c r="V1008" s="1304">
        <f t="shared" si="19"/>
        <v>1</v>
      </c>
    </row>
    <row r="1009" spans="1:22" ht="16.5" thickTop="1" thickBot="1">
      <c r="A1009" s="1244"/>
      <c r="B1009" s="1249" t="s">
        <v>91</v>
      </c>
      <c r="C1009" s="1329" t="s">
        <v>487</v>
      </c>
      <c r="D1009" s="1326" t="s">
        <v>227</v>
      </c>
      <c r="E1009" s="1249" t="s">
        <v>845</v>
      </c>
      <c r="F1009" s="455" t="s">
        <v>846</v>
      </c>
      <c r="G1009" s="456" t="s">
        <v>156</v>
      </c>
      <c r="H1009" s="889">
        <v>23</v>
      </c>
      <c r="I1009" s="891">
        <v>97.022000000000006</v>
      </c>
      <c r="J1009" s="601">
        <v>105.185</v>
      </c>
      <c r="K1009" s="602">
        <v>0.12987012987012986</v>
      </c>
      <c r="L1009" s="981">
        <v>3</v>
      </c>
      <c r="M1009" s="1249" t="s">
        <v>366</v>
      </c>
      <c r="N1009" s="604" t="s">
        <v>227</v>
      </c>
      <c r="O1009" s="465"/>
      <c r="P1009" s="435">
        <v>26.286999999999999</v>
      </c>
      <c r="Q1009" s="435">
        <v>1</v>
      </c>
      <c r="R1009" s="401">
        <v>1</v>
      </c>
      <c r="S1009" s="466">
        <v>0.33333333333333331</v>
      </c>
      <c r="U1009" s="1248">
        <f t="shared" si="18"/>
        <v>1</v>
      </c>
      <c r="V1009" s="1304">
        <f t="shared" si="19"/>
        <v>1</v>
      </c>
    </row>
    <row r="1010" spans="1:22" ht="16.5" thickTop="1" thickBot="1">
      <c r="A1010" s="1244"/>
      <c r="B1010" s="1245" t="s">
        <v>91</v>
      </c>
      <c r="C1010" s="1328" t="s">
        <v>487</v>
      </c>
      <c r="D1010" s="1327" t="s">
        <v>227</v>
      </c>
      <c r="E1010" s="1245" t="s">
        <v>884</v>
      </c>
      <c r="F1010" s="457" t="s">
        <v>885</v>
      </c>
      <c r="G1010" s="458" t="s">
        <v>156</v>
      </c>
      <c r="H1010" s="888">
        <v>21</v>
      </c>
      <c r="I1010" s="890">
        <v>79.111000000000004</v>
      </c>
      <c r="J1010" s="899">
        <v>103.054</v>
      </c>
      <c r="K1010" s="603">
        <v>9.0909090909090912E-2</v>
      </c>
      <c r="L1010" s="980">
        <v>3</v>
      </c>
      <c r="M1010" s="1245" t="s">
        <v>366</v>
      </c>
      <c r="N1010" s="604" t="s">
        <v>227</v>
      </c>
      <c r="O1010" s="463"/>
      <c r="P1010" s="434"/>
      <c r="Q1010" s="434"/>
      <c r="R1010" s="400">
        <v>0</v>
      </c>
      <c r="S1010" s="464">
        <v>0</v>
      </c>
      <c r="U1010" s="1248">
        <f t="shared" si="18"/>
        <v>1</v>
      </c>
      <c r="V1010" s="1304">
        <f t="shared" si="19"/>
        <v>1</v>
      </c>
    </row>
    <row r="1011" spans="1:22" ht="16.5" thickTop="1" thickBot="1">
      <c r="A1011" s="1244"/>
      <c r="B1011" s="1249" t="s">
        <v>91</v>
      </c>
      <c r="C1011" s="1329" t="s">
        <v>487</v>
      </c>
      <c r="D1011" s="1326" t="s">
        <v>227</v>
      </c>
      <c r="E1011" s="1249" t="s">
        <v>995</v>
      </c>
      <c r="F1011" s="455" t="s">
        <v>996</v>
      </c>
      <c r="G1011" s="456" t="s">
        <v>155</v>
      </c>
      <c r="H1011" s="889"/>
      <c r="I1011" s="891"/>
      <c r="J1011" s="601"/>
      <c r="K1011" s="602">
        <v>0</v>
      </c>
      <c r="L1011" s="981"/>
      <c r="M1011" s="1249" t="s">
        <v>366</v>
      </c>
      <c r="N1011" s="604" t="s">
        <v>227</v>
      </c>
      <c r="O1011" s="465"/>
      <c r="P1011" s="435"/>
      <c r="Q1011" s="435"/>
      <c r="R1011" s="401">
        <v>0</v>
      </c>
      <c r="S1011" s="466">
        <v>0</v>
      </c>
      <c r="U1011" s="1248">
        <f t="shared" si="18"/>
        <v>1</v>
      </c>
      <c r="V1011" s="1304">
        <f t="shared" si="19"/>
        <v>0</v>
      </c>
    </row>
    <row r="1012" spans="1:22" ht="16.5" thickTop="1" thickBot="1">
      <c r="A1012" s="1244"/>
      <c r="B1012" s="1245" t="s">
        <v>91</v>
      </c>
      <c r="C1012" s="1328" t="s">
        <v>487</v>
      </c>
      <c r="D1012" s="1327" t="s">
        <v>227</v>
      </c>
      <c r="E1012" s="1245" t="s">
        <v>1925</v>
      </c>
      <c r="F1012" s="457" t="s">
        <v>1926</v>
      </c>
      <c r="G1012" s="458" t="s">
        <v>155</v>
      </c>
      <c r="H1012" s="888"/>
      <c r="I1012" s="890"/>
      <c r="J1012" s="899"/>
      <c r="K1012" s="603">
        <v>0</v>
      </c>
      <c r="L1012" s="980"/>
      <c r="M1012" s="1245" t="s">
        <v>366</v>
      </c>
      <c r="N1012" s="604" t="s">
        <v>227</v>
      </c>
      <c r="O1012" s="463"/>
      <c r="P1012" s="434"/>
      <c r="Q1012" s="434"/>
      <c r="R1012" s="400">
        <v>0</v>
      </c>
      <c r="S1012" s="464">
        <v>0</v>
      </c>
      <c r="U1012" s="1248">
        <f t="shared" si="18"/>
        <v>1</v>
      </c>
      <c r="V1012" s="1304">
        <f t="shared" si="19"/>
        <v>0</v>
      </c>
    </row>
    <row r="1013" spans="1:22" ht="16.5" thickTop="1" thickBot="1">
      <c r="A1013" s="1244"/>
      <c r="B1013" s="1249" t="s">
        <v>91</v>
      </c>
      <c r="C1013" s="1329" t="s">
        <v>487</v>
      </c>
      <c r="D1013" s="1326" t="s">
        <v>227</v>
      </c>
      <c r="E1013" s="1249" t="s">
        <v>3031</v>
      </c>
      <c r="F1013" s="455" t="s">
        <v>868</v>
      </c>
      <c r="G1013" s="456" t="s">
        <v>156</v>
      </c>
      <c r="H1013" s="889">
        <v>3</v>
      </c>
      <c r="I1013" s="891">
        <v>3.556</v>
      </c>
      <c r="J1013" s="601">
        <v>45.189</v>
      </c>
      <c r="K1013" s="602">
        <v>0.4</v>
      </c>
      <c r="L1013" s="981">
        <v>3</v>
      </c>
      <c r="M1013" s="1249" t="s">
        <v>322</v>
      </c>
      <c r="N1013" s="604" t="s">
        <v>227</v>
      </c>
      <c r="O1013" s="465"/>
      <c r="P1013" s="435"/>
      <c r="Q1013" s="435"/>
      <c r="R1013" s="401">
        <v>0</v>
      </c>
      <c r="S1013" s="466">
        <v>0</v>
      </c>
      <c r="U1013" s="1248">
        <f t="shared" si="18"/>
        <v>0</v>
      </c>
      <c r="V1013" s="1304">
        <f t="shared" si="19"/>
        <v>1</v>
      </c>
    </row>
    <row r="1014" spans="1:22" ht="16.5" thickTop="1" thickBot="1">
      <c r="A1014" s="1244"/>
      <c r="B1014" s="1245" t="s">
        <v>91</v>
      </c>
      <c r="C1014" s="1328" t="s">
        <v>487</v>
      </c>
      <c r="D1014" s="1327" t="s">
        <v>227</v>
      </c>
      <c r="E1014" s="1245" t="s">
        <v>3877</v>
      </c>
      <c r="F1014" s="457" t="s">
        <v>3878</v>
      </c>
      <c r="G1014" s="458" t="s">
        <v>156</v>
      </c>
      <c r="H1014" s="888">
        <v>1</v>
      </c>
      <c r="I1014" s="890"/>
      <c r="J1014" s="899">
        <v>37.222000000000001</v>
      </c>
      <c r="K1014" s="603">
        <v>1.3333333333333333</v>
      </c>
      <c r="L1014" s="980">
        <v>3</v>
      </c>
      <c r="M1014" s="1245" t="s">
        <v>323</v>
      </c>
      <c r="N1014" s="604" t="s">
        <v>227</v>
      </c>
      <c r="O1014" s="463">
        <v>3</v>
      </c>
      <c r="P1014" s="434">
        <v>37.222000000000001</v>
      </c>
      <c r="Q1014" s="434">
        <v>3</v>
      </c>
      <c r="R1014" s="400">
        <v>2</v>
      </c>
      <c r="S1014" s="464">
        <v>1.3333333333333333</v>
      </c>
      <c r="U1014" s="1248">
        <f t="shared" si="18"/>
        <v>0</v>
      </c>
      <c r="V1014" s="1304">
        <f t="shared" si="19"/>
        <v>1</v>
      </c>
    </row>
    <row r="1015" spans="1:22" ht="16.5" thickTop="1" thickBot="1">
      <c r="A1015" s="1244"/>
      <c r="B1015" s="1249" t="s">
        <v>91</v>
      </c>
      <c r="C1015" s="1329" t="s">
        <v>490</v>
      </c>
      <c r="D1015" s="1326" t="s">
        <v>227</v>
      </c>
      <c r="E1015" s="1249" t="s">
        <v>490</v>
      </c>
      <c r="F1015" s="455" t="s">
        <v>491</v>
      </c>
      <c r="G1015" s="456" t="s">
        <v>158</v>
      </c>
      <c r="H1015" s="889">
        <v>31</v>
      </c>
      <c r="I1015" s="891">
        <v>23.158000000000001</v>
      </c>
      <c r="J1015" s="601">
        <v>33.783000000000001</v>
      </c>
      <c r="K1015" s="602">
        <v>9.0909090909090912E-2</v>
      </c>
      <c r="L1015" s="981">
        <v>1</v>
      </c>
      <c r="M1015" s="1249" t="s">
        <v>366</v>
      </c>
      <c r="N1015" s="604" t="s">
        <v>227</v>
      </c>
      <c r="O1015" s="465"/>
      <c r="P1015" s="435">
        <v>0</v>
      </c>
      <c r="Q1015" s="435"/>
      <c r="R1015" s="401">
        <v>0</v>
      </c>
      <c r="S1015" s="466">
        <v>0</v>
      </c>
      <c r="U1015" s="1248">
        <f t="shared" si="18"/>
        <v>1</v>
      </c>
      <c r="V1015" s="1304">
        <f t="shared" si="19"/>
        <v>1</v>
      </c>
    </row>
    <row r="1016" spans="1:22" ht="16.5" thickTop="1" thickBot="1">
      <c r="A1016" s="1244"/>
      <c r="B1016" s="1245" t="s">
        <v>91</v>
      </c>
      <c r="C1016" s="1328" t="s">
        <v>490</v>
      </c>
      <c r="D1016" s="1327" t="s">
        <v>227</v>
      </c>
      <c r="E1016" s="1245" t="s">
        <v>492</v>
      </c>
      <c r="F1016" s="457" t="s">
        <v>493</v>
      </c>
      <c r="G1016" s="458" t="s">
        <v>157</v>
      </c>
      <c r="H1016" s="888">
        <v>30</v>
      </c>
      <c r="I1016" s="890">
        <v>1042.336</v>
      </c>
      <c r="J1016" s="899">
        <v>2018.7919999999999</v>
      </c>
      <c r="K1016" s="603">
        <v>0.4107142857142857</v>
      </c>
      <c r="L1016" s="980">
        <v>10</v>
      </c>
      <c r="M1016" s="1245" t="s">
        <v>323</v>
      </c>
      <c r="N1016" s="604" t="s">
        <v>227</v>
      </c>
      <c r="O1016" s="463"/>
      <c r="P1016" s="434">
        <v>278.08800000000002</v>
      </c>
      <c r="Q1016" s="434">
        <v>13</v>
      </c>
      <c r="R1016" s="400">
        <v>4</v>
      </c>
      <c r="S1016" s="464">
        <v>0.4</v>
      </c>
      <c r="U1016" s="1248">
        <f t="shared" si="18"/>
        <v>0</v>
      </c>
      <c r="V1016" s="1304">
        <f t="shared" si="19"/>
        <v>1</v>
      </c>
    </row>
    <row r="1017" spans="1:22" ht="16.5" thickTop="1" thickBot="1">
      <c r="A1017" s="1244"/>
      <c r="B1017" s="1249" t="s">
        <v>91</v>
      </c>
      <c r="C1017" s="1329" t="s">
        <v>490</v>
      </c>
      <c r="D1017" s="1326" t="s">
        <v>227</v>
      </c>
      <c r="E1017" s="1249" t="s">
        <v>882</v>
      </c>
      <c r="F1017" s="455" t="s">
        <v>883</v>
      </c>
      <c r="G1017" s="456" t="s">
        <v>157</v>
      </c>
      <c r="H1017" s="889">
        <v>22</v>
      </c>
      <c r="I1017" s="891">
        <v>247.71199999999999</v>
      </c>
      <c r="J1017" s="601">
        <v>793.73800000000006</v>
      </c>
      <c r="K1017" s="602">
        <v>0.48275862068965519</v>
      </c>
      <c r="L1017" s="981">
        <v>4</v>
      </c>
      <c r="M1017" s="1249" t="s">
        <v>323</v>
      </c>
      <c r="N1017" s="604" t="s">
        <v>227</v>
      </c>
      <c r="O1017" s="465"/>
      <c r="P1017" s="435">
        <v>40.158000000000001</v>
      </c>
      <c r="Q1017" s="435">
        <v>3</v>
      </c>
      <c r="R1017" s="401">
        <v>3</v>
      </c>
      <c r="S1017" s="466">
        <v>0.75</v>
      </c>
      <c r="U1017" s="1248">
        <f t="shared" si="18"/>
        <v>0</v>
      </c>
      <c r="V1017" s="1304">
        <f t="shared" si="19"/>
        <v>1</v>
      </c>
    </row>
    <row r="1018" spans="1:22" ht="16.5" thickTop="1" thickBot="1">
      <c r="A1018" s="1244"/>
      <c r="B1018" s="1245" t="s">
        <v>91</v>
      </c>
      <c r="C1018" s="1328" t="s">
        <v>490</v>
      </c>
      <c r="D1018" s="1327" t="s">
        <v>227</v>
      </c>
      <c r="E1018" s="1245" t="s">
        <v>1629</v>
      </c>
      <c r="F1018" s="457" t="s">
        <v>1630</v>
      </c>
      <c r="G1018" s="458" t="s">
        <v>157</v>
      </c>
      <c r="H1018" s="888">
        <v>13</v>
      </c>
      <c r="I1018" s="890">
        <v>131.96199999999999</v>
      </c>
      <c r="J1018" s="899">
        <v>1179.577</v>
      </c>
      <c r="K1018" s="603">
        <v>0.49230769230769234</v>
      </c>
      <c r="L1018" s="980">
        <v>4</v>
      </c>
      <c r="M1018" s="1245" t="s">
        <v>323</v>
      </c>
      <c r="N1018" s="604" t="s">
        <v>227</v>
      </c>
      <c r="O1018" s="463"/>
      <c r="P1018" s="434">
        <v>31.106000000000002</v>
      </c>
      <c r="Q1018" s="434">
        <v>3</v>
      </c>
      <c r="R1018" s="400">
        <v>2</v>
      </c>
      <c r="S1018" s="464">
        <v>0.5</v>
      </c>
      <c r="U1018" s="1248">
        <f t="shared" si="18"/>
        <v>0</v>
      </c>
      <c r="V1018" s="1304">
        <f t="shared" si="19"/>
        <v>1</v>
      </c>
    </row>
    <row r="1019" spans="1:22" ht="16.5" thickTop="1" thickBot="1">
      <c r="A1019" s="1244"/>
      <c r="B1019" s="1249" t="s">
        <v>91</v>
      </c>
      <c r="C1019" s="1329" t="s">
        <v>490</v>
      </c>
      <c r="D1019" s="1326" t="s">
        <v>227</v>
      </c>
      <c r="E1019" s="1249" t="s">
        <v>2506</v>
      </c>
      <c r="F1019" s="455" t="s">
        <v>2507</v>
      </c>
      <c r="G1019" s="456" t="s">
        <v>156</v>
      </c>
      <c r="H1019" s="889">
        <v>7</v>
      </c>
      <c r="I1019" s="891">
        <v>575.34299999999996</v>
      </c>
      <c r="J1019" s="601">
        <v>290.96899999999999</v>
      </c>
      <c r="K1019" s="602">
        <v>0.25454545454545452</v>
      </c>
      <c r="L1019" s="981">
        <v>8</v>
      </c>
      <c r="M1019" s="1249" t="s">
        <v>323</v>
      </c>
      <c r="N1019" s="604" t="s">
        <v>227</v>
      </c>
      <c r="O1019" s="465"/>
      <c r="P1019" s="435"/>
      <c r="Q1019" s="435"/>
      <c r="R1019" s="401">
        <v>0</v>
      </c>
      <c r="S1019" s="466">
        <v>0</v>
      </c>
      <c r="U1019" s="1248">
        <f t="shared" si="18"/>
        <v>0</v>
      </c>
      <c r="V1019" s="1304">
        <f t="shared" si="19"/>
        <v>1</v>
      </c>
    </row>
    <row r="1020" spans="1:22" ht="16.5" thickTop="1" thickBot="1">
      <c r="A1020" s="1244"/>
      <c r="B1020" s="1245" t="s">
        <v>91</v>
      </c>
      <c r="C1020" s="1328" t="s">
        <v>490</v>
      </c>
      <c r="D1020" s="1327" t="s">
        <v>227</v>
      </c>
      <c r="E1020" s="1245" t="s">
        <v>2508</v>
      </c>
      <c r="F1020" s="457" t="s">
        <v>2509</v>
      </c>
      <c r="G1020" s="458" t="s">
        <v>156</v>
      </c>
      <c r="H1020" s="888">
        <v>7</v>
      </c>
      <c r="I1020" s="890">
        <v>164.65700000000001</v>
      </c>
      <c r="J1020" s="899">
        <v>178.21299999999999</v>
      </c>
      <c r="K1020" s="603">
        <v>0.2988505747126437</v>
      </c>
      <c r="L1020" s="980">
        <v>7</v>
      </c>
      <c r="M1020" s="1245" t="s">
        <v>321</v>
      </c>
      <c r="N1020" s="604" t="s">
        <v>227</v>
      </c>
      <c r="O1020" s="463"/>
      <c r="P1020" s="434">
        <v>22.327000000000002</v>
      </c>
      <c r="Q1020" s="434">
        <v>2</v>
      </c>
      <c r="R1020" s="400">
        <v>2</v>
      </c>
      <c r="S1020" s="464">
        <v>0.2857142857142857</v>
      </c>
      <c r="U1020" s="1248">
        <f t="shared" si="18"/>
        <v>0</v>
      </c>
      <c r="V1020" s="1304">
        <f t="shared" si="19"/>
        <v>1</v>
      </c>
    </row>
    <row r="1021" spans="1:22" ht="16.5" thickTop="1" thickBot="1">
      <c r="A1021" s="1244"/>
      <c r="B1021" s="1249" t="s">
        <v>91</v>
      </c>
      <c r="C1021" s="1329" t="s">
        <v>490</v>
      </c>
      <c r="D1021" s="1326" t="s">
        <v>227</v>
      </c>
      <c r="E1021" s="1249" t="s">
        <v>3342</v>
      </c>
      <c r="F1021" s="455" t="s">
        <v>3343</v>
      </c>
      <c r="G1021" s="456" t="s">
        <v>155</v>
      </c>
      <c r="H1021" s="889"/>
      <c r="I1021" s="891"/>
      <c r="J1021" s="601">
        <v>19.013000000000002</v>
      </c>
      <c r="K1021" s="602">
        <v>0.5</v>
      </c>
      <c r="L1021" s="981">
        <v>2</v>
      </c>
      <c r="M1021" s="1249" t="s">
        <v>366</v>
      </c>
      <c r="N1021" s="604" t="s">
        <v>227</v>
      </c>
      <c r="O1021" s="465"/>
      <c r="P1021" s="435">
        <v>7.7060000000000004</v>
      </c>
      <c r="Q1021" s="435">
        <v>1</v>
      </c>
      <c r="R1021" s="401">
        <v>1</v>
      </c>
      <c r="S1021" s="466">
        <v>0.5</v>
      </c>
      <c r="U1021" s="1248">
        <f t="shared" si="18"/>
        <v>1</v>
      </c>
      <c r="V1021" s="1304">
        <f t="shared" si="19"/>
        <v>0</v>
      </c>
    </row>
    <row r="1022" spans="1:22" ht="16.5" thickTop="1" thickBot="1">
      <c r="A1022" s="1244"/>
      <c r="B1022" s="1245" t="s">
        <v>91</v>
      </c>
      <c r="C1022" s="1328" t="s">
        <v>1434</v>
      </c>
      <c r="D1022" s="1327" t="s">
        <v>227</v>
      </c>
      <c r="E1022" s="1245" t="s">
        <v>1434</v>
      </c>
      <c r="F1022" s="457" t="s">
        <v>1436</v>
      </c>
      <c r="G1022" s="458" t="s">
        <v>739</v>
      </c>
      <c r="H1022" s="888">
        <v>14</v>
      </c>
      <c r="I1022" s="890">
        <v>49.834000000000003</v>
      </c>
      <c r="J1022" s="899">
        <v>55.933</v>
      </c>
      <c r="K1022" s="603">
        <v>0.11764705882352941</v>
      </c>
      <c r="L1022" s="980">
        <v>2</v>
      </c>
      <c r="M1022" s="1245" t="s">
        <v>366</v>
      </c>
      <c r="N1022" s="604" t="s">
        <v>227</v>
      </c>
      <c r="O1022" s="463"/>
      <c r="P1022" s="434">
        <v>29.219000000000001</v>
      </c>
      <c r="Q1022" s="434">
        <v>3</v>
      </c>
      <c r="R1022" s="400">
        <v>1</v>
      </c>
      <c r="S1022" s="464">
        <v>0.5</v>
      </c>
      <c r="U1022" s="1248">
        <f t="shared" si="18"/>
        <v>1</v>
      </c>
      <c r="V1022" s="1304">
        <f t="shared" si="19"/>
        <v>1</v>
      </c>
    </row>
    <row r="1023" spans="1:22" ht="16.5" thickTop="1" thickBot="1">
      <c r="A1023" s="1244"/>
      <c r="B1023" s="1249" t="s">
        <v>91</v>
      </c>
      <c r="C1023" s="1329" t="s">
        <v>1434</v>
      </c>
      <c r="D1023" s="1326" t="s">
        <v>227</v>
      </c>
      <c r="E1023" s="1249" t="s">
        <v>1631</v>
      </c>
      <c r="F1023" s="455" t="s">
        <v>1632</v>
      </c>
      <c r="G1023" s="456" t="s">
        <v>157</v>
      </c>
      <c r="H1023" s="889">
        <v>13</v>
      </c>
      <c r="I1023" s="891">
        <v>87.578000000000003</v>
      </c>
      <c r="J1023" s="601">
        <v>460.32</v>
      </c>
      <c r="K1023" s="602">
        <v>0.41772151898734178</v>
      </c>
      <c r="L1023" s="981">
        <v>6</v>
      </c>
      <c r="M1023" s="1249" t="s">
        <v>323</v>
      </c>
      <c r="N1023" s="604" t="s">
        <v>227</v>
      </c>
      <c r="O1023" s="465"/>
      <c r="P1023" s="435">
        <v>44.447000000000003</v>
      </c>
      <c r="Q1023" s="435">
        <v>6</v>
      </c>
      <c r="R1023" s="401">
        <v>4</v>
      </c>
      <c r="S1023" s="466">
        <v>0.66666666666666663</v>
      </c>
      <c r="U1023" s="1248">
        <f t="shared" si="18"/>
        <v>0</v>
      </c>
      <c r="V1023" s="1304">
        <f t="shared" si="19"/>
        <v>1</v>
      </c>
    </row>
    <row r="1024" spans="1:22" ht="16.5" thickTop="1" thickBot="1">
      <c r="A1024" s="1244"/>
      <c r="B1024" s="1245" t="s">
        <v>91</v>
      </c>
      <c r="C1024" s="1328" t="s">
        <v>1434</v>
      </c>
      <c r="D1024" s="1327" t="s">
        <v>227</v>
      </c>
      <c r="E1024" s="1245" t="s">
        <v>2390</v>
      </c>
      <c r="F1024" s="457" t="s">
        <v>2391</v>
      </c>
      <c r="G1024" s="458" t="s">
        <v>156</v>
      </c>
      <c r="H1024" s="888">
        <v>7</v>
      </c>
      <c r="I1024" s="890">
        <v>61.582999999999998</v>
      </c>
      <c r="J1024" s="899">
        <v>275.44400000000002</v>
      </c>
      <c r="K1024" s="603">
        <v>0.379746835443038</v>
      </c>
      <c r="L1024" s="980">
        <v>5</v>
      </c>
      <c r="M1024" s="1245" t="s">
        <v>323</v>
      </c>
      <c r="N1024" s="604" t="s">
        <v>227</v>
      </c>
      <c r="O1024" s="463"/>
      <c r="P1024" s="434">
        <v>9.1679999999999993</v>
      </c>
      <c r="Q1024" s="434">
        <v>1</v>
      </c>
      <c r="R1024" s="400">
        <v>1</v>
      </c>
      <c r="S1024" s="464">
        <v>0.2</v>
      </c>
      <c r="U1024" s="1248">
        <f t="shared" si="18"/>
        <v>0</v>
      </c>
      <c r="V1024" s="1304">
        <f t="shared" si="19"/>
        <v>1</v>
      </c>
    </row>
    <row r="1025" spans="1:22" ht="16.5" thickTop="1" thickBot="1">
      <c r="A1025" s="1244"/>
      <c r="B1025" s="1249" t="s">
        <v>91</v>
      </c>
      <c r="C1025" s="1329" t="s">
        <v>1434</v>
      </c>
      <c r="D1025" s="1326" t="s">
        <v>227</v>
      </c>
      <c r="E1025" s="1249" t="s">
        <v>2392</v>
      </c>
      <c r="F1025" s="455" t="s">
        <v>2393</v>
      </c>
      <c r="G1025" s="456" t="s">
        <v>155</v>
      </c>
      <c r="H1025" s="889"/>
      <c r="I1025" s="891"/>
      <c r="J1025" s="601"/>
      <c r="K1025" s="602">
        <v>0</v>
      </c>
      <c r="L1025" s="981"/>
      <c r="M1025" s="1249" t="s">
        <v>366</v>
      </c>
      <c r="N1025" s="604" t="s">
        <v>227</v>
      </c>
      <c r="O1025" s="465"/>
      <c r="P1025" s="435"/>
      <c r="Q1025" s="435"/>
      <c r="R1025" s="401">
        <v>0</v>
      </c>
      <c r="S1025" s="466">
        <v>0</v>
      </c>
      <c r="U1025" s="1248">
        <f t="shared" si="18"/>
        <v>1</v>
      </c>
      <c r="V1025" s="1304">
        <f t="shared" si="19"/>
        <v>0</v>
      </c>
    </row>
    <row r="1026" spans="1:22" ht="16.5" thickTop="1" thickBot="1">
      <c r="A1026" s="1244"/>
      <c r="B1026" s="1245" t="s">
        <v>91</v>
      </c>
      <c r="C1026" s="1328" t="s">
        <v>1434</v>
      </c>
      <c r="D1026" s="1327" t="s">
        <v>227</v>
      </c>
      <c r="E1026" s="1245" t="s">
        <v>2607</v>
      </c>
      <c r="F1026" s="457" t="s">
        <v>2608</v>
      </c>
      <c r="G1026" s="458" t="s">
        <v>155</v>
      </c>
      <c r="H1026" s="888"/>
      <c r="I1026" s="890"/>
      <c r="J1026" s="899">
        <v>48.595999999999997</v>
      </c>
      <c r="K1026" s="603">
        <v>0.41666666666666669</v>
      </c>
      <c r="L1026" s="980">
        <v>2</v>
      </c>
      <c r="M1026" s="1245" t="s">
        <v>366</v>
      </c>
      <c r="N1026" s="604" t="s">
        <v>227</v>
      </c>
      <c r="O1026" s="463"/>
      <c r="P1026" s="434">
        <v>12.647</v>
      </c>
      <c r="Q1026" s="434">
        <v>1</v>
      </c>
      <c r="R1026" s="400">
        <v>1</v>
      </c>
      <c r="S1026" s="464">
        <v>0.5</v>
      </c>
      <c r="U1026" s="1248">
        <f t="shared" si="18"/>
        <v>1</v>
      </c>
      <c r="V1026" s="1304">
        <f t="shared" si="19"/>
        <v>0</v>
      </c>
    </row>
    <row r="1027" spans="1:22" ht="16.5" thickTop="1" thickBot="1">
      <c r="A1027" s="1244"/>
      <c r="B1027" s="1249" t="s">
        <v>91</v>
      </c>
      <c r="C1027" s="1329" t="s">
        <v>1434</v>
      </c>
      <c r="D1027" s="1326" t="s">
        <v>227</v>
      </c>
      <c r="E1027" s="1249" t="s">
        <v>3032</v>
      </c>
      <c r="F1027" s="455" t="s">
        <v>3033</v>
      </c>
      <c r="G1027" s="456" t="s">
        <v>155</v>
      </c>
      <c r="H1027" s="889"/>
      <c r="I1027" s="891"/>
      <c r="J1027" s="601">
        <v>53.338000000000001</v>
      </c>
      <c r="K1027" s="602">
        <v>0.46153846153846156</v>
      </c>
      <c r="L1027" s="981">
        <v>3</v>
      </c>
      <c r="M1027" s="1249" t="s">
        <v>366</v>
      </c>
      <c r="N1027" s="604" t="s">
        <v>227</v>
      </c>
      <c r="O1027" s="465">
        <v>1</v>
      </c>
      <c r="P1027" s="435">
        <v>10.75</v>
      </c>
      <c r="Q1027" s="435">
        <v>1</v>
      </c>
      <c r="R1027" s="401">
        <v>1</v>
      </c>
      <c r="S1027" s="466">
        <v>0.4</v>
      </c>
      <c r="U1027" s="1248">
        <f t="shared" si="18"/>
        <v>1</v>
      </c>
      <c r="V1027" s="1304">
        <f t="shared" si="19"/>
        <v>0</v>
      </c>
    </row>
    <row r="1028" spans="1:22" ht="16.5" thickTop="1" thickBot="1">
      <c r="A1028" s="1244"/>
      <c r="B1028" s="1245" t="s">
        <v>91</v>
      </c>
      <c r="C1028" s="1328" t="s">
        <v>1585</v>
      </c>
      <c r="D1028" s="1327" t="s">
        <v>227</v>
      </c>
      <c r="E1028" s="1245" t="s">
        <v>1497</v>
      </c>
      <c r="F1028" s="457" t="s">
        <v>1498</v>
      </c>
      <c r="G1028" s="458" t="s">
        <v>157</v>
      </c>
      <c r="H1028" s="888">
        <v>14</v>
      </c>
      <c r="I1028" s="890">
        <v>128.95599999999999</v>
      </c>
      <c r="J1028" s="899">
        <v>253.47</v>
      </c>
      <c r="K1028" s="603">
        <v>0.4</v>
      </c>
      <c r="L1028" s="980">
        <v>3</v>
      </c>
      <c r="M1028" s="1245" t="s">
        <v>322</v>
      </c>
      <c r="N1028" s="604" t="s">
        <v>227</v>
      </c>
      <c r="O1028" s="463"/>
      <c r="P1028" s="434">
        <v>20.137</v>
      </c>
      <c r="Q1028" s="434">
        <v>2</v>
      </c>
      <c r="R1028" s="400">
        <v>2</v>
      </c>
      <c r="S1028" s="464">
        <v>0.66666666666666663</v>
      </c>
      <c r="U1028" s="1248">
        <f t="shared" si="18"/>
        <v>0</v>
      </c>
      <c r="V1028" s="1304">
        <f t="shared" si="19"/>
        <v>1</v>
      </c>
    </row>
    <row r="1029" spans="1:22" ht="16.5" thickTop="1" thickBot="1">
      <c r="A1029" s="1244"/>
      <c r="B1029" s="1249" t="s">
        <v>91</v>
      </c>
      <c r="C1029" s="1329" t="s">
        <v>1585</v>
      </c>
      <c r="D1029" s="1326" t="s">
        <v>227</v>
      </c>
      <c r="E1029" s="1249" t="s">
        <v>1499</v>
      </c>
      <c r="F1029" s="455" t="s">
        <v>1500</v>
      </c>
      <c r="G1029" s="456" t="s">
        <v>156</v>
      </c>
      <c r="H1029" s="889">
        <v>14</v>
      </c>
      <c r="I1029" s="891">
        <v>32.223999999999997</v>
      </c>
      <c r="J1029" s="601">
        <v>201.441</v>
      </c>
      <c r="K1029" s="602">
        <v>0.31496062992125984</v>
      </c>
      <c r="L1029" s="981">
        <v>5</v>
      </c>
      <c r="M1029" s="1249" t="s">
        <v>322</v>
      </c>
      <c r="N1029" s="604" t="s">
        <v>227</v>
      </c>
      <c r="O1029" s="465"/>
      <c r="P1029" s="435"/>
      <c r="Q1029" s="435"/>
      <c r="R1029" s="401">
        <v>0</v>
      </c>
      <c r="S1029" s="466">
        <v>0</v>
      </c>
      <c r="U1029" s="1248">
        <f t="shared" si="18"/>
        <v>0</v>
      </c>
      <c r="V1029" s="1304">
        <f t="shared" si="19"/>
        <v>1</v>
      </c>
    </row>
    <row r="1030" spans="1:22" ht="16.5" thickTop="1" thickBot="1">
      <c r="A1030" s="1244"/>
      <c r="B1030" s="1245" t="s">
        <v>91</v>
      </c>
      <c r="C1030" s="1328" t="s">
        <v>1585</v>
      </c>
      <c r="D1030" s="1327" t="s">
        <v>227</v>
      </c>
      <c r="E1030" s="1245" t="s">
        <v>1501</v>
      </c>
      <c r="F1030" s="457" t="s">
        <v>1502</v>
      </c>
      <c r="G1030" s="458" t="s">
        <v>156</v>
      </c>
      <c r="H1030" s="888">
        <v>14</v>
      </c>
      <c r="I1030" s="890">
        <v>42.972000000000001</v>
      </c>
      <c r="J1030" s="899">
        <v>139.30600000000001</v>
      </c>
      <c r="K1030" s="603">
        <v>0.27722772277227725</v>
      </c>
      <c r="L1030" s="980">
        <v>3</v>
      </c>
      <c r="M1030" s="1245" t="s">
        <v>366</v>
      </c>
      <c r="N1030" s="604" t="s">
        <v>227</v>
      </c>
      <c r="O1030" s="463"/>
      <c r="P1030" s="434"/>
      <c r="Q1030" s="434"/>
      <c r="R1030" s="400">
        <v>0</v>
      </c>
      <c r="S1030" s="464">
        <v>0</v>
      </c>
      <c r="U1030" s="1248">
        <f t="shared" si="18"/>
        <v>1</v>
      </c>
      <c r="V1030" s="1304">
        <f t="shared" si="19"/>
        <v>1</v>
      </c>
    </row>
    <row r="1031" spans="1:22" ht="16.5" thickTop="1" thickBot="1">
      <c r="A1031" s="1244"/>
      <c r="B1031" s="1249" t="s">
        <v>91</v>
      </c>
      <c r="C1031" s="1329" t="s">
        <v>1585</v>
      </c>
      <c r="D1031" s="1326" t="s">
        <v>227</v>
      </c>
      <c r="E1031" s="1249" t="s">
        <v>1585</v>
      </c>
      <c r="F1031" s="455" t="s">
        <v>1587</v>
      </c>
      <c r="G1031" s="456" t="s">
        <v>158</v>
      </c>
      <c r="H1031" s="889">
        <v>13</v>
      </c>
      <c r="I1031" s="891">
        <v>70.153000000000006</v>
      </c>
      <c r="J1031" s="601">
        <v>346.21</v>
      </c>
      <c r="K1031" s="602">
        <v>0.3888888888888889</v>
      </c>
      <c r="L1031" s="981">
        <v>8</v>
      </c>
      <c r="M1031" s="1249" t="s">
        <v>321</v>
      </c>
      <c r="N1031" s="604" t="s">
        <v>227</v>
      </c>
      <c r="O1031" s="465">
        <v>5</v>
      </c>
      <c r="P1031" s="435">
        <v>109.44799999999999</v>
      </c>
      <c r="Q1031" s="435">
        <v>12</v>
      </c>
      <c r="R1031" s="401">
        <v>8</v>
      </c>
      <c r="S1031" s="466">
        <v>1.4545454545454546</v>
      </c>
      <c r="U1031" s="1248">
        <f t="shared" si="18"/>
        <v>0</v>
      </c>
      <c r="V1031" s="1304">
        <f t="shared" si="19"/>
        <v>1</v>
      </c>
    </row>
    <row r="1032" spans="1:22" ht="16.5" thickTop="1" thickBot="1">
      <c r="A1032" s="1244"/>
      <c r="B1032" s="1245" t="s">
        <v>91</v>
      </c>
      <c r="C1032" s="1328" t="s">
        <v>1585</v>
      </c>
      <c r="D1032" s="1327" t="s">
        <v>227</v>
      </c>
      <c r="E1032" s="1245" t="s">
        <v>1633</v>
      </c>
      <c r="F1032" s="457" t="s">
        <v>1634</v>
      </c>
      <c r="G1032" s="458" t="s">
        <v>156</v>
      </c>
      <c r="H1032" s="888">
        <v>13</v>
      </c>
      <c r="I1032" s="890">
        <v>44.015000000000001</v>
      </c>
      <c r="J1032" s="899">
        <v>164.52</v>
      </c>
      <c r="K1032" s="603">
        <v>0.37333333333333335</v>
      </c>
      <c r="L1032" s="980">
        <v>2</v>
      </c>
      <c r="M1032" s="1245" t="s">
        <v>366</v>
      </c>
      <c r="N1032" s="604" t="s">
        <v>227</v>
      </c>
      <c r="O1032" s="463"/>
      <c r="P1032" s="434">
        <v>24.280999999999999</v>
      </c>
      <c r="Q1032" s="434">
        <v>3</v>
      </c>
      <c r="R1032" s="400">
        <v>2</v>
      </c>
      <c r="S1032" s="464">
        <v>1</v>
      </c>
      <c r="U1032" s="1248">
        <f t="shared" si="18"/>
        <v>1</v>
      </c>
      <c r="V1032" s="1304">
        <f t="shared" si="19"/>
        <v>1</v>
      </c>
    </row>
    <row r="1033" spans="1:22" ht="16.5" thickTop="1" thickBot="1">
      <c r="A1033" s="1244"/>
      <c r="B1033" s="1249" t="s">
        <v>91</v>
      </c>
      <c r="C1033" s="1329" t="s">
        <v>1585</v>
      </c>
      <c r="D1033" s="1326" t="s">
        <v>227</v>
      </c>
      <c r="E1033" s="1249" t="s">
        <v>1635</v>
      </c>
      <c r="F1033" s="455" t="s">
        <v>493</v>
      </c>
      <c r="G1033" s="456" t="s">
        <v>156</v>
      </c>
      <c r="H1033" s="889">
        <v>13</v>
      </c>
      <c r="I1033" s="891">
        <v>136.89400000000001</v>
      </c>
      <c r="J1033" s="601">
        <v>218.84700000000001</v>
      </c>
      <c r="K1033" s="602">
        <v>0.2857142857142857</v>
      </c>
      <c r="L1033" s="981">
        <v>3</v>
      </c>
      <c r="M1033" s="1249" t="s">
        <v>322</v>
      </c>
      <c r="N1033" s="604" t="s">
        <v>227</v>
      </c>
      <c r="O1033" s="465"/>
      <c r="P1033" s="435">
        <v>17.713000000000001</v>
      </c>
      <c r="Q1033" s="435">
        <v>2</v>
      </c>
      <c r="R1033" s="401">
        <v>1</v>
      </c>
      <c r="S1033" s="466">
        <v>0.33333333333333331</v>
      </c>
      <c r="U1033" s="1248">
        <f t="shared" si="18"/>
        <v>0</v>
      </c>
      <c r="V1033" s="1304">
        <f t="shared" si="19"/>
        <v>1</v>
      </c>
    </row>
    <row r="1034" spans="1:22" ht="16.5" thickTop="1" thickBot="1">
      <c r="A1034" s="1244"/>
      <c r="B1034" s="1245" t="s">
        <v>91</v>
      </c>
      <c r="C1034" s="1328" t="s">
        <v>1585</v>
      </c>
      <c r="D1034" s="1327" t="s">
        <v>227</v>
      </c>
      <c r="E1034" s="1245" t="s">
        <v>2276</v>
      </c>
      <c r="F1034" s="457" t="s">
        <v>2277</v>
      </c>
      <c r="G1034" s="458" t="s">
        <v>156</v>
      </c>
      <c r="H1034" s="888">
        <v>9</v>
      </c>
      <c r="I1034" s="890">
        <v>64.564999999999998</v>
      </c>
      <c r="J1034" s="899">
        <v>127.627</v>
      </c>
      <c r="K1034" s="603">
        <v>0.25</v>
      </c>
      <c r="L1034" s="980">
        <v>4</v>
      </c>
      <c r="M1034" s="1245" t="s">
        <v>322</v>
      </c>
      <c r="N1034" s="604" t="s">
        <v>227</v>
      </c>
      <c r="O1034" s="463"/>
      <c r="P1034" s="434">
        <v>27.202000000000002</v>
      </c>
      <c r="Q1034" s="434">
        <v>3</v>
      </c>
      <c r="R1034" s="400">
        <v>3</v>
      </c>
      <c r="S1034" s="464">
        <v>0.75</v>
      </c>
      <c r="U1034" s="1248">
        <f t="shared" si="18"/>
        <v>0</v>
      </c>
      <c r="V1034" s="1304">
        <f t="shared" si="19"/>
        <v>1</v>
      </c>
    </row>
    <row r="1035" spans="1:22" ht="16.5" thickTop="1" thickBot="1">
      <c r="A1035" s="1244"/>
      <c r="B1035" s="1249" t="s">
        <v>91</v>
      </c>
      <c r="C1035" s="1329" t="s">
        <v>1585</v>
      </c>
      <c r="D1035" s="1326" t="s">
        <v>227</v>
      </c>
      <c r="E1035" s="1249" t="s">
        <v>2394</v>
      </c>
      <c r="F1035" s="455" t="s">
        <v>2395</v>
      </c>
      <c r="G1035" s="456" t="s">
        <v>155</v>
      </c>
      <c r="H1035" s="889"/>
      <c r="I1035" s="891"/>
      <c r="J1035" s="601"/>
      <c r="K1035" s="602">
        <v>0</v>
      </c>
      <c r="L1035" s="981">
        <v>1</v>
      </c>
      <c r="M1035" s="1249" t="s">
        <v>366</v>
      </c>
      <c r="N1035" s="604" t="s">
        <v>227</v>
      </c>
      <c r="O1035" s="465"/>
      <c r="P1035" s="435"/>
      <c r="Q1035" s="435"/>
      <c r="R1035" s="401">
        <v>0</v>
      </c>
      <c r="S1035" s="466">
        <v>0</v>
      </c>
      <c r="U1035" s="1248">
        <f t="shared" si="18"/>
        <v>1</v>
      </c>
      <c r="V1035" s="1304">
        <f t="shared" si="19"/>
        <v>0</v>
      </c>
    </row>
    <row r="1036" spans="1:22" ht="16.5" thickTop="1" thickBot="1">
      <c r="A1036" s="1244"/>
      <c r="B1036" s="1245" t="s">
        <v>91</v>
      </c>
      <c r="C1036" s="1328" t="s">
        <v>1585</v>
      </c>
      <c r="D1036" s="1327" t="s">
        <v>227</v>
      </c>
      <c r="E1036" s="1245" t="s">
        <v>2396</v>
      </c>
      <c r="F1036" s="457" t="s">
        <v>2397</v>
      </c>
      <c r="G1036" s="458" t="s">
        <v>155</v>
      </c>
      <c r="H1036" s="888"/>
      <c r="I1036" s="890"/>
      <c r="J1036" s="899">
        <v>10.006</v>
      </c>
      <c r="K1036" s="603">
        <v>9.0909090909090912E-2</v>
      </c>
      <c r="L1036" s="980"/>
      <c r="M1036" s="1245" t="s">
        <v>366</v>
      </c>
      <c r="N1036" s="604" t="s">
        <v>227</v>
      </c>
      <c r="O1036" s="463"/>
      <c r="P1036" s="434"/>
      <c r="Q1036" s="434"/>
      <c r="R1036" s="400">
        <v>0</v>
      </c>
      <c r="S1036" s="464">
        <v>0</v>
      </c>
      <c r="U1036" s="1248">
        <f t="shared" si="18"/>
        <v>1</v>
      </c>
      <c r="V1036" s="1304">
        <f t="shared" si="19"/>
        <v>0</v>
      </c>
    </row>
    <row r="1037" spans="1:22" ht="16.5" thickTop="1" thickBot="1">
      <c r="A1037" s="1244"/>
      <c r="B1037" s="1249" t="s">
        <v>734</v>
      </c>
      <c r="C1037" s="1329" t="s">
        <v>227</v>
      </c>
      <c r="D1037" s="1326" t="s">
        <v>227</v>
      </c>
      <c r="E1037" s="1249" t="s">
        <v>1597</v>
      </c>
      <c r="F1037" s="455" t="s">
        <v>816</v>
      </c>
      <c r="G1037" s="456" t="s">
        <v>156</v>
      </c>
      <c r="H1037" s="889">
        <v>13</v>
      </c>
      <c r="I1037" s="891"/>
      <c r="J1037" s="601"/>
      <c r="K1037" s="602">
        <v>0</v>
      </c>
      <c r="L1037" s="981">
        <v>1</v>
      </c>
      <c r="M1037" s="1249" t="s">
        <v>366</v>
      </c>
      <c r="N1037" s="604" t="s">
        <v>227</v>
      </c>
      <c r="O1037" s="465"/>
      <c r="P1037" s="435"/>
      <c r="Q1037" s="435"/>
      <c r="R1037" s="401">
        <v>0</v>
      </c>
      <c r="S1037" s="466">
        <v>0</v>
      </c>
      <c r="U1037" s="1248">
        <f t="shared" si="18"/>
        <v>1</v>
      </c>
      <c r="V1037" s="1304">
        <f t="shared" si="19"/>
        <v>1</v>
      </c>
    </row>
    <row r="1038" spans="1:22" ht="16.5" thickTop="1" thickBot="1">
      <c r="A1038" s="1244"/>
      <c r="B1038" s="1245" t="s">
        <v>734</v>
      </c>
      <c r="C1038" s="1328" t="s">
        <v>748</v>
      </c>
      <c r="D1038" s="1327" t="s">
        <v>227</v>
      </c>
      <c r="E1038" s="1245" t="s">
        <v>748</v>
      </c>
      <c r="F1038" s="457" t="s">
        <v>750</v>
      </c>
      <c r="G1038" s="458" t="s">
        <v>739</v>
      </c>
      <c r="H1038" s="888">
        <v>24</v>
      </c>
      <c r="I1038" s="890">
        <v>1132.933</v>
      </c>
      <c r="J1038" s="899">
        <v>1431.5170000000001</v>
      </c>
      <c r="K1038" s="603">
        <v>0.12987012987012986</v>
      </c>
      <c r="L1038" s="980">
        <v>4</v>
      </c>
      <c r="M1038" s="1245" t="s">
        <v>323</v>
      </c>
      <c r="N1038" s="604" t="s">
        <v>227</v>
      </c>
      <c r="O1038" s="463">
        <v>1</v>
      </c>
      <c r="P1038" s="434">
        <v>7.3579999999999997</v>
      </c>
      <c r="Q1038" s="434">
        <v>0</v>
      </c>
      <c r="R1038" s="400">
        <v>0</v>
      </c>
      <c r="S1038" s="464">
        <v>0</v>
      </c>
      <c r="U1038" s="1248">
        <f t="shared" si="18"/>
        <v>0</v>
      </c>
      <c r="V1038" s="1304">
        <f t="shared" si="19"/>
        <v>1</v>
      </c>
    </row>
    <row r="1039" spans="1:22" ht="16.5" thickTop="1" thickBot="1">
      <c r="A1039" s="1244"/>
      <c r="B1039" s="1249" t="s">
        <v>734</v>
      </c>
      <c r="C1039" s="1329" t="s">
        <v>748</v>
      </c>
      <c r="D1039" s="1326" t="s">
        <v>227</v>
      </c>
      <c r="E1039" s="1249" t="s">
        <v>773</v>
      </c>
      <c r="F1039" s="455" t="s">
        <v>774</v>
      </c>
      <c r="G1039" s="456" t="s">
        <v>157</v>
      </c>
      <c r="H1039" s="889">
        <v>24</v>
      </c>
      <c r="I1039" s="891">
        <v>88.311999999999998</v>
      </c>
      <c r="J1039" s="601">
        <v>164.66200000000001</v>
      </c>
      <c r="K1039" s="602">
        <v>0.140625</v>
      </c>
      <c r="L1039" s="981">
        <v>4</v>
      </c>
      <c r="M1039" s="1249" t="s">
        <v>366</v>
      </c>
      <c r="N1039" s="604" t="s">
        <v>227</v>
      </c>
      <c r="O1039" s="465"/>
      <c r="P1039" s="435">
        <v>26.295999999999999</v>
      </c>
      <c r="Q1039" s="435">
        <v>1</v>
      </c>
      <c r="R1039" s="401">
        <v>1</v>
      </c>
      <c r="S1039" s="466">
        <v>0.2</v>
      </c>
      <c r="U1039" s="1248">
        <f t="shared" si="18"/>
        <v>1</v>
      </c>
      <c r="V1039" s="1304">
        <f t="shared" si="19"/>
        <v>1</v>
      </c>
    </row>
    <row r="1040" spans="1:22" ht="16.5" thickTop="1" thickBot="1">
      <c r="A1040" s="1244"/>
      <c r="B1040" s="1245" t="s">
        <v>734</v>
      </c>
      <c r="C1040" s="1328" t="s">
        <v>748</v>
      </c>
      <c r="D1040" s="1327" t="s">
        <v>227</v>
      </c>
      <c r="E1040" s="1245" t="s">
        <v>847</v>
      </c>
      <c r="F1040" s="457" t="s">
        <v>848</v>
      </c>
      <c r="G1040" s="458" t="s">
        <v>156</v>
      </c>
      <c r="H1040" s="888">
        <v>23</v>
      </c>
      <c r="I1040" s="890">
        <v>377.78100000000001</v>
      </c>
      <c r="J1040" s="899">
        <v>385.392</v>
      </c>
      <c r="K1040" s="603">
        <v>0.28000000000000003</v>
      </c>
      <c r="L1040" s="980">
        <v>1</v>
      </c>
      <c r="M1040" s="1245" t="s">
        <v>321</v>
      </c>
      <c r="N1040" s="604" t="s">
        <v>227</v>
      </c>
      <c r="O1040" s="463"/>
      <c r="P1040" s="434">
        <v>0</v>
      </c>
      <c r="Q1040" s="434"/>
      <c r="R1040" s="400">
        <v>0</v>
      </c>
      <c r="S1040" s="464">
        <v>0</v>
      </c>
      <c r="U1040" s="1248">
        <f t="shared" si="18"/>
        <v>0</v>
      </c>
      <c r="V1040" s="1304">
        <f t="shared" si="19"/>
        <v>1</v>
      </c>
    </row>
    <row r="1041" spans="1:22" ht="16.5" thickTop="1" thickBot="1">
      <c r="A1041" s="1244"/>
      <c r="B1041" s="1249" t="s">
        <v>734</v>
      </c>
      <c r="C1041" s="1329" t="s">
        <v>748</v>
      </c>
      <c r="D1041" s="1326" t="s">
        <v>227</v>
      </c>
      <c r="E1041" s="1249" t="s">
        <v>874</v>
      </c>
      <c r="F1041" s="455" t="s">
        <v>876</v>
      </c>
      <c r="G1041" s="456" t="s">
        <v>157</v>
      </c>
      <c r="H1041" s="889">
        <v>21</v>
      </c>
      <c r="I1041" s="891">
        <v>34.01</v>
      </c>
      <c r="J1041" s="601">
        <v>343.19200000000001</v>
      </c>
      <c r="K1041" s="602">
        <v>0.13148788927335639</v>
      </c>
      <c r="L1041" s="981">
        <v>6</v>
      </c>
      <c r="M1041" s="1249" t="s">
        <v>321</v>
      </c>
      <c r="N1041" s="604" t="s">
        <v>227</v>
      </c>
      <c r="O1041" s="465"/>
      <c r="P1041" s="435">
        <v>0</v>
      </c>
      <c r="Q1041" s="435"/>
      <c r="R1041" s="401">
        <v>0</v>
      </c>
      <c r="S1041" s="466">
        <v>0</v>
      </c>
      <c r="U1041" s="1248">
        <f t="shared" si="18"/>
        <v>0</v>
      </c>
      <c r="V1041" s="1304">
        <f t="shared" si="19"/>
        <v>1</v>
      </c>
    </row>
    <row r="1042" spans="1:22" ht="16.5" thickTop="1" thickBot="1">
      <c r="A1042" s="1244"/>
      <c r="B1042" s="1245" t="s">
        <v>734</v>
      </c>
      <c r="C1042" s="1328" t="s">
        <v>748</v>
      </c>
      <c r="D1042" s="1327" t="s">
        <v>227</v>
      </c>
      <c r="E1042" s="1245" t="s">
        <v>938</v>
      </c>
      <c r="F1042" s="457" t="s">
        <v>939</v>
      </c>
      <c r="G1042" s="458" t="s">
        <v>156</v>
      </c>
      <c r="H1042" s="888">
        <v>21</v>
      </c>
      <c r="I1042" s="890">
        <v>30</v>
      </c>
      <c r="J1042" s="899">
        <v>30</v>
      </c>
      <c r="K1042" s="603">
        <v>7.6923076923076927E-2</v>
      </c>
      <c r="L1042" s="980">
        <v>1</v>
      </c>
      <c r="M1042" s="1245" t="s">
        <v>366</v>
      </c>
      <c r="N1042" s="604" t="s">
        <v>227</v>
      </c>
      <c r="O1042" s="463"/>
      <c r="P1042" s="434">
        <v>0</v>
      </c>
      <c r="Q1042" s="434"/>
      <c r="R1042" s="400">
        <v>0</v>
      </c>
      <c r="S1042" s="464">
        <v>0</v>
      </c>
      <c r="U1042" s="1248">
        <f t="shared" si="18"/>
        <v>1</v>
      </c>
      <c r="V1042" s="1304">
        <f t="shared" si="19"/>
        <v>1</v>
      </c>
    </row>
    <row r="1043" spans="1:22" ht="16.5" thickTop="1" thickBot="1">
      <c r="A1043" s="1244"/>
      <c r="B1043" s="1249" t="s">
        <v>734</v>
      </c>
      <c r="C1043" s="1329" t="s">
        <v>748</v>
      </c>
      <c r="D1043" s="1326" t="s">
        <v>227</v>
      </c>
      <c r="E1043" s="1249" t="s">
        <v>923</v>
      </c>
      <c r="F1043" s="455" t="s">
        <v>925</v>
      </c>
      <c r="G1043" s="456" t="s">
        <v>157</v>
      </c>
      <c r="H1043" s="889">
        <v>20</v>
      </c>
      <c r="I1043" s="891">
        <v>509.32799999999997</v>
      </c>
      <c r="J1043" s="601">
        <v>1220.0989999999999</v>
      </c>
      <c r="K1043" s="602">
        <v>0.25624999999999998</v>
      </c>
      <c r="L1043" s="981">
        <v>10</v>
      </c>
      <c r="M1043" s="1249" t="s">
        <v>323</v>
      </c>
      <c r="N1043" s="604" t="s">
        <v>227</v>
      </c>
      <c r="O1043" s="465"/>
      <c r="P1043" s="435">
        <v>38.222000000000001</v>
      </c>
      <c r="Q1043" s="435">
        <v>3</v>
      </c>
      <c r="R1043" s="401">
        <v>3</v>
      </c>
      <c r="S1043" s="466">
        <v>0.2608695652173913</v>
      </c>
      <c r="U1043" s="1248">
        <f t="shared" si="18"/>
        <v>0</v>
      </c>
      <c r="V1043" s="1304">
        <f t="shared" si="19"/>
        <v>1</v>
      </c>
    </row>
    <row r="1044" spans="1:22" ht="16.5" thickTop="1" thickBot="1">
      <c r="A1044" s="1244"/>
      <c r="B1044" s="1245" t="s">
        <v>734</v>
      </c>
      <c r="C1044" s="1328" t="s">
        <v>748</v>
      </c>
      <c r="D1044" s="1327" t="s">
        <v>227</v>
      </c>
      <c r="E1044" s="1245" t="s">
        <v>926</v>
      </c>
      <c r="F1044" s="457" t="s">
        <v>928</v>
      </c>
      <c r="G1044" s="458" t="s">
        <v>157</v>
      </c>
      <c r="H1044" s="888">
        <v>20</v>
      </c>
      <c r="I1044" s="890">
        <v>110.72799999999999</v>
      </c>
      <c r="J1044" s="899">
        <v>340.56900000000002</v>
      </c>
      <c r="K1044" s="603">
        <v>0.28799999999999998</v>
      </c>
      <c r="L1044" s="980">
        <v>7</v>
      </c>
      <c r="M1044" s="1245" t="s">
        <v>321</v>
      </c>
      <c r="N1044" s="604" t="s">
        <v>227</v>
      </c>
      <c r="O1044" s="463"/>
      <c r="P1044" s="434">
        <v>10.808999999999999</v>
      </c>
      <c r="Q1044" s="434">
        <v>1</v>
      </c>
      <c r="R1044" s="400">
        <v>1</v>
      </c>
      <c r="S1044" s="464">
        <v>0.14285714285714285</v>
      </c>
      <c r="U1044" s="1248">
        <f t="shared" si="18"/>
        <v>0</v>
      </c>
      <c r="V1044" s="1304">
        <f t="shared" si="19"/>
        <v>1</v>
      </c>
    </row>
    <row r="1045" spans="1:22" ht="16.5" thickTop="1" thickBot="1">
      <c r="A1045" s="1244"/>
      <c r="B1045" s="1249" t="s">
        <v>734</v>
      </c>
      <c r="C1045" s="1329" t="s">
        <v>748</v>
      </c>
      <c r="D1045" s="1326" t="s">
        <v>227</v>
      </c>
      <c r="E1045" s="1249" t="s">
        <v>940</v>
      </c>
      <c r="F1045" s="455" t="s">
        <v>941</v>
      </c>
      <c r="G1045" s="456" t="s">
        <v>156</v>
      </c>
      <c r="H1045" s="889">
        <v>20</v>
      </c>
      <c r="I1045" s="891">
        <v>27.997</v>
      </c>
      <c r="J1045" s="601">
        <v>107.48099999999999</v>
      </c>
      <c r="K1045" s="602">
        <v>0.27692307692307694</v>
      </c>
      <c r="L1045" s="981">
        <v>2</v>
      </c>
      <c r="M1045" s="1249" t="s">
        <v>366</v>
      </c>
      <c r="N1045" s="604" t="s">
        <v>227</v>
      </c>
      <c r="O1045" s="465"/>
      <c r="P1045" s="435">
        <v>7.843</v>
      </c>
      <c r="Q1045" s="435">
        <v>1</v>
      </c>
      <c r="R1045" s="401">
        <v>1</v>
      </c>
      <c r="S1045" s="466">
        <v>0.5</v>
      </c>
      <c r="U1045" s="1248">
        <f t="shared" si="18"/>
        <v>1</v>
      </c>
      <c r="V1045" s="1304">
        <f t="shared" si="19"/>
        <v>1</v>
      </c>
    </row>
    <row r="1046" spans="1:22" ht="16.5" thickTop="1" thickBot="1">
      <c r="A1046" s="1244"/>
      <c r="B1046" s="1245" t="s">
        <v>734</v>
      </c>
      <c r="C1046" s="1328" t="s">
        <v>748</v>
      </c>
      <c r="D1046" s="1327" t="s">
        <v>227</v>
      </c>
      <c r="E1046" s="1245" t="s">
        <v>964</v>
      </c>
      <c r="F1046" s="457" t="s">
        <v>966</v>
      </c>
      <c r="G1046" s="458" t="s">
        <v>157</v>
      </c>
      <c r="H1046" s="888">
        <v>19</v>
      </c>
      <c r="I1046" s="890">
        <v>12.952999999999999</v>
      </c>
      <c r="J1046" s="899">
        <v>172.232</v>
      </c>
      <c r="K1046" s="603">
        <v>2.8169014084507043E-2</v>
      </c>
      <c r="L1046" s="980">
        <v>3</v>
      </c>
      <c r="M1046" s="1245" t="s">
        <v>366</v>
      </c>
      <c r="N1046" s="604" t="s">
        <v>227</v>
      </c>
      <c r="O1046" s="463"/>
      <c r="P1046" s="434"/>
      <c r="Q1046" s="434"/>
      <c r="R1046" s="400">
        <v>0</v>
      </c>
      <c r="S1046" s="464">
        <v>0</v>
      </c>
      <c r="U1046" s="1248">
        <f t="shared" si="18"/>
        <v>1</v>
      </c>
      <c r="V1046" s="1304">
        <f t="shared" si="19"/>
        <v>1</v>
      </c>
    </row>
    <row r="1047" spans="1:22" ht="16.5" thickTop="1" thickBot="1">
      <c r="A1047" s="1244"/>
      <c r="B1047" s="1249" t="s">
        <v>734</v>
      </c>
      <c r="C1047" s="1329" t="s">
        <v>748</v>
      </c>
      <c r="D1047" s="1326" t="s">
        <v>227</v>
      </c>
      <c r="E1047" s="1249" t="s">
        <v>997</v>
      </c>
      <c r="F1047" s="455" t="s">
        <v>968</v>
      </c>
      <c r="G1047" s="456" t="s">
        <v>156</v>
      </c>
      <c r="H1047" s="889">
        <v>19</v>
      </c>
      <c r="I1047" s="891">
        <v>44.720999999999997</v>
      </c>
      <c r="J1047" s="601">
        <v>56.948999999999998</v>
      </c>
      <c r="K1047" s="602">
        <v>0.15584415584415584</v>
      </c>
      <c r="L1047" s="981">
        <v>1</v>
      </c>
      <c r="M1047" s="1249" t="s">
        <v>366</v>
      </c>
      <c r="N1047" s="604" t="s">
        <v>227</v>
      </c>
      <c r="O1047" s="465"/>
      <c r="P1047" s="435">
        <v>9.2690000000000001</v>
      </c>
      <c r="Q1047" s="435">
        <v>1</v>
      </c>
      <c r="R1047" s="401">
        <v>1</v>
      </c>
      <c r="S1047" s="466">
        <v>1</v>
      </c>
      <c r="U1047" s="1248">
        <f t="shared" si="18"/>
        <v>1</v>
      </c>
      <c r="V1047" s="1304">
        <f t="shared" si="19"/>
        <v>1</v>
      </c>
    </row>
    <row r="1048" spans="1:22" ht="16.5" thickTop="1" thickBot="1">
      <c r="A1048" s="1244"/>
      <c r="B1048" s="1245" t="s">
        <v>734</v>
      </c>
      <c r="C1048" s="1328" t="s">
        <v>748</v>
      </c>
      <c r="D1048" s="1327" t="s">
        <v>227</v>
      </c>
      <c r="E1048" s="1245" t="s">
        <v>1001</v>
      </c>
      <c r="F1048" s="457" t="s">
        <v>1002</v>
      </c>
      <c r="G1048" s="458" t="s">
        <v>156</v>
      </c>
      <c r="H1048" s="888">
        <v>19</v>
      </c>
      <c r="I1048" s="890">
        <v>118.867</v>
      </c>
      <c r="J1048" s="899">
        <v>224.01300000000001</v>
      </c>
      <c r="K1048" s="603">
        <v>0.1</v>
      </c>
      <c r="L1048" s="980">
        <v>4</v>
      </c>
      <c r="M1048" s="1245" t="s">
        <v>322</v>
      </c>
      <c r="N1048" s="604" t="s">
        <v>227</v>
      </c>
      <c r="O1048" s="463"/>
      <c r="P1048" s="434">
        <v>5.9669999999999996</v>
      </c>
      <c r="Q1048" s="434">
        <v>1</v>
      </c>
      <c r="R1048" s="400">
        <v>1</v>
      </c>
      <c r="S1048" s="464">
        <v>0.22222222222222221</v>
      </c>
      <c r="U1048" s="1248">
        <f t="shared" si="18"/>
        <v>0</v>
      </c>
      <c r="V1048" s="1304">
        <f t="shared" si="19"/>
        <v>1</v>
      </c>
    </row>
    <row r="1049" spans="1:22" ht="16.5" thickTop="1" thickBot="1">
      <c r="A1049" s="1244"/>
      <c r="B1049" s="1249" t="s">
        <v>734</v>
      </c>
      <c r="C1049" s="1329" t="s">
        <v>748</v>
      </c>
      <c r="D1049" s="1326" t="s">
        <v>227</v>
      </c>
      <c r="E1049" s="1249" t="s">
        <v>1069</v>
      </c>
      <c r="F1049" s="455" t="s">
        <v>1070</v>
      </c>
      <c r="G1049" s="456" t="s">
        <v>156</v>
      </c>
      <c r="H1049" s="889">
        <v>18</v>
      </c>
      <c r="I1049" s="891">
        <v>18.594999999999999</v>
      </c>
      <c r="J1049" s="601">
        <v>138.82599999999999</v>
      </c>
      <c r="K1049" s="602">
        <v>0.1</v>
      </c>
      <c r="L1049" s="981">
        <v>3</v>
      </c>
      <c r="M1049" s="1249" t="s">
        <v>366</v>
      </c>
      <c r="N1049" s="604" t="s">
        <v>227</v>
      </c>
      <c r="O1049" s="465"/>
      <c r="P1049" s="435"/>
      <c r="Q1049" s="435"/>
      <c r="R1049" s="401">
        <v>0</v>
      </c>
      <c r="S1049" s="466">
        <v>0</v>
      </c>
      <c r="U1049" s="1248">
        <f t="shared" si="18"/>
        <v>1</v>
      </c>
      <c r="V1049" s="1304">
        <f t="shared" si="19"/>
        <v>1</v>
      </c>
    </row>
    <row r="1050" spans="1:22" ht="16.5" thickTop="1" thickBot="1">
      <c r="A1050" s="1244"/>
      <c r="B1050" s="1245" t="s">
        <v>734</v>
      </c>
      <c r="C1050" s="1328" t="s">
        <v>748</v>
      </c>
      <c r="D1050" s="1327" t="s">
        <v>227</v>
      </c>
      <c r="E1050" s="1245" t="s">
        <v>1071</v>
      </c>
      <c r="F1050" s="457" t="s">
        <v>816</v>
      </c>
      <c r="G1050" s="458" t="s">
        <v>156</v>
      </c>
      <c r="H1050" s="888">
        <v>18</v>
      </c>
      <c r="I1050" s="890">
        <v>101.36199999999999</v>
      </c>
      <c r="J1050" s="899">
        <v>122.197</v>
      </c>
      <c r="K1050" s="603">
        <v>0.28169014084507044</v>
      </c>
      <c r="L1050" s="980">
        <v>3</v>
      </c>
      <c r="M1050" s="1245" t="s">
        <v>366</v>
      </c>
      <c r="N1050" s="604" t="s">
        <v>227</v>
      </c>
      <c r="O1050" s="463">
        <v>1</v>
      </c>
      <c r="P1050" s="434">
        <v>5.242</v>
      </c>
      <c r="Q1050" s="434">
        <v>2</v>
      </c>
      <c r="R1050" s="400">
        <v>1</v>
      </c>
      <c r="S1050" s="464">
        <v>0.4</v>
      </c>
      <c r="U1050" s="1248">
        <f t="shared" si="18"/>
        <v>1</v>
      </c>
      <c r="V1050" s="1304">
        <f t="shared" si="19"/>
        <v>1</v>
      </c>
    </row>
    <row r="1051" spans="1:22" ht="16.5" thickTop="1" thickBot="1">
      <c r="A1051" s="1244"/>
      <c r="B1051" s="1249" t="s">
        <v>734</v>
      </c>
      <c r="C1051" s="1329" t="s">
        <v>748</v>
      </c>
      <c r="D1051" s="1326" t="s">
        <v>227</v>
      </c>
      <c r="E1051" s="1249" t="s">
        <v>1228</v>
      </c>
      <c r="F1051" s="455" t="s">
        <v>1229</v>
      </c>
      <c r="G1051" s="456" t="s">
        <v>156</v>
      </c>
      <c r="H1051" s="889">
        <v>17</v>
      </c>
      <c r="I1051" s="891">
        <v>17.512</v>
      </c>
      <c r="J1051" s="601">
        <v>122.405</v>
      </c>
      <c r="K1051" s="602">
        <v>0.11363636363636363</v>
      </c>
      <c r="L1051" s="981">
        <v>2</v>
      </c>
      <c r="M1051" s="1249" t="s">
        <v>366</v>
      </c>
      <c r="N1051" s="604" t="s">
        <v>227</v>
      </c>
      <c r="O1051" s="465"/>
      <c r="P1051" s="435"/>
      <c r="Q1051" s="435"/>
      <c r="R1051" s="401">
        <v>0</v>
      </c>
      <c r="S1051" s="466">
        <v>0</v>
      </c>
      <c r="U1051" s="1248">
        <f t="shared" si="18"/>
        <v>1</v>
      </c>
      <c r="V1051" s="1304">
        <f t="shared" si="19"/>
        <v>1</v>
      </c>
    </row>
    <row r="1052" spans="1:22" ht="16.5" thickTop="1" thickBot="1">
      <c r="A1052" s="1244"/>
      <c r="B1052" s="1245" t="s">
        <v>734</v>
      </c>
      <c r="C1052" s="1328" t="s">
        <v>748</v>
      </c>
      <c r="D1052" s="1327" t="s">
        <v>227</v>
      </c>
      <c r="E1052" s="1245" t="s">
        <v>1691</v>
      </c>
      <c r="F1052" s="457" t="s">
        <v>1693</v>
      </c>
      <c r="G1052" s="458" t="s">
        <v>157</v>
      </c>
      <c r="H1052" s="888">
        <v>17</v>
      </c>
      <c r="I1052" s="890">
        <v>1351.1849999999999</v>
      </c>
      <c r="J1052" s="899">
        <v>1871.981</v>
      </c>
      <c r="K1052" s="603">
        <v>0.27027027027027029</v>
      </c>
      <c r="L1052" s="980">
        <v>3</v>
      </c>
      <c r="M1052" s="1245" t="s">
        <v>323</v>
      </c>
      <c r="N1052" s="604" t="s">
        <v>227</v>
      </c>
      <c r="O1052" s="463"/>
      <c r="P1052" s="434">
        <v>20.001000000000001</v>
      </c>
      <c r="Q1052" s="434">
        <v>1</v>
      </c>
      <c r="R1052" s="400">
        <v>1</v>
      </c>
      <c r="S1052" s="464">
        <v>0.22222222222222221</v>
      </c>
      <c r="U1052" s="1248">
        <f t="shared" si="18"/>
        <v>0</v>
      </c>
      <c r="V1052" s="1304">
        <f t="shared" si="19"/>
        <v>1</v>
      </c>
    </row>
    <row r="1053" spans="1:22" ht="16.5" thickTop="1" thickBot="1">
      <c r="A1053" s="1244"/>
      <c r="B1053" s="1249" t="s">
        <v>734</v>
      </c>
      <c r="C1053" s="1329" t="s">
        <v>748</v>
      </c>
      <c r="D1053" s="1326" t="s">
        <v>227</v>
      </c>
      <c r="E1053" s="1249" t="s">
        <v>1325</v>
      </c>
      <c r="F1053" s="455" t="s">
        <v>1326</v>
      </c>
      <c r="G1053" s="456" t="s">
        <v>156</v>
      </c>
      <c r="H1053" s="889">
        <v>17</v>
      </c>
      <c r="I1053" s="891">
        <v>83.186999999999998</v>
      </c>
      <c r="J1053" s="601">
        <v>111.099</v>
      </c>
      <c r="K1053" s="602">
        <v>0.14457831325301204</v>
      </c>
      <c r="L1053" s="981">
        <v>4</v>
      </c>
      <c r="M1053" s="1249" t="s">
        <v>366</v>
      </c>
      <c r="N1053" s="604" t="s">
        <v>227</v>
      </c>
      <c r="O1053" s="465">
        <v>1</v>
      </c>
      <c r="P1053" s="435">
        <v>0</v>
      </c>
      <c r="Q1053" s="435"/>
      <c r="R1053" s="401">
        <v>0</v>
      </c>
      <c r="S1053" s="466">
        <v>0</v>
      </c>
      <c r="U1053" s="1248">
        <f t="shared" si="18"/>
        <v>1</v>
      </c>
      <c r="V1053" s="1304">
        <f t="shared" si="19"/>
        <v>1</v>
      </c>
    </row>
    <row r="1054" spans="1:22" ht="16.5" thickTop="1" thickBot="1">
      <c r="A1054" s="1244"/>
      <c r="B1054" s="1245" t="s">
        <v>734</v>
      </c>
      <c r="C1054" s="1328" t="s">
        <v>748</v>
      </c>
      <c r="D1054" s="1327" t="s">
        <v>227</v>
      </c>
      <c r="E1054" s="1245" t="s">
        <v>1335</v>
      </c>
      <c r="F1054" s="457" t="s">
        <v>1336</v>
      </c>
      <c r="G1054" s="458" t="s">
        <v>155</v>
      </c>
      <c r="H1054" s="888"/>
      <c r="I1054" s="890"/>
      <c r="J1054" s="899">
        <v>46.502000000000002</v>
      </c>
      <c r="K1054" s="603">
        <v>0.11363636363636363</v>
      </c>
      <c r="L1054" s="980"/>
      <c r="M1054" s="1245" t="s">
        <v>366</v>
      </c>
      <c r="N1054" s="604" t="s">
        <v>227</v>
      </c>
      <c r="O1054" s="463"/>
      <c r="P1054" s="434"/>
      <c r="Q1054" s="434"/>
      <c r="R1054" s="400">
        <v>0</v>
      </c>
      <c r="S1054" s="464">
        <v>0</v>
      </c>
      <c r="U1054" s="1248">
        <f t="shared" si="18"/>
        <v>1</v>
      </c>
      <c r="V1054" s="1304">
        <f t="shared" si="19"/>
        <v>0</v>
      </c>
    </row>
    <row r="1055" spans="1:22" ht="16.5" thickTop="1" thickBot="1">
      <c r="A1055" s="1244"/>
      <c r="B1055" s="1249" t="s">
        <v>734</v>
      </c>
      <c r="C1055" s="1329" t="s">
        <v>748</v>
      </c>
      <c r="D1055" s="1326" t="s">
        <v>227</v>
      </c>
      <c r="E1055" s="1249" t="s">
        <v>1728</v>
      </c>
      <c r="F1055" s="455" t="s">
        <v>1729</v>
      </c>
      <c r="G1055" s="456" t="s">
        <v>156</v>
      </c>
      <c r="H1055" s="889">
        <v>15</v>
      </c>
      <c r="I1055" s="891">
        <v>702.97199999999998</v>
      </c>
      <c r="J1055" s="601">
        <v>744.75599999999997</v>
      </c>
      <c r="K1055" s="602">
        <v>0.2318840579710145</v>
      </c>
      <c r="L1055" s="981">
        <v>2</v>
      </c>
      <c r="M1055" s="1249" t="s">
        <v>323</v>
      </c>
      <c r="N1055" s="604" t="s">
        <v>227</v>
      </c>
      <c r="O1055" s="465"/>
      <c r="P1055" s="435"/>
      <c r="Q1055" s="435"/>
      <c r="R1055" s="401">
        <v>0</v>
      </c>
      <c r="S1055" s="466">
        <v>0</v>
      </c>
      <c r="U1055" s="1248">
        <f t="shared" si="18"/>
        <v>0</v>
      </c>
      <c r="V1055" s="1304">
        <f t="shared" si="19"/>
        <v>1</v>
      </c>
    </row>
    <row r="1056" spans="1:22" ht="16.5" thickTop="1" thickBot="1">
      <c r="A1056" s="1244"/>
      <c r="B1056" s="1245" t="s">
        <v>734</v>
      </c>
      <c r="C1056" s="1328" t="s">
        <v>748</v>
      </c>
      <c r="D1056" s="1327" t="s">
        <v>227</v>
      </c>
      <c r="E1056" s="1245" t="s">
        <v>1503</v>
      </c>
      <c r="F1056" s="457" t="s">
        <v>1057</v>
      </c>
      <c r="G1056" s="458" t="s">
        <v>156</v>
      </c>
      <c r="H1056" s="888">
        <v>15</v>
      </c>
      <c r="I1056" s="890">
        <v>231.583</v>
      </c>
      <c r="J1056" s="899">
        <v>466.43299999999999</v>
      </c>
      <c r="K1056" s="603">
        <v>0.47524752475247523</v>
      </c>
      <c r="L1056" s="980">
        <v>8</v>
      </c>
      <c r="M1056" s="1245" t="s">
        <v>323</v>
      </c>
      <c r="N1056" s="604" t="s">
        <v>227</v>
      </c>
      <c r="O1056" s="463">
        <v>2</v>
      </c>
      <c r="P1056" s="434">
        <v>20.055</v>
      </c>
      <c r="Q1056" s="434">
        <v>2</v>
      </c>
      <c r="R1056" s="400">
        <v>1</v>
      </c>
      <c r="S1056" s="464">
        <v>0.14285714285714285</v>
      </c>
      <c r="U1056" s="1248">
        <f t="shared" si="18"/>
        <v>0</v>
      </c>
      <c r="V1056" s="1304">
        <f t="shared" si="19"/>
        <v>1</v>
      </c>
    </row>
    <row r="1057" spans="1:22" ht="16.5" thickTop="1" thickBot="1">
      <c r="A1057" s="1244"/>
      <c r="B1057" s="1249" t="s">
        <v>734</v>
      </c>
      <c r="C1057" s="1329" t="s">
        <v>748</v>
      </c>
      <c r="D1057" s="1326" t="s">
        <v>227</v>
      </c>
      <c r="E1057" s="1249" t="s">
        <v>1437</v>
      </c>
      <c r="F1057" s="455" t="s">
        <v>1438</v>
      </c>
      <c r="G1057" s="456" t="s">
        <v>156</v>
      </c>
      <c r="H1057" s="889">
        <v>14</v>
      </c>
      <c r="I1057" s="891">
        <v>17.027999999999999</v>
      </c>
      <c r="J1057" s="601">
        <v>26.747</v>
      </c>
      <c r="K1057" s="602">
        <v>3.8461538461538464E-2</v>
      </c>
      <c r="L1057" s="981">
        <v>1</v>
      </c>
      <c r="M1057" s="1249" t="s">
        <v>366</v>
      </c>
      <c r="N1057" s="604" t="s">
        <v>227</v>
      </c>
      <c r="O1057" s="465"/>
      <c r="P1057" s="435"/>
      <c r="Q1057" s="435"/>
      <c r="R1057" s="401">
        <v>0</v>
      </c>
      <c r="S1057" s="466">
        <v>0</v>
      </c>
      <c r="U1057" s="1248">
        <f t="shared" si="18"/>
        <v>1</v>
      </c>
      <c r="V1057" s="1304">
        <f t="shared" si="19"/>
        <v>1</v>
      </c>
    </row>
    <row r="1058" spans="1:22" ht="16.5" thickTop="1" thickBot="1">
      <c r="A1058" s="1244"/>
      <c r="B1058" s="1245" t="s">
        <v>734</v>
      </c>
      <c r="C1058" s="1328" t="s">
        <v>748</v>
      </c>
      <c r="D1058" s="1327" t="s">
        <v>227</v>
      </c>
      <c r="E1058" s="1245" t="s">
        <v>1645</v>
      </c>
      <c r="F1058" s="457" t="s">
        <v>1646</v>
      </c>
      <c r="G1058" s="458" t="s">
        <v>155</v>
      </c>
      <c r="H1058" s="888"/>
      <c r="I1058" s="890"/>
      <c r="J1058" s="899">
        <v>78.647999999999996</v>
      </c>
      <c r="K1058" s="603">
        <v>0.15094339622641509</v>
      </c>
      <c r="L1058" s="980">
        <v>1</v>
      </c>
      <c r="M1058" s="1245" t="s">
        <v>366</v>
      </c>
      <c r="N1058" s="604" t="s">
        <v>227</v>
      </c>
      <c r="O1058" s="463"/>
      <c r="P1058" s="434"/>
      <c r="Q1058" s="434"/>
      <c r="R1058" s="400">
        <v>0</v>
      </c>
      <c r="S1058" s="464">
        <v>0</v>
      </c>
      <c r="U1058" s="1248">
        <f t="shared" si="18"/>
        <v>1</v>
      </c>
      <c r="V1058" s="1304">
        <f t="shared" si="19"/>
        <v>0</v>
      </c>
    </row>
    <row r="1059" spans="1:22" ht="16.5" thickTop="1" thickBot="1">
      <c r="A1059" s="1244"/>
      <c r="B1059" s="1249" t="s">
        <v>734</v>
      </c>
      <c r="C1059" s="1329" t="s">
        <v>748</v>
      </c>
      <c r="D1059" s="1326" t="s">
        <v>227</v>
      </c>
      <c r="E1059" s="1249" t="s">
        <v>1636</v>
      </c>
      <c r="F1059" s="455" t="s">
        <v>992</v>
      </c>
      <c r="G1059" s="456" t="s">
        <v>156</v>
      </c>
      <c r="H1059" s="889">
        <v>13</v>
      </c>
      <c r="I1059" s="891">
        <v>78.941999999999993</v>
      </c>
      <c r="J1059" s="601">
        <v>292.11799999999999</v>
      </c>
      <c r="K1059" s="602">
        <v>0.33333333333333331</v>
      </c>
      <c r="L1059" s="981">
        <v>3</v>
      </c>
      <c r="M1059" s="1249" t="s">
        <v>321</v>
      </c>
      <c r="N1059" s="604" t="s">
        <v>227</v>
      </c>
      <c r="O1059" s="465"/>
      <c r="P1059" s="435">
        <v>11.285</v>
      </c>
      <c r="Q1059" s="435">
        <v>1</v>
      </c>
      <c r="R1059" s="401">
        <v>1</v>
      </c>
      <c r="S1059" s="466">
        <v>0.2857142857142857</v>
      </c>
      <c r="U1059" s="1248">
        <f t="shared" si="18"/>
        <v>0</v>
      </c>
      <c r="V1059" s="1304">
        <f t="shared" si="19"/>
        <v>1</v>
      </c>
    </row>
    <row r="1060" spans="1:22" ht="16.5" thickTop="1" thickBot="1">
      <c r="A1060" s="1244"/>
      <c r="B1060" s="1245" t="s">
        <v>734</v>
      </c>
      <c r="C1060" s="1328" t="s">
        <v>748</v>
      </c>
      <c r="D1060" s="1327" t="s">
        <v>227</v>
      </c>
      <c r="E1060" s="1245" t="s">
        <v>1730</v>
      </c>
      <c r="F1060" s="457" t="s">
        <v>1731</v>
      </c>
      <c r="G1060" s="458" t="s">
        <v>156</v>
      </c>
      <c r="H1060" s="888">
        <v>11</v>
      </c>
      <c r="I1060" s="890">
        <v>216.13</v>
      </c>
      <c r="J1060" s="899">
        <v>346.86200000000002</v>
      </c>
      <c r="K1060" s="603">
        <v>0.19718309859154928</v>
      </c>
      <c r="L1060" s="980">
        <v>6</v>
      </c>
      <c r="M1060" s="1245" t="s">
        <v>323</v>
      </c>
      <c r="N1060" s="604" t="s">
        <v>227</v>
      </c>
      <c r="O1060" s="463">
        <v>1</v>
      </c>
      <c r="P1060" s="434">
        <v>26.084</v>
      </c>
      <c r="Q1060" s="434">
        <v>2</v>
      </c>
      <c r="R1060" s="400">
        <v>2</v>
      </c>
      <c r="S1060" s="464">
        <v>0.2857142857142857</v>
      </c>
      <c r="U1060" s="1248">
        <f t="shared" si="18"/>
        <v>0</v>
      </c>
      <c r="V1060" s="1304">
        <f t="shared" si="19"/>
        <v>1</v>
      </c>
    </row>
    <row r="1061" spans="1:22" ht="16.5" thickTop="1" thickBot="1">
      <c r="A1061" s="1244"/>
      <c r="B1061" s="1249" t="s">
        <v>734</v>
      </c>
      <c r="C1061" s="1329" t="s">
        <v>748</v>
      </c>
      <c r="D1061" s="1326" t="s">
        <v>227</v>
      </c>
      <c r="E1061" s="1249" t="s">
        <v>1732</v>
      </c>
      <c r="F1061" s="455" t="s">
        <v>1733</v>
      </c>
      <c r="G1061" s="456" t="s">
        <v>155</v>
      </c>
      <c r="H1061" s="889"/>
      <c r="I1061" s="891"/>
      <c r="J1061" s="601">
        <v>167.542</v>
      </c>
      <c r="K1061" s="602">
        <v>0.16981132075471697</v>
      </c>
      <c r="L1061" s="981">
        <v>4</v>
      </c>
      <c r="M1061" s="1249" t="s">
        <v>366</v>
      </c>
      <c r="N1061" s="604" t="s">
        <v>227</v>
      </c>
      <c r="O1061" s="465"/>
      <c r="P1061" s="435">
        <v>3.7509999999999999</v>
      </c>
      <c r="Q1061" s="435">
        <v>1</v>
      </c>
      <c r="R1061" s="401">
        <v>1</v>
      </c>
      <c r="S1061" s="466">
        <v>0.22222222222222221</v>
      </c>
      <c r="U1061" s="1248">
        <f t="shared" si="18"/>
        <v>1</v>
      </c>
      <c r="V1061" s="1304">
        <f t="shared" si="19"/>
        <v>0</v>
      </c>
    </row>
    <row r="1062" spans="1:22" ht="16.5" thickTop="1" thickBot="1">
      <c r="A1062" s="1244"/>
      <c r="B1062" s="1245" t="s">
        <v>734</v>
      </c>
      <c r="C1062" s="1328" t="s">
        <v>748</v>
      </c>
      <c r="D1062" s="1327" t="s">
        <v>227</v>
      </c>
      <c r="E1062" s="1245" t="s">
        <v>1881</v>
      </c>
      <c r="F1062" s="457" t="s">
        <v>1883</v>
      </c>
      <c r="G1062" s="458" t="s">
        <v>157</v>
      </c>
      <c r="H1062" s="888">
        <v>11</v>
      </c>
      <c r="I1062" s="890">
        <v>42.052</v>
      </c>
      <c r="J1062" s="899">
        <v>42.052</v>
      </c>
      <c r="K1062" s="603">
        <v>6.0606060606060608E-2</v>
      </c>
      <c r="L1062" s="980">
        <v>1</v>
      </c>
      <c r="M1062" s="1245" t="s">
        <v>366</v>
      </c>
      <c r="N1062" s="604" t="s">
        <v>227</v>
      </c>
      <c r="O1062" s="463"/>
      <c r="P1062" s="434"/>
      <c r="Q1062" s="434"/>
      <c r="R1062" s="400">
        <v>0</v>
      </c>
      <c r="S1062" s="464">
        <v>0</v>
      </c>
      <c r="U1062" s="1248">
        <f t="shared" si="18"/>
        <v>1</v>
      </c>
      <c r="V1062" s="1304">
        <f t="shared" si="19"/>
        <v>1</v>
      </c>
    </row>
    <row r="1063" spans="1:22" ht="16.5" thickTop="1" thickBot="1">
      <c r="A1063" s="1244"/>
      <c r="B1063" s="1249" t="s">
        <v>734</v>
      </c>
      <c r="C1063" s="1329" t="s">
        <v>748</v>
      </c>
      <c r="D1063" s="1326" t="s">
        <v>227</v>
      </c>
      <c r="E1063" s="1249" t="s">
        <v>2092</v>
      </c>
      <c r="F1063" s="455" t="s">
        <v>2094</v>
      </c>
      <c r="G1063" s="456" t="s">
        <v>157</v>
      </c>
      <c r="H1063" s="889">
        <v>9</v>
      </c>
      <c r="I1063" s="891">
        <v>91.894999999999996</v>
      </c>
      <c r="J1063" s="601">
        <v>244.08199999999999</v>
      </c>
      <c r="K1063" s="602">
        <v>0.11827956989247312</v>
      </c>
      <c r="L1063" s="981">
        <v>4</v>
      </c>
      <c r="M1063" s="1249" t="s">
        <v>321</v>
      </c>
      <c r="N1063" s="604" t="s">
        <v>227</v>
      </c>
      <c r="O1063" s="465"/>
      <c r="P1063" s="435"/>
      <c r="Q1063" s="435"/>
      <c r="R1063" s="401">
        <v>0</v>
      </c>
      <c r="S1063" s="466">
        <v>0</v>
      </c>
      <c r="U1063" s="1248">
        <f t="shared" si="18"/>
        <v>0</v>
      </c>
      <c r="V1063" s="1304">
        <f t="shared" si="19"/>
        <v>1</v>
      </c>
    </row>
    <row r="1064" spans="1:22" ht="16.5" thickTop="1" thickBot="1">
      <c r="A1064" s="1244"/>
      <c r="B1064" s="1245" t="s">
        <v>734</v>
      </c>
      <c r="C1064" s="1328" t="s">
        <v>748</v>
      </c>
      <c r="D1064" s="1327" t="s">
        <v>227</v>
      </c>
      <c r="E1064" s="1245" t="s">
        <v>2158</v>
      </c>
      <c r="F1064" s="457" t="s">
        <v>2159</v>
      </c>
      <c r="G1064" s="458" t="s">
        <v>156</v>
      </c>
      <c r="H1064" s="888">
        <v>9</v>
      </c>
      <c r="I1064" s="890">
        <v>36.618000000000002</v>
      </c>
      <c r="J1064" s="899">
        <v>79.983999999999995</v>
      </c>
      <c r="K1064" s="603">
        <v>0.17073170731707318</v>
      </c>
      <c r="L1064" s="980">
        <v>2</v>
      </c>
      <c r="M1064" s="1245" t="s">
        <v>366</v>
      </c>
      <c r="N1064" s="604" t="s">
        <v>227</v>
      </c>
      <c r="O1064" s="463"/>
      <c r="P1064" s="434"/>
      <c r="Q1064" s="434"/>
      <c r="R1064" s="400">
        <v>0</v>
      </c>
      <c r="S1064" s="464">
        <v>0</v>
      </c>
      <c r="U1064" s="1248">
        <f t="shared" ref="U1064:U1127" si="20">IF(M1064="U_200",1,0)</f>
        <v>1</v>
      </c>
      <c r="V1064" s="1304">
        <f t="shared" ref="V1064:V1127" si="21">IF(G1064&lt;&gt;"US",1,0)</f>
        <v>1</v>
      </c>
    </row>
    <row r="1065" spans="1:22" ht="16.5" thickTop="1" thickBot="1">
      <c r="A1065" s="1244"/>
      <c r="B1065" s="1249" t="s">
        <v>734</v>
      </c>
      <c r="C1065" s="1329" t="s">
        <v>748</v>
      </c>
      <c r="D1065" s="1326" t="s">
        <v>227</v>
      </c>
      <c r="E1065" s="1249" t="s">
        <v>2160</v>
      </c>
      <c r="F1065" s="455" t="s">
        <v>2161</v>
      </c>
      <c r="G1065" s="456" t="s">
        <v>156</v>
      </c>
      <c r="H1065" s="889">
        <v>9</v>
      </c>
      <c r="I1065" s="891">
        <v>87.721999999999994</v>
      </c>
      <c r="J1065" s="601">
        <v>240.46799999999999</v>
      </c>
      <c r="K1065" s="602">
        <v>0.49230769230769234</v>
      </c>
      <c r="L1065" s="981">
        <v>3</v>
      </c>
      <c r="M1065" s="1249" t="s">
        <v>321</v>
      </c>
      <c r="N1065" s="604" t="s">
        <v>227</v>
      </c>
      <c r="O1065" s="465">
        <v>1</v>
      </c>
      <c r="P1065" s="435">
        <v>23.091999999999999</v>
      </c>
      <c r="Q1065" s="435">
        <v>2</v>
      </c>
      <c r="R1065" s="401">
        <v>2</v>
      </c>
      <c r="S1065" s="466">
        <v>0.66666666666666663</v>
      </c>
      <c r="U1065" s="1248">
        <f t="shared" si="20"/>
        <v>0</v>
      </c>
      <c r="V1065" s="1304">
        <f t="shared" si="21"/>
        <v>1</v>
      </c>
    </row>
    <row r="1066" spans="1:22" ht="16.5" thickTop="1" thickBot="1">
      <c r="A1066" s="1244"/>
      <c r="B1066" s="1245" t="s">
        <v>734</v>
      </c>
      <c r="C1066" s="1328" t="s">
        <v>748</v>
      </c>
      <c r="D1066" s="1327" t="s">
        <v>227</v>
      </c>
      <c r="E1066" s="1245" t="s">
        <v>2398</v>
      </c>
      <c r="F1066" s="457" t="s">
        <v>2399</v>
      </c>
      <c r="G1066" s="458" t="s">
        <v>156</v>
      </c>
      <c r="H1066" s="888">
        <v>7</v>
      </c>
      <c r="I1066" s="890">
        <v>198.90600000000001</v>
      </c>
      <c r="J1066" s="899">
        <v>935.33900000000006</v>
      </c>
      <c r="K1066" s="603">
        <v>0.43137254901960786</v>
      </c>
      <c r="L1066" s="980">
        <v>15</v>
      </c>
      <c r="M1066" s="1245" t="s">
        <v>323</v>
      </c>
      <c r="N1066" s="604" t="s">
        <v>227</v>
      </c>
      <c r="O1066" s="463">
        <v>2</v>
      </c>
      <c r="P1066" s="434">
        <v>73.722999999999999</v>
      </c>
      <c r="Q1066" s="434">
        <v>8</v>
      </c>
      <c r="R1066" s="400">
        <v>5</v>
      </c>
      <c r="S1066" s="464">
        <v>0.3125</v>
      </c>
      <c r="U1066" s="1248">
        <f t="shared" si="20"/>
        <v>0</v>
      </c>
      <c r="V1066" s="1304">
        <f t="shared" si="21"/>
        <v>1</v>
      </c>
    </row>
    <row r="1067" spans="1:22" ht="16.5" thickTop="1" thickBot="1">
      <c r="A1067" s="1244"/>
      <c r="B1067" s="1249" t="s">
        <v>734</v>
      </c>
      <c r="C1067" s="1329" t="s">
        <v>748</v>
      </c>
      <c r="D1067" s="1326" t="s">
        <v>227</v>
      </c>
      <c r="E1067" s="1249" t="s">
        <v>2817</v>
      </c>
      <c r="F1067" s="455" t="s">
        <v>2818</v>
      </c>
      <c r="G1067" s="456" t="s">
        <v>156</v>
      </c>
      <c r="H1067" s="889">
        <v>3</v>
      </c>
      <c r="I1067" s="891">
        <v>11.081</v>
      </c>
      <c r="J1067" s="601">
        <v>11.081</v>
      </c>
      <c r="K1067" s="602">
        <v>9.5238095238095233E-2</v>
      </c>
      <c r="L1067" s="981">
        <v>3</v>
      </c>
      <c r="M1067" s="1249" t="s">
        <v>366</v>
      </c>
      <c r="N1067" s="604" t="s">
        <v>227</v>
      </c>
      <c r="O1067" s="465"/>
      <c r="P1067" s="435"/>
      <c r="Q1067" s="435"/>
      <c r="R1067" s="401">
        <v>0</v>
      </c>
      <c r="S1067" s="466">
        <v>0</v>
      </c>
      <c r="U1067" s="1248">
        <f t="shared" si="20"/>
        <v>1</v>
      </c>
      <c r="V1067" s="1304">
        <f t="shared" si="21"/>
        <v>1</v>
      </c>
    </row>
    <row r="1068" spans="1:22" ht="16.5" thickTop="1" thickBot="1">
      <c r="A1068" s="1244"/>
      <c r="B1068" s="1245" t="s">
        <v>734</v>
      </c>
      <c r="C1068" s="1328" t="s">
        <v>748</v>
      </c>
      <c r="D1068" s="1327" t="s">
        <v>227</v>
      </c>
      <c r="E1068" s="1245" t="s">
        <v>3034</v>
      </c>
      <c r="F1068" s="457" t="s">
        <v>3035</v>
      </c>
      <c r="G1068" s="458" t="s">
        <v>155</v>
      </c>
      <c r="H1068" s="888"/>
      <c r="I1068" s="890"/>
      <c r="J1068" s="899">
        <v>164.71799999999999</v>
      </c>
      <c r="K1068" s="603">
        <v>0.3783783783783784</v>
      </c>
      <c r="L1068" s="980">
        <v>9</v>
      </c>
      <c r="M1068" s="1245" t="s">
        <v>366</v>
      </c>
      <c r="N1068" s="604" t="s">
        <v>227</v>
      </c>
      <c r="O1068" s="463">
        <v>2</v>
      </c>
      <c r="P1068" s="434">
        <v>106.57299999999999</v>
      </c>
      <c r="Q1068" s="434">
        <v>6</v>
      </c>
      <c r="R1068" s="400">
        <v>2</v>
      </c>
      <c r="S1068" s="464">
        <v>0.25</v>
      </c>
      <c r="U1068" s="1248">
        <f t="shared" si="20"/>
        <v>1</v>
      </c>
      <c r="V1068" s="1304">
        <f t="shared" si="21"/>
        <v>0</v>
      </c>
    </row>
    <row r="1069" spans="1:22" ht="16.5" thickTop="1" thickBot="1">
      <c r="A1069" s="1244"/>
      <c r="B1069" s="1249" t="s">
        <v>734</v>
      </c>
      <c r="C1069" s="1329" t="s">
        <v>748</v>
      </c>
      <c r="D1069" s="1326" t="s">
        <v>227</v>
      </c>
      <c r="E1069" s="1249" t="s">
        <v>3879</v>
      </c>
      <c r="F1069" s="455" t="s">
        <v>3880</v>
      </c>
      <c r="G1069" s="456" t="s">
        <v>155</v>
      </c>
      <c r="H1069" s="889"/>
      <c r="I1069" s="891"/>
      <c r="J1069" s="601">
        <v>31.934000000000001</v>
      </c>
      <c r="K1069" s="602">
        <v>0.5714285714285714</v>
      </c>
      <c r="L1069" s="981">
        <v>5</v>
      </c>
      <c r="M1069" s="1249" t="s">
        <v>366</v>
      </c>
      <c r="N1069" s="604" t="s">
        <v>227</v>
      </c>
      <c r="O1069" s="465">
        <v>2</v>
      </c>
      <c r="P1069" s="435">
        <v>31.934000000000001</v>
      </c>
      <c r="Q1069" s="435">
        <v>3</v>
      </c>
      <c r="R1069" s="401">
        <v>2</v>
      </c>
      <c r="S1069" s="466">
        <v>0.5714285714285714</v>
      </c>
      <c r="U1069" s="1248">
        <f t="shared" si="20"/>
        <v>1</v>
      </c>
      <c r="V1069" s="1304">
        <f t="shared" si="21"/>
        <v>0</v>
      </c>
    </row>
    <row r="1070" spans="1:22" ht="16.5" thickTop="1" thickBot="1">
      <c r="A1070" s="1244"/>
      <c r="B1070" s="1245" t="s">
        <v>734</v>
      </c>
      <c r="C1070" s="1328" t="s">
        <v>748</v>
      </c>
      <c r="D1070" s="1327" t="s">
        <v>227</v>
      </c>
      <c r="E1070" s="1245" t="s">
        <v>3881</v>
      </c>
      <c r="F1070" s="457" t="s">
        <v>3882</v>
      </c>
      <c r="G1070" s="458" t="s">
        <v>156</v>
      </c>
      <c r="H1070" s="888">
        <v>0</v>
      </c>
      <c r="I1070" s="890">
        <v>12.532999999999999</v>
      </c>
      <c r="J1070" s="899">
        <v>12.532999999999999</v>
      </c>
      <c r="K1070" s="603">
        <v>0.66666666666666663</v>
      </c>
      <c r="L1070" s="980">
        <v>3</v>
      </c>
      <c r="M1070" s="1245" t="s">
        <v>227</v>
      </c>
      <c r="N1070" s="604" t="s">
        <v>227</v>
      </c>
      <c r="O1070" s="463">
        <v>3</v>
      </c>
      <c r="P1070" s="434">
        <v>12.532999999999999</v>
      </c>
      <c r="Q1070" s="434">
        <v>1</v>
      </c>
      <c r="R1070" s="400">
        <v>1</v>
      </c>
      <c r="S1070" s="464">
        <v>0.66666666666666663</v>
      </c>
      <c r="U1070" s="1248">
        <f t="shared" si="20"/>
        <v>0</v>
      </c>
      <c r="V1070" s="1304">
        <f t="shared" si="21"/>
        <v>1</v>
      </c>
    </row>
    <row r="1071" spans="1:22" ht="16.5" thickTop="1" thickBot="1">
      <c r="A1071" s="1244"/>
      <c r="B1071" s="1249" t="s">
        <v>734</v>
      </c>
      <c r="C1071" s="1329" t="s">
        <v>748</v>
      </c>
      <c r="D1071" s="1326" t="s">
        <v>227</v>
      </c>
      <c r="E1071" s="1249" t="s">
        <v>3682</v>
      </c>
      <c r="F1071" s="455" t="s">
        <v>3684</v>
      </c>
      <c r="G1071" s="456" t="s">
        <v>157</v>
      </c>
      <c r="H1071" s="889">
        <v>0</v>
      </c>
      <c r="I1071" s="891">
        <v>11.308</v>
      </c>
      <c r="J1071" s="601">
        <v>11.308</v>
      </c>
      <c r="K1071" s="602">
        <v>2</v>
      </c>
      <c r="L1071" s="981">
        <v>1</v>
      </c>
      <c r="M1071" s="1249" t="s">
        <v>227</v>
      </c>
      <c r="N1071" s="604" t="s">
        <v>227</v>
      </c>
      <c r="O1071" s="465">
        <v>1</v>
      </c>
      <c r="P1071" s="435">
        <v>11.308</v>
      </c>
      <c r="Q1071" s="435">
        <v>1</v>
      </c>
      <c r="R1071" s="401">
        <v>1</v>
      </c>
      <c r="S1071" s="466">
        <v>2</v>
      </c>
      <c r="U1071" s="1248">
        <f t="shared" si="20"/>
        <v>0</v>
      </c>
      <c r="V1071" s="1304">
        <f t="shared" si="21"/>
        <v>1</v>
      </c>
    </row>
    <row r="1072" spans="1:22" ht="16.5" thickTop="1" thickBot="1">
      <c r="A1072" s="1244"/>
      <c r="B1072" s="1245" t="s">
        <v>735</v>
      </c>
      <c r="C1072" s="1328" t="s">
        <v>751</v>
      </c>
      <c r="D1072" s="1327" t="s">
        <v>227</v>
      </c>
      <c r="E1072" s="1245" t="s">
        <v>669</v>
      </c>
      <c r="F1072" s="457" t="s">
        <v>674</v>
      </c>
      <c r="G1072" s="458" t="s">
        <v>156</v>
      </c>
      <c r="H1072" s="888">
        <v>26</v>
      </c>
      <c r="I1072" s="890">
        <v>146.976</v>
      </c>
      <c r="J1072" s="899">
        <v>214.03299999999999</v>
      </c>
      <c r="K1072" s="603">
        <v>0.26470588235294118</v>
      </c>
      <c r="L1072" s="980">
        <v>4</v>
      </c>
      <c r="M1072" s="1245" t="s">
        <v>322</v>
      </c>
      <c r="N1072" s="604" t="s">
        <v>227</v>
      </c>
      <c r="O1072" s="463"/>
      <c r="P1072" s="434">
        <v>54.968000000000004</v>
      </c>
      <c r="Q1072" s="434">
        <v>2</v>
      </c>
      <c r="R1072" s="400">
        <v>2</v>
      </c>
      <c r="S1072" s="464">
        <v>0.5</v>
      </c>
      <c r="U1072" s="1248">
        <f t="shared" si="20"/>
        <v>0</v>
      </c>
      <c r="V1072" s="1304">
        <f t="shared" si="21"/>
        <v>1</v>
      </c>
    </row>
    <row r="1073" spans="1:22" ht="16.5" thickTop="1" thickBot="1">
      <c r="A1073" s="1244"/>
      <c r="B1073" s="1249" t="s">
        <v>735</v>
      </c>
      <c r="C1073" s="1329" t="s">
        <v>751</v>
      </c>
      <c r="D1073" s="1326" t="s">
        <v>227</v>
      </c>
      <c r="E1073" s="1249" t="s">
        <v>775</v>
      </c>
      <c r="F1073" s="455" t="s">
        <v>776</v>
      </c>
      <c r="G1073" s="456" t="s">
        <v>157</v>
      </c>
      <c r="H1073" s="889">
        <v>24</v>
      </c>
      <c r="I1073" s="891">
        <v>626.89800000000002</v>
      </c>
      <c r="J1073" s="601">
        <v>3201.1260000000002</v>
      </c>
      <c r="K1073" s="602">
        <v>0.31864406779661014</v>
      </c>
      <c r="L1073" s="981">
        <v>9</v>
      </c>
      <c r="M1073" s="1249" t="s">
        <v>323</v>
      </c>
      <c r="N1073" s="604" t="s">
        <v>227</v>
      </c>
      <c r="O1073" s="465"/>
      <c r="P1073" s="435">
        <v>175.82900000000001</v>
      </c>
      <c r="Q1073" s="435">
        <v>4</v>
      </c>
      <c r="R1073" s="401">
        <v>4</v>
      </c>
      <c r="S1073" s="466">
        <v>0.4</v>
      </c>
      <c r="U1073" s="1248">
        <f t="shared" si="20"/>
        <v>0</v>
      </c>
      <c r="V1073" s="1304">
        <f t="shared" si="21"/>
        <v>1</v>
      </c>
    </row>
    <row r="1074" spans="1:22" ht="16.5" thickTop="1" thickBot="1">
      <c r="A1074" s="1244"/>
      <c r="B1074" s="1245" t="s">
        <v>735</v>
      </c>
      <c r="C1074" s="1328" t="s">
        <v>751</v>
      </c>
      <c r="D1074" s="1327" t="s">
        <v>227</v>
      </c>
      <c r="E1074" s="1245" t="s">
        <v>777</v>
      </c>
      <c r="F1074" s="457" t="s">
        <v>778</v>
      </c>
      <c r="G1074" s="458" t="s">
        <v>156</v>
      </c>
      <c r="H1074" s="888">
        <v>24</v>
      </c>
      <c r="I1074" s="890">
        <v>3144.895</v>
      </c>
      <c r="J1074" s="899">
        <v>4445.134</v>
      </c>
      <c r="K1074" s="603">
        <v>0.48113207547169812</v>
      </c>
      <c r="L1074" s="980">
        <v>8</v>
      </c>
      <c r="M1074" s="1245" t="s">
        <v>323</v>
      </c>
      <c r="N1074" s="604" t="s">
        <v>227</v>
      </c>
      <c r="O1074" s="463"/>
      <c r="P1074" s="434">
        <v>208.66900000000001</v>
      </c>
      <c r="Q1074" s="434">
        <v>5</v>
      </c>
      <c r="R1074" s="400">
        <v>2</v>
      </c>
      <c r="S1074" s="464">
        <v>0.25</v>
      </c>
      <c r="U1074" s="1248">
        <f t="shared" si="20"/>
        <v>0</v>
      </c>
      <c r="V1074" s="1304">
        <f t="shared" si="21"/>
        <v>1</v>
      </c>
    </row>
    <row r="1075" spans="1:22" ht="16.5" thickTop="1" thickBot="1">
      <c r="A1075" s="1244"/>
      <c r="B1075" s="1249" t="s">
        <v>735</v>
      </c>
      <c r="C1075" s="1329" t="s">
        <v>751</v>
      </c>
      <c r="D1075" s="1326" t="s">
        <v>227</v>
      </c>
      <c r="E1075" s="1249" t="s">
        <v>765</v>
      </c>
      <c r="F1075" s="455" t="s">
        <v>766</v>
      </c>
      <c r="G1075" s="456" t="s">
        <v>156</v>
      </c>
      <c r="H1075" s="889">
        <v>24</v>
      </c>
      <c r="I1075" s="891">
        <v>44.587000000000003</v>
      </c>
      <c r="J1075" s="601">
        <v>64.602999999999994</v>
      </c>
      <c r="K1075" s="602">
        <v>8.8888888888888892E-2</v>
      </c>
      <c r="L1075" s="981">
        <v>2</v>
      </c>
      <c r="M1075" s="1249" t="s">
        <v>366</v>
      </c>
      <c r="N1075" s="604" t="s">
        <v>227</v>
      </c>
      <c r="O1075" s="465"/>
      <c r="P1075" s="435">
        <v>10.074</v>
      </c>
      <c r="Q1075" s="435">
        <v>1</v>
      </c>
      <c r="R1075" s="401">
        <v>1</v>
      </c>
      <c r="S1075" s="466">
        <v>0.4</v>
      </c>
      <c r="U1075" s="1248">
        <f t="shared" si="20"/>
        <v>1</v>
      </c>
      <c r="V1075" s="1304">
        <f t="shared" si="21"/>
        <v>1</v>
      </c>
    </row>
    <row r="1076" spans="1:22" ht="16.5" thickTop="1" thickBot="1">
      <c r="A1076" s="1244"/>
      <c r="B1076" s="1245" t="s">
        <v>735</v>
      </c>
      <c r="C1076" s="1328" t="s">
        <v>751</v>
      </c>
      <c r="D1076" s="1327" t="s">
        <v>227</v>
      </c>
      <c r="E1076" s="1245" t="s">
        <v>751</v>
      </c>
      <c r="F1076" s="457" t="s">
        <v>753</v>
      </c>
      <c r="G1076" s="458" t="s">
        <v>158</v>
      </c>
      <c r="H1076" s="888">
        <v>24</v>
      </c>
      <c r="I1076" s="890">
        <v>594.62300000000005</v>
      </c>
      <c r="J1076" s="899">
        <v>942.50300000000004</v>
      </c>
      <c r="K1076" s="603">
        <v>0.38961038961038963</v>
      </c>
      <c r="L1076" s="980">
        <v>4</v>
      </c>
      <c r="M1076" s="1245" t="s">
        <v>323</v>
      </c>
      <c r="N1076" s="604" t="s">
        <v>227</v>
      </c>
      <c r="O1076" s="463"/>
      <c r="P1076" s="434">
        <v>14.327</v>
      </c>
      <c r="Q1076" s="434">
        <v>2</v>
      </c>
      <c r="R1076" s="400">
        <v>2</v>
      </c>
      <c r="S1076" s="464">
        <v>0.5</v>
      </c>
      <c r="U1076" s="1248">
        <f t="shared" si="20"/>
        <v>0</v>
      </c>
      <c r="V1076" s="1304">
        <f t="shared" si="21"/>
        <v>1</v>
      </c>
    </row>
    <row r="1077" spans="1:22" ht="16.5" thickTop="1" thickBot="1">
      <c r="A1077" s="1244"/>
      <c r="B1077" s="1249" t="s">
        <v>735</v>
      </c>
      <c r="C1077" s="1329" t="s">
        <v>751</v>
      </c>
      <c r="D1077" s="1326" t="s">
        <v>227</v>
      </c>
      <c r="E1077" s="1249" t="s">
        <v>983</v>
      </c>
      <c r="F1077" s="455" t="s">
        <v>984</v>
      </c>
      <c r="G1077" s="456" t="s">
        <v>155</v>
      </c>
      <c r="H1077" s="889"/>
      <c r="I1077" s="891"/>
      <c r="J1077" s="601">
        <v>11.212</v>
      </c>
      <c r="K1077" s="602">
        <v>7.1428571428571425E-2</v>
      </c>
      <c r="L1077" s="981"/>
      <c r="M1077" s="1249" t="s">
        <v>366</v>
      </c>
      <c r="N1077" s="604" t="s">
        <v>227</v>
      </c>
      <c r="O1077" s="465"/>
      <c r="P1077" s="435"/>
      <c r="Q1077" s="435"/>
      <c r="R1077" s="401">
        <v>0</v>
      </c>
      <c r="S1077" s="466">
        <v>0</v>
      </c>
      <c r="U1077" s="1248">
        <f t="shared" si="20"/>
        <v>1</v>
      </c>
      <c r="V1077" s="1304">
        <f t="shared" si="21"/>
        <v>0</v>
      </c>
    </row>
    <row r="1078" spans="1:22" ht="16.5" thickTop="1" thickBot="1">
      <c r="A1078" s="1244"/>
      <c r="B1078" s="1245" t="s">
        <v>735</v>
      </c>
      <c r="C1078" s="1328" t="s">
        <v>751</v>
      </c>
      <c r="D1078" s="1327" t="s">
        <v>227</v>
      </c>
      <c r="E1078" s="1245" t="s">
        <v>998</v>
      </c>
      <c r="F1078" s="457" t="s">
        <v>939</v>
      </c>
      <c r="G1078" s="458" t="s">
        <v>156</v>
      </c>
      <c r="H1078" s="888">
        <v>19</v>
      </c>
      <c r="I1078" s="890">
        <v>1505.3889999999999</v>
      </c>
      <c r="J1078" s="899">
        <v>2577.3359999999998</v>
      </c>
      <c r="K1078" s="603">
        <v>0.41176470588235292</v>
      </c>
      <c r="L1078" s="980">
        <v>5</v>
      </c>
      <c r="M1078" s="1245" t="s">
        <v>323</v>
      </c>
      <c r="N1078" s="604" t="s">
        <v>227</v>
      </c>
      <c r="O1078" s="463"/>
      <c r="P1078" s="434">
        <v>424.02199999999999</v>
      </c>
      <c r="Q1078" s="434">
        <v>5</v>
      </c>
      <c r="R1078" s="400">
        <v>5</v>
      </c>
      <c r="S1078" s="464">
        <v>0.90909090909090906</v>
      </c>
      <c r="U1078" s="1248">
        <f t="shared" si="20"/>
        <v>0</v>
      </c>
      <c r="V1078" s="1304">
        <f t="shared" si="21"/>
        <v>1</v>
      </c>
    </row>
    <row r="1079" spans="1:22" ht="16.5" thickTop="1" thickBot="1">
      <c r="A1079" s="1244"/>
      <c r="B1079" s="1249" t="s">
        <v>735</v>
      </c>
      <c r="C1079" s="1329" t="s">
        <v>751</v>
      </c>
      <c r="D1079" s="1326" t="s">
        <v>227</v>
      </c>
      <c r="E1079" s="1249" t="s">
        <v>1221</v>
      </c>
      <c r="F1079" s="455" t="s">
        <v>493</v>
      </c>
      <c r="G1079" s="456" t="s">
        <v>155</v>
      </c>
      <c r="H1079" s="889"/>
      <c r="I1079" s="891"/>
      <c r="J1079" s="601"/>
      <c r="K1079" s="602">
        <v>0</v>
      </c>
      <c r="L1079" s="981"/>
      <c r="M1079" s="1249" t="s">
        <v>366</v>
      </c>
      <c r="N1079" s="604" t="s">
        <v>227</v>
      </c>
      <c r="O1079" s="465"/>
      <c r="P1079" s="435"/>
      <c r="Q1079" s="435"/>
      <c r="R1079" s="401">
        <v>0</v>
      </c>
      <c r="S1079" s="466">
        <v>0</v>
      </c>
      <c r="U1079" s="1248">
        <f t="shared" si="20"/>
        <v>1</v>
      </c>
      <c r="V1079" s="1304">
        <f t="shared" si="21"/>
        <v>0</v>
      </c>
    </row>
    <row r="1080" spans="1:22" ht="16.5" thickTop="1" thickBot="1">
      <c r="A1080" s="1244"/>
      <c r="B1080" s="1245" t="s">
        <v>735</v>
      </c>
      <c r="C1080" s="1328" t="s">
        <v>751</v>
      </c>
      <c r="D1080" s="1327" t="s">
        <v>227</v>
      </c>
      <c r="E1080" s="1245" t="s">
        <v>1375</v>
      </c>
      <c r="F1080" s="457" t="s">
        <v>1377</v>
      </c>
      <c r="G1080" s="458" t="s">
        <v>157</v>
      </c>
      <c r="H1080" s="888">
        <v>15</v>
      </c>
      <c r="I1080" s="890">
        <v>153.71100000000001</v>
      </c>
      <c r="J1080" s="899">
        <v>901.06299999999999</v>
      </c>
      <c r="K1080" s="603">
        <v>0.41176470588235292</v>
      </c>
      <c r="L1080" s="980">
        <v>2</v>
      </c>
      <c r="M1080" s="1245" t="s">
        <v>323</v>
      </c>
      <c r="N1080" s="604" t="s">
        <v>227</v>
      </c>
      <c r="O1080" s="463"/>
      <c r="P1080" s="434">
        <v>64.402000000000001</v>
      </c>
      <c r="Q1080" s="434">
        <v>5</v>
      </c>
      <c r="R1080" s="400">
        <v>1</v>
      </c>
      <c r="S1080" s="464">
        <v>0.5</v>
      </c>
      <c r="U1080" s="1248">
        <f t="shared" si="20"/>
        <v>0</v>
      </c>
      <c r="V1080" s="1304">
        <f t="shared" si="21"/>
        <v>1</v>
      </c>
    </row>
    <row r="1081" spans="1:22" ht="16.5" thickTop="1" thickBot="1">
      <c r="A1081" s="1244"/>
      <c r="B1081" s="1249" t="s">
        <v>735</v>
      </c>
      <c r="C1081" s="1329" t="s">
        <v>751</v>
      </c>
      <c r="D1081" s="1326" t="s">
        <v>227</v>
      </c>
      <c r="E1081" s="1249" t="s">
        <v>1366</v>
      </c>
      <c r="F1081" s="455" t="s">
        <v>1368</v>
      </c>
      <c r="G1081" s="456" t="s">
        <v>157</v>
      </c>
      <c r="H1081" s="889">
        <v>15</v>
      </c>
      <c r="I1081" s="891">
        <v>18.5</v>
      </c>
      <c r="J1081" s="601">
        <v>80.626000000000005</v>
      </c>
      <c r="K1081" s="602">
        <v>0.14173228346456693</v>
      </c>
      <c r="L1081" s="981">
        <v>3</v>
      </c>
      <c r="M1081" s="1249" t="s">
        <v>366</v>
      </c>
      <c r="N1081" s="604" t="s">
        <v>227</v>
      </c>
      <c r="O1081" s="465"/>
      <c r="P1081" s="435">
        <v>0</v>
      </c>
      <c r="Q1081" s="435"/>
      <c r="R1081" s="401">
        <v>0</v>
      </c>
      <c r="S1081" s="466">
        <v>0</v>
      </c>
      <c r="U1081" s="1248">
        <f t="shared" si="20"/>
        <v>1</v>
      </c>
      <c r="V1081" s="1304">
        <f t="shared" si="21"/>
        <v>1</v>
      </c>
    </row>
    <row r="1082" spans="1:22" ht="16.5" thickTop="1" thickBot="1">
      <c r="A1082" s="1244"/>
      <c r="B1082" s="1245" t="s">
        <v>735</v>
      </c>
      <c r="C1082" s="1328" t="s">
        <v>751</v>
      </c>
      <c r="D1082" s="1327" t="s">
        <v>227</v>
      </c>
      <c r="E1082" s="1245" t="s">
        <v>1481</v>
      </c>
      <c r="F1082" s="457" t="s">
        <v>1482</v>
      </c>
      <c r="G1082" s="458" t="s">
        <v>156</v>
      </c>
      <c r="H1082" s="888">
        <v>15</v>
      </c>
      <c r="I1082" s="890">
        <v>159.28899999999999</v>
      </c>
      <c r="J1082" s="899">
        <v>484.65600000000001</v>
      </c>
      <c r="K1082" s="603">
        <v>0.40677966101694918</v>
      </c>
      <c r="L1082" s="980">
        <v>2</v>
      </c>
      <c r="M1082" s="1245" t="s">
        <v>323</v>
      </c>
      <c r="N1082" s="604" t="s">
        <v>227</v>
      </c>
      <c r="O1082" s="463"/>
      <c r="P1082" s="434">
        <v>13.374000000000001</v>
      </c>
      <c r="Q1082" s="434">
        <v>1</v>
      </c>
      <c r="R1082" s="400">
        <v>1</v>
      </c>
      <c r="S1082" s="464">
        <v>0.5</v>
      </c>
      <c r="U1082" s="1248">
        <f t="shared" si="20"/>
        <v>0</v>
      </c>
      <c r="V1082" s="1304">
        <f t="shared" si="21"/>
        <v>1</v>
      </c>
    </row>
    <row r="1083" spans="1:22" ht="16.5" thickTop="1" thickBot="1">
      <c r="A1083" s="1244"/>
      <c r="B1083" s="1249" t="s">
        <v>735</v>
      </c>
      <c r="C1083" s="1329" t="s">
        <v>751</v>
      </c>
      <c r="D1083" s="1326" t="s">
        <v>227</v>
      </c>
      <c r="E1083" s="1249" t="s">
        <v>1504</v>
      </c>
      <c r="F1083" s="455" t="s">
        <v>1505</v>
      </c>
      <c r="G1083" s="456" t="s">
        <v>157</v>
      </c>
      <c r="H1083" s="889">
        <v>14</v>
      </c>
      <c r="I1083" s="891">
        <v>839.55200000000002</v>
      </c>
      <c r="J1083" s="601">
        <v>1647.567</v>
      </c>
      <c r="K1083" s="602">
        <v>0.53846153846153844</v>
      </c>
      <c r="L1083" s="981">
        <v>6</v>
      </c>
      <c r="M1083" s="1249" t="s">
        <v>323</v>
      </c>
      <c r="N1083" s="604" t="s">
        <v>227</v>
      </c>
      <c r="O1083" s="465"/>
      <c r="P1083" s="435">
        <v>64.998000000000005</v>
      </c>
      <c r="Q1083" s="435">
        <v>4</v>
      </c>
      <c r="R1083" s="401">
        <v>4</v>
      </c>
      <c r="S1083" s="466">
        <v>0.53333333333333333</v>
      </c>
      <c r="U1083" s="1248">
        <f t="shared" si="20"/>
        <v>0</v>
      </c>
      <c r="V1083" s="1304">
        <f t="shared" si="21"/>
        <v>1</v>
      </c>
    </row>
    <row r="1084" spans="1:22" ht="16.5" thickTop="1" thickBot="1">
      <c r="A1084" s="1244"/>
      <c r="B1084" s="1245" t="s">
        <v>735</v>
      </c>
      <c r="C1084" s="1328" t="s">
        <v>751</v>
      </c>
      <c r="D1084" s="1327" t="s">
        <v>227</v>
      </c>
      <c r="E1084" s="1245" t="s">
        <v>1506</v>
      </c>
      <c r="F1084" s="457" t="s">
        <v>844</v>
      </c>
      <c r="G1084" s="458" t="s">
        <v>156</v>
      </c>
      <c r="H1084" s="888">
        <v>14</v>
      </c>
      <c r="I1084" s="890">
        <v>27.303999999999998</v>
      </c>
      <c r="J1084" s="899">
        <v>68.507000000000005</v>
      </c>
      <c r="K1084" s="603">
        <v>0.19753086419753085</v>
      </c>
      <c r="L1084" s="980">
        <v>2</v>
      </c>
      <c r="M1084" s="1245" t="s">
        <v>366</v>
      </c>
      <c r="N1084" s="604" t="s">
        <v>227</v>
      </c>
      <c r="O1084" s="463"/>
      <c r="P1084" s="434">
        <v>18.181999999999999</v>
      </c>
      <c r="Q1084" s="434">
        <v>2</v>
      </c>
      <c r="R1084" s="400">
        <v>2</v>
      </c>
      <c r="S1084" s="464">
        <v>1</v>
      </c>
      <c r="U1084" s="1248">
        <f t="shared" si="20"/>
        <v>1</v>
      </c>
      <c r="V1084" s="1304">
        <f t="shared" si="21"/>
        <v>1</v>
      </c>
    </row>
    <row r="1085" spans="1:22" ht="16.5" thickTop="1" thickBot="1">
      <c r="A1085" s="1244"/>
      <c r="B1085" s="1249" t="s">
        <v>735</v>
      </c>
      <c r="C1085" s="1329" t="s">
        <v>751</v>
      </c>
      <c r="D1085" s="1326" t="s">
        <v>227</v>
      </c>
      <c r="E1085" s="1249" t="s">
        <v>1598</v>
      </c>
      <c r="F1085" s="455" t="s">
        <v>1600</v>
      </c>
      <c r="G1085" s="456" t="s">
        <v>157</v>
      </c>
      <c r="H1085" s="889">
        <v>13</v>
      </c>
      <c r="I1085" s="891">
        <v>2023.9960000000001</v>
      </c>
      <c r="J1085" s="601">
        <v>2605.2280000000001</v>
      </c>
      <c r="K1085" s="602">
        <v>0.41176470588235292</v>
      </c>
      <c r="L1085" s="981">
        <v>10</v>
      </c>
      <c r="M1085" s="1249" t="s">
        <v>323</v>
      </c>
      <c r="N1085" s="604" t="s">
        <v>227</v>
      </c>
      <c r="O1085" s="465">
        <v>2</v>
      </c>
      <c r="P1085" s="435">
        <v>62.512</v>
      </c>
      <c r="Q1085" s="435">
        <v>5</v>
      </c>
      <c r="R1085" s="401">
        <v>4</v>
      </c>
      <c r="S1085" s="466">
        <v>0.44444444444444442</v>
      </c>
      <c r="U1085" s="1248">
        <f t="shared" si="20"/>
        <v>0</v>
      </c>
      <c r="V1085" s="1304">
        <f t="shared" si="21"/>
        <v>1</v>
      </c>
    </row>
    <row r="1086" spans="1:22" ht="16.5" thickTop="1" thickBot="1">
      <c r="A1086" s="1244"/>
      <c r="B1086" s="1245" t="s">
        <v>735</v>
      </c>
      <c r="C1086" s="1328" t="s">
        <v>751</v>
      </c>
      <c r="D1086" s="1327" t="s">
        <v>227</v>
      </c>
      <c r="E1086" s="1245" t="s">
        <v>1637</v>
      </c>
      <c r="F1086" s="457" t="s">
        <v>1638</v>
      </c>
      <c r="G1086" s="458" t="s">
        <v>156</v>
      </c>
      <c r="H1086" s="888">
        <v>13</v>
      </c>
      <c r="I1086" s="890">
        <v>73.978999999999999</v>
      </c>
      <c r="J1086" s="899">
        <v>202.12700000000001</v>
      </c>
      <c r="K1086" s="603">
        <v>0.25263157894736843</v>
      </c>
      <c r="L1086" s="980">
        <v>2</v>
      </c>
      <c r="M1086" s="1245" t="s">
        <v>322</v>
      </c>
      <c r="N1086" s="604" t="s">
        <v>227</v>
      </c>
      <c r="O1086" s="463"/>
      <c r="P1086" s="434">
        <v>8.0719999999999992</v>
      </c>
      <c r="Q1086" s="434"/>
      <c r="R1086" s="400">
        <v>0</v>
      </c>
      <c r="S1086" s="464">
        <v>0</v>
      </c>
      <c r="U1086" s="1248">
        <f t="shared" si="20"/>
        <v>0</v>
      </c>
      <c r="V1086" s="1304">
        <f t="shared" si="21"/>
        <v>1</v>
      </c>
    </row>
    <row r="1087" spans="1:22" ht="16.5" thickTop="1" thickBot="1">
      <c r="A1087" s="1244"/>
      <c r="B1087" s="1249" t="s">
        <v>735</v>
      </c>
      <c r="C1087" s="1329" t="s">
        <v>751</v>
      </c>
      <c r="D1087" s="1326" t="s">
        <v>227</v>
      </c>
      <c r="E1087" s="1249" t="s">
        <v>1734</v>
      </c>
      <c r="F1087" s="455" t="s">
        <v>1735</v>
      </c>
      <c r="G1087" s="456" t="s">
        <v>155</v>
      </c>
      <c r="H1087" s="889"/>
      <c r="I1087" s="891"/>
      <c r="J1087" s="601">
        <v>106.40600000000001</v>
      </c>
      <c r="K1087" s="602">
        <v>0.22580645161290322</v>
      </c>
      <c r="L1087" s="981">
        <v>2</v>
      </c>
      <c r="M1087" s="1249" t="s">
        <v>366</v>
      </c>
      <c r="N1087" s="604" t="s">
        <v>227</v>
      </c>
      <c r="O1087" s="465"/>
      <c r="P1087" s="435"/>
      <c r="Q1087" s="435"/>
      <c r="R1087" s="401">
        <v>0</v>
      </c>
      <c r="S1087" s="466">
        <v>0</v>
      </c>
      <c r="U1087" s="1248">
        <f t="shared" si="20"/>
        <v>1</v>
      </c>
      <c r="V1087" s="1304">
        <f t="shared" si="21"/>
        <v>0</v>
      </c>
    </row>
    <row r="1088" spans="1:22" ht="16.5" thickTop="1" thickBot="1">
      <c r="A1088" s="1244"/>
      <c r="B1088" s="1245" t="s">
        <v>735</v>
      </c>
      <c r="C1088" s="1328" t="s">
        <v>751</v>
      </c>
      <c r="D1088" s="1327" t="s">
        <v>227</v>
      </c>
      <c r="E1088" s="1245" t="s">
        <v>2400</v>
      </c>
      <c r="F1088" s="457" t="s">
        <v>2401</v>
      </c>
      <c r="G1088" s="458" t="s">
        <v>155</v>
      </c>
      <c r="H1088" s="888"/>
      <c r="I1088" s="890"/>
      <c r="J1088" s="899">
        <v>18.922000000000001</v>
      </c>
      <c r="K1088" s="603">
        <v>0.24</v>
      </c>
      <c r="L1088" s="980"/>
      <c r="M1088" s="1245" t="s">
        <v>366</v>
      </c>
      <c r="N1088" s="604" t="s">
        <v>227</v>
      </c>
      <c r="O1088" s="463"/>
      <c r="P1088" s="434"/>
      <c r="Q1088" s="434"/>
      <c r="R1088" s="400">
        <v>0</v>
      </c>
      <c r="S1088" s="464">
        <v>0</v>
      </c>
      <c r="U1088" s="1248">
        <f t="shared" si="20"/>
        <v>1</v>
      </c>
      <c r="V1088" s="1304">
        <f t="shared" si="21"/>
        <v>0</v>
      </c>
    </row>
    <row r="1089" spans="1:22" ht="16.5" thickTop="1" thickBot="1">
      <c r="A1089" s="1244"/>
      <c r="B1089" s="1249" t="s">
        <v>735</v>
      </c>
      <c r="C1089" s="1329" t="s">
        <v>751</v>
      </c>
      <c r="D1089" s="1326" t="s">
        <v>227</v>
      </c>
      <c r="E1089" s="1249" t="s">
        <v>3036</v>
      </c>
      <c r="F1089" s="455" t="s">
        <v>3037</v>
      </c>
      <c r="G1089" s="456" t="s">
        <v>155</v>
      </c>
      <c r="H1089" s="889"/>
      <c r="I1089" s="891"/>
      <c r="J1089" s="601">
        <v>47.183999999999997</v>
      </c>
      <c r="K1089" s="602">
        <v>0.4</v>
      </c>
      <c r="L1089" s="981">
        <v>2</v>
      </c>
      <c r="M1089" s="1249" t="s">
        <v>366</v>
      </c>
      <c r="N1089" s="604" t="s">
        <v>227</v>
      </c>
      <c r="O1089" s="465"/>
      <c r="P1089" s="435">
        <v>23.635999999999999</v>
      </c>
      <c r="Q1089" s="435">
        <v>2</v>
      </c>
      <c r="R1089" s="401">
        <v>2</v>
      </c>
      <c r="S1089" s="466">
        <v>1</v>
      </c>
      <c r="U1089" s="1248">
        <f t="shared" si="20"/>
        <v>1</v>
      </c>
      <c r="V1089" s="1304">
        <f t="shared" si="21"/>
        <v>0</v>
      </c>
    </row>
    <row r="1090" spans="1:22" ht="16.5" thickTop="1" thickBot="1">
      <c r="A1090" s="1244"/>
      <c r="B1090" s="1245" t="s">
        <v>735</v>
      </c>
      <c r="C1090" s="1328" t="s">
        <v>751</v>
      </c>
      <c r="D1090" s="1327" t="s">
        <v>227</v>
      </c>
      <c r="E1090" s="1245" t="s">
        <v>3344</v>
      </c>
      <c r="F1090" s="457" t="s">
        <v>3345</v>
      </c>
      <c r="G1090" s="458" t="s">
        <v>156</v>
      </c>
      <c r="H1090" s="888">
        <v>1</v>
      </c>
      <c r="I1090" s="890"/>
      <c r="J1090" s="899">
        <v>153.09</v>
      </c>
      <c r="K1090" s="603">
        <v>0.8571428571428571</v>
      </c>
      <c r="L1090" s="980">
        <v>3</v>
      </c>
      <c r="M1090" s="1245" t="s">
        <v>323</v>
      </c>
      <c r="N1090" s="604" t="s">
        <v>227</v>
      </c>
      <c r="O1090" s="463">
        <v>1</v>
      </c>
      <c r="P1090" s="434">
        <v>49.965000000000003</v>
      </c>
      <c r="Q1090" s="434">
        <v>2</v>
      </c>
      <c r="R1090" s="400">
        <v>2</v>
      </c>
      <c r="S1090" s="464">
        <v>0.8</v>
      </c>
      <c r="U1090" s="1248">
        <f t="shared" si="20"/>
        <v>0</v>
      </c>
      <c r="V1090" s="1304">
        <f t="shared" si="21"/>
        <v>1</v>
      </c>
    </row>
    <row r="1091" spans="1:22" ht="16.5" thickTop="1" thickBot="1">
      <c r="A1091" s="1244"/>
      <c r="B1091" s="1249" t="s">
        <v>735</v>
      </c>
      <c r="C1091" s="1329" t="s">
        <v>751</v>
      </c>
      <c r="D1091" s="1326" t="s">
        <v>227</v>
      </c>
      <c r="E1091" s="1249" t="s">
        <v>3883</v>
      </c>
      <c r="F1091" s="455" t="s">
        <v>3884</v>
      </c>
      <c r="G1091" s="456" t="s">
        <v>156</v>
      </c>
      <c r="H1091" s="889"/>
      <c r="I1091" s="891">
        <v>7.2679999999999998</v>
      </c>
      <c r="J1091" s="601">
        <v>7.2679999999999998</v>
      </c>
      <c r="K1091" s="602">
        <v>2</v>
      </c>
      <c r="L1091" s="981">
        <v>1</v>
      </c>
      <c r="M1091" s="1249" t="s">
        <v>366</v>
      </c>
      <c r="N1091" s="604" t="s">
        <v>227</v>
      </c>
      <c r="O1091" s="465">
        <v>1</v>
      </c>
      <c r="P1091" s="435">
        <v>7.2679999999999998</v>
      </c>
      <c r="Q1091" s="435">
        <v>1</v>
      </c>
      <c r="R1091" s="401">
        <v>1</v>
      </c>
      <c r="S1091" s="466">
        <v>2</v>
      </c>
      <c r="U1091" s="1248">
        <f t="shared" si="20"/>
        <v>1</v>
      </c>
      <c r="V1091" s="1304">
        <f t="shared" si="21"/>
        <v>1</v>
      </c>
    </row>
    <row r="1092" spans="1:22" ht="16.5" thickTop="1" thickBot="1">
      <c r="A1092" s="1244"/>
      <c r="B1092" s="1245" t="s">
        <v>798</v>
      </c>
      <c r="C1092" s="1328" t="s">
        <v>806</v>
      </c>
      <c r="D1092" s="1327" t="s">
        <v>227</v>
      </c>
      <c r="E1092" s="1245" t="s">
        <v>806</v>
      </c>
      <c r="F1092" s="457" t="s">
        <v>808</v>
      </c>
      <c r="G1092" s="458" t="s">
        <v>739</v>
      </c>
      <c r="H1092" s="888">
        <v>23</v>
      </c>
      <c r="I1092" s="890">
        <v>638.24199999999996</v>
      </c>
      <c r="J1092" s="899">
        <v>1775.4485</v>
      </c>
      <c r="K1092" s="603">
        <v>0.19718309859154928</v>
      </c>
      <c r="L1092" s="980">
        <v>6</v>
      </c>
      <c r="M1092" s="1245" t="s">
        <v>323</v>
      </c>
      <c r="N1092" s="604" t="s">
        <v>227</v>
      </c>
      <c r="O1092" s="463"/>
      <c r="P1092" s="434">
        <v>166.15600000000001</v>
      </c>
      <c r="Q1092" s="434">
        <v>4</v>
      </c>
      <c r="R1092" s="400">
        <v>2</v>
      </c>
      <c r="S1092" s="464">
        <v>0.33333333333333331</v>
      </c>
      <c r="U1092" s="1248">
        <f t="shared" si="20"/>
        <v>0</v>
      </c>
      <c r="V1092" s="1304">
        <f t="shared" si="21"/>
        <v>1</v>
      </c>
    </row>
    <row r="1093" spans="1:22" ht="16.5" thickTop="1" thickBot="1">
      <c r="A1093" s="1244"/>
      <c r="B1093" s="1249" t="s">
        <v>798</v>
      </c>
      <c r="C1093" s="1329" t="s">
        <v>806</v>
      </c>
      <c r="D1093" s="1326" t="s">
        <v>227</v>
      </c>
      <c r="E1093" s="1249" t="s">
        <v>833</v>
      </c>
      <c r="F1093" s="455" t="s">
        <v>835</v>
      </c>
      <c r="G1093" s="456" t="s">
        <v>157</v>
      </c>
      <c r="H1093" s="889">
        <v>23</v>
      </c>
      <c r="I1093" s="891">
        <v>72.2</v>
      </c>
      <c r="J1093" s="601">
        <v>116.176</v>
      </c>
      <c r="K1093" s="602">
        <v>0.15625</v>
      </c>
      <c r="L1093" s="981">
        <v>2</v>
      </c>
      <c r="M1093" s="1249" t="s">
        <v>366</v>
      </c>
      <c r="N1093" s="604" t="s">
        <v>227</v>
      </c>
      <c r="O1093" s="465"/>
      <c r="P1093" s="435">
        <v>0</v>
      </c>
      <c r="Q1093" s="435"/>
      <c r="R1093" s="401">
        <v>0</v>
      </c>
      <c r="S1093" s="466">
        <v>0</v>
      </c>
      <c r="U1093" s="1248">
        <f t="shared" si="20"/>
        <v>1</v>
      </c>
      <c r="V1093" s="1304">
        <f t="shared" si="21"/>
        <v>1</v>
      </c>
    </row>
    <row r="1094" spans="1:22" ht="16.5" thickTop="1" thickBot="1">
      <c r="A1094" s="1244"/>
      <c r="B1094" s="1245" t="s">
        <v>798</v>
      </c>
      <c r="C1094" s="1328" t="s">
        <v>806</v>
      </c>
      <c r="D1094" s="1327" t="s">
        <v>227</v>
      </c>
      <c r="E1094" s="1245" t="s">
        <v>864</v>
      </c>
      <c r="F1094" s="457" t="s">
        <v>683</v>
      </c>
      <c r="G1094" s="458" t="s">
        <v>157</v>
      </c>
      <c r="H1094" s="888">
        <v>21</v>
      </c>
      <c r="I1094" s="890">
        <v>481.87599999999998</v>
      </c>
      <c r="J1094" s="899">
        <v>1387.797</v>
      </c>
      <c r="K1094" s="603">
        <v>0.49079754601226994</v>
      </c>
      <c r="L1094" s="980">
        <v>7</v>
      </c>
      <c r="M1094" s="1245" t="s">
        <v>323</v>
      </c>
      <c r="N1094" s="604" t="s">
        <v>227</v>
      </c>
      <c r="O1094" s="463"/>
      <c r="P1094" s="434">
        <v>43.546999999999997</v>
      </c>
      <c r="Q1094" s="434">
        <v>3</v>
      </c>
      <c r="R1094" s="400">
        <v>3</v>
      </c>
      <c r="S1094" s="464">
        <v>0.4</v>
      </c>
      <c r="U1094" s="1248">
        <f t="shared" si="20"/>
        <v>0</v>
      </c>
      <c r="V1094" s="1304">
        <f t="shared" si="21"/>
        <v>1</v>
      </c>
    </row>
    <row r="1095" spans="1:22" ht="16.5" thickTop="1" thickBot="1">
      <c r="A1095" s="1244"/>
      <c r="B1095" s="1249" t="s">
        <v>798</v>
      </c>
      <c r="C1095" s="1329" t="s">
        <v>806</v>
      </c>
      <c r="D1095" s="1326" t="s">
        <v>227</v>
      </c>
      <c r="E1095" s="1249" t="s">
        <v>967</v>
      </c>
      <c r="F1095" s="455" t="s">
        <v>968</v>
      </c>
      <c r="G1095" s="456" t="s">
        <v>156</v>
      </c>
      <c r="H1095" s="889">
        <v>20</v>
      </c>
      <c r="I1095" s="891">
        <v>662.08900000000006</v>
      </c>
      <c r="J1095" s="601">
        <v>1191.297</v>
      </c>
      <c r="K1095" s="602">
        <v>0.4</v>
      </c>
      <c r="L1095" s="981">
        <v>4</v>
      </c>
      <c r="M1095" s="1249" t="s">
        <v>323</v>
      </c>
      <c r="N1095" s="604" t="s">
        <v>227</v>
      </c>
      <c r="O1095" s="465"/>
      <c r="P1095" s="435">
        <v>22.187000000000001</v>
      </c>
      <c r="Q1095" s="435">
        <v>1</v>
      </c>
      <c r="R1095" s="401">
        <v>1</v>
      </c>
      <c r="S1095" s="466">
        <v>0.25</v>
      </c>
      <c r="U1095" s="1248">
        <f t="shared" si="20"/>
        <v>0</v>
      </c>
      <c r="V1095" s="1304">
        <f t="shared" si="21"/>
        <v>1</v>
      </c>
    </row>
    <row r="1096" spans="1:22" ht="16.5" thickTop="1" thickBot="1">
      <c r="A1096" s="1244"/>
      <c r="B1096" s="1245" t="s">
        <v>798</v>
      </c>
      <c r="C1096" s="1328" t="s">
        <v>806</v>
      </c>
      <c r="D1096" s="1327" t="s">
        <v>227</v>
      </c>
      <c r="E1096" s="1245" t="s">
        <v>1005</v>
      </c>
      <c r="F1096" s="457" t="s">
        <v>1006</v>
      </c>
      <c r="G1096" s="458" t="s">
        <v>156</v>
      </c>
      <c r="H1096" s="888">
        <v>20</v>
      </c>
      <c r="I1096" s="890">
        <v>61.634999999999998</v>
      </c>
      <c r="J1096" s="899">
        <v>139.17699999999999</v>
      </c>
      <c r="K1096" s="603">
        <v>0.24324324324324326</v>
      </c>
      <c r="L1096" s="980">
        <v>4</v>
      </c>
      <c r="M1096" s="1245" t="s">
        <v>366</v>
      </c>
      <c r="N1096" s="604" t="s">
        <v>227</v>
      </c>
      <c r="O1096" s="463"/>
      <c r="P1096" s="434">
        <v>8.43</v>
      </c>
      <c r="Q1096" s="434">
        <v>1</v>
      </c>
      <c r="R1096" s="400">
        <v>1</v>
      </c>
      <c r="S1096" s="464">
        <v>0.25</v>
      </c>
      <c r="U1096" s="1248">
        <f t="shared" si="20"/>
        <v>1</v>
      </c>
      <c r="V1096" s="1304">
        <f t="shared" si="21"/>
        <v>1</v>
      </c>
    </row>
    <row r="1097" spans="1:22" ht="16.5" thickTop="1" thickBot="1">
      <c r="A1097" s="1244"/>
      <c r="B1097" s="1249" t="s">
        <v>798</v>
      </c>
      <c r="C1097" s="1329" t="s">
        <v>806</v>
      </c>
      <c r="D1097" s="1326" t="s">
        <v>227</v>
      </c>
      <c r="E1097" s="1249" t="s">
        <v>999</v>
      </c>
      <c r="F1097" s="455" t="s">
        <v>1000</v>
      </c>
      <c r="G1097" s="456" t="s">
        <v>156</v>
      </c>
      <c r="H1097" s="889">
        <v>19</v>
      </c>
      <c r="I1097" s="891">
        <v>189.62100000000001</v>
      </c>
      <c r="J1097" s="601">
        <v>223.07499999999999</v>
      </c>
      <c r="K1097" s="602">
        <v>0.18181818181818182</v>
      </c>
      <c r="L1097" s="981">
        <v>4</v>
      </c>
      <c r="M1097" s="1249" t="s">
        <v>322</v>
      </c>
      <c r="N1097" s="604" t="s">
        <v>227</v>
      </c>
      <c r="O1097" s="465"/>
      <c r="P1097" s="435"/>
      <c r="Q1097" s="435"/>
      <c r="R1097" s="401">
        <v>0</v>
      </c>
      <c r="S1097" s="466">
        <v>0</v>
      </c>
      <c r="U1097" s="1248">
        <f t="shared" si="20"/>
        <v>0</v>
      </c>
      <c r="V1097" s="1304">
        <f t="shared" si="21"/>
        <v>1</v>
      </c>
    </row>
    <row r="1098" spans="1:22" ht="16.5" thickTop="1" thickBot="1">
      <c r="A1098" s="1244"/>
      <c r="B1098" s="1245" t="s">
        <v>798</v>
      </c>
      <c r="C1098" s="1328" t="s">
        <v>806</v>
      </c>
      <c r="D1098" s="1327" t="s">
        <v>227</v>
      </c>
      <c r="E1098" s="1245" t="s">
        <v>975</v>
      </c>
      <c r="F1098" s="457" t="s">
        <v>977</v>
      </c>
      <c r="G1098" s="458" t="s">
        <v>157</v>
      </c>
      <c r="H1098" s="888">
        <v>19</v>
      </c>
      <c r="I1098" s="890">
        <v>111.773</v>
      </c>
      <c r="J1098" s="899">
        <v>377.08100000000002</v>
      </c>
      <c r="K1098" s="603">
        <v>0.30985915492957744</v>
      </c>
      <c r="L1098" s="980">
        <v>7</v>
      </c>
      <c r="M1098" s="1245" t="s">
        <v>321</v>
      </c>
      <c r="N1098" s="604" t="s">
        <v>227</v>
      </c>
      <c r="O1098" s="463">
        <v>1</v>
      </c>
      <c r="P1098" s="434">
        <v>58.677</v>
      </c>
      <c r="Q1098" s="434">
        <v>3</v>
      </c>
      <c r="R1098" s="400">
        <v>1</v>
      </c>
      <c r="S1098" s="464">
        <v>0.15384615384615385</v>
      </c>
      <c r="U1098" s="1248">
        <f t="shared" si="20"/>
        <v>0</v>
      </c>
      <c r="V1098" s="1304">
        <f t="shared" si="21"/>
        <v>1</v>
      </c>
    </row>
    <row r="1099" spans="1:22" ht="16.5" thickTop="1" thickBot="1">
      <c r="A1099" s="1244"/>
      <c r="B1099" s="1249" t="s">
        <v>798</v>
      </c>
      <c r="C1099" s="1329" t="s">
        <v>806</v>
      </c>
      <c r="D1099" s="1326" t="s">
        <v>227</v>
      </c>
      <c r="E1099" s="1249" t="s">
        <v>1007</v>
      </c>
      <c r="F1099" s="455" t="s">
        <v>1008</v>
      </c>
      <c r="G1099" s="456" t="s">
        <v>156</v>
      </c>
      <c r="H1099" s="889">
        <v>19</v>
      </c>
      <c r="I1099" s="891">
        <v>15.561</v>
      </c>
      <c r="J1099" s="601">
        <v>138.334</v>
      </c>
      <c r="K1099" s="602">
        <v>0.2</v>
      </c>
      <c r="L1099" s="981">
        <v>5</v>
      </c>
      <c r="M1099" s="1249" t="s">
        <v>366</v>
      </c>
      <c r="N1099" s="604" t="s">
        <v>227</v>
      </c>
      <c r="O1099" s="465">
        <v>2</v>
      </c>
      <c r="P1099" s="435">
        <v>0</v>
      </c>
      <c r="Q1099" s="435"/>
      <c r="R1099" s="401">
        <v>0</v>
      </c>
      <c r="S1099" s="466">
        <v>0</v>
      </c>
      <c r="U1099" s="1248">
        <f t="shared" si="20"/>
        <v>1</v>
      </c>
      <c r="V1099" s="1304">
        <f t="shared" si="21"/>
        <v>1</v>
      </c>
    </row>
    <row r="1100" spans="1:22" ht="16.5" thickTop="1" thickBot="1">
      <c r="A1100" s="1244"/>
      <c r="B1100" s="1245" t="s">
        <v>798</v>
      </c>
      <c r="C1100" s="1328" t="s">
        <v>806</v>
      </c>
      <c r="D1100" s="1327" t="s">
        <v>227</v>
      </c>
      <c r="E1100" s="1245" t="s">
        <v>1088</v>
      </c>
      <c r="F1100" s="457" t="s">
        <v>1089</v>
      </c>
      <c r="G1100" s="458" t="s">
        <v>157</v>
      </c>
      <c r="H1100" s="888">
        <v>19</v>
      </c>
      <c r="I1100" s="890">
        <v>28.734000000000002</v>
      </c>
      <c r="J1100" s="899">
        <v>370.07400000000001</v>
      </c>
      <c r="K1100" s="603">
        <v>0.42276422764227645</v>
      </c>
      <c r="L1100" s="980">
        <v>3</v>
      </c>
      <c r="M1100" s="1245" t="s">
        <v>321</v>
      </c>
      <c r="N1100" s="604" t="s">
        <v>227</v>
      </c>
      <c r="O1100" s="463"/>
      <c r="P1100" s="434">
        <v>8.5429999999999993</v>
      </c>
      <c r="Q1100" s="434">
        <v>1</v>
      </c>
      <c r="R1100" s="400">
        <v>1</v>
      </c>
      <c r="S1100" s="464">
        <v>0.33333333333333331</v>
      </c>
      <c r="U1100" s="1248">
        <f t="shared" si="20"/>
        <v>0</v>
      </c>
      <c r="V1100" s="1304">
        <f t="shared" si="21"/>
        <v>1</v>
      </c>
    </row>
    <row r="1101" spans="1:22" ht="16.5" thickTop="1" thickBot="1">
      <c r="A1101" s="1244"/>
      <c r="B1101" s="1249" t="s">
        <v>798</v>
      </c>
      <c r="C1101" s="1329" t="s">
        <v>806</v>
      </c>
      <c r="D1101" s="1326" t="s">
        <v>227</v>
      </c>
      <c r="E1101" s="1249" t="s">
        <v>1092</v>
      </c>
      <c r="F1101" s="455" t="s">
        <v>1093</v>
      </c>
      <c r="G1101" s="456" t="s">
        <v>156</v>
      </c>
      <c r="H1101" s="889">
        <v>18</v>
      </c>
      <c r="I1101" s="891">
        <v>210.34</v>
      </c>
      <c r="J1101" s="601">
        <v>306.25599999999997</v>
      </c>
      <c r="K1101" s="602">
        <v>0.21333333333333335</v>
      </c>
      <c r="L1101" s="981">
        <v>4</v>
      </c>
      <c r="M1101" s="1249" t="s">
        <v>321</v>
      </c>
      <c r="N1101" s="604" t="s">
        <v>227</v>
      </c>
      <c r="O1101" s="465"/>
      <c r="P1101" s="435">
        <v>0</v>
      </c>
      <c r="Q1101" s="435"/>
      <c r="R1101" s="401">
        <v>0</v>
      </c>
      <c r="S1101" s="466">
        <v>0</v>
      </c>
      <c r="U1101" s="1248">
        <f t="shared" si="20"/>
        <v>0</v>
      </c>
      <c r="V1101" s="1304">
        <f t="shared" si="21"/>
        <v>1</v>
      </c>
    </row>
    <row r="1102" spans="1:22" ht="16.5" thickTop="1" thickBot="1">
      <c r="A1102" s="1244"/>
      <c r="B1102" s="1245" t="s">
        <v>798</v>
      </c>
      <c r="C1102" s="1328" t="s">
        <v>806</v>
      </c>
      <c r="D1102" s="1327" t="s">
        <v>227</v>
      </c>
      <c r="E1102" s="1245" t="s">
        <v>1090</v>
      </c>
      <c r="F1102" s="457" t="s">
        <v>1091</v>
      </c>
      <c r="G1102" s="458" t="s">
        <v>156</v>
      </c>
      <c r="H1102" s="888">
        <v>18</v>
      </c>
      <c r="I1102" s="890">
        <v>140.684</v>
      </c>
      <c r="J1102" s="899">
        <v>177.82849999999999</v>
      </c>
      <c r="K1102" s="603">
        <v>0.18604651162790697</v>
      </c>
      <c r="L1102" s="980">
        <v>6</v>
      </c>
      <c r="M1102" s="1245" t="s">
        <v>366</v>
      </c>
      <c r="N1102" s="604" t="s">
        <v>227</v>
      </c>
      <c r="O1102" s="463"/>
      <c r="P1102" s="434">
        <v>6.9429999999999996</v>
      </c>
      <c r="Q1102" s="434">
        <v>1</v>
      </c>
      <c r="R1102" s="400">
        <v>1</v>
      </c>
      <c r="S1102" s="464">
        <v>0.15384615384615385</v>
      </c>
      <c r="U1102" s="1248">
        <f t="shared" si="20"/>
        <v>1</v>
      </c>
      <c r="V1102" s="1304">
        <f t="shared" si="21"/>
        <v>1</v>
      </c>
    </row>
    <row r="1103" spans="1:22" ht="16.5" thickTop="1" thickBot="1">
      <c r="A1103" s="1244"/>
      <c r="B1103" s="1249" t="s">
        <v>798</v>
      </c>
      <c r="C1103" s="1329" t="s">
        <v>806</v>
      </c>
      <c r="D1103" s="1326" t="s">
        <v>227</v>
      </c>
      <c r="E1103" s="1249" t="s">
        <v>1264</v>
      </c>
      <c r="F1103" s="455" t="s">
        <v>1265</v>
      </c>
      <c r="G1103" s="456" t="s">
        <v>155</v>
      </c>
      <c r="H1103" s="889"/>
      <c r="I1103" s="891"/>
      <c r="J1103" s="601">
        <v>212.78200000000001</v>
      </c>
      <c r="K1103" s="602">
        <v>0.62857142857142856</v>
      </c>
      <c r="L1103" s="981">
        <v>2</v>
      </c>
      <c r="M1103" s="1249" t="s">
        <v>366</v>
      </c>
      <c r="N1103" s="604" t="s">
        <v>227</v>
      </c>
      <c r="O1103" s="465"/>
      <c r="P1103" s="435">
        <v>12.638</v>
      </c>
      <c r="Q1103" s="435">
        <v>1</v>
      </c>
      <c r="R1103" s="401">
        <v>1</v>
      </c>
      <c r="S1103" s="466">
        <v>0.5</v>
      </c>
      <c r="U1103" s="1248">
        <f t="shared" si="20"/>
        <v>1</v>
      </c>
      <c r="V1103" s="1304">
        <f t="shared" si="21"/>
        <v>0</v>
      </c>
    </row>
    <row r="1104" spans="1:22" ht="16.5" thickTop="1" thickBot="1">
      <c r="A1104" s="1244"/>
      <c r="B1104" s="1245" t="s">
        <v>798</v>
      </c>
      <c r="C1104" s="1328" t="s">
        <v>806</v>
      </c>
      <c r="D1104" s="1327" t="s">
        <v>227</v>
      </c>
      <c r="E1104" s="1245" t="s">
        <v>1266</v>
      </c>
      <c r="F1104" s="457" t="s">
        <v>1267</v>
      </c>
      <c r="G1104" s="458" t="s">
        <v>155</v>
      </c>
      <c r="H1104" s="888"/>
      <c r="I1104" s="890"/>
      <c r="J1104" s="899">
        <v>30.963000000000001</v>
      </c>
      <c r="K1104" s="603">
        <v>0.11320754716981132</v>
      </c>
      <c r="L1104" s="980">
        <v>1</v>
      </c>
      <c r="M1104" s="1245" t="s">
        <v>366</v>
      </c>
      <c r="N1104" s="604" t="s">
        <v>227</v>
      </c>
      <c r="O1104" s="463"/>
      <c r="P1104" s="434"/>
      <c r="Q1104" s="434"/>
      <c r="R1104" s="400">
        <v>0</v>
      </c>
      <c r="S1104" s="464">
        <v>0</v>
      </c>
      <c r="U1104" s="1248">
        <f t="shared" si="20"/>
        <v>1</v>
      </c>
      <c r="V1104" s="1304">
        <f t="shared" si="21"/>
        <v>0</v>
      </c>
    </row>
    <row r="1105" spans="1:22" ht="16.5" thickTop="1" thickBot="1">
      <c r="A1105" s="1244"/>
      <c r="B1105" s="1249" t="s">
        <v>798</v>
      </c>
      <c r="C1105" s="1329" t="s">
        <v>806</v>
      </c>
      <c r="D1105" s="1326" t="s">
        <v>227</v>
      </c>
      <c r="E1105" s="1249" t="s">
        <v>1236</v>
      </c>
      <c r="F1105" s="455" t="s">
        <v>1237</v>
      </c>
      <c r="G1105" s="456" t="s">
        <v>156</v>
      </c>
      <c r="H1105" s="889">
        <v>17</v>
      </c>
      <c r="I1105" s="891">
        <v>63.929000000000002</v>
      </c>
      <c r="J1105" s="601">
        <v>63.929000000000002</v>
      </c>
      <c r="K1105" s="602">
        <v>0.12244897959183673</v>
      </c>
      <c r="L1105" s="981">
        <v>4</v>
      </c>
      <c r="M1105" s="1249" t="s">
        <v>366</v>
      </c>
      <c r="N1105" s="604" t="s">
        <v>227</v>
      </c>
      <c r="O1105" s="465"/>
      <c r="P1105" s="435">
        <v>15.37</v>
      </c>
      <c r="Q1105" s="435">
        <v>1</v>
      </c>
      <c r="R1105" s="401">
        <v>1</v>
      </c>
      <c r="S1105" s="466">
        <v>0.25</v>
      </c>
      <c r="U1105" s="1248">
        <f t="shared" si="20"/>
        <v>1</v>
      </c>
      <c r="V1105" s="1304">
        <f t="shared" si="21"/>
        <v>1</v>
      </c>
    </row>
    <row r="1106" spans="1:22" ht="16.5" thickTop="1" thickBot="1">
      <c r="A1106" s="1244"/>
      <c r="B1106" s="1245" t="s">
        <v>798</v>
      </c>
      <c r="C1106" s="1328" t="s">
        <v>806</v>
      </c>
      <c r="D1106" s="1327" t="s">
        <v>227</v>
      </c>
      <c r="E1106" s="1245" t="s">
        <v>1327</v>
      </c>
      <c r="F1106" s="457" t="s">
        <v>1328</v>
      </c>
      <c r="G1106" s="458" t="s">
        <v>155</v>
      </c>
      <c r="H1106" s="888"/>
      <c r="I1106" s="890"/>
      <c r="J1106" s="899">
        <v>54.151499999999999</v>
      </c>
      <c r="K1106" s="603">
        <v>0.25</v>
      </c>
      <c r="L1106" s="980">
        <v>1</v>
      </c>
      <c r="M1106" s="1245" t="s">
        <v>366</v>
      </c>
      <c r="N1106" s="604" t="s">
        <v>227</v>
      </c>
      <c r="O1106" s="463"/>
      <c r="P1106" s="434">
        <v>7.6840000000000002</v>
      </c>
      <c r="Q1106" s="434">
        <v>1</v>
      </c>
      <c r="R1106" s="400">
        <v>1</v>
      </c>
      <c r="S1106" s="464">
        <v>1</v>
      </c>
      <c r="U1106" s="1248">
        <f t="shared" si="20"/>
        <v>1</v>
      </c>
      <c r="V1106" s="1304">
        <f t="shared" si="21"/>
        <v>0</v>
      </c>
    </row>
    <row r="1107" spans="1:22" ht="16.5" thickTop="1" thickBot="1">
      <c r="A1107" s="1244"/>
      <c r="B1107" s="1249" t="s">
        <v>798</v>
      </c>
      <c r="C1107" s="1329" t="s">
        <v>806</v>
      </c>
      <c r="D1107" s="1326" t="s">
        <v>227</v>
      </c>
      <c r="E1107" s="1249" t="s">
        <v>1378</v>
      </c>
      <c r="F1107" s="455" t="s">
        <v>1380</v>
      </c>
      <c r="G1107" s="456" t="s">
        <v>157</v>
      </c>
      <c r="H1107" s="889">
        <v>15</v>
      </c>
      <c r="I1107" s="891">
        <v>10.407999999999999</v>
      </c>
      <c r="J1107" s="601">
        <v>120.17400000000001</v>
      </c>
      <c r="K1107" s="602">
        <v>0.26415094339622641</v>
      </c>
      <c r="L1107" s="981">
        <v>2</v>
      </c>
      <c r="M1107" s="1249" t="s">
        <v>366</v>
      </c>
      <c r="N1107" s="604" t="s">
        <v>227</v>
      </c>
      <c r="O1107" s="465"/>
      <c r="P1107" s="435">
        <v>2.2050000000000001</v>
      </c>
      <c r="Q1107" s="435">
        <v>1</v>
      </c>
      <c r="R1107" s="401">
        <v>1</v>
      </c>
      <c r="S1107" s="466">
        <v>0.5</v>
      </c>
      <c r="U1107" s="1248">
        <f t="shared" si="20"/>
        <v>1</v>
      </c>
      <c r="V1107" s="1304">
        <f t="shared" si="21"/>
        <v>1</v>
      </c>
    </row>
    <row r="1108" spans="1:22" ht="16.5" thickTop="1" thickBot="1">
      <c r="A1108" s="1244"/>
      <c r="B1108" s="1245" t="s">
        <v>798</v>
      </c>
      <c r="C1108" s="1328" t="s">
        <v>806</v>
      </c>
      <c r="D1108" s="1327" t="s">
        <v>227</v>
      </c>
      <c r="E1108" s="1245" t="s">
        <v>1398</v>
      </c>
      <c r="F1108" s="457" t="s">
        <v>1399</v>
      </c>
      <c r="G1108" s="458" t="s">
        <v>156</v>
      </c>
      <c r="H1108" s="888">
        <v>15</v>
      </c>
      <c r="I1108" s="890">
        <v>737.96100000000001</v>
      </c>
      <c r="J1108" s="899">
        <v>2205.277</v>
      </c>
      <c r="K1108" s="603">
        <v>0.46486486486486489</v>
      </c>
      <c r="L1108" s="980">
        <v>9</v>
      </c>
      <c r="M1108" s="1245" t="s">
        <v>323</v>
      </c>
      <c r="N1108" s="604" t="s">
        <v>227</v>
      </c>
      <c r="O1108" s="463">
        <v>1</v>
      </c>
      <c r="P1108" s="434">
        <v>79.239000000000004</v>
      </c>
      <c r="Q1108" s="434">
        <v>6</v>
      </c>
      <c r="R1108" s="400">
        <v>3</v>
      </c>
      <c r="S1108" s="464">
        <v>0.35294117647058826</v>
      </c>
      <c r="U1108" s="1248">
        <f t="shared" si="20"/>
        <v>0</v>
      </c>
      <c r="V1108" s="1304">
        <f t="shared" si="21"/>
        <v>1</v>
      </c>
    </row>
    <row r="1109" spans="1:22" ht="16.5" thickTop="1" thickBot="1">
      <c r="A1109" s="1244"/>
      <c r="B1109" s="1249" t="s">
        <v>798</v>
      </c>
      <c r="C1109" s="1329" t="s">
        <v>806</v>
      </c>
      <c r="D1109" s="1326" t="s">
        <v>227</v>
      </c>
      <c r="E1109" s="1249" t="s">
        <v>1507</v>
      </c>
      <c r="F1109" s="455" t="s">
        <v>1508</v>
      </c>
      <c r="G1109" s="456" t="s">
        <v>156</v>
      </c>
      <c r="H1109" s="889">
        <v>14</v>
      </c>
      <c r="I1109" s="891">
        <v>65.239000000000004</v>
      </c>
      <c r="J1109" s="601">
        <v>161.62899999999999</v>
      </c>
      <c r="K1109" s="602">
        <v>0.17094017094017094</v>
      </c>
      <c r="L1109" s="981">
        <v>5</v>
      </c>
      <c r="M1109" s="1249" t="s">
        <v>366</v>
      </c>
      <c r="N1109" s="604" t="s">
        <v>227</v>
      </c>
      <c r="O1109" s="465"/>
      <c r="P1109" s="435">
        <v>3.5350000000000001</v>
      </c>
      <c r="Q1109" s="435"/>
      <c r="R1109" s="401">
        <v>0</v>
      </c>
      <c r="S1109" s="466">
        <v>0</v>
      </c>
      <c r="U1109" s="1248">
        <f t="shared" si="20"/>
        <v>1</v>
      </c>
      <c r="V1109" s="1304">
        <f t="shared" si="21"/>
        <v>1</v>
      </c>
    </row>
    <row r="1110" spans="1:22" ht="16.5" thickTop="1" thickBot="1">
      <c r="A1110" s="1244"/>
      <c r="B1110" s="1245" t="s">
        <v>798</v>
      </c>
      <c r="C1110" s="1328" t="s">
        <v>806</v>
      </c>
      <c r="D1110" s="1327" t="s">
        <v>227</v>
      </c>
      <c r="E1110" s="1245" t="s">
        <v>1710</v>
      </c>
      <c r="F1110" s="457" t="s">
        <v>1712</v>
      </c>
      <c r="G1110" s="458" t="s">
        <v>157</v>
      </c>
      <c r="H1110" s="888">
        <v>12</v>
      </c>
      <c r="I1110" s="890">
        <v>195.624</v>
      </c>
      <c r="J1110" s="899">
        <v>441.83800000000002</v>
      </c>
      <c r="K1110" s="603">
        <v>0.29677419354838708</v>
      </c>
      <c r="L1110" s="980">
        <v>11</v>
      </c>
      <c r="M1110" s="1245" t="s">
        <v>323</v>
      </c>
      <c r="N1110" s="604" t="s">
        <v>227</v>
      </c>
      <c r="O1110" s="463">
        <v>1</v>
      </c>
      <c r="P1110" s="434">
        <v>20.687999999999999</v>
      </c>
      <c r="Q1110" s="434">
        <v>1</v>
      </c>
      <c r="R1110" s="400">
        <v>1</v>
      </c>
      <c r="S1110" s="464">
        <v>7.6923076923076927E-2</v>
      </c>
      <c r="U1110" s="1248">
        <f t="shared" si="20"/>
        <v>0</v>
      </c>
      <c r="V1110" s="1304">
        <f t="shared" si="21"/>
        <v>1</v>
      </c>
    </row>
    <row r="1111" spans="1:22" ht="16.5" thickTop="1" thickBot="1">
      <c r="A1111" s="1244"/>
      <c r="B1111" s="1249" t="s">
        <v>798</v>
      </c>
      <c r="C1111" s="1329" t="s">
        <v>806</v>
      </c>
      <c r="D1111" s="1326" t="s">
        <v>227</v>
      </c>
      <c r="E1111" s="1249" t="s">
        <v>1760</v>
      </c>
      <c r="F1111" s="455" t="s">
        <v>1761</v>
      </c>
      <c r="G1111" s="456" t="s">
        <v>156</v>
      </c>
      <c r="H1111" s="889">
        <v>12</v>
      </c>
      <c r="I1111" s="891">
        <v>10.632</v>
      </c>
      <c r="J1111" s="601">
        <v>130.2355</v>
      </c>
      <c r="K1111" s="602">
        <v>5.5555555555555552E-2</v>
      </c>
      <c r="L1111" s="981">
        <v>1</v>
      </c>
      <c r="M1111" s="1249" t="s">
        <v>366</v>
      </c>
      <c r="N1111" s="604" t="s">
        <v>227</v>
      </c>
      <c r="O1111" s="465"/>
      <c r="P1111" s="435"/>
      <c r="Q1111" s="435"/>
      <c r="R1111" s="401">
        <v>0</v>
      </c>
      <c r="S1111" s="466">
        <v>0</v>
      </c>
      <c r="U1111" s="1248">
        <f t="shared" si="20"/>
        <v>1</v>
      </c>
      <c r="V1111" s="1304">
        <f t="shared" si="21"/>
        <v>1</v>
      </c>
    </row>
    <row r="1112" spans="1:22" ht="16.5" thickTop="1" thickBot="1">
      <c r="A1112" s="1244"/>
      <c r="B1112" s="1245" t="s">
        <v>798</v>
      </c>
      <c r="C1112" s="1328" t="s">
        <v>806</v>
      </c>
      <c r="D1112" s="1327" t="s">
        <v>227</v>
      </c>
      <c r="E1112" s="1245" t="s">
        <v>1927</v>
      </c>
      <c r="F1112" s="457" t="s">
        <v>1928</v>
      </c>
      <c r="G1112" s="458" t="s">
        <v>156</v>
      </c>
      <c r="H1112" s="888">
        <v>12</v>
      </c>
      <c r="I1112" s="890">
        <v>37.226999999999997</v>
      </c>
      <c r="J1112" s="899">
        <v>37.226999999999997</v>
      </c>
      <c r="K1112" s="603">
        <v>0.19354838709677419</v>
      </c>
      <c r="L1112" s="980">
        <v>1</v>
      </c>
      <c r="M1112" s="1245" t="s">
        <v>366</v>
      </c>
      <c r="N1112" s="604" t="s">
        <v>227</v>
      </c>
      <c r="O1112" s="463"/>
      <c r="P1112" s="434">
        <v>-0.14599999999999999</v>
      </c>
      <c r="Q1112" s="434">
        <v>0</v>
      </c>
      <c r="R1112" s="400">
        <v>0</v>
      </c>
      <c r="S1112" s="464">
        <v>0</v>
      </c>
      <c r="U1112" s="1248">
        <f t="shared" si="20"/>
        <v>1</v>
      </c>
      <c r="V1112" s="1304">
        <f t="shared" si="21"/>
        <v>1</v>
      </c>
    </row>
    <row r="1113" spans="1:22" ht="16.5" thickTop="1" thickBot="1">
      <c r="A1113" s="1244"/>
      <c r="B1113" s="1249" t="s">
        <v>798</v>
      </c>
      <c r="C1113" s="1329" t="s">
        <v>806</v>
      </c>
      <c r="D1113" s="1326" t="s">
        <v>227</v>
      </c>
      <c r="E1113" s="1249" t="s">
        <v>2043</v>
      </c>
      <c r="F1113" s="455" t="s">
        <v>2044</v>
      </c>
      <c r="G1113" s="456" t="s">
        <v>155</v>
      </c>
      <c r="H1113" s="889"/>
      <c r="I1113" s="891"/>
      <c r="J1113" s="601">
        <v>33.503999999999998</v>
      </c>
      <c r="K1113" s="602">
        <v>0.16326530612244897</v>
      </c>
      <c r="L1113" s="981">
        <v>1</v>
      </c>
      <c r="M1113" s="1249" t="s">
        <v>366</v>
      </c>
      <c r="N1113" s="604" t="s">
        <v>227</v>
      </c>
      <c r="O1113" s="465"/>
      <c r="P1113" s="435"/>
      <c r="Q1113" s="435"/>
      <c r="R1113" s="401">
        <v>0</v>
      </c>
      <c r="S1113" s="466">
        <v>0</v>
      </c>
      <c r="U1113" s="1248">
        <f t="shared" si="20"/>
        <v>1</v>
      </c>
      <c r="V1113" s="1304">
        <f t="shared" si="21"/>
        <v>0</v>
      </c>
    </row>
    <row r="1114" spans="1:22" ht="16.5" thickTop="1" thickBot="1">
      <c r="A1114" s="1244"/>
      <c r="B1114" s="1245" t="s">
        <v>798</v>
      </c>
      <c r="C1114" s="1328" t="s">
        <v>806</v>
      </c>
      <c r="D1114" s="1327" t="s">
        <v>227</v>
      </c>
      <c r="E1114" s="1245" t="s">
        <v>2309</v>
      </c>
      <c r="F1114" s="457" t="s">
        <v>2310</v>
      </c>
      <c r="G1114" s="458" t="s">
        <v>156</v>
      </c>
      <c r="H1114" s="888">
        <v>8</v>
      </c>
      <c r="I1114" s="890">
        <v>124.545</v>
      </c>
      <c r="J1114" s="899">
        <v>189.87700000000001</v>
      </c>
      <c r="K1114" s="603">
        <v>0.21052631578947367</v>
      </c>
      <c r="L1114" s="980">
        <v>5</v>
      </c>
      <c r="M1114" s="1245" t="s">
        <v>321</v>
      </c>
      <c r="N1114" s="604" t="s">
        <v>227</v>
      </c>
      <c r="O1114" s="463"/>
      <c r="P1114" s="434">
        <v>0.432</v>
      </c>
      <c r="Q1114" s="434"/>
      <c r="R1114" s="400">
        <v>0</v>
      </c>
      <c r="S1114" s="464">
        <v>0</v>
      </c>
      <c r="U1114" s="1248">
        <f t="shared" si="20"/>
        <v>0</v>
      </c>
      <c r="V1114" s="1304">
        <f t="shared" si="21"/>
        <v>1</v>
      </c>
    </row>
    <row r="1115" spans="1:22" ht="16.5" thickTop="1" thickBot="1">
      <c r="A1115" s="1244"/>
      <c r="B1115" s="1249" t="s">
        <v>798</v>
      </c>
      <c r="C1115" s="1329" t="s">
        <v>806</v>
      </c>
      <c r="D1115" s="1326" t="s">
        <v>227</v>
      </c>
      <c r="E1115" s="1249" t="s">
        <v>2544</v>
      </c>
      <c r="F1115" s="455" t="s">
        <v>2545</v>
      </c>
      <c r="G1115" s="456" t="s">
        <v>156</v>
      </c>
      <c r="H1115" s="889">
        <v>7</v>
      </c>
      <c r="I1115" s="891">
        <v>110.358</v>
      </c>
      <c r="J1115" s="601">
        <v>139.608</v>
      </c>
      <c r="K1115" s="602">
        <v>0.27272727272727271</v>
      </c>
      <c r="L1115" s="981">
        <v>7</v>
      </c>
      <c r="M1115" s="1249" t="s">
        <v>321</v>
      </c>
      <c r="N1115" s="604" t="s">
        <v>227</v>
      </c>
      <c r="O1115" s="465">
        <v>1</v>
      </c>
      <c r="P1115" s="435">
        <v>10.795999999999999</v>
      </c>
      <c r="Q1115" s="435">
        <v>2</v>
      </c>
      <c r="R1115" s="401">
        <v>1</v>
      </c>
      <c r="S1115" s="466">
        <v>0.14285714285714285</v>
      </c>
      <c r="U1115" s="1248">
        <f t="shared" si="20"/>
        <v>0</v>
      </c>
      <c r="V1115" s="1304">
        <f t="shared" si="21"/>
        <v>1</v>
      </c>
    </row>
    <row r="1116" spans="1:22" ht="16.5" thickTop="1" thickBot="1">
      <c r="A1116" s="1244"/>
      <c r="B1116" s="1245" t="s">
        <v>798</v>
      </c>
      <c r="C1116" s="1328" t="s">
        <v>806</v>
      </c>
      <c r="D1116" s="1327" t="s">
        <v>227</v>
      </c>
      <c r="E1116" s="1245" t="s">
        <v>2875</v>
      </c>
      <c r="F1116" s="457" t="s">
        <v>2199</v>
      </c>
      <c r="G1116" s="458" t="s">
        <v>155</v>
      </c>
      <c r="H1116" s="888"/>
      <c r="I1116" s="890"/>
      <c r="J1116" s="899">
        <v>13.391999999999999</v>
      </c>
      <c r="K1116" s="603">
        <v>0.125</v>
      </c>
      <c r="L1116" s="980">
        <v>2</v>
      </c>
      <c r="M1116" s="1245" t="s">
        <v>366</v>
      </c>
      <c r="N1116" s="604" t="s">
        <v>227</v>
      </c>
      <c r="O1116" s="463"/>
      <c r="P1116" s="434">
        <v>2.927</v>
      </c>
      <c r="Q1116" s="434"/>
      <c r="R1116" s="400">
        <v>0</v>
      </c>
      <c r="S1116" s="464">
        <v>0</v>
      </c>
      <c r="U1116" s="1248">
        <f t="shared" si="20"/>
        <v>1</v>
      </c>
      <c r="V1116" s="1304">
        <f t="shared" si="21"/>
        <v>0</v>
      </c>
    </row>
    <row r="1117" spans="1:22" ht="16.5" thickTop="1" thickBot="1">
      <c r="A1117" s="1244"/>
      <c r="B1117" s="1249" t="s">
        <v>798</v>
      </c>
      <c r="C1117" s="1329" t="s">
        <v>806</v>
      </c>
      <c r="D1117" s="1326" t="s">
        <v>227</v>
      </c>
      <c r="E1117" s="1249" t="s">
        <v>3038</v>
      </c>
      <c r="F1117" s="455" t="s">
        <v>3039</v>
      </c>
      <c r="G1117" s="456" t="s">
        <v>155</v>
      </c>
      <c r="H1117" s="889"/>
      <c r="I1117" s="891"/>
      <c r="J1117" s="601"/>
      <c r="K1117" s="602">
        <v>0</v>
      </c>
      <c r="L1117" s="981">
        <v>1</v>
      </c>
      <c r="M1117" s="1249" t="s">
        <v>366</v>
      </c>
      <c r="N1117" s="604" t="s">
        <v>227</v>
      </c>
      <c r="O1117" s="465"/>
      <c r="P1117" s="435"/>
      <c r="Q1117" s="435"/>
      <c r="R1117" s="401">
        <v>0</v>
      </c>
      <c r="S1117" s="466">
        <v>0</v>
      </c>
      <c r="U1117" s="1248">
        <f t="shared" si="20"/>
        <v>1</v>
      </c>
      <c r="V1117" s="1304">
        <f t="shared" si="21"/>
        <v>0</v>
      </c>
    </row>
    <row r="1118" spans="1:22" ht="16.5" thickTop="1" thickBot="1">
      <c r="A1118" s="1244"/>
      <c r="B1118" s="1245" t="s">
        <v>798</v>
      </c>
      <c r="C1118" s="1328" t="s">
        <v>806</v>
      </c>
      <c r="D1118" s="1327" t="s">
        <v>227</v>
      </c>
      <c r="E1118" s="1245" t="s">
        <v>3346</v>
      </c>
      <c r="F1118" s="457" t="s">
        <v>3347</v>
      </c>
      <c r="G1118" s="458" t="s">
        <v>155</v>
      </c>
      <c r="H1118" s="888"/>
      <c r="I1118" s="890"/>
      <c r="J1118" s="899">
        <v>66.536000000000001</v>
      </c>
      <c r="K1118" s="603">
        <v>0.5</v>
      </c>
      <c r="L1118" s="980">
        <v>6</v>
      </c>
      <c r="M1118" s="1245" t="s">
        <v>366</v>
      </c>
      <c r="N1118" s="604" t="s">
        <v>227</v>
      </c>
      <c r="O1118" s="463">
        <v>1</v>
      </c>
      <c r="P1118" s="434">
        <v>66.536000000000001</v>
      </c>
      <c r="Q1118" s="434">
        <v>3</v>
      </c>
      <c r="R1118" s="400">
        <v>3</v>
      </c>
      <c r="S1118" s="464">
        <v>0.54545454545454541</v>
      </c>
      <c r="U1118" s="1248">
        <f t="shared" si="20"/>
        <v>1</v>
      </c>
      <c r="V1118" s="1304">
        <f t="shared" si="21"/>
        <v>0</v>
      </c>
    </row>
    <row r="1119" spans="1:22" ht="16.5" thickTop="1" thickBot="1">
      <c r="A1119" s="1244"/>
      <c r="B1119" s="1249" t="s">
        <v>798</v>
      </c>
      <c r="C1119" s="1329" t="s">
        <v>806</v>
      </c>
      <c r="D1119" s="1326" t="s">
        <v>227</v>
      </c>
      <c r="E1119" s="1249" t="s">
        <v>3348</v>
      </c>
      <c r="F1119" s="455" t="s">
        <v>3349</v>
      </c>
      <c r="G1119" s="456" t="s">
        <v>156</v>
      </c>
      <c r="H1119" s="889">
        <v>1</v>
      </c>
      <c r="I1119" s="891">
        <v>80.956999999999994</v>
      </c>
      <c r="J1119" s="601">
        <v>80.956999999999994</v>
      </c>
      <c r="K1119" s="602">
        <v>1.3333333333333333</v>
      </c>
      <c r="L1119" s="981">
        <v>1</v>
      </c>
      <c r="M1119" s="1249" t="s">
        <v>323</v>
      </c>
      <c r="N1119" s="604" t="s">
        <v>227</v>
      </c>
      <c r="O1119" s="465"/>
      <c r="P1119" s="435">
        <v>45.997</v>
      </c>
      <c r="Q1119" s="435">
        <v>4</v>
      </c>
      <c r="R1119" s="401">
        <v>1</v>
      </c>
      <c r="S1119" s="466">
        <v>1</v>
      </c>
      <c r="U1119" s="1248">
        <f t="shared" si="20"/>
        <v>0</v>
      </c>
      <c r="V1119" s="1304">
        <f t="shared" si="21"/>
        <v>1</v>
      </c>
    </row>
    <row r="1120" spans="1:22" ht="16.5" thickTop="1" thickBot="1">
      <c r="A1120" s="1244"/>
      <c r="B1120" s="1245" t="s">
        <v>798</v>
      </c>
      <c r="C1120" s="1328" t="s">
        <v>806</v>
      </c>
      <c r="D1120" s="1327" t="s">
        <v>227</v>
      </c>
      <c r="E1120" s="1245" t="s">
        <v>3885</v>
      </c>
      <c r="F1120" s="457" t="s">
        <v>3886</v>
      </c>
      <c r="G1120" s="458" t="s">
        <v>156</v>
      </c>
      <c r="H1120" s="888"/>
      <c r="I1120" s="890"/>
      <c r="J1120" s="899"/>
      <c r="K1120" s="603">
        <v>0</v>
      </c>
      <c r="L1120" s="980">
        <v>1</v>
      </c>
      <c r="M1120" s="1245" t="s">
        <v>366</v>
      </c>
      <c r="N1120" s="604" t="s">
        <v>227</v>
      </c>
      <c r="O1120" s="463">
        <v>1</v>
      </c>
      <c r="P1120" s="434"/>
      <c r="Q1120" s="434"/>
      <c r="R1120" s="400">
        <v>0</v>
      </c>
      <c r="S1120" s="464">
        <v>0</v>
      </c>
      <c r="U1120" s="1248">
        <f t="shared" si="20"/>
        <v>1</v>
      </c>
      <c r="V1120" s="1304">
        <f t="shared" si="21"/>
        <v>1</v>
      </c>
    </row>
    <row r="1121" spans="1:22" ht="16.5" thickTop="1" thickBot="1">
      <c r="A1121" s="1244"/>
      <c r="B1121" s="1249" t="s">
        <v>798</v>
      </c>
      <c r="C1121" s="1329" t="s">
        <v>3210</v>
      </c>
      <c r="D1121" s="1326" t="s">
        <v>227</v>
      </c>
      <c r="E1121" s="1249" t="s">
        <v>1536</v>
      </c>
      <c r="F1121" s="455" t="s">
        <v>1537</v>
      </c>
      <c r="G1121" s="456" t="s">
        <v>157</v>
      </c>
      <c r="H1121" s="889">
        <v>14</v>
      </c>
      <c r="I1121" s="891">
        <v>52.155999999999999</v>
      </c>
      <c r="J1121" s="601">
        <v>75.406999999999996</v>
      </c>
      <c r="K1121" s="602">
        <v>0.18518518518518517</v>
      </c>
      <c r="L1121" s="981">
        <v>3</v>
      </c>
      <c r="M1121" s="1249" t="s">
        <v>366</v>
      </c>
      <c r="N1121" s="604" t="s">
        <v>227</v>
      </c>
      <c r="O1121" s="465"/>
      <c r="P1121" s="435">
        <v>9.8770000000000007</v>
      </c>
      <c r="Q1121" s="435">
        <v>1</v>
      </c>
      <c r="R1121" s="401">
        <v>1</v>
      </c>
      <c r="S1121" s="466">
        <v>0.33333333333333331</v>
      </c>
      <c r="U1121" s="1248">
        <f t="shared" si="20"/>
        <v>1</v>
      </c>
      <c r="V1121" s="1304">
        <f t="shared" si="21"/>
        <v>1</v>
      </c>
    </row>
    <row r="1122" spans="1:22" ht="16.5" thickTop="1" thickBot="1">
      <c r="A1122" s="1244"/>
      <c r="B1122" s="1245" t="s">
        <v>798</v>
      </c>
      <c r="C1122" s="1328" t="s">
        <v>3210</v>
      </c>
      <c r="D1122" s="1327" t="s">
        <v>227</v>
      </c>
      <c r="E1122" s="1245" t="s">
        <v>1665</v>
      </c>
      <c r="F1122" s="457" t="s">
        <v>1666</v>
      </c>
      <c r="G1122" s="458" t="s">
        <v>156</v>
      </c>
      <c r="H1122" s="888">
        <v>14</v>
      </c>
      <c r="I1122" s="890">
        <v>265.49400000000003</v>
      </c>
      <c r="J1122" s="899">
        <v>362.05099999999999</v>
      </c>
      <c r="K1122" s="603">
        <v>0.20408163265306123</v>
      </c>
      <c r="L1122" s="980">
        <v>5</v>
      </c>
      <c r="M1122" s="1245" t="s">
        <v>321</v>
      </c>
      <c r="N1122" s="604" t="s">
        <v>227</v>
      </c>
      <c r="O1122" s="463"/>
      <c r="P1122" s="434">
        <v>65.197000000000003</v>
      </c>
      <c r="Q1122" s="434">
        <v>6</v>
      </c>
      <c r="R1122" s="400">
        <v>1</v>
      </c>
      <c r="S1122" s="464">
        <v>0.18181818181818182</v>
      </c>
      <c r="U1122" s="1248">
        <f t="shared" si="20"/>
        <v>0</v>
      </c>
      <c r="V1122" s="1304">
        <f t="shared" si="21"/>
        <v>1</v>
      </c>
    </row>
    <row r="1123" spans="1:22" ht="16.5" thickTop="1" thickBot="1">
      <c r="A1123" s="1244"/>
      <c r="B1123" s="1249" t="s">
        <v>798</v>
      </c>
      <c r="C1123" s="1329" t="s">
        <v>3210</v>
      </c>
      <c r="D1123" s="1326" t="s">
        <v>227</v>
      </c>
      <c r="E1123" s="1249" t="s">
        <v>1708</v>
      </c>
      <c r="F1123" s="455" t="s">
        <v>1161</v>
      </c>
      <c r="G1123" s="456" t="s">
        <v>157</v>
      </c>
      <c r="H1123" s="889">
        <v>12</v>
      </c>
      <c r="I1123" s="891">
        <v>93.591999999999999</v>
      </c>
      <c r="J1123" s="601">
        <v>132.03399999999999</v>
      </c>
      <c r="K1123" s="602">
        <v>0.16</v>
      </c>
      <c r="L1123" s="981">
        <v>11</v>
      </c>
      <c r="M1123" s="1249" t="s">
        <v>366</v>
      </c>
      <c r="N1123" s="604" t="s">
        <v>227</v>
      </c>
      <c r="O1123" s="465"/>
      <c r="P1123" s="435">
        <v>43.743000000000002</v>
      </c>
      <c r="Q1123" s="435">
        <v>2</v>
      </c>
      <c r="R1123" s="401">
        <v>1</v>
      </c>
      <c r="S1123" s="466">
        <v>9.0909090909090912E-2</v>
      </c>
      <c r="U1123" s="1248">
        <f t="shared" si="20"/>
        <v>1</v>
      </c>
      <c r="V1123" s="1304">
        <f t="shared" si="21"/>
        <v>1</v>
      </c>
    </row>
    <row r="1124" spans="1:22" ht="16.5" thickTop="1" thickBot="1">
      <c r="A1124" s="1244"/>
      <c r="B1124" s="1245" t="s">
        <v>798</v>
      </c>
      <c r="C1124" s="1328" t="s">
        <v>3210</v>
      </c>
      <c r="D1124" s="1327" t="s">
        <v>227</v>
      </c>
      <c r="E1124" s="1245" t="s">
        <v>2204</v>
      </c>
      <c r="F1124" s="457" t="s">
        <v>2205</v>
      </c>
      <c r="G1124" s="458" t="s">
        <v>156</v>
      </c>
      <c r="H1124" s="888">
        <v>9</v>
      </c>
      <c r="I1124" s="890">
        <v>41.039000000000001</v>
      </c>
      <c r="J1124" s="899">
        <v>291.32</v>
      </c>
      <c r="K1124" s="603">
        <v>0.3</v>
      </c>
      <c r="L1124" s="980">
        <v>5</v>
      </c>
      <c r="M1124" s="1245" t="s">
        <v>323</v>
      </c>
      <c r="N1124" s="604" t="s">
        <v>227</v>
      </c>
      <c r="O1124" s="463"/>
      <c r="P1124" s="434"/>
      <c r="Q1124" s="434"/>
      <c r="R1124" s="400">
        <v>0</v>
      </c>
      <c r="S1124" s="464">
        <v>0</v>
      </c>
      <c r="U1124" s="1248">
        <f t="shared" si="20"/>
        <v>0</v>
      </c>
      <c r="V1124" s="1304">
        <f t="shared" si="21"/>
        <v>1</v>
      </c>
    </row>
    <row r="1125" spans="1:22" ht="16.5" thickTop="1" thickBot="1">
      <c r="A1125" s="1244"/>
      <c r="B1125" s="1249" t="s">
        <v>798</v>
      </c>
      <c r="C1125" s="1329" t="s">
        <v>3210</v>
      </c>
      <c r="D1125" s="1326" t="s">
        <v>227</v>
      </c>
      <c r="E1125" s="1249" t="s">
        <v>2206</v>
      </c>
      <c r="F1125" s="455" t="s">
        <v>2207</v>
      </c>
      <c r="G1125" s="456" t="s">
        <v>155</v>
      </c>
      <c r="H1125" s="889"/>
      <c r="I1125" s="891"/>
      <c r="J1125" s="601">
        <v>243.501</v>
      </c>
      <c r="K1125" s="602">
        <v>0.18666666666666668</v>
      </c>
      <c r="L1125" s="981">
        <v>1</v>
      </c>
      <c r="M1125" s="1249" t="s">
        <v>366</v>
      </c>
      <c r="N1125" s="604" t="s">
        <v>227</v>
      </c>
      <c r="O1125" s="465"/>
      <c r="P1125" s="435"/>
      <c r="Q1125" s="435"/>
      <c r="R1125" s="401">
        <v>0</v>
      </c>
      <c r="S1125" s="466">
        <v>0</v>
      </c>
      <c r="U1125" s="1248">
        <f t="shared" si="20"/>
        <v>1</v>
      </c>
      <c r="V1125" s="1304">
        <f t="shared" si="21"/>
        <v>0</v>
      </c>
    </row>
    <row r="1126" spans="1:22" ht="16.5" thickTop="1" thickBot="1">
      <c r="A1126" s="1244"/>
      <c r="B1126" s="1245" t="s">
        <v>798</v>
      </c>
      <c r="C1126" s="1328" t="s">
        <v>3210</v>
      </c>
      <c r="D1126" s="1327" t="s">
        <v>227</v>
      </c>
      <c r="E1126" s="1245" t="s">
        <v>2246</v>
      </c>
      <c r="F1126" s="457" t="s">
        <v>2248</v>
      </c>
      <c r="G1126" s="458" t="s">
        <v>157</v>
      </c>
      <c r="H1126" s="888">
        <v>9</v>
      </c>
      <c r="I1126" s="890">
        <v>19.420999999999999</v>
      </c>
      <c r="J1126" s="899">
        <v>69.554000000000002</v>
      </c>
      <c r="K1126" s="603">
        <v>0.23076923076923078</v>
      </c>
      <c r="L1126" s="980">
        <v>6</v>
      </c>
      <c r="M1126" s="1245" t="s">
        <v>366</v>
      </c>
      <c r="N1126" s="604" t="s">
        <v>227</v>
      </c>
      <c r="O1126" s="463">
        <v>1</v>
      </c>
      <c r="P1126" s="434"/>
      <c r="Q1126" s="434"/>
      <c r="R1126" s="400">
        <v>0</v>
      </c>
      <c r="S1126" s="464">
        <v>0</v>
      </c>
      <c r="U1126" s="1248">
        <f t="shared" si="20"/>
        <v>1</v>
      </c>
      <c r="V1126" s="1304">
        <f t="shared" si="21"/>
        <v>1</v>
      </c>
    </row>
    <row r="1127" spans="1:22" ht="16.5" thickTop="1" thickBot="1">
      <c r="A1127" s="1244"/>
      <c r="B1127" s="1249" t="s">
        <v>798</v>
      </c>
      <c r="C1127" s="1329" t="s">
        <v>3210</v>
      </c>
      <c r="D1127" s="1326" t="s">
        <v>227</v>
      </c>
      <c r="E1127" s="1249" t="s">
        <v>2303</v>
      </c>
      <c r="F1127" s="455" t="s">
        <v>2304</v>
      </c>
      <c r="G1127" s="456" t="s">
        <v>156</v>
      </c>
      <c r="H1127" s="889">
        <v>9</v>
      </c>
      <c r="I1127" s="891">
        <v>10.645</v>
      </c>
      <c r="J1127" s="601">
        <v>93.504000000000005</v>
      </c>
      <c r="K1127" s="602">
        <v>0.10344827586206896</v>
      </c>
      <c r="L1127" s="981">
        <v>2</v>
      </c>
      <c r="M1127" s="1249" t="s">
        <v>366</v>
      </c>
      <c r="N1127" s="604" t="s">
        <v>227</v>
      </c>
      <c r="O1127" s="465"/>
      <c r="P1127" s="435"/>
      <c r="Q1127" s="435"/>
      <c r="R1127" s="401">
        <v>0</v>
      </c>
      <c r="S1127" s="466">
        <v>0</v>
      </c>
      <c r="U1127" s="1248">
        <f t="shared" si="20"/>
        <v>1</v>
      </c>
      <c r="V1127" s="1304">
        <f t="shared" si="21"/>
        <v>1</v>
      </c>
    </row>
    <row r="1128" spans="1:22" ht="16.5" thickTop="1" thickBot="1">
      <c r="A1128" s="1244"/>
      <c r="B1128" s="1245" t="s">
        <v>798</v>
      </c>
      <c r="C1128" s="1328" t="s">
        <v>3210</v>
      </c>
      <c r="D1128" s="1327" t="s">
        <v>227</v>
      </c>
      <c r="E1128" s="1245" t="s">
        <v>2305</v>
      </c>
      <c r="F1128" s="457" t="s">
        <v>2306</v>
      </c>
      <c r="G1128" s="458" t="s">
        <v>156</v>
      </c>
      <c r="H1128" s="888">
        <v>8</v>
      </c>
      <c r="I1128" s="890">
        <v>1476.309</v>
      </c>
      <c r="J1128" s="899">
        <v>1278.94</v>
      </c>
      <c r="K1128" s="603">
        <v>0.56451612903225812</v>
      </c>
      <c r="L1128" s="980">
        <v>3</v>
      </c>
      <c r="M1128" s="1245" t="s">
        <v>323</v>
      </c>
      <c r="N1128" s="604" t="s">
        <v>227</v>
      </c>
      <c r="O1128" s="463"/>
      <c r="P1128" s="434">
        <v>132.56</v>
      </c>
      <c r="Q1128" s="434">
        <v>4</v>
      </c>
      <c r="R1128" s="400">
        <v>3</v>
      </c>
      <c r="S1128" s="464">
        <v>0.8571428571428571</v>
      </c>
      <c r="U1128" s="1248">
        <f t="shared" ref="U1128:U1191" si="22">IF(M1128="U_200",1,0)</f>
        <v>0</v>
      </c>
      <c r="V1128" s="1304">
        <f t="shared" ref="V1128:V1191" si="23">IF(G1128&lt;&gt;"US",1,0)</f>
        <v>1</v>
      </c>
    </row>
    <row r="1129" spans="1:22" ht="16.5" thickTop="1" thickBot="1">
      <c r="A1129" s="1244"/>
      <c r="B1129" s="1249" t="s">
        <v>798</v>
      </c>
      <c r="C1129" s="1329" t="s">
        <v>3210</v>
      </c>
      <c r="D1129" s="1326" t="s">
        <v>227</v>
      </c>
      <c r="E1129" s="1249" t="s">
        <v>2307</v>
      </c>
      <c r="F1129" s="455" t="s">
        <v>2308</v>
      </c>
      <c r="G1129" s="456" t="s">
        <v>156</v>
      </c>
      <c r="H1129" s="889">
        <v>8</v>
      </c>
      <c r="I1129" s="891">
        <v>58.054000000000002</v>
      </c>
      <c r="J1129" s="601">
        <v>97.938000000000002</v>
      </c>
      <c r="K1129" s="602">
        <v>0.26415094339622641</v>
      </c>
      <c r="L1129" s="981">
        <v>1</v>
      </c>
      <c r="M1129" s="1249" t="s">
        <v>366</v>
      </c>
      <c r="N1129" s="604" t="s">
        <v>227</v>
      </c>
      <c r="O1129" s="465"/>
      <c r="P1129" s="435"/>
      <c r="Q1129" s="435"/>
      <c r="R1129" s="401">
        <v>0</v>
      </c>
      <c r="S1129" s="466">
        <v>0</v>
      </c>
      <c r="U1129" s="1248">
        <f t="shared" si="22"/>
        <v>1</v>
      </c>
      <c r="V1129" s="1304">
        <f t="shared" si="23"/>
        <v>1</v>
      </c>
    </row>
    <row r="1130" spans="1:22" ht="16.5" thickTop="1" thickBot="1">
      <c r="A1130" s="1244"/>
      <c r="B1130" s="1245" t="s">
        <v>798</v>
      </c>
      <c r="C1130" s="1328" t="s">
        <v>3210</v>
      </c>
      <c r="D1130" s="1327" t="s">
        <v>227</v>
      </c>
      <c r="E1130" s="1245" t="s">
        <v>2867</v>
      </c>
      <c r="F1130" s="457" t="s">
        <v>2868</v>
      </c>
      <c r="G1130" s="458" t="s">
        <v>156</v>
      </c>
      <c r="H1130" s="888">
        <v>3</v>
      </c>
      <c r="I1130" s="890">
        <v>32.076000000000001</v>
      </c>
      <c r="J1130" s="899">
        <v>62.406999999999996</v>
      </c>
      <c r="K1130" s="603">
        <v>0.47619047619047616</v>
      </c>
      <c r="L1130" s="980">
        <v>5</v>
      </c>
      <c r="M1130" s="1245" t="s">
        <v>321</v>
      </c>
      <c r="N1130" s="604" t="s">
        <v>227</v>
      </c>
      <c r="O1130" s="463">
        <v>1</v>
      </c>
      <c r="P1130" s="434">
        <v>25.297999999999998</v>
      </c>
      <c r="Q1130" s="434">
        <v>2</v>
      </c>
      <c r="R1130" s="400">
        <v>2</v>
      </c>
      <c r="S1130" s="464">
        <v>0.44444444444444442</v>
      </c>
      <c r="U1130" s="1248">
        <f t="shared" si="22"/>
        <v>0</v>
      </c>
      <c r="V1130" s="1304">
        <f t="shared" si="23"/>
        <v>1</v>
      </c>
    </row>
    <row r="1131" spans="1:22" ht="16.5" thickTop="1" thickBot="1">
      <c r="A1131" s="1244"/>
      <c r="B1131" s="1249" t="s">
        <v>798</v>
      </c>
      <c r="C1131" s="1329" t="s">
        <v>3210</v>
      </c>
      <c r="D1131" s="1326" t="s">
        <v>227</v>
      </c>
      <c r="E1131" s="1249" t="s">
        <v>3117</v>
      </c>
      <c r="F1131" s="455" t="s">
        <v>3118</v>
      </c>
      <c r="G1131" s="456" t="s">
        <v>156</v>
      </c>
      <c r="H1131" s="889">
        <v>3</v>
      </c>
      <c r="I1131" s="891">
        <v>440.78899999999999</v>
      </c>
      <c r="J1131" s="601">
        <v>464.02100000000002</v>
      </c>
      <c r="K1131" s="602">
        <v>0.66666666666666663</v>
      </c>
      <c r="L1131" s="981">
        <v>4</v>
      </c>
      <c r="M1131" s="1249" t="s">
        <v>323</v>
      </c>
      <c r="N1131" s="604" t="s">
        <v>227</v>
      </c>
      <c r="O1131" s="465"/>
      <c r="P1131" s="435">
        <v>136.892</v>
      </c>
      <c r="Q1131" s="435">
        <v>7</v>
      </c>
      <c r="R1131" s="401">
        <v>3</v>
      </c>
      <c r="S1131" s="466">
        <v>0.75</v>
      </c>
      <c r="U1131" s="1248">
        <f t="shared" si="22"/>
        <v>0</v>
      </c>
      <c r="V1131" s="1304">
        <f t="shared" si="23"/>
        <v>1</v>
      </c>
    </row>
    <row r="1132" spans="1:22" ht="16.5" thickTop="1" thickBot="1">
      <c r="A1132" s="1244"/>
      <c r="B1132" s="1245" t="s">
        <v>798</v>
      </c>
      <c r="C1132" s="1328" t="s">
        <v>3210</v>
      </c>
      <c r="D1132" s="1327" t="s">
        <v>227</v>
      </c>
      <c r="E1132" s="1245" t="s">
        <v>3119</v>
      </c>
      <c r="F1132" s="457" t="s">
        <v>3120</v>
      </c>
      <c r="G1132" s="458" t="s">
        <v>155</v>
      </c>
      <c r="H1132" s="888"/>
      <c r="I1132" s="890"/>
      <c r="J1132" s="899">
        <v>34.752000000000002</v>
      </c>
      <c r="K1132" s="603">
        <v>0.19354838709677419</v>
      </c>
      <c r="L1132" s="980">
        <v>5</v>
      </c>
      <c r="M1132" s="1245" t="s">
        <v>366</v>
      </c>
      <c r="N1132" s="604" t="s">
        <v>227</v>
      </c>
      <c r="O1132" s="463"/>
      <c r="P1132" s="434">
        <v>10.058</v>
      </c>
      <c r="Q1132" s="434">
        <v>1</v>
      </c>
      <c r="R1132" s="400">
        <v>1</v>
      </c>
      <c r="S1132" s="464">
        <v>0.2</v>
      </c>
      <c r="U1132" s="1248">
        <f t="shared" si="22"/>
        <v>1</v>
      </c>
      <c r="V1132" s="1304">
        <f t="shared" si="23"/>
        <v>0</v>
      </c>
    </row>
    <row r="1133" spans="1:22" ht="16.5" thickTop="1" thickBot="1">
      <c r="A1133" s="1244"/>
      <c r="B1133" s="1249" t="s">
        <v>798</v>
      </c>
      <c r="C1133" s="1329" t="s">
        <v>3210</v>
      </c>
      <c r="D1133" s="1326" t="s">
        <v>227</v>
      </c>
      <c r="E1133" s="1249" t="s">
        <v>3121</v>
      </c>
      <c r="F1133" s="455" t="s">
        <v>3122</v>
      </c>
      <c r="G1133" s="456" t="s">
        <v>156</v>
      </c>
      <c r="H1133" s="889">
        <v>2</v>
      </c>
      <c r="I1133" s="891">
        <v>7.7229999999999999</v>
      </c>
      <c r="J1133" s="601">
        <v>38.216999999999999</v>
      </c>
      <c r="K1133" s="602">
        <v>0.30769230769230771</v>
      </c>
      <c r="L1133" s="981">
        <v>3</v>
      </c>
      <c r="M1133" s="1249" t="s">
        <v>321</v>
      </c>
      <c r="N1133" s="604" t="s">
        <v>227</v>
      </c>
      <c r="O1133" s="465"/>
      <c r="P1133" s="435">
        <v>7.7229999999999999</v>
      </c>
      <c r="Q1133" s="435">
        <v>1</v>
      </c>
      <c r="R1133" s="401">
        <v>1</v>
      </c>
      <c r="S1133" s="466">
        <v>0.33333333333333331</v>
      </c>
      <c r="U1133" s="1248">
        <f t="shared" si="22"/>
        <v>0</v>
      </c>
      <c r="V1133" s="1304">
        <f t="shared" si="23"/>
        <v>1</v>
      </c>
    </row>
    <row r="1134" spans="1:22" ht="16.5" thickTop="1" thickBot="1">
      <c r="A1134" s="1244"/>
      <c r="B1134" s="1245" t="s">
        <v>798</v>
      </c>
      <c r="C1134" s="1328" t="s">
        <v>3210</v>
      </c>
      <c r="D1134" s="1327" t="s">
        <v>227</v>
      </c>
      <c r="E1134" s="1245" t="s">
        <v>3210</v>
      </c>
      <c r="F1134" s="457" t="s">
        <v>3212</v>
      </c>
      <c r="G1134" s="458" t="s">
        <v>158</v>
      </c>
      <c r="H1134" s="888">
        <v>2</v>
      </c>
      <c r="I1134" s="890">
        <v>38.030999999999999</v>
      </c>
      <c r="J1134" s="899">
        <v>50.686999999999998</v>
      </c>
      <c r="K1134" s="603">
        <v>0.75</v>
      </c>
      <c r="L1134" s="980">
        <v>3</v>
      </c>
      <c r="M1134" s="1245" t="s">
        <v>323</v>
      </c>
      <c r="N1134" s="604" t="s">
        <v>227</v>
      </c>
      <c r="O1134" s="463">
        <v>1</v>
      </c>
      <c r="P1134" s="434">
        <v>10.503</v>
      </c>
      <c r="Q1134" s="434">
        <v>1</v>
      </c>
      <c r="R1134" s="400">
        <v>1</v>
      </c>
      <c r="S1134" s="464">
        <v>0.4</v>
      </c>
      <c r="U1134" s="1248">
        <f t="shared" si="22"/>
        <v>0</v>
      </c>
      <c r="V1134" s="1304">
        <f t="shared" si="23"/>
        <v>1</v>
      </c>
    </row>
    <row r="1135" spans="1:22" ht="16.5" thickTop="1" thickBot="1">
      <c r="A1135" s="1244"/>
      <c r="B1135" s="1249" t="s">
        <v>798</v>
      </c>
      <c r="C1135" s="1329" t="s">
        <v>3210</v>
      </c>
      <c r="D1135" s="1326" t="s">
        <v>227</v>
      </c>
      <c r="E1135" s="1249" t="s">
        <v>3437</v>
      </c>
      <c r="F1135" s="455" t="s">
        <v>3438</v>
      </c>
      <c r="G1135" s="456" t="s">
        <v>157</v>
      </c>
      <c r="H1135" s="889">
        <v>2</v>
      </c>
      <c r="I1135" s="891">
        <v>222.02600000000001</v>
      </c>
      <c r="J1135" s="601">
        <v>357.29599999999999</v>
      </c>
      <c r="K1135" s="602">
        <v>0.75</v>
      </c>
      <c r="L1135" s="981">
        <v>5</v>
      </c>
      <c r="M1135" s="1249" t="s">
        <v>323</v>
      </c>
      <c r="N1135" s="604" t="s">
        <v>227</v>
      </c>
      <c r="O1135" s="465">
        <v>1</v>
      </c>
      <c r="P1135" s="435">
        <v>137.857</v>
      </c>
      <c r="Q1135" s="435">
        <v>6</v>
      </c>
      <c r="R1135" s="401">
        <v>3</v>
      </c>
      <c r="S1135" s="466">
        <v>0.66666666666666663</v>
      </c>
      <c r="U1135" s="1248">
        <f t="shared" si="22"/>
        <v>0</v>
      </c>
      <c r="V1135" s="1304">
        <f t="shared" si="23"/>
        <v>1</v>
      </c>
    </row>
    <row r="1136" spans="1:22" ht="16.5" thickTop="1" thickBot="1">
      <c r="A1136" s="1244"/>
      <c r="B1136" s="1245" t="s">
        <v>798</v>
      </c>
      <c r="C1136" s="1328" t="s">
        <v>3210</v>
      </c>
      <c r="D1136" s="1327" t="s">
        <v>227</v>
      </c>
      <c r="E1136" s="1245" t="s">
        <v>3439</v>
      </c>
      <c r="F1136" s="457" t="s">
        <v>3440</v>
      </c>
      <c r="G1136" s="458" t="s">
        <v>156</v>
      </c>
      <c r="H1136" s="888">
        <v>2</v>
      </c>
      <c r="I1136" s="890"/>
      <c r="J1136" s="899"/>
      <c r="K1136" s="603">
        <v>0</v>
      </c>
      <c r="L1136" s="980">
        <v>1</v>
      </c>
      <c r="M1136" s="1245" t="s">
        <v>366</v>
      </c>
      <c r="N1136" s="604" t="s">
        <v>227</v>
      </c>
      <c r="O1136" s="463"/>
      <c r="P1136" s="434"/>
      <c r="Q1136" s="434"/>
      <c r="R1136" s="400">
        <v>0</v>
      </c>
      <c r="S1136" s="464">
        <v>0</v>
      </c>
      <c r="U1136" s="1248">
        <f t="shared" si="22"/>
        <v>1</v>
      </c>
      <c r="V1136" s="1304">
        <f t="shared" si="23"/>
        <v>1</v>
      </c>
    </row>
    <row r="1137" spans="1:22" ht="16.5" thickTop="1" thickBot="1">
      <c r="A1137" s="1244"/>
      <c r="B1137" s="1249" t="s">
        <v>798</v>
      </c>
      <c r="C1137" s="1329" t="s">
        <v>3210</v>
      </c>
      <c r="D1137" s="1326" t="s">
        <v>227</v>
      </c>
      <c r="E1137" s="1249" t="s">
        <v>3435</v>
      </c>
      <c r="F1137" s="455" t="s">
        <v>3436</v>
      </c>
      <c r="G1137" s="456" t="s">
        <v>156</v>
      </c>
      <c r="H1137" s="889">
        <v>1</v>
      </c>
      <c r="I1137" s="891">
        <v>100.777</v>
      </c>
      <c r="J1137" s="601">
        <v>157.93899999999999</v>
      </c>
      <c r="K1137" s="602">
        <v>1</v>
      </c>
      <c r="L1137" s="981">
        <v>4</v>
      </c>
      <c r="M1137" s="1249" t="s">
        <v>323</v>
      </c>
      <c r="N1137" s="604" t="s">
        <v>227</v>
      </c>
      <c r="O1137" s="465">
        <v>2</v>
      </c>
      <c r="P1137" s="435">
        <v>143.625</v>
      </c>
      <c r="Q1137" s="435">
        <v>10</v>
      </c>
      <c r="R1137" s="401">
        <v>3</v>
      </c>
      <c r="S1137" s="466">
        <v>1</v>
      </c>
      <c r="U1137" s="1248">
        <f t="shared" si="22"/>
        <v>0</v>
      </c>
      <c r="V1137" s="1304">
        <f t="shared" si="23"/>
        <v>1</v>
      </c>
    </row>
    <row r="1138" spans="1:22" ht="16.5" thickTop="1" thickBot="1">
      <c r="A1138" s="1244"/>
      <c r="B1138" s="1245" t="s">
        <v>798</v>
      </c>
      <c r="C1138" s="1328" t="s">
        <v>3210</v>
      </c>
      <c r="D1138" s="1327" t="s">
        <v>227</v>
      </c>
      <c r="E1138" s="1245" t="s">
        <v>3887</v>
      </c>
      <c r="F1138" s="457" t="s">
        <v>3888</v>
      </c>
      <c r="G1138" s="458" t="s">
        <v>156</v>
      </c>
      <c r="H1138" s="888">
        <v>0</v>
      </c>
      <c r="I1138" s="890"/>
      <c r="J1138" s="899">
        <v>16.902999999999999</v>
      </c>
      <c r="K1138" s="603">
        <v>1</v>
      </c>
      <c r="L1138" s="980">
        <v>3</v>
      </c>
      <c r="M1138" s="1245" t="s">
        <v>227</v>
      </c>
      <c r="N1138" s="604" t="s">
        <v>227</v>
      </c>
      <c r="O1138" s="463">
        <v>2</v>
      </c>
      <c r="P1138" s="434">
        <v>16.902999999999999</v>
      </c>
      <c r="Q1138" s="434">
        <v>2</v>
      </c>
      <c r="R1138" s="400">
        <v>2</v>
      </c>
      <c r="S1138" s="464">
        <v>1</v>
      </c>
      <c r="U1138" s="1248">
        <f t="shared" si="22"/>
        <v>0</v>
      </c>
      <c r="V1138" s="1304">
        <f t="shared" si="23"/>
        <v>1</v>
      </c>
    </row>
    <row r="1139" spans="1:22" ht="16.5" thickTop="1" thickBot="1">
      <c r="A1139" s="1244"/>
      <c r="B1139" s="1249" t="s">
        <v>949</v>
      </c>
      <c r="C1139" s="1329" t="s">
        <v>953</v>
      </c>
      <c r="D1139" s="1326" t="s">
        <v>227</v>
      </c>
      <c r="E1139" s="1249" t="s">
        <v>953</v>
      </c>
      <c r="F1139" s="455" t="s">
        <v>955</v>
      </c>
      <c r="G1139" s="456" t="s">
        <v>739</v>
      </c>
      <c r="H1139" s="889">
        <v>20</v>
      </c>
      <c r="I1139" s="891">
        <v>610.07050000000004</v>
      </c>
      <c r="J1139" s="601">
        <v>610.07050000000004</v>
      </c>
      <c r="K1139" s="602">
        <v>0.34615384615384615</v>
      </c>
      <c r="L1139" s="981">
        <v>2</v>
      </c>
      <c r="M1139" s="1249" t="s">
        <v>323</v>
      </c>
      <c r="N1139" s="604" t="s">
        <v>227</v>
      </c>
      <c r="O1139" s="465"/>
      <c r="P1139" s="435">
        <v>37.421500000000002</v>
      </c>
      <c r="Q1139" s="435">
        <v>3</v>
      </c>
      <c r="R1139" s="401">
        <v>1</v>
      </c>
      <c r="S1139" s="466">
        <v>0.5</v>
      </c>
      <c r="U1139" s="1248">
        <f t="shared" si="22"/>
        <v>0</v>
      </c>
      <c r="V1139" s="1304">
        <f t="shared" si="23"/>
        <v>1</v>
      </c>
    </row>
    <row r="1140" spans="1:22" ht="16.5" thickTop="1" thickBot="1">
      <c r="A1140" s="1244"/>
      <c r="B1140" s="1245" t="s">
        <v>949</v>
      </c>
      <c r="C1140" s="1328" t="s">
        <v>953</v>
      </c>
      <c r="D1140" s="1327" t="s">
        <v>227</v>
      </c>
      <c r="E1140" s="1245" t="s">
        <v>1072</v>
      </c>
      <c r="F1140" s="457" t="s">
        <v>1073</v>
      </c>
      <c r="G1140" s="458" t="s">
        <v>156</v>
      </c>
      <c r="H1140" s="888">
        <v>19</v>
      </c>
      <c r="I1140" s="890">
        <v>48.881999999999998</v>
      </c>
      <c r="J1140" s="899">
        <v>92.111999999999995</v>
      </c>
      <c r="K1140" s="603">
        <v>0.16363636363636364</v>
      </c>
      <c r="L1140" s="980">
        <v>3</v>
      </c>
      <c r="M1140" s="1245" t="s">
        <v>366</v>
      </c>
      <c r="N1140" s="604" t="s">
        <v>227</v>
      </c>
      <c r="O1140" s="463"/>
      <c r="P1140" s="434">
        <v>3.4039999999999999</v>
      </c>
      <c r="Q1140" s="434">
        <v>1</v>
      </c>
      <c r="R1140" s="400">
        <v>1</v>
      </c>
      <c r="S1140" s="464">
        <v>0.33333333333333331</v>
      </c>
      <c r="U1140" s="1248">
        <f t="shared" si="22"/>
        <v>1</v>
      </c>
      <c r="V1140" s="1304">
        <f t="shared" si="23"/>
        <v>1</v>
      </c>
    </row>
    <row r="1141" spans="1:22" ht="16.5" thickTop="1" thickBot="1">
      <c r="A1141" s="1244"/>
      <c r="B1141" s="1249" t="s">
        <v>949</v>
      </c>
      <c r="C1141" s="1329" t="s">
        <v>953</v>
      </c>
      <c r="D1141" s="1326" t="s">
        <v>227</v>
      </c>
      <c r="E1141" s="1249" t="s">
        <v>1074</v>
      </c>
      <c r="F1141" s="455" t="s">
        <v>1075</v>
      </c>
      <c r="G1141" s="456" t="s">
        <v>156</v>
      </c>
      <c r="H1141" s="889">
        <v>19</v>
      </c>
      <c r="I1141" s="891">
        <v>52.564</v>
      </c>
      <c r="J1141" s="601">
        <v>81.430000000000007</v>
      </c>
      <c r="K1141" s="602">
        <v>0.10416666666666667</v>
      </c>
      <c r="L1141" s="981">
        <v>2</v>
      </c>
      <c r="M1141" s="1249" t="s">
        <v>366</v>
      </c>
      <c r="N1141" s="604" t="s">
        <v>227</v>
      </c>
      <c r="O1141" s="465"/>
      <c r="P1141" s="435">
        <v>16.600999999999999</v>
      </c>
      <c r="Q1141" s="435">
        <v>1</v>
      </c>
      <c r="R1141" s="401">
        <v>1</v>
      </c>
      <c r="S1141" s="466">
        <v>0.33333333333333331</v>
      </c>
      <c r="U1141" s="1248">
        <f t="shared" si="22"/>
        <v>1</v>
      </c>
      <c r="V1141" s="1304">
        <f t="shared" si="23"/>
        <v>1</v>
      </c>
    </row>
    <row r="1142" spans="1:22" ht="16.5" thickTop="1" thickBot="1">
      <c r="A1142" s="1244"/>
      <c r="B1142" s="1245" t="s">
        <v>949</v>
      </c>
      <c r="C1142" s="1328" t="s">
        <v>953</v>
      </c>
      <c r="D1142" s="1327" t="s">
        <v>227</v>
      </c>
      <c r="E1142" s="1245" t="s">
        <v>1400</v>
      </c>
      <c r="F1142" s="457" t="s">
        <v>1401</v>
      </c>
      <c r="G1142" s="458" t="s">
        <v>156</v>
      </c>
      <c r="H1142" s="888">
        <v>15</v>
      </c>
      <c r="I1142" s="890">
        <v>2010.0650000000001</v>
      </c>
      <c r="J1142" s="899">
        <v>2476.9520000000002</v>
      </c>
      <c r="K1142" s="603">
        <v>0.48322147651006714</v>
      </c>
      <c r="L1142" s="980">
        <v>7</v>
      </c>
      <c r="M1142" s="1245" t="s">
        <v>323</v>
      </c>
      <c r="N1142" s="604" t="s">
        <v>227</v>
      </c>
      <c r="O1142" s="463">
        <v>2</v>
      </c>
      <c r="P1142" s="434">
        <v>142.76599999999999</v>
      </c>
      <c r="Q1142" s="434">
        <v>12</v>
      </c>
      <c r="R1142" s="400">
        <v>6</v>
      </c>
      <c r="S1142" s="464">
        <v>0.92307692307692313</v>
      </c>
      <c r="U1142" s="1248">
        <f t="shared" si="22"/>
        <v>0</v>
      </c>
      <c r="V1142" s="1304">
        <f t="shared" si="23"/>
        <v>1</v>
      </c>
    </row>
    <row r="1143" spans="1:22" ht="16.5" thickTop="1" thickBot="1">
      <c r="A1143" s="1244"/>
      <c r="B1143" s="1249" t="s">
        <v>949</v>
      </c>
      <c r="C1143" s="1329" t="s">
        <v>953</v>
      </c>
      <c r="D1143" s="1326" t="s">
        <v>227</v>
      </c>
      <c r="E1143" s="1249" t="s">
        <v>1381</v>
      </c>
      <c r="F1143" s="455" t="s">
        <v>1383</v>
      </c>
      <c r="G1143" s="456" t="s">
        <v>157</v>
      </c>
      <c r="H1143" s="889">
        <v>15</v>
      </c>
      <c r="I1143" s="891">
        <v>97.832999999999998</v>
      </c>
      <c r="J1143" s="601">
        <v>104.849</v>
      </c>
      <c r="K1143" s="602">
        <v>0.27450980392156865</v>
      </c>
      <c r="L1143" s="981">
        <v>2</v>
      </c>
      <c r="M1143" s="1249" t="s">
        <v>366</v>
      </c>
      <c r="N1143" s="604" t="s">
        <v>227</v>
      </c>
      <c r="O1143" s="465"/>
      <c r="P1143" s="435">
        <v>15.06</v>
      </c>
      <c r="Q1143" s="435">
        <v>2</v>
      </c>
      <c r="R1143" s="401">
        <v>2</v>
      </c>
      <c r="S1143" s="466">
        <v>1</v>
      </c>
      <c r="U1143" s="1248">
        <f t="shared" si="22"/>
        <v>1</v>
      </c>
      <c r="V1143" s="1304">
        <f t="shared" si="23"/>
        <v>1</v>
      </c>
    </row>
    <row r="1144" spans="1:22" ht="16.5" thickTop="1" thickBot="1">
      <c r="A1144" s="1244"/>
      <c r="B1144" s="1245" t="s">
        <v>949</v>
      </c>
      <c r="C1144" s="1328" t="s">
        <v>953</v>
      </c>
      <c r="D1144" s="1327" t="s">
        <v>227</v>
      </c>
      <c r="E1144" s="1245" t="s">
        <v>1509</v>
      </c>
      <c r="F1144" s="457" t="s">
        <v>1510</v>
      </c>
      <c r="G1144" s="458" t="s">
        <v>157</v>
      </c>
      <c r="H1144" s="888">
        <v>14</v>
      </c>
      <c r="I1144" s="890">
        <v>38.204000000000001</v>
      </c>
      <c r="J1144" s="899">
        <v>54.362000000000002</v>
      </c>
      <c r="K1144" s="603">
        <v>0.12345679012345678</v>
      </c>
      <c r="L1144" s="980">
        <v>4</v>
      </c>
      <c r="M1144" s="1245" t="s">
        <v>366</v>
      </c>
      <c r="N1144" s="604" t="s">
        <v>227</v>
      </c>
      <c r="O1144" s="463">
        <v>1</v>
      </c>
      <c r="P1144" s="434">
        <v>13.32</v>
      </c>
      <c r="Q1144" s="434">
        <v>1</v>
      </c>
      <c r="R1144" s="400">
        <v>1</v>
      </c>
      <c r="S1144" s="464">
        <v>0.25</v>
      </c>
      <c r="U1144" s="1248">
        <f t="shared" si="22"/>
        <v>1</v>
      </c>
      <c r="V1144" s="1304">
        <f t="shared" si="23"/>
        <v>1</v>
      </c>
    </row>
    <row r="1145" spans="1:22" ht="16.5" thickTop="1" thickBot="1">
      <c r="A1145" s="1244"/>
      <c r="B1145" s="1249" t="s">
        <v>949</v>
      </c>
      <c r="C1145" s="1329" t="s">
        <v>953</v>
      </c>
      <c r="D1145" s="1326" t="s">
        <v>227</v>
      </c>
      <c r="E1145" s="1249" t="s">
        <v>1639</v>
      </c>
      <c r="F1145" s="455" t="s">
        <v>1640</v>
      </c>
      <c r="G1145" s="456" t="s">
        <v>156</v>
      </c>
      <c r="H1145" s="889">
        <v>13</v>
      </c>
      <c r="I1145" s="891">
        <v>151.21950000000001</v>
      </c>
      <c r="J1145" s="601">
        <v>157.61949999999999</v>
      </c>
      <c r="K1145" s="602">
        <v>0.27777777777777779</v>
      </c>
      <c r="L1145" s="981">
        <v>3</v>
      </c>
      <c r="M1145" s="1249" t="s">
        <v>366</v>
      </c>
      <c r="N1145" s="604" t="s">
        <v>227</v>
      </c>
      <c r="O1145" s="465"/>
      <c r="P1145" s="435">
        <v>15.1435</v>
      </c>
      <c r="Q1145" s="435">
        <v>1</v>
      </c>
      <c r="R1145" s="401">
        <v>1</v>
      </c>
      <c r="S1145" s="466">
        <v>0.33333333333333331</v>
      </c>
      <c r="U1145" s="1248">
        <f t="shared" si="22"/>
        <v>1</v>
      </c>
      <c r="V1145" s="1304">
        <f t="shared" si="23"/>
        <v>1</v>
      </c>
    </row>
    <row r="1146" spans="1:22" ht="16.5" thickTop="1" thickBot="1">
      <c r="A1146" s="1244"/>
      <c r="B1146" s="1245" t="s">
        <v>949</v>
      </c>
      <c r="C1146" s="1328" t="s">
        <v>953</v>
      </c>
      <c r="D1146" s="1327" t="s">
        <v>227</v>
      </c>
      <c r="E1146" s="1245" t="s">
        <v>2008</v>
      </c>
      <c r="F1146" s="457" t="s">
        <v>2009</v>
      </c>
      <c r="G1146" s="458" t="s">
        <v>156</v>
      </c>
      <c r="H1146" s="888">
        <v>11</v>
      </c>
      <c r="I1146" s="890">
        <v>49.900500000000001</v>
      </c>
      <c r="J1146" s="899">
        <v>523.39700000000005</v>
      </c>
      <c r="K1146" s="603">
        <v>0.37956204379562042</v>
      </c>
      <c r="L1146" s="980">
        <v>6</v>
      </c>
      <c r="M1146" s="1245" t="s">
        <v>323</v>
      </c>
      <c r="N1146" s="604" t="s">
        <v>227</v>
      </c>
      <c r="O1146" s="463"/>
      <c r="P1146" s="434"/>
      <c r="Q1146" s="434"/>
      <c r="R1146" s="400">
        <v>0</v>
      </c>
      <c r="S1146" s="464">
        <v>0</v>
      </c>
      <c r="U1146" s="1248">
        <f t="shared" si="22"/>
        <v>0</v>
      </c>
      <c r="V1146" s="1304">
        <f t="shared" si="23"/>
        <v>1</v>
      </c>
    </row>
    <row r="1147" spans="1:22" ht="16.5" thickTop="1" thickBot="1">
      <c r="A1147" s="1244"/>
      <c r="B1147" s="1249" t="s">
        <v>949</v>
      </c>
      <c r="C1147" s="1329" t="s">
        <v>953</v>
      </c>
      <c r="D1147" s="1326" t="s">
        <v>227</v>
      </c>
      <c r="E1147" s="1249" t="s">
        <v>2609</v>
      </c>
      <c r="F1147" s="455" t="s">
        <v>2610</v>
      </c>
      <c r="G1147" s="456" t="s">
        <v>155</v>
      </c>
      <c r="H1147" s="889"/>
      <c r="I1147" s="891"/>
      <c r="J1147" s="601">
        <v>21.911999999999999</v>
      </c>
      <c r="K1147" s="602">
        <v>5.8823529411764705E-2</v>
      </c>
      <c r="L1147" s="981">
        <v>1</v>
      </c>
      <c r="M1147" s="1249" t="s">
        <v>366</v>
      </c>
      <c r="N1147" s="604" t="s">
        <v>227</v>
      </c>
      <c r="O1147" s="465"/>
      <c r="P1147" s="435"/>
      <c r="Q1147" s="435"/>
      <c r="R1147" s="401">
        <v>0</v>
      </c>
      <c r="S1147" s="466">
        <v>0</v>
      </c>
      <c r="U1147" s="1248">
        <f t="shared" si="22"/>
        <v>1</v>
      </c>
      <c r="V1147" s="1304">
        <f t="shared" si="23"/>
        <v>0</v>
      </c>
    </row>
    <row r="1148" spans="1:22" ht="16.5" thickTop="1" thickBot="1">
      <c r="A1148" s="1244"/>
      <c r="B1148" s="1245" t="s">
        <v>949</v>
      </c>
      <c r="C1148" s="1328" t="s">
        <v>953</v>
      </c>
      <c r="D1148" s="1327" t="s">
        <v>227</v>
      </c>
      <c r="E1148" s="1245" t="s">
        <v>2819</v>
      </c>
      <c r="F1148" s="457" t="s">
        <v>2820</v>
      </c>
      <c r="G1148" s="458" t="s">
        <v>156</v>
      </c>
      <c r="H1148" s="888">
        <v>4</v>
      </c>
      <c r="I1148" s="890">
        <v>35.868000000000002</v>
      </c>
      <c r="J1148" s="899">
        <v>63.177</v>
      </c>
      <c r="K1148" s="603">
        <v>0.29629629629629628</v>
      </c>
      <c r="L1148" s="980">
        <v>5</v>
      </c>
      <c r="M1148" s="1245" t="s">
        <v>322</v>
      </c>
      <c r="N1148" s="604" t="s">
        <v>227</v>
      </c>
      <c r="O1148" s="463">
        <v>1</v>
      </c>
      <c r="P1148" s="434"/>
      <c r="Q1148" s="434"/>
      <c r="R1148" s="400">
        <v>0</v>
      </c>
      <c r="S1148" s="464">
        <v>0</v>
      </c>
      <c r="U1148" s="1248">
        <f t="shared" si="22"/>
        <v>0</v>
      </c>
      <c r="V1148" s="1304">
        <f t="shared" si="23"/>
        <v>1</v>
      </c>
    </row>
    <row r="1149" spans="1:22" ht="16.5" thickTop="1" thickBot="1">
      <c r="A1149" s="1244"/>
      <c r="B1149" s="1249" t="s">
        <v>949</v>
      </c>
      <c r="C1149" s="1329" t="s">
        <v>953</v>
      </c>
      <c r="D1149" s="1326" t="s">
        <v>227</v>
      </c>
      <c r="E1149" s="1249" t="s">
        <v>2821</v>
      </c>
      <c r="F1149" s="455" t="s">
        <v>2822</v>
      </c>
      <c r="G1149" s="456" t="s">
        <v>156</v>
      </c>
      <c r="H1149" s="889">
        <v>3</v>
      </c>
      <c r="I1149" s="891"/>
      <c r="J1149" s="601"/>
      <c r="K1149" s="602">
        <v>0</v>
      </c>
      <c r="L1149" s="981">
        <v>2</v>
      </c>
      <c r="M1149" s="1249" t="s">
        <v>366</v>
      </c>
      <c r="N1149" s="604" t="s">
        <v>227</v>
      </c>
      <c r="O1149" s="465"/>
      <c r="P1149" s="435"/>
      <c r="Q1149" s="435"/>
      <c r="R1149" s="401">
        <v>0</v>
      </c>
      <c r="S1149" s="466">
        <v>0</v>
      </c>
      <c r="U1149" s="1248">
        <f t="shared" si="22"/>
        <v>1</v>
      </c>
      <c r="V1149" s="1304">
        <f t="shared" si="23"/>
        <v>1</v>
      </c>
    </row>
    <row r="1150" spans="1:22" ht="16.5" thickTop="1" thickBot="1">
      <c r="A1150" s="1244"/>
      <c r="B1150" s="1245" t="s">
        <v>949</v>
      </c>
      <c r="C1150" s="1328" t="s">
        <v>953</v>
      </c>
      <c r="D1150" s="1327" t="s">
        <v>227</v>
      </c>
      <c r="E1150" s="1245" t="s">
        <v>3350</v>
      </c>
      <c r="F1150" s="457" t="s">
        <v>3351</v>
      </c>
      <c r="G1150" s="458" t="s">
        <v>155</v>
      </c>
      <c r="H1150" s="888"/>
      <c r="I1150" s="890"/>
      <c r="J1150" s="899">
        <v>32.637999999999998</v>
      </c>
      <c r="K1150" s="603">
        <v>0.5</v>
      </c>
      <c r="L1150" s="980">
        <v>2</v>
      </c>
      <c r="M1150" s="1245" t="s">
        <v>366</v>
      </c>
      <c r="N1150" s="604" t="s">
        <v>227</v>
      </c>
      <c r="O1150" s="463"/>
      <c r="P1150" s="434">
        <v>21.443000000000001</v>
      </c>
      <c r="Q1150" s="434">
        <v>1</v>
      </c>
      <c r="R1150" s="400">
        <v>1</v>
      </c>
      <c r="S1150" s="464">
        <v>0.5</v>
      </c>
      <c r="U1150" s="1248">
        <f t="shared" si="22"/>
        <v>1</v>
      </c>
      <c r="V1150" s="1304">
        <f t="shared" si="23"/>
        <v>0</v>
      </c>
    </row>
    <row r="1151" spans="1:22" ht="16.5" thickTop="1" thickBot="1">
      <c r="A1151" s="1244"/>
      <c r="B1151" s="1249" t="s">
        <v>949</v>
      </c>
      <c r="C1151" s="1329" t="s">
        <v>953</v>
      </c>
      <c r="D1151" s="1326" t="s">
        <v>227</v>
      </c>
      <c r="E1151" s="1249" t="s">
        <v>3889</v>
      </c>
      <c r="F1151" s="455" t="s">
        <v>3890</v>
      </c>
      <c r="G1151" s="456" t="s">
        <v>156</v>
      </c>
      <c r="H1151" s="889">
        <v>0</v>
      </c>
      <c r="I1151" s="891"/>
      <c r="J1151" s="601"/>
      <c r="K1151" s="602">
        <v>0</v>
      </c>
      <c r="L1151" s="981">
        <v>2</v>
      </c>
      <c r="M1151" s="1249" t="s">
        <v>227</v>
      </c>
      <c r="N1151" s="604" t="s">
        <v>227</v>
      </c>
      <c r="O1151" s="465">
        <v>2</v>
      </c>
      <c r="P1151" s="435"/>
      <c r="Q1151" s="435"/>
      <c r="R1151" s="401">
        <v>0</v>
      </c>
      <c r="S1151" s="466">
        <v>0</v>
      </c>
      <c r="U1151" s="1248">
        <f t="shared" si="22"/>
        <v>0</v>
      </c>
      <c r="V1151" s="1304">
        <f t="shared" si="23"/>
        <v>1</v>
      </c>
    </row>
    <row r="1152" spans="1:22" ht="16.5" thickTop="1" thickBot="1">
      <c r="A1152" s="1244"/>
      <c r="B1152" s="1245" t="s">
        <v>949</v>
      </c>
      <c r="C1152" s="1328" t="s">
        <v>1357</v>
      </c>
      <c r="D1152" s="1327" t="s">
        <v>227</v>
      </c>
      <c r="E1152" s="1245" t="s">
        <v>1198</v>
      </c>
      <c r="F1152" s="457" t="s">
        <v>1200</v>
      </c>
      <c r="G1152" s="458" t="s">
        <v>157</v>
      </c>
      <c r="H1152" s="888">
        <v>17</v>
      </c>
      <c r="I1152" s="890">
        <v>0</v>
      </c>
      <c r="J1152" s="899">
        <v>0</v>
      </c>
      <c r="K1152" s="603">
        <v>0</v>
      </c>
      <c r="L1152" s="980">
        <v>1</v>
      </c>
      <c r="M1152" s="1245" t="s">
        <v>366</v>
      </c>
      <c r="N1152" s="604" t="s">
        <v>227</v>
      </c>
      <c r="O1152" s="463"/>
      <c r="P1152" s="434"/>
      <c r="Q1152" s="434"/>
      <c r="R1152" s="400">
        <v>0</v>
      </c>
      <c r="S1152" s="464">
        <v>0</v>
      </c>
      <c r="U1152" s="1248">
        <f t="shared" si="22"/>
        <v>1</v>
      </c>
      <c r="V1152" s="1304">
        <f t="shared" si="23"/>
        <v>1</v>
      </c>
    </row>
    <row r="1153" spans="1:22" ht="16.5" thickTop="1" thickBot="1">
      <c r="A1153" s="1244"/>
      <c r="B1153" s="1249" t="s">
        <v>949</v>
      </c>
      <c r="C1153" s="1329" t="s">
        <v>1357</v>
      </c>
      <c r="D1153" s="1326" t="s">
        <v>227</v>
      </c>
      <c r="E1153" s="1249" t="s">
        <v>1201</v>
      </c>
      <c r="F1153" s="455" t="s">
        <v>1203</v>
      </c>
      <c r="G1153" s="456" t="s">
        <v>157</v>
      </c>
      <c r="H1153" s="889">
        <v>17</v>
      </c>
      <c r="I1153" s="891">
        <v>96.128</v>
      </c>
      <c r="J1153" s="601">
        <v>114.98399999999999</v>
      </c>
      <c r="K1153" s="602">
        <v>0.1</v>
      </c>
      <c r="L1153" s="981">
        <v>3</v>
      </c>
      <c r="M1153" s="1249" t="s">
        <v>366</v>
      </c>
      <c r="N1153" s="604" t="s">
        <v>227</v>
      </c>
      <c r="O1153" s="465"/>
      <c r="P1153" s="435">
        <v>9.8490000000000002</v>
      </c>
      <c r="Q1153" s="435">
        <v>0</v>
      </c>
      <c r="R1153" s="401">
        <v>0</v>
      </c>
      <c r="S1153" s="466">
        <v>0</v>
      </c>
      <c r="U1153" s="1248">
        <f t="shared" si="22"/>
        <v>1</v>
      </c>
      <c r="V1153" s="1304">
        <f t="shared" si="23"/>
        <v>1</v>
      </c>
    </row>
    <row r="1154" spans="1:22" ht="16.5" thickTop="1" thickBot="1">
      <c r="A1154" s="1244"/>
      <c r="B1154" s="1245" t="s">
        <v>949</v>
      </c>
      <c r="C1154" s="1328" t="s">
        <v>1357</v>
      </c>
      <c r="D1154" s="1327" t="s">
        <v>227</v>
      </c>
      <c r="E1154" s="1245" t="s">
        <v>1230</v>
      </c>
      <c r="F1154" s="457" t="s">
        <v>1231</v>
      </c>
      <c r="G1154" s="458" t="s">
        <v>157</v>
      </c>
      <c r="H1154" s="888">
        <v>17</v>
      </c>
      <c r="I1154" s="890">
        <v>1008.573</v>
      </c>
      <c r="J1154" s="899">
        <v>1190.0889999999999</v>
      </c>
      <c r="K1154" s="603">
        <v>0.3515151515151515</v>
      </c>
      <c r="L1154" s="980">
        <v>9</v>
      </c>
      <c r="M1154" s="1245" t="s">
        <v>323</v>
      </c>
      <c r="N1154" s="604" t="s">
        <v>227</v>
      </c>
      <c r="O1154" s="463">
        <v>2</v>
      </c>
      <c r="P1154" s="434">
        <v>63.942</v>
      </c>
      <c r="Q1154" s="434">
        <v>5</v>
      </c>
      <c r="R1154" s="400">
        <v>3</v>
      </c>
      <c r="S1154" s="464">
        <v>0.375</v>
      </c>
      <c r="U1154" s="1248">
        <f t="shared" si="22"/>
        <v>0</v>
      </c>
      <c r="V1154" s="1304">
        <f t="shared" si="23"/>
        <v>1</v>
      </c>
    </row>
    <row r="1155" spans="1:22" ht="16.5" thickTop="1" thickBot="1">
      <c r="A1155" s="1244"/>
      <c r="B1155" s="1249" t="s">
        <v>949</v>
      </c>
      <c r="C1155" s="1329" t="s">
        <v>1357</v>
      </c>
      <c r="D1155" s="1326" t="s">
        <v>227</v>
      </c>
      <c r="E1155" s="1249" t="s">
        <v>1232</v>
      </c>
      <c r="F1155" s="455" t="s">
        <v>1233</v>
      </c>
      <c r="G1155" s="456" t="s">
        <v>156</v>
      </c>
      <c r="H1155" s="889">
        <v>17</v>
      </c>
      <c r="I1155" s="891">
        <v>131.101</v>
      </c>
      <c r="J1155" s="601">
        <v>534.19799999999998</v>
      </c>
      <c r="K1155" s="602">
        <v>0.31304347826086959</v>
      </c>
      <c r="L1155" s="981">
        <v>3</v>
      </c>
      <c r="M1155" s="1249" t="s">
        <v>323</v>
      </c>
      <c r="N1155" s="604" t="s">
        <v>227</v>
      </c>
      <c r="O1155" s="465"/>
      <c r="P1155" s="435">
        <v>25.4</v>
      </c>
      <c r="Q1155" s="435">
        <v>1</v>
      </c>
      <c r="R1155" s="401">
        <v>1</v>
      </c>
      <c r="S1155" s="466">
        <v>0.2857142857142857</v>
      </c>
      <c r="U1155" s="1248">
        <f t="shared" si="22"/>
        <v>0</v>
      </c>
      <c r="V1155" s="1304">
        <f t="shared" si="23"/>
        <v>1</v>
      </c>
    </row>
    <row r="1156" spans="1:22" ht="16.5" thickTop="1" thickBot="1">
      <c r="A1156" s="1244"/>
      <c r="B1156" s="1245" t="s">
        <v>949</v>
      </c>
      <c r="C1156" s="1328" t="s">
        <v>1357</v>
      </c>
      <c r="D1156" s="1327" t="s">
        <v>227</v>
      </c>
      <c r="E1156" s="1245" t="s">
        <v>1234</v>
      </c>
      <c r="F1156" s="457" t="s">
        <v>1235</v>
      </c>
      <c r="G1156" s="458" t="s">
        <v>156</v>
      </c>
      <c r="H1156" s="888">
        <v>17</v>
      </c>
      <c r="I1156" s="890">
        <v>7.665</v>
      </c>
      <c r="J1156" s="899">
        <v>7.665</v>
      </c>
      <c r="K1156" s="603">
        <v>5.4054054054054057E-2</v>
      </c>
      <c r="L1156" s="980">
        <v>1</v>
      </c>
      <c r="M1156" s="1245" t="s">
        <v>366</v>
      </c>
      <c r="N1156" s="604" t="s">
        <v>227</v>
      </c>
      <c r="O1156" s="463"/>
      <c r="P1156" s="434">
        <v>0</v>
      </c>
      <c r="Q1156" s="434"/>
      <c r="R1156" s="400">
        <v>0</v>
      </c>
      <c r="S1156" s="464">
        <v>0</v>
      </c>
      <c r="U1156" s="1248">
        <f t="shared" si="22"/>
        <v>1</v>
      </c>
      <c r="V1156" s="1304">
        <f t="shared" si="23"/>
        <v>1</v>
      </c>
    </row>
    <row r="1157" spans="1:22" ht="16.5" thickTop="1" thickBot="1">
      <c r="A1157" s="1244"/>
      <c r="B1157" s="1249" t="s">
        <v>949</v>
      </c>
      <c r="C1157" s="1329" t="s">
        <v>1357</v>
      </c>
      <c r="D1157" s="1326" t="s">
        <v>227</v>
      </c>
      <c r="E1157" s="1249" t="s">
        <v>1329</v>
      </c>
      <c r="F1157" s="455" t="s">
        <v>1330</v>
      </c>
      <c r="G1157" s="456" t="s">
        <v>156</v>
      </c>
      <c r="H1157" s="889">
        <v>17</v>
      </c>
      <c r="I1157" s="891"/>
      <c r="J1157" s="601"/>
      <c r="K1157" s="602">
        <v>0</v>
      </c>
      <c r="L1157" s="981">
        <v>1</v>
      </c>
      <c r="M1157" s="1249" t="s">
        <v>366</v>
      </c>
      <c r="N1157" s="604" t="s">
        <v>227</v>
      </c>
      <c r="O1157" s="465"/>
      <c r="P1157" s="435"/>
      <c r="Q1157" s="435"/>
      <c r="R1157" s="401">
        <v>0</v>
      </c>
      <c r="S1157" s="466">
        <v>0</v>
      </c>
      <c r="U1157" s="1248">
        <f t="shared" si="22"/>
        <v>1</v>
      </c>
      <c r="V1157" s="1304">
        <f t="shared" si="23"/>
        <v>1</v>
      </c>
    </row>
    <row r="1158" spans="1:22" ht="16.5" thickTop="1" thickBot="1">
      <c r="A1158" s="1244"/>
      <c r="B1158" s="1245" t="s">
        <v>949</v>
      </c>
      <c r="C1158" s="1328" t="s">
        <v>1357</v>
      </c>
      <c r="D1158" s="1327" t="s">
        <v>227</v>
      </c>
      <c r="E1158" s="1245" t="s">
        <v>1357</v>
      </c>
      <c r="F1158" s="457" t="s">
        <v>1359</v>
      </c>
      <c r="G1158" s="458" t="s">
        <v>158</v>
      </c>
      <c r="H1158" s="888">
        <v>15</v>
      </c>
      <c r="I1158" s="890">
        <v>211.88300000000001</v>
      </c>
      <c r="J1158" s="899">
        <v>1243.3889999999999</v>
      </c>
      <c r="K1158" s="603">
        <v>0.35294117647058826</v>
      </c>
      <c r="L1158" s="980">
        <v>2</v>
      </c>
      <c r="M1158" s="1245" t="s">
        <v>323</v>
      </c>
      <c r="N1158" s="604" t="s">
        <v>227</v>
      </c>
      <c r="O1158" s="463"/>
      <c r="P1158" s="434">
        <v>16.2</v>
      </c>
      <c r="Q1158" s="434">
        <v>1</v>
      </c>
      <c r="R1158" s="400">
        <v>1</v>
      </c>
      <c r="S1158" s="464">
        <v>0.4</v>
      </c>
      <c r="U1158" s="1248">
        <f t="shared" si="22"/>
        <v>0</v>
      </c>
      <c r="V1158" s="1304">
        <f t="shared" si="23"/>
        <v>1</v>
      </c>
    </row>
    <row r="1159" spans="1:22" ht="16.5" thickTop="1" thickBot="1">
      <c r="A1159" s="1244"/>
      <c r="B1159" s="1249" t="s">
        <v>949</v>
      </c>
      <c r="C1159" s="1329" t="s">
        <v>1357</v>
      </c>
      <c r="D1159" s="1326" t="s">
        <v>227</v>
      </c>
      <c r="E1159" s="1249" t="s">
        <v>1402</v>
      </c>
      <c r="F1159" s="455" t="s">
        <v>1403</v>
      </c>
      <c r="G1159" s="456" t="s">
        <v>156</v>
      </c>
      <c r="H1159" s="889">
        <v>15</v>
      </c>
      <c r="I1159" s="891">
        <v>26.731999999999999</v>
      </c>
      <c r="J1159" s="601">
        <v>282.21499999999997</v>
      </c>
      <c r="K1159" s="602">
        <v>0.26490066225165565</v>
      </c>
      <c r="L1159" s="981">
        <v>6</v>
      </c>
      <c r="M1159" s="1249" t="s">
        <v>322</v>
      </c>
      <c r="N1159" s="604" t="s">
        <v>227</v>
      </c>
      <c r="O1159" s="465">
        <v>1</v>
      </c>
      <c r="P1159" s="435">
        <v>5.4770000000000003</v>
      </c>
      <c r="Q1159" s="435"/>
      <c r="R1159" s="401">
        <v>0</v>
      </c>
      <c r="S1159" s="466">
        <v>0</v>
      </c>
      <c r="U1159" s="1248">
        <f t="shared" si="22"/>
        <v>0</v>
      </c>
      <c r="V1159" s="1304">
        <f t="shared" si="23"/>
        <v>1</v>
      </c>
    </row>
    <row r="1160" spans="1:22" ht="16.5" thickTop="1" thickBot="1">
      <c r="A1160" s="1244"/>
      <c r="B1160" s="1245" t="s">
        <v>949</v>
      </c>
      <c r="C1160" s="1328" t="s">
        <v>1357</v>
      </c>
      <c r="D1160" s="1327" t="s">
        <v>227</v>
      </c>
      <c r="E1160" s="1245" t="s">
        <v>1404</v>
      </c>
      <c r="F1160" s="457" t="s">
        <v>1405</v>
      </c>
      <c r="G1160" s="458" t="s">
        <v>155</v>
      </c>
      <c r="H1160" s="888"/>
      <c r="I1160" s="890"/>
      <c r="J1160" s="899">
        <v>27.478000000000002</v>
      </c>
      <c r="K1160" s="603">
        <v>0.16216216216216217</v>
      </c>
      <c r="L1160" s="980"/>
      <c r="M1160" s="1245" t="s">
        <v>366</v>
      </c>
      <c r="N1160" s="604" t="s">
        <v>227</v>
      </c>
      <c r="O1160" s="463"/>
      <c r="P1160" s="434"/>
      <c r="Q1160" s="434"/>
      <c r="R1160" s="400">
        <v>0</v>
      </c>
      <c r="S1160" s="464">
        <v>0</v>
      </c>
      <c r="U1160" s="1248">
        <f t="shared" si="22"/>
        <v>1</v>
      </c>
      <c r="V1160" s="1304">
        <f t="shared" si="23"/>
        <v>0</v>
      </c>
    </row>
    <row r="1161" spans="1:22" ht="16.5" thickTop="1" thickBot="1">
      <c r="A1161" s="1244"/>
      <c r="B1161" s="1249" t="s">
        <v>949</v>
      </c>
      <c r="C1161" s="1329" t="s">
        <v>1357</v>
      </c>
      <c r="D1161" s="1326" t="s">
        <v>227</v>
      </c>
      <c r="E1161" s="1249" t="s">
        <v>1511</v>
      </c>
      <c r="F1161" s="455" t="s">
        <v>1512</v>
      </c>
      <c r="G1161" s="456" t="s">
        <v>156</v>
      </c>
      <c r="H1161" s="889">
        <v>14</v>
      </c>
      <c r="I1161" s="891">
        <v>971.96600000000001</v>
      </c>
      <c r="J1161" s="601">
        <v>1122.4970000000001</v>
      </c>
      <c r="K1161" s="602">
        <v>0.36</v>
      </c>
      <c r="L1161" s="981">
        <v>7</v>
      </c>
      <c r="M1161" s="1249" t="s">
        <v>323</v>
      </c>
      <c r="N1161" s="604" t="s">
        <v>227</v>
      </c>
      <c r="O1161" s="465"/>
      <c r="P1161" s="435">
        <v>176.38499999999999</v>
      </c>
      <c r="Q1161" s="435">
        <v>7</v>
      </c>
      <c r="R1161" s="401">
        <v>2</v>
      </c>
      <c r="S1161" s="466">
        <v>0.23529411764705882</v>
      </c>
      <c r="U1161" s="1248">
        <f t="shared" si="22"/>
        <v>0</v>
      </c>
      <c r="V1161" s="1304">
        <f t="shared" si="23"/>
        <v>1</v>
      </c>
    </row>
    <row r="1162" spans="1:22" ht="16.5" thickTop="1" thickBot="1">
      <c r="A1162" s="1244"/>
      <c r="B1162" s="1245" t="s">
        <v>949</v>
      </c>
      <c r="C1162" s="1328" t="s">
        <v>1357</v>
      </c>
      <c r="D1162" s="1327" t="s">
        <v>227</v>
      </c>
      <c r="E1162" s="1245" t="s">
        <v>2162</v>
      </c>
      <c r="F1162" s="457" t="s">
        <v>2163</v>
      </c>
      <c r="G1162" s="458" t="s">
        <v>155</v>
      </c>
      <c r="H1162" s="888"/>
      <c r="I1162" s="890"/>
      <c r="J1162" s="899">
        <v>47.848999999999997</v>
      </c>
      <c r="K1162" s="603">
        <v>0.14035087719298245</v>
      </c>
      <c r="L1162" s="980">
        <v>3</v>
      </c>
      <c r="M1162" s="1245" t="s">
        <v>366</v>
      </c>
      <c r="N1162" s="604" t="s">
        <v>227</v>
      </c>
      <c r="O1162" s="463"/>
      <c r="P1162" s="434">
        <v>7.4009999999999998</v>
      </c>
      <c r="Q1162" s="434">
        <v>1</v>
      </c>
      <c r="R1162" s="400">
        <v>1</v>
      </c>
      <c r="S1162" s="464">
        <v>0.25</v>
      </c>
      <c r="U1162" s="1248">
        <f t="shared" si="22"/>
        <v>1</v>
      </c>
      <c r="V1162" s="1304">
        <f t="shared" si="23"/>
        <v>0</v>
      </c>
    </row>
    <row r="1163" spans="1:22" ht="16.5" thickTop="1" thickBot="1">
      <c r="A1163" s="1244"/>
      <c r="B1163" s="1249" t="s">
        <v>949</v>
      </c>
      <c r="C1163" s="1329" t="s">
        <v>1357</v>
      </c>
      <c r="D1163" s="1326" t="s">
        <v>227</v>
      </c>
      <c r="E1163" s="1249" t="s">
        <v>2278</v>
      </c>
      <c r="F1163" s="455" t="s">
        <v>785</v>
      </c>
      <c r="G1163" s="456" t="s">
        <v>155</v>
      </c>
      <c r="H1163" s="889"/>
      <c r="I1163" s="891"/>
      <c r="J1163" s="601">
        <v>25.026</v>
      </c>
      <c r="K1163" s="602">
        <v>0.27777777777777779</v>
      </c>
      <c r="L1163" s="981">
        <v>2</v>
      </c>
      <c r="M1163" s="1249" t="s">
        <v>366</v>
      </c>
      <c r="N1163" s="604" t="s">
        <v>227</v>
      </c>
      <c r="O1163" s="465"/>
      <c r="P1163" s="435"/>
      <c r="Q1163" s="435"/>
      <c r="R1163" s="401">
        <v>0</v>
      </c>
      <c r="S1163" s="466">
        <v>0</v>
      </c>
      <c r="U1163" s="1248">
        <f t="shared" si="22"/>
        <v>1</v>
      </c>
      <c r="V1163" s="1304">
        <f t="shared" si="23"/>
        <v>0</v>
      </c>
    </row>
    <row r="1164" spans="1:22" ht="16.5" thickTop="1" thickBot="1">
      <c r="A1164" s="1244"/>
      <c r="B1164" s="1245" t="s">
        <v>949</v>
      </c>
      <c r="C1164" s="1328" t="s">
        <v>1357</v>
      </c>
      <c r="D1164" s="1327" t="s">
        <v>227</v>
      </c>
      <c r="E1164" s="1245" t="s">
        <v>2678</v>
      </c>
      <c r="F1164" s="457" t="s">
        <v>1267</v>
      </c>
      <c r="G1164" s="458" t="s">
        <v>156</v>
      </c>
      <c r="H1164" s="888">
        <v>3</v>
      </c>
      <c r="I1164" s="890">
        <v>753.548</v>
      </c>
      <c r="J1164" s="899">
        <v>640.91200000000003</v>
      </c>
      <c r="K1164" s="603">
        <v>0.5641025641025641</v>
      </c>
      <c r="L1164" s="980">
        <v>6</v>
      </c>
      <c r="M1164" s="1245" t="s">
        <v>323</v>
      </c>
      <c r="N1164" s="604" t="s">
        <v>227</v>
      </c>
      <c r="O1164" s="463"/>
      <c r="P1164" s="434">
        <v>100.79600000000001</v>
      </c>
      <c r="Q1164" s="434">
        <v>6</v>
      </c>
      <c r="R1164" s="400">
        <v>3</v>
      </c>
      <c r="S1164" s="464">
        <v>0.5</v>
      </c>
      <c r="U1164" s="1248">
        <f t="shared" si="22"/>
        <v>0</v>
      </c>
      <c r="V1164" s="1304">
        <f t="shared" si="23"/>
        <v>1</v>
      </c>
    </row>
    <row r="1165" spans="1:22" ht="16.5" thickTop="1" thickBot="1">
      <c r="A1165" s="1244"/>
      <c r="B1165" s="1249" t="s">
        <v>949</v>
      </c>
      <c r="C1165" s="1329" t="s">
        <v>1357</v>
      </c>
      <c r="D1165" s="1326" t="s">
        <v>227</v>
      </c>
      <c r="E1165" s="1249" t="s">
        <v>3040</v>
      </c>
      <c r="F1165" s="455" t="s">
        <v>3041</v>
      </c>
      <c r="G1165" s="456" t="s">
        <v>155</v>
      </c>
      <c r="H1165" s="889"/>
      <c r="I1165" s="891"/>
      <c r="J1165" s="601">
        <v>30.997</v>
      </c>
      <c r="K1165" s="602">
        <v>0.13793103448275862</v>
      </c>
      <c r="L1165" s="981">
        <v>4</v>
      </c>
      <c r="M1165" s="1249" t="s">
        <v>366</v>
      </c>
      <c r="N1165" s="604" t="s">
        <v>227</v>
      </c>
      <c r="O1165" s="465"/>
      <c r="P1165" s="435"/>
      <c r="Q1165" s="435"/>
      <c r="R1165" s="401">
        <v>0</v>
      </c>
      <c r="S1165" s="466">
        <v>0</v>
      </c>
      <c r="U1165" s="1248">
        <f t="shared" si="22"/>
        <v>1</v>
      </c>
      <c r="V1165" s="1304">
        <f t="shared" si="23"/>
        <v>0</v>
      </c>
    </row>
    <row r="1166" spans="1:22" ht="16.5" thickTop="1" thickBot="1">
      <c r="A1166" s="1244"/>
      <c r="B1166" s="1245" t="s">
        <v>903</v>
      </c>
      <c r="C1166" s="1328" t="s">
        <v>913</v>
      </c>
      <c r="D1166" s="1327" t="s">
        <v>227</v>
      </c>
      <c r="E1166" s="1245" t="s">
        <v>913</v>
      </c>
      <c r="F1166" s="457" t="s">
        <v>915</v>
      </c>
      <c r="G1166" s="458" t="s">
        <v>158</v>
      </c>
      <c r="H1166" s="888">
        <v>20</v>
      </c>
      <c r="I1166" s="890">
        <v>20.925000000000001</v>
      </c>
      <c r="J1166" s="899">
        <v>172.87100000000001</v>
      </c>
      <c r="K1166" s="603">
        <v>0.16091954022988506</v>
      </c>
      <c r="L1166" s="980">
        <v>2</v>
      </c>
      <c r="M1166" s="1245" t="s">
        <v>366</v>
      </c>
      <c r="N1166" s="604" t="s">
        <v>227</v>
      </c>
      <c r="O1166" s="463"/>
      <c r="P1166" s="434">
        <v>10.116</v>
      </c>
      <c r="Q1166" s="434">
        <v>1</v>
      </c>
      <c r="R1166" s="400">
        <v>1</v>
      </c>
      <c r="S1166" s="464">
        <v>0.4</v>
      </c>
      <c r="U1166" s="1248">
        <f t="shared" si="22"/>
        <v>1</v>
      </c>
      <c r="V1166" s="1304">
        <f t="shared" si="23"/>
        <v>1</v>
      </c>
    </row>
    <row r="1167" spans="1:22" ht="16.5" thickTop="1" thickBot="1">
      <c r="A1167" s="1244"/>
      <c r="B1167" s="1249" t="s">
        <v>903</v>
      </c>
      <c r="C1167" s="1329" t="s">
        <v>913</v>
      </c>
      <c r="D1167" s="1326" t="s">
        <v>227</v>
      </c>
      <c r="E1167" s="1249" t="s">
        <v>1042</v>
      </c>
      <c r="F1167" s="455" t="s">
        <v>719</v>
      </c>
      <c r="G1167" s="456" t="s">
        <v>157</v>
      </c>
      <c r="H1167" s="889">
        <v>18</v>
      </c>
      <c r="I1167" s="891">
        <v>86.171000000000006</v>
      </c>
      <c r="J1167" s="601">
        <v>86.171000000000006</v>
      </c>
      <c r="K1167" s="602">
        <v>0.14634146341463414</v>
      </c>
      <c r="L1167" s="981">
        <v>2</v>
      </c>
      <c r="M1167" s="1249" t="s">
        <v>366</v>
      </c>
      <c r="N1167" s="604" t="s">
        <v>227</v>
      </c>
      <c r="O1167" s="465"/>
      <c r="P1167" s="435">
        <v>0</v>
      </c>
      <c r="Q1167" s="435"/>
      <c r="R1167" s="401">
        <v>0</v>
      </c>
      <c r="S1167" s="466">
        <v>0</v>
      </c>
      <c r="U1167" s="1248">
        <f t="shared" si="22"/>
        <v>1</v>
      </c>
      <c r="V1167" s="1304">
        <f t="shared" si="23"/>
        <v>1</v>
      </c>
    </row>
    <row r="1168" spans="1:22" ht="16.5" thickTop="1" thickBot="1">
      <c r="A1168" s="1244"/>
      <c r="B1168" s="1245" t="s">
        <v>903</v>
      </c>
      <c r="C1168" s="1328" t="s">
        <v>913</v>
      </c>
      <c r="D1168" s="1327" t="s">
        <v>227</v>
      </c>
      <c r="E1168" s="1245" t="s">
        <v>1406</v>
      </c>
      <c r="F1168" s="457" t="s">
        <v>1407</v>
      </c>
      <c r="G1168" s="458" t="s">
        <v>157</v>
      </c>
      <c r="H1168" s="888">
        <v>15</v>
      </c>
      <c r="I1168" s="890">
        <v>72.244</v>
      </c>
      <c r="J1168" s="899">
        <v>181.745</v>
      </c>
      <c r="K1168" s="603">
        <v>0.2391304347826087</v>
      </c>
      <c r="L1168" s="980">
        <v>1</v>
      </c>
      <c r="M1168" s="1245" t="s">
        <v>366</v>
      </c>
      <c r="N1168" s="604" t="s">
        <v>227</v>
      </c>
      <c r="O1168" s="463"/>
      <c r="P1168" s="434">
        <v>0</v>
      </c>
      <c r="Q1168" s="434"/>
      <c r="R1168" s="400">
        <v>0</v>
      </c>
      <c r="S1168" s="464">
        <v>0</v>
      </c>
      <c r="U1168" s="1248">
        <f t="shared" si="22"/>
        <v>1</v>
      </c>
      <c r="V1168" s="1304">
        <f t="shared" si="23"/>
        <v>1</v>
      </c>
    </row>
    <row r="1169" spans="1:22" ht="16.5" thickTop="1" thickBot="1">
      <c r="A1169" s="1244"/>
      <c r="B1169" s="1249" t="s">
        <v>903</v>
      </c>
      <c r="C1169" s="1329" t="s">
        <v>913</v>
      </c>
      <c r="D1169" s="1326" t="s">
        <v>227</v>
      </c>
      <c r="E1169" s="1249" t="s">
        <v>1513</v>
      </c>
      <c r="F1169" s="455" t="s">
        <v>1514</v>
      </c>
      <c r="G1169" s="456" t="s">
        <v>157</v>
      </c>
      <c r="H1169" s="889">
        <v>15</v>
      </c>
      <c r="I1169" s="891">
        <v>18.678999999999998</v>
      </c>
      <c r="J1169" s="601">
        <v>112.197</v>
      </c>
      <c r="K1169" s="602">
        <v>0.13043478260869565</v>
      </c>
      <c r="L1169" s="981">
        <v>3</v>
      </c>
      <c r="M1169" s="1249" t="s">
        <v>366</v>
      </c>
      <c r="N1169" s="604" t="s">
        <v>227</v>
      </c>
      <c r="O1169" s="465"/>
      <c r="P1169" s="435">
        <v>0</v>
      </c>
      <c r="Q1169" s="435"/>
      <c r="R1169" s="401">
        <v>0</v>
      </c>
      <c r="S1169" s="466">
        <v>0</v>
      </c>
      <c r="U1169" s="1248">
        <f t="shared" si="22"/>
        <v>1</v>
      </c>
      <c r="V1169" s="1304">
        <f t="shared" si="23"/>
        <v>1</v>
      </c>
    </row>
    <row r="1170" spans="1:22" ht="16.5" thickTop="1" thickBot="1">
      <c r="A1170" s="1244"/>
      <c r="B1170" s="1245" t="s">
        <v>903</v>
      </c>
      <c r="C1170" s="1328" t="s">
        <v>913</v>
      </c>
      <c r="D1170" s="1327" t="s">
        <v>227</v>
      </c>
      <c r="E1170" s="1245" t="s">
        <v>1736</v>
      </c>
      <c r="F1170" s="457" t="s">
        <v>1737</v>
      </c>
      <c r="G1170" s="458" t="s">
        <v>156</v>
      </c>
      <c r="H1170" s="888">
        <v>13</v>
      </c>
      <c r="I1170" s="890">
        <v>53.984000000000002</v>
      </c>
      <c r="J1170" s="899">
        <v>251.386</v>
      </c>
      <c r="K1170" s="603">
        <v>0.3125</v>
      </c>
      <c r="L1170" s="980">
        <v>3</v>
      </c>
      <c r="M1170" s="1245" t="s">
        <v>322</v>
      </c>
      <c r="N1170" s="604" t="s">
        <v>227</v>
      </c>
      <c r="O1170" s="463"/>
      <c r="P1170" s="434">
        <v>32.549999999999997</v>
      </c>
      <c r="Q1170" s="434">
        <v>2</v>
      </c>
      <c r="R1170" s="400">
        <v>0</v>
      </c>
      <c r="S1170" s="464">
        <v>0</v>
      </c>
      <c r="U1170" s="1248">
        <f t="shared" si="22"/>
        <v>0</v>
      </c>
      <c r="V1170" s="1304">
        <f t="shared" si="23"/>
        <v>1</v>
      </c>
    </row>
    <row r="1171" spans="1:22" ht="16.5" thickTop="1" thickBot="1">
      <c r="A1171" s="1244"/>
      <c r="B1171" s="1249" t="s">
        <v>903</v>
      </c>
      <c r="C1171" s="1329" t="s">
        <v>913</v>
      </c>
      <c r="D1171" s="1326" t="s">
        <v>227</v>
      </c>
      <c r="E1171" s="1249" t="s">
        <v>2330</v>
      </c>
      <c r="F1171" s="455" t="s">
        <v>2332</v>
      </c>
      <c r="G1171" s="456" t="s">
        <v>157</v>
      </c>
      <c r="H1171" s="889">
        <v>7</v>
      </c>
      <c r="I1171" s="891">
        <v>427.29199999999997</v>
      </c>
      <c r="J1171" s="601">
        <v>568.73</v>
      </c>
      <c r="K1171" s="602">
        <v>0.5641025641025641</v>
      </c>
      <c r="L1171" s="981">
        <v>3</v>
      </c>
      <c r="M1171" s="1249" t="s">
        <v>323</v>
      </c>
      <c r="N1171" s="604" t="s">
        <v>227</v>
      </c>
      <c r="O1171" s="465"/>
      <c r="P1171" s="435">
        <v>45.293999999999997</v>
      </c>
      <c r="Q1171" s="435">
        <v>4</v>
      </c>
      <c r="R1171" s="401">
        <v>1</v>
      </c>
      <c r="S1171" s="466">
        <v>0.33333333333333331</v>
      </c>
      <c r="U1171" s="1248">
        <f t="shared" si="22"/>
        <v>0</v>
      </c>
      <c r="V1171" s="1304">
        <f t="shared" si="23"/>
        <v>1</v>
      </c>
    </row>
    <row r="1172" spans="1:22" ht="16.5" thickTop="1" thickBot="1">
      <c r="A1172" s="1244"/>
      <c r="B1172" s="1245" t="s">
        <v>903</v>
      </c>
      <c r="C1172" s="1328" t="s">
        <v>913</v>
      </c>
      <c r="D1172" s="1327" t="s">
        <v>227</v>
      </c>
      <c r="E1172" s="1245" t="s">
        <v>2823</v>
      </c>
      <c r="F1172" s="457" t="s">
        <v>2824</v>
      </c>
      <c r="G1172" s="458" t="s">
        <v>156</v>
      </c>
      <c r="H1172" s="888">
        <v>3</v>
      </c>
      <c r="I1172" s="890">
        <v>719.44</v>
      </c>
      <c r="J1172" s="899">
        <v>948.16</v>
      </c>
      <c r="K1172" s="603">
        <v>1.0434782608695652</v>
      </c>
      <c r="L1172" s="980">
        <v>5</v>
      </c>
      <c r="M1172" s="1245" t="s">
        <v>323</v>
      </c>
      <c r="N1172" s="604" t="s">
        <v>227</v>
      </c>
      <c r="O1172" s="463">
        <v>1</v>
      </c>
      <c r="P1172" s="434">
        <v>130.62899999999999</v>
      </c>
      <c r="Q1172" s="434">
        <v>10</v>
      </c>
      <c r="R1172" s="400">
        <v>4</v>
      </c>
      <c r="S1172" s="464">
        <v>0.88888888888888884</v>
      </c>
      <c r="U1172" s="1248">
        <f t="shared" si="22"/>
        <v>0</v>
      </c>
      <c r="V1172" s="1304">
        <f t="shared" si="23"/>
        <v>1</v>
      </c>
    </row>
    <row r="1173" spans="1:22" ht="16.5" thickTop="1" thickBot="1">
      <c r="A1173" s="1244"/>
      <c r="B1173" s="1249" t="s">
        <v>903</v>
      </c>
      <c r="C1173" s="1329" t="s">
        <v>913</v>
      </c>
      <c r="D1173" s="1326" t="s">
        <v>227</v>
      </c>
      <c r="E1173" s="1249" t="s">
        <v>3042</v>
      </c>
      <c r="F1173" s="455" t="s">
        <v>3043</v>
      </c>
      <c r="G1173" s="456" t="s">
        <v>155</v>
      </c>
      <c r="H1173" s="889"/>
      <c r="I1173" s="891"/>
      <c r="J1173" s="601">
        <v>41.058</v>
      </c>
      <c r="K1173" s="602">
        <v>0.13333333333333333</v>
      </c>
      <c r="L1173" s="981">
        <v>3</v>
      </c>
      <c r="M1173" s="1249" t="s">
        <v>366</v>
      </c>
      <c r="N1173" s="604" t="s">
        <v>227</v>
      </c>
      <c r="O1173" s="465"/>
      <c r="P1173" s="435">
        <v>41.058</v>
      </c>
      <c r="Q1173" s="435">
        <v>1</v>
      </c>
      <c r="R1173" s="401">
        <v>1</v>
      </c>
      <c r="S1173" s="466">
        <v>0.33333333333333331</v>
      </c>
      <c r="U1173" s="1248">
        <f t="shared" si="22"/>
        <v>1</v>
      </c>
      <c r="V1173" s="1304">
        <f t="shared" si="23"/>
        <v>0</v>
      </c>
    </row>
    <row r="1174" spans="1:22" ht="16.5" thickTop="1" thickBot="1">
      <c r="A1174" s="1244"/>
      <c r="B1174" s="1245" t="s">
        <v>903</v>
      </c>
      <c r="C1174" s="1328" t="s">
        <v>913</v>
      </c>
      <c r="D1174" s="1327" t="s">
        <v>227</v>
      </c>
      <c r="E1174" s="1245" t="s">
        <v>3891</v>
      </c>
      <c r="F1174" s="457" t="s">
        <v>3892</v>
      </c>
      <c r="G1174" s="458" t="s">
        <v>155</v>
      </c>
      <c r="H1174" s="888"/>
      <c r="I1174" s="890"/>
      <c r="J1174" s="899">
        <v>78.697999999999993</v>
      </c>
      <c r="K1174" s="603">
        <v>0.25</v>
      </c>
      <c r="L1174" s="980">
        <v>4</v>
      </c>
      <c r="M1174" s="1245" t="s">
        <v>366</v>
      </c>
      <c r="N1174" s="604" t="s">
        <v>227</v>
      </c>
      <c r="O1174" s="463"/>
      <c r="P1174" s="434">
        <v>78.697999999999993</v>
      </c>
      <c r="Q1174" s="434">
        <v>5</v>
      </c>
      <c r="R1174" s="400">
        <v>1</v>
      </c>
      <c r="S1174" s="464">
        <v>0.25</v>
      </c>
      <c r="U1174" s="1248">
        <f t="shared" si="22"/>
        <v>1</v>
      </c>
      <c r="V1174" s="1304">
        <f t="shared" si="23"/>
        <v>0</v>
      </c>
    </row>
    <row r="1175" spans="1:22" ht="16.5" thickTop="1" thickBot="1">
      <c r="A1175" s="1244"/>
      <c r="B1175" s="1249" t="s">
        <v>903</v>
      </c>
      <c r="C1175" s="1329" t="s">
        <v>1039</v>
      </c>
      <c r="D1175" s="1326" t="s">
        <v>227</v>
      </c>
      <c r="E1175" s="1249" t="s">
        <v>1076</v>
      </c>
      <c r="F1175" s="455" t="s">
        <v>1077</v>
      </c>
      <c r="G1175" s="456" t="s">
        <v>157</v>
      </c>
      <c r="H1175" s="889">
        <v>18</v>
      </c>
      <c r="I1175" s="891">
        <v>21.029</v>
      </c>
      <c r="J1175" s="601">
        <v>1321.9069999999999</v>
      </c>
      <c r="K1175" s="602">
        <v>0.34899328859060402</v>
      </c>
      <c r="L1175" s="981">
        <v>5</v>
      </c>
      <c r="M1175" s="1249" t="s">
        <v>323</v>
      </c>
      <c r="N1175" s="604" t="s">
        <v>227</v>
      </c>
      <c r="O1175" s="465"/>
      <c r="P1175" s="435">
        <v>10.664</v>
      </c>
      <c r="Q1175" s="435">
        <v>1</v>
      </c>
      <c r="R1175" s="401">
        <v>1</v>
      </c>
      <c r="S1175" s="466">
        <v>0.2</v>
      </c>
      <c r="U1175" s="1248">
        <f t="shared" si="22"/>
        <v>0</v>
      </c>
      <c r="V1175" s="1304">
        <f t="shared" si="23"/>
        <v>1</v>
      </c>
    </row>
    <row r="1176" spans="1:22" ht="16.5" thickTop="1" thickBot="1">
      <c r="A1176" s="1244"/>
      <c r="B1176" s="1245" t="s">
        <v>903</v>
      </c>
      <c r="C1176" s="1328" t="s">
        <v>1039</v>
      </c>
      <c r="D1176" s="1327" t="s">
        <v>227</v>
      </c>
      <c r="E1176" s="1245" t="s">
        <v>1039</v>
      </c>
      <c r="F1176" s="457" t="s">
        <v>1041</v>
      </c>
      <c r="G1176" s="458" t="s">
        <v>158</v>
      </c>
      <c r="H1176" s="888">
        <v>18</v>
      </c>
      <c r="I1176" s="890">
        <v>577.40099999999995</v>
      </c>
      <c r="J1176" s="899">
        <v>1507.069</v>
      </c>
      <c r="K1176" s="603">
        <v>0.54285714285714282</v>
      </c>
      <c r="L1176" s="980">
        <v>3</v>
      </c>
      <c r="M1176" s="1245" t="s">
        <v>323</v>
      </c>
      <c r="N1176" s="604" t="s">
        <v>227</v>
      </c>
      <c r="O1176" s="463"/>
      <c r="P1176" s="434">
        <v>76.941000000000003</v>
      </c>
      <c r="Q1176" s="434">
        <v>5</v>
      </c>
      <c r="R1176" s="400">
        <v>1</v>
      </c>
      <c r="S1176" s="464">
        <v>0.33333333333333331</v>
      </c>
      <c r="U1176" s="1248">
        <f t="shared" si="22"/>
        <v>0</v>
      </c>
      <c r="V1176" s="1304">
        <f t="shared" si="23"/>
        <v>1</v>
      </c>
    </row>
    <row r="1177" spans="1:22" ht="16.5" thickTop="1" thickBot="1">
      <c r="A1177" s="1244"/>
      <c r="B1177" s="1249" t="s">
        <v>903</v>
      </c>
      <c r="C1177" s="1329" t="s">
        <v>1039</v>
      </c>
      <c r="D1177" s="1326" t="s">
        <v>227</v>
      </c>
      <c r="E1177" s="1249" t="s">
        <v>1238</v>
      </c>
      <c r="F1177" s="455" t="s">
        <v>1239</v>
      </c>
      <c r="G1177" s="456" t="s">
        <v>156</v>
      </c>
      <c r="H1177" s="889">
        <v>18</v>
      </c>
      <c r="I1177" s="891">
        <v>177.06899999999999</v>
      </c>
      <c r="J1177" s="601">
        <v>509.98700000000002</v>
      </c>
      <c r="K1177" s="602">
        <v>0.43636363636363634</v>
      </c>
      <c r="L1177" s="981">
        <v>5</v>
      </c>
      <c r="M1177" s="1249" t="s">
        <v>323</v>
      </c>
      <c r="N1177" s="604" t="s">
        <v>227</v>
      </c>
      <c r="O1177" s="465"/>
      <c r="P1177" s="435">
        <v>57.902000000000001</v>
      </c>
      <c r="Q1177" s="435">
        <v>5</v>
      </c>
      <c r="R1177" s="401">
        <v>5</v>
      </c>
      <c r="S1177" s="466">
        <v>1</v>
      </c>
      <c r="U1177" s="1248">
        <f t="shared" si="22"/>
        <v>0</v>
      </c>
      <c r="V1177" s="1304">
        <f t="shared" si="23"/>
        <v>1</v>
      </c>
    </row>
    <row r="1178" spans="1:22" ht="16.5" thickTop="1" thickBot="1">
      <c r="A1178" s="1244"/>
      <c r="B1178" s="1245" t="s">
        <v>903</v>
      </c>
      <c r="C1178" s="1328" t="s">
        <v>1039</v>
      </c>
      <c r="D1178" s="1327" t="s">
        <v>227</v>
      </c>
      <c r="E1178" s="1245" t="s">
        <v>1331</v>
      </c>
      <c r="F1178" s="457" t="s">
        <v>1332</v>
      </c>
      <c r="G1178" s="458" t="s">
        <v>157</v>
      </c>
      <c r="H1178" s="888">
        <v>17</v>
      </c>
      <c r="I1178" s="890">
        <v>328.37200000000001</v>
      </c>
      <c r="J1178" s="899">
        <v>1079.8989999999999</v>
      </c>
      <c r="K1178" s="603">
        <v>0.37593984962406013</v>
      </c>
      <c r="L1178" s="980">
        <v>3</v>
      </c>
      <c r="M1178" s="1245" t="s">
        <v>323</v>
      </c>
      <c r="N1178" s="604" t="s">
        <v>227</v>
      </c>
      <c r="O1178" s="463"/>
      <c r="P1178" s="434">
        <v>12.244999999999999</v>
      </c>
      <c r="Q1178" s="434">
        <v>1</v>
      </c>
      <c r="R1178" s="400">
        <v>1</v>
      </c>
      <c r="S1178" s="464">
        <v>0.2857142857142857</v>
      </c>
      <c r="U1178" s="1248">
        <f t="shared" si="22"/>
        <v>0</v>
      </c>
      <c r="V1178" s="1304">
        <f t="shared" si="23"/>
        <v>1</v>
      </c>
    </row>
    <row r="1179" spans="1:22" ht="16.5" thickTop="1" thickBot="1">
      <c r="A1179" s="1244"/>
      <c r="B1179" s="1249" t="s">
        <v>903</v>
      </c>
      <c r="C1179" s="1329" t="s">
        <v>1039</v>
      </c>
      <c r="D1179" s="1326" t="s">
        <v>227</v>
      </c>
      <c r="E1179" s="1249" t="s">
        <v>1408</v>
      </c>
      <c r="F1179" s="455" t="s">
        <v>1409</v>
      </c>
      <c r="G1179" s="456" t="s">
        <v>156</v>
      </c>
      <c r="H1179" s="889">
        <v>15</v>
      </c>
      <c r="I1179" s="891">
        <v>164.00800000000001</v>
      </c>
      <c r="J1179" s="601">
        <v>246.27099999999999</v>
      </c>
      <c r="K1179" s="602">
        <v>0.23931623931623933</v>
      </c>
      <c r="L1179" s="981">
        <v>2</v>
      </c>
      <c r="M1179" s="1249" t="s">
        <v>322</v>
      </c>
      <c r="N1179" s="604" t="s">
        <v>227</v>
      </c>
      <c r="O1179" s="465"/>
      <c r="P1179" s="435">
        <v>14.141</v>
      </c>
      <c r="Q1179" s="435">
        <v>1</v>
      </c>
      <c r="R1179" s="401">
        <v>1</v>
      </c>
      <c r="S1179" s="466">
        <v>0.33333333333333331</v>
      </c>
      <c r="U1179" s="1248">
        <f t="shared" si="22"/>
        <v>0</v>
      </c>
      <c r="V1179" s="1304">
        <f t="shared" si="23"/>
        <v>1</v>
      </c>
    </row>
    <row r="1180" spans="1:22" ht="16.5" thickTop="1" thickBot="1">
      <c r="A1180" s="1244"/>
      <c r="B1180" s="1245" t="s">
        <v>903</v>
      </c>
      <c r="C1180" s="1328" t="s">
        <v>1039</v>
      </c>
      <c r="D1180" s="1327" t="s">
        <v>227</v>
      </c>
      <c r="E1180" s="1245" t="s">
        <v>1515</v>
      </c>
      <c r="F1180" s="457" t="s">
        <v>857</v>
      </c>
      <c r="G1180" s="458" t="s">
        <v>156</v>
      </c>
      <c r="H1180" s="888">
        <v>14</v>
      </c>
      <c r="I1180" s="890">
        <v>196.58600000000001</v>
      </c>
      <c r="J1180" s="899">
        <v>272.84500000000003</v>
      </c>
      <c r="K1180" s="603">
        <v>0.27906976744186046</v>
      </c>
      <c r="L1180" s="980">
        <v>3</v>
      </c>
      <c r="M1180" s="1245" t="s">
        <v>322</v>
      </c>
      <c r="N1180" s="604" t="s">
        <v>227</v>
      </c>
      <c r="O1180" s="463"/>
      <c r="P1180" s="434">
        <v>38.076999999999998</v>
      </c>
      <c r="Q1180" s="434">
        <v>3</v>
      </c>
      <c r="R1180" s="400">
        <v>2</v>
      </c>
      <c r="S1180" s="464">
        <v>0.66666666666666663</v>
      </c>
      <c r="U1180" s="1248">
        <f t="shared" si="22"/>
        <v>0</v>
      </c>
      <c r="V1180" s="1304">
        <f t="shared" si="23"/>
        <v>1</v>
      </c>
    </row>
    <row r="1181" spans="1:22" ht="16.5" thickTop="1" thickBot="1">
      <c r="A1181" s="1244"/>
      <c r="B1181" s="1249" t="s">
        <v>903</v>
      </c>
      <c r="C1181" s="1329" t="s">
        <v>1039</v>
      </c>
      <c r="D1181" s="1326" t="s">
        <v>227</v>
      </c>
      <c r="E1181" s="1249" t="s">
        <v>2010</v>
      </c>
      <c r="F1181" s="455" t="s">
        <v>2011</v>
      </c>
      <c r="G1181" s="456" t="s">
        <v>156</v>
      </c>
      <c r="H1181" s="889">
        <v>10</v>
      </c>
      <c r="I1181" s="891">
        <v>86.394999999999996</v>
      </c>
      <c r="J1181" s="601">
        <v>115.991</v>
      </c>
      <c r="K1181" s="602">
        <v>0.32653061224489793</v>
      </c>
      <c r="L1181" s="981">
        <v>1</v>
      </c>
      <c r="M1181" s="1249" t="s">
        <v>366</v>
      </c>
      <c r="N1181" s="604" t="s">
        <v>227</v>
      </c>
      <c r="O1181" s="465"/>
      <c r="P1181" s="435"/>
      <c r="Q1181" s="435"/>
      <c r="R1181" s="401">
        <v>0</v>
      </c>
      <c r="S1181" s="466">
        <v>0</v>
      </c>
      <c r="U1181" s="1248">
        <f t="shared" si="22"/>
        <v>1</v>
      </c>
      <c r="V1181" s="1304">
        <f t="shared" si="23"/>
        <v>1</v>
      </c>
    </row>
    <row r="1182" spans="1:22" ht="16.5" thickTop="1" thickBot="1">
      <c r="A1182" s="1244"/>
      <c r="B1182" s="1245" t="s">
        <v>903</v>
      </c>
      <c r="C1182" s="1328" t="s">
        <v>1039</v>
      </c>
      <c r="D1182" s="1327" t="s">
        <v>227</v>
      </c>
      <c r="E1182" s="1245" t="s">
        <v>2166</v>
      </c>
      <c r="F1182" s="457" t="s">
        <v>2167</v>
      </c>
      <c r="G1182" s="458" t="s">
        <v>156</v>
      </c>
      <c r="H1182" s="888">
        <v>9</v>
      </c>
      <c r="I1182" s="890">
        <v>971.33699999999999</v>
      </c>
      <c r="J1182" s="899">
        <v>423.82499999999999</v>
      </c>
      <c r="K1182" s="603">
        <v>0.28865979381443296</v>
      </c>
      <c r="L1182" s="980">
        <v>4</v>
      </c>
      <c r="M1182" s="1245" t="s">
        <v>323</v>
      </c>
      <c r="N1182" s="604" t="s">
        <v>227</v>
      </c>
      <c r="O1182" s="463"/>
      <c r="P1182" s="434">
        <v>9.6159999999999997</v>
      </c>
      <c r="Q1182" s="434">
        <v>1</v>
      </c>
      <c r="R1182" s="400">
        <v>1</v>
      </c>
      <c r="S1182" s="464">
        <v>0.22222222222222221</v>
      </c>
      <c r="U1182" s="1248">
        <f t="shared" si="22"/>
        <v>0</v>
      </c>
      <c r="V1182" s="1304">
        <f t="shared" si="23"/>
        <v>1</v>
      </c>
    </row>
    <row r="1183" spans="1:22" ht="16.5" thickTop="1" thickBot="1">
      <c r="A1183" s="1244"/>
      <c r="B1183" s="1249" t="s">
        <v>903</v>
      </c>
      <c r="C1183" s="1329" t="s">
        <v>1039</v>
      </c>
      <c r="D1183" s="1326" t="s">
        <v>227</v>
      </c>
      <c r="E1183" s="1249" t="s">
        <v>2279</v>
      </c>
      <c r="F1183" s="455" t="s">
        <v>2280</v>
      </c>
      <c r="G1183" s="456" t="s">
        <v>156</v>
      </c>
      <c r="H1183" s="889">
        <v>8</v>
      </c>
      <c r="I1183" s="891">
        <v>450.76100000000002</v>
      </c>
      <c r="J1183" s="601">
        <v>271.483</v>
      </c>
      <c r="K1183" s="602">
        <v>0.25210084033613445</v>
      </c>
      <c r="L1183" s="981">
        <v>5</v>
      </c>
      <c r="M1183" s="1249" t="s">
        <v>323</v>
      </c>
      <c r="N1183" s="604" t="s">
        <v>227</v>
      </c>
      <c r="O1183" s="465"/>
      <c r="P1183" s="435">
        <v>29.303000000000001</v>
      </c>
      <c r="Q1183" s="435">
        <v>2</v>
      </c>
      <c r="R1183" s="401">
        <v>1</v>
      </c>
      <c r="S1183" s="466">
        <v>0.18181818181818182</v>
      </c>
      <c r="U1183" s="1248">
        <f t="shared" si="22"/>
        <v>0</v>
      </c>
      <c r="V1183" s="1304">
        <f t="shared" si="23"/>
        <v>1</v>
      </c>
    </row>
    <row r="1184" spans="1:22" ht="16.5" thickTop="1" thickBot="1">
      <c r="A1184" s="1244"/>
      <c r="B1184" s="1245" t="s">
        <v>903</v>
      </c>
      <c r="C1184" s="1328" t="s">
        <v>1039</v>
      </c>
      <c r="D1184" s="1327" t="s">
        <v>227</v>
      </c>
      <c r="E1184" s="1245" t="s">
        <v>2453</v>
      </c>
      <c r="F1184" s="457" t="s">
        <v>2455</v>
      </c>
      <c r="G1184" s="458" t="s">
        <v>157</v>
      </c>
      <c r="H1184" s="888">
        <v>7</v>
      </c>
      <c r="I1184" s="890">
        <v>440.24</v>
      </c>
      <c r="J1184" s="899">
        <v>570.69500000000005</v>
      </c>
      <c r="K1184" s="603">
        <v>0.66666666666666663</v>
      </c>
      <c r="L1184" s="980">
        <v>3</v>
      </c>
      <c r="M1184" s="1245" t="s">
        <v>323</v>
      </c>
      <c r="N1184" s="604" t="s">
        <v>227</v>
      </c>
      <c r="O1184" s="463"/>
      <c r="P1184" s="434">
        <v>78.164000000000001</v>
      </c>
      <c r="Q1184" s="434">
        <v>4</v>
      </c>
      <c r="R1184" s="400">
        <v>1</v>
      </c>
      <c r="S1184" s="464">
        <v>0.33333333333333331</v>
      </c>
      <c r="U1184" s="1248">
        <f t="shared" si="22"/>
        <v>0</v>
      </c>
      <c r="V1184" s="1304">
        <f t="shared" si="23"/>
        <v>1</v>
      </c>
    </row>
    <row r="1185" spans="1:22" ht="16.5" thickTop="1" thickBot="1">
      <c r="A1185" s="1244"/>
      <c r="B1185" s="1249" t="s">
        <v>903</v>
      </c>
      <c r="C1185" s="1329" t="s">
        <v>1039</v>
      </c>
      <c r="D1185" s="1326" t="s">
        <v>227</v>
      </c>
      <c r="E1185" s="1249" t="s">
        <v>2510</v>
      </c>
      <c r="F1185" s="455" t="s">
        <v>2511</v>
      </c>
      <c r="G1185" s="456" t="s">
        <v>156</v>
      </c>
      <c r="H1185" s="889">
        <v>7</v>
      </c>
      <c r="I1185" s="891">
        <v>28.079000000000001</v>
      </c>
      <c r="J1185" s="601">
        <v>280.07100000000003</v>
      </c>
      <c r="K1185" s="602">
        <v>0.46153846153846156</v>
      </c>
      <c r="L1185" s="981">
        <v>4</v>
      </c>
      <c r="M1185" s="1249" t="s">
        <v>323</v>
      </c>
      <c r="N1185" s="604" t="s">
        <v>227</v>
      </c>
      <c r="O1185" s="465"/>
      <c r="P1185" s="435">
        <v>39.402999999999999</v>
      </c>
      <c r="Q1185" s="435">
        <v>2</v>
      </c>
      <c r="R1185" s="401">
        <v>1</v>
      </c>
      <c r="S1185" s="466">
        <v>0.25</v>
      </c>
      <c r="U1185" s="1248">
        <f t="shared" si="22"/>
        <v>0</v>
      </c>
      <c r="V1185" s="1304">
        <f t="shared" si="23"/>
        <v>1</v>
      </c>
    </row>
    <row r="1186" spans="1:22" ht="16.5" thickTop="1" thickBot="1">
      <c r="A1186" s="1244"/>
      <c r="B1186" s="1245" t="s">
        <v>903</v>
      </c>
      <c r="C1186" s="1328" t="s">
        <v>1039</v>
      </c>
      <c r="D1186" s="1327" t="s">
        <v>227</v>
      </c>
      <c r="E1186" s="1245" t="s">
        <v>2611</v>
      </c>
      <c r="F1186" s="457" t="s">
        <v>2612</v>
      </c>
      <c r="G1186" s="458" t="s">
        <v>156</v>
      </c>
      <c r="H1186" s="888">
        <v>5</v>
      </c>
      <c r="I1186" s="890">
        <v>281.85700000000003</v>
      </c>
      <c r="J1186" s="899">
        <v>513.52200000000005</v>
      </c>
      <c r="K1186" s="603">
        <v>0.54285714285714282</v>
      </c>
      <c r="L1186" s="980">
        <v>11</v>
      </c>
      <c r="M1186" s="1245" t="s">
        <v>323</v>
      </c>
      <c r="N1186" s="604" t="s">
        <v>227</v>
      </c>
      <c r="O1186" s="463">
        <v>1</v>
      </c>
      <c r="P1186" s="434">
        <v>246.066</v>
      </c>
      <c r="Q1186" s="434">
        <v>12</v>
      </c>
      <c r="R1186" s="400">
        <v>8</v>
      </c>
      <c r="S1186" s="464">
        <v>0.76190476190476186</v>
      </c>
      <c r="U1186" s="1248">
        <f t="shared" si="22"/>
        <v>0</v>
      </c>
      <c r="V1186" s="1304">
        <f t="shared" si="23"/>
        <v>1</v>
      </c>
    </row>
    <row r="1187" spans="1:22" ht="16.5" thickTop="1" thickBot="1">
      <c r="A1187" s="1244"/>
      <c r="B1187" s="1249" t="s">
        <v>903</v>
      </c>
      <c r="C1187" s="1329" t="s">
        <v>1039</v>
      </c>
      <c r="D1187" s="1326" t="s">
        <v>227</v>
      </c>
      <c r="E1187" s="1249" t="s">
        <v>3044</v>
      </c>
      <c r="F1187" s="455" t="s">
        <v>3045</v>
      </c>
      <c r="G1187" s="456" t="s">
        <v>155</v>
      </c>
      <c r="H1187" s="889"/>
      <c r="I1187" s="891"/>
      <c r="J1187" s="601">
        <v>102.905</v>
      </c>
      <c r="K1187" s="602">
        <v>0.4375</v>
      </c>
      <c r="L1187" s="981">
        <v>6</v>
      </c>
      <c r="M1187" s="1249" t="s">
        <v>366</v>
      </c>
      <c r="N1187" s="604" t="s">
        <v>227</v>
      </c>
      <c r="O1187" s="465"/>
      <c r="P1187" s="435">
        <v>24.28</v>
      </c>
      <c r="Q1187" s="435">
        <v>2</v>
      </c>
      <c r="R1187" s="401">
        <v>2</v>
      </c>
      <c r="S1187" s="466">
        <v>0.33333333333333331</v>
      </c>
      <c r="U1187" s="1248">
        <f t="shared" si="22"/>
        <v>1</v>
      </c>
      <c r="V1187" s="1304">
        <f t="shared" si="23"/>
        <v>0</v>
      </c>
    </row>
    <row r="1188" spans="1:22" ht="16.5" thickTop="1" thickBot="1">
      <c r="A1188" s="1244"/>
      <c r="B1188" s="1245" t="s">
        <v>903</v>
      </c>
      <c r="C1188" s="1328" t="s">
        <v>1177</v>
      </c>
      <c r="D1188" s="1327" t="s">
        <v>227</v>
      </c>
      <c r="E1188" s="1245" t="s">
        <v>1177</v>
      </c>
      <c r="F1188" s="457" t="s">
        <v>1179</v>
      </c>
      <c r="G1188" s="458" t="s">
        <v>739</v>
      </c>
      <c r="H1188" s="888">
        <v>18</v>
      </c>
      <c r="I1188" s="890">
        <v>195.02099999999999</v>
      </c>
      <c r="J1188" s="899">
        <v>448.005</v>
      </c>
      <c r="K1188" s="603">
        <v>0.43333333333333335</v>
      </c>
      <c r="L1188" s="980">
        <v>7</v>
      </c>
      <c r="M1188" s="1245" t="s">
        <v>323</v>
      </c>
      <c r="N1188" s="604" t="s">
        <v>227</v>
      </c>
      <c r="O1188" s="463"/>
      <c r="P1188" s="434">
        <v>32.628999999999998</v>
      </c>
      <c r="Q1188" s="434">
        <v>2</v>
      </c>
      <c r="R1188" s="400">
        <v>2</v>
      </c>
      <c r="S1188" s="464">
        <v>0.26666666666666666</v>
      </c>
      <c r="U1188" s="1248">
        <f t="shared" si="22"/>
        <v>0</v>
      </c>
      <c r="V1188" s="1304">
        <f t="shared" si="23"/>
        <v>1</v>
      </c>
    </row>
    <row r="1189" spans="1:22" ht="16.5" thickTop="1" thickBot="1">
      <c r="A1189" s="1244"/>
      <c r="B1189" s="1249" t="s">
        <v>903</v>
      </c>
      <c r="C1189" s="1329" t="s">
        <v>1177</v>
      </c>
      <c r="D1189" s="1326" t="s">
        <v>227</v>
      </c>
      <c r="E1189" s="1249" t="s">
        <v>1204</v>
      </c>
      <c r="F1189" s="455" t="s">
        <v>1206</v>
      </c>
      <c r="G1189" s="456" t="s">
        <v>157</v>
      </c>
      <c r="H1189" s="889">
        <v>18</v>
      </c>
      <c r="I1189" s="891">
        <v>134.78899999999999</v>
      </c>
      <c r="J1189" s="601">
        <v>517.17899999999997</v>
      </c>
      <c r="K1189" s="602">
        <v>0.25954198473282442</v>
      </c>
      <c r="L1189" s="981">
        <v>4</v>
      </c>
      <c r="M1189" s="1249" t="s">
        <v>323</v>
      </c>
      <c r="N1189" s="604" t="s">
        <v>227</v>
      </c>
      <c r="O1189" s="465">
        <v>1</v>
      </c>
      <c r="P1189" s="435">
        <v>60.366999999999997</v>
      </c>
      <c r="Q1189" s="435">
        <v>4</v>
      </c>
      <c r="R1189" s="401">
        <v>2</v>
      </c>
      <c r="S1189" s="466">
        <v>0.5</v>
      </c>
      <c r="U1189" s="1248">
        <f t="shared" si="22"/>
        <v>0</v>
      </c>
      <c r="V1189" s="1304">
        <f t="shared" si="23"/>
        <v>1</v>
      </c>
    </row>
    <row r="1190" spans="1:22" ht="16.5" thickTop="1" thickBot="1">
      <c r="A1190" s="1244"/>
      <c r="B1190" s="1245" t="s">
        <v>903</v>
      </c>
      <c r="C1190" s="1328" t="s">
        <v>1177</v>
      </c>
      <c r="D1190" s="1327" t="s">
        <v>227</v>
      </c>
      <c r="E1190" s="1245" t="s">
        <v>2164</v>
      </c>
      <c r="F1190" s="457" t="s">
        <v>2165</v>
      </c>
      <c r="G1190" s="458" t="s">
        <v>157</v>
      </c>
      <c r="H1190" s="888">
        <v>10</v>
      </c>
      <c r="I1190" s="890">
        <v>152.065</v>
      </c>
      <c r="J1190" s="899">
        <v>505.15</v>
      </c>
      <c r="K1190" s="603">
        <v>0.53191489361702127</v>
      </c>
      <c r="L1190" s="980">
        <v>6</v>
      </c>
      <c r="M1190" s="1245" t="s">
        <v>323</v>
      </c>
      <c r="N1190" s="604" t="s">
        <v>227</v>
      </c>
      <c r="O1190" s="463"/>
      <c r="P1190" s="434">
        <v>12.558</v>
      </c>
      <c r="Q1190" s="434"/>
      <c r="R1190" s="400">
        <v>0</v>
      </c>
      <c r="S1190" s="464">
        <v>0</v>
      </c>
      <c r="U1190" s="1248">
        <f t="shared" si="22"/>
        <v>0</v>
      </c>
      <c r="V1190" s="1304">
        <f t="shared" si="23"/>
        <v>1</v>
      </c>
    </row>
    <row r="1191" spans="1:22" ht="16.5" thickTop="1" thickBot="1">
      <c r="A1191" s="1244"/>
      <c r="B1191" s="1249" t="s">
        <v>903</v>
      </c>
      <c r="C1191" s="1329" t="s">
        <v>1177</v>
      </c>
      <c r="D1191" s="1326" t="s">
        <v>227</v>
      </c>
      <c r="E1191" s="1249" t="s">
        <v>2613</v>
      </c>
      <c r="F1191" s="455" t="s">
        <v>1060</v>
      </c>
      <c r="G1191" s="456" t="s">
        <v>156</v>
      </c>
      <c r="H1191" s="889">
        <v>5</v>
      </c>
      <c r="I1191" s="891">
        <v>131.09200000000001</v>
      </c>
      <c r="J1191" s="601">
        <v>199.63499999999999</v>
      </c>
      <c r="K1191" s="602">
        <v>0.33333333333333331</v>
      </c>
      <c r="L1191" s="981">
        <v>4</v>
      </c>
      <c r="M1191" s="1249" t="s">
        <v>323</v>
      </c>
      <c r="N1191" s="604" t="s">
        <v>227</v>
      </c>
      <c r="O1191" s="465"/>
      <c r="P1191" s="435"/>
      <c r="Q1191" s="435"/>
      <c r="R1191" s="401">
        <v>0</v>
      </c>
      <c r="S1191" s="466">
        <v>0</v>
      </c>
      <c r="U1191" s="1248">
        <f t="shared" si="22"/>
        <v>0</v>
      </c>
      <c r="V1191" s="1304">
        <f t="shared" si="23"/>
        <v>1</v>
      </c>
    </row>
    <row r="1192" spans="1:22" ht="16.5" thickTop="1" thickBot="1">
      <c r="A1192" s="1244"/>
      <c r="B1192" s="1245" t="s">
        <v>903</v>
      </c>
      <c r="C1192" s="1328" t="s">
        <v>1177</v>
      </c>
      <c r="D1192" s="1327" t="s">
        <v>227</v>
      </c>
      <c r="E1192" s="1245" t="s">
        <v>3046</v>
      </c>
      <c r="F1192" s="457" t="s">
        <v>3047</v>
      </c>
      <c r="G1192" s="458" t="s">
        <v>156</v>
      </c>
      <c r="H1192" s="888">
        <v>3</v>
      </c>
      <c r="I1192" s="890">
        <v>75.748000000000005</v>
      </c>
      <c r="J1192" s="899">
        <v>105.227</v>
      </c>
      <c r="K1192" s="603">
        <v>0.47619047619047616</v>
      </c>
      <c r="L1192" s="980">
        <v>5</v>
      </c>
      <c r="M1192" s="1245" t="s">
        <v>323</v>
      </c>
      <c r="N1192" s="604" t="s">
        <v>227</v>
      </c>
      <c r="O1192" s="463"/>
      <c r="P1192" s="434">
        <v>31.273</v>
      </c>
      <c r="Q1192" s="434">
        <v>2</v>
      </c>
      <c r="R1192" s="400">
        <v>2</v>
      </c>
      <c r="S1192" s="464">
        <v>0.4</v>
      </c>
      <c r="U1192" s="1248">
        <f t="shared" ref="U1192:U1255" si="24">IF(M1192="U_200",1,0)</f>
        <v>0</v>
      </c>
      <c r="V1192" s="1304">
        <f t="shared" ref="V1192:V1255" si="25">IF(G1192&lt;&gt;"US",1,0)</f>
        <v>1</v>
      </c>
    </row>
    <row r="1193" spans="1:22" ht="16.5" thickTop="1" thickBot="1">
      <c r="A1193" s="1244"/>
      <c r="B1193" s="1249" t="s">
        <v>903</v>
      </c>
      <c r="C1193" s="1329" t="s">
        <v>1177</v>
      </c>
      <c r="D1193" s="1326" t="s">
        <v>227</v>
      </c>
      <c r="E1193" s="1249" t="s">
        <v>3048</v>
      </c>
      <c r="F1193" s="455" t="s">
        <v>3049</v>
      </c>
      <c r="G1193" s="456" t="s">
        <v>155</v>
      </c>
      <c r="H1193" s="889"/>
      <c r="I1193" s="891"/>
      <c r="J1193" s="601">
        <v>39.177999999999997</v>
      </c>
      <c r="K1193" s="602">
        <v>0.21428571428571427</v>
      </c>
      <c r="L1193" s="981">
        <v>5</v>
      </c>
      <c r="M1193" s="1249" t="s">
        <v>366</v>
      </c>
      <c r="N1193" s="604" t="s">
        <v>227</v>
      </c>
      <c r="O1193" s="465"/>
      <c r="P1193" s="435"/>
      <c r="Q1193" s="435"/>
      <c r="R1193" s="401">
        <v>0</v>
      </c>
      <c r="S1193" s="466">
        <v>0</v>
      </c>
      <c r="U1193" s="1248">
        <f t="shared" si="24"/>
        <v>1</v>
      </c>
      <c r="V1193" s="1304">
        <f t="shared" si="25"/>
        <v>0</v>
      </c>
    </row>
    <row r="1194" spans="1:22" ht="16.5" thickTop="1" thickBot="1">
      <c r="A1194" s="1244"/>
      <c r="B1194" s="1245" t="s">
        <v>903</v>
      </c>
      <c r="C1194" s="1328" t="s">
        <v>1177</v>
      </c>
      <c r="D1194" s="1327" t="s">
        <v>227</v>
      </c>
      <c r="E1194" s="1245" t="s">
        <v>3352</v>
      </c>
      <c r="F1194" s="457" t="s">
        <v>3353</v>
      </c>
      <c r="G1194" s="458" t="s">
        <v>157</v>
      </c>
      <c r="H1194" s="888">
        <v>1</v>
      </c>
      <c r="I1194" s="890">
        <v>26.928999999999998</v>
      </c>
      <c r="J1194" s="899">
        <v>26.928999999999998</v>
      </c>
      <c r="K1194" s="603">
        <v>1.3333333333333333</v>
      </c>
      <c r="L1194" s="980">
        <v>1</v>
      </c>
      <c r="M1194" s="1245" t="s">
        <v>323</v>
      </c>
      <c r="N1194" s="604" t="s">
        <v>227</v>
      </c>
      <c r="O1194" s="463"/>
      <c r="P1194" s="434">
        <v>11.597</v>
      </c>
      <c r="Q1194" s="434">
        <v>1</v>
      </c>
      <c r="R1194" s="400">
        <v>1</v>
      </c>
      <c r="S1194" s="464">
        <v>1</v>
      </c>
      <c r="U1194" s="1248">
        <f t="shared" si="24"/>
        <v>0</v>
      </c>
      <c r="V1194" s="1304">
        <f t="shared" si="25"/>
        <v>1</v>
      </c>
    </row>
    <row r="1195" spans="1:22" ht="16.5" thickTop="1" thickBot="1">
      <c r="A1195" s="1244"/>
      <c r="B1195" s="1249" t="s">
        <v>903</v>
      </c>
      <c r="C1195" s="1329" t="s">
        <v>1177</v>
      </c>
      <c r="D1195" s="1326" t="s">
        <v>227</v>
      </c>
      <c r="E1195" s="1249" t="s">
        <v>3354</v>
      </c>
      <c r="F1195" s="455" t="s">
        <v>3355</v>
      </c>
      <c r="G1195" s="456" t="s">
        <v>156</v>
      </c>
      <c r="H1195" s="889">
        <v>1</v>
      </c>
      <c r="I1195" s="891">
        <v>14.557</v>
      </c>
      <c r="J1195" s="601">
        <v>37.103999999999999</v>
      </c>
      <c r="K1195" s="602">
        <v>0.5</v>
      </c>
      <c r="L1195" s="981">
        <v>3</v>
      </c>
      <c r="M1195" s="1249" t="s">
        <v>323</v>
      </c>
      <c r="N1195" s="604" t="s">
        <v>227</v>
      </c>
      <c r="O1195" s="465">
        <v>1</v>
      </c>
      <c r="P1195" s="435">
        <v>37.103999999999999</v>
      </c>
      <c r="Q1195" s="435">
        <v>3</v>
      </c>
      <c r="R1195" s="401">
        <v>2</v>
      </c>
      <c r="S1195" s="466">
        <v>0.8</v>
      </c>
      <c r="U1195" s="1248">
        <f t="shared" si="24"/>
        <v>0</v>
      </c>
      <c r="V1195" s="1304">
        <f t="shared" si="25"/>
        <v>1</v>
      </c>
    </row>
    <row r="1196" spans="1:22" ht="16.5" thickTop="1" thickBot="1">
      <c r="A1196" s="1244"/>
      <c r="B1196" s="1245" t="s">
        <v>903</v>
      </c>
      <c r="C1196" s="1328" t="s">
        <v>1177</v>
      </c>
      <c r="D1196" s="1327" t="s">
        <v>227</v>
      </c>
      <c r="E1196" s="1245" t="s">
        <v>3356</v>
      </c>
      <c r="F1196" s="457" t="s">
        <v>3357</v>
      </c>
      <c r="G1196" s="458" t="s">
        <v>156</v>
      </c>
      <c r="H1196" s="888">
        <v>1</v>
      </c>
      <c r="I1196" s="890">
        <v>86.724000000000004</v>
      </c>
      <c r="J1196" s="899">
        <v>86.724000000000004</v>
      </c>
      <c r="K1196" s="603">
        <v>0.5</v>
      </c>
      <c r="L1196" s="980">
        <v>3</v>
      </c>
      <c r="M1196" s="1245" t="s">
        <v>323</v>
      </c>
      <c r="N1196" s="604" t="s">
        <v>227</v>
      </c>
      <c r="O1196" s="463">
        <v>1</v>
      </c>
      <c r="P1196" s="434">
        <v>71.7</v>
      </c>
      <c r="Q1196" s="434">
        <v>2</v>
      </c>
      <c r="R1196" s="400">
        <v>1</v>
      </c>
      <c r="S1196" s="464">
        <v>0.4</v>
      </c>
      <c r="U1196" s="1248">
        <f t="shared" si="24"/>
        <v>0</v>
      </c>
      <c r="V1196" s="1304">
        <f t="shared" si="25"/>
        <v>1</v>
      </c>
    </row>
    <row r="1197" spans="1:22" ht="16.5" thickTop="1" thickBot="1">
      <c r="A1197" s="1244"/>
      <c r="B1197" s="1249" t="s">
        <v>1101</v>
      </c>
      <c r="C1197" s="1329" t="s">
        <v>227</v>
      </c>
      <c r="D1197" s="1326" t="s">
        <v>227</v>
      </c>
      <c r="E1197" s="1249" t="s">
        <v>1516</v>
      </c>
      <c r="F1197" s="455" t="s">
        <v>1517</v>
      </c>
      <c r="G1197" s="456" t="s">
        <v>157</v>
      </c>
      <c r="H1197" s="889">
        <v>14</v>
      </c>
      <c r="I1197" s="891">
        <v>133.952</v>
      </c>
      <c r="J1197" s="601">
        <v>495.99400000000003</v>
      </c>
      <c r="K1197" s="602">
        <v>0.25396825396825395</v>
      </c>
      <c r="L1197" s="981">
        <v>7</v>
      </c>
      <c r="M1197" s="1249" t="s">
        <v>323</v>
      </c>
      <c r="N1197" s="604" t="s">
        <v>227</v>
      </c>
      <c r="O1197" s="465"/>
      <c r="P1197" s="435">
        <v>34.939</v>
      </c>
      <c r="Q1197" s="435">
        <v>2</v>
      </c>
      <c r="R1197" s="401">
        <v>1</v>
      </c>
      <c r="S1197" s="466">
        <v>0.14285714285714285</v>
      </c>
      <c r="U1197" s="1248">
        <f t="shared" si="24"/>
        <v>0</v>
      </c>
      <c r="V1197" s="1304">
        <f t="shared" si="25"/>
        <v>1</v>
      </c>
    </row>
    <row r="1198" spans="1:22" ht="16.5" thickTop="1" thickBot="1">
      <c r="A1198" s="1244"/>
      <c r="B1198" s="1245" t="s">
        <v>1101</v>
      </c>
      <c r="C1198" s="1328" t="s">
        <v>227</v>
      </c>
      <c r="D1198" s="1327" t="s">
        <v>227</v>
      </c>
      <c r="E1198" s="1245" t="s">
        <v>1518</v>
      </c>
      <c r="F1198" s="457" t="s">
        <v>1519</v>
      </c>
      <c r="G1198" s="458" t="s">
        <v>156</v>
      </c>
      <c r="H1198" s="888">
        <v>14</v>
      </c>
      <c r="I1198" s="890">
        <v>21.276</v>
      </c>
      <c r="J1198" s="899">
        <v>47.26</v>
      </c>
      <c r="K1198" s="603">
        <v>7.5949367088607597E-2</v>
      </c>
      <c r="L1198" s="980">
        <v>2</v>
      </c>
      <c r="M1198" s="1245" t="s">
        <v>366</v>
      </c>
      <c r="N1198" s="604" t="s">
        <v>227</v>
      </c>
      <c r="O1198" s="463"/>
      <c r="P1198" s="434">
        <v>0</v>
      </c>
      <c r="Q1198" s="434"/>
      <c r="R1198" s="400">
        <v>0</v>
      </c>
      <c r="S1198" s="464">
        <v>0</v>
      </c>
      <c r="U1198" s="1248">
        <f t="shared" si="24"/>
        <v>1</v>
      </c>
      <c r="V1198" s="1304">
        <f t="shared" si="25"/>
        <v>1</v>
      </c>
    </row>
    <row r="1199" spans="1:22" ht="16.5" thickTop="1" thickBot="1">
      <c r="A1199" s="1244"/>
      <c r="B1199" s="1249" t="s">
        <v>1101</v>
      </c>
      <c r="C1199" s="1329" t="s">
        <v>227</v>
      </c>
      <c r="D1199" s="1326" t="s">
        <v>227</v>
      </c>
      <c r="E1199" s="1249" t="s">
        <v>2012</v>
      </c>
      <c r="F1199" s="455" t="s">
        <v>2013</v>
      </c>
      <c r="G1199" s="456" t="s">
        <v>156</v>
      </c>
      <c r="H1199" s="889">
        <v>10</v>
      </c>
      <c r="I1199" s="891">
        <v>71.337999999999994</v>
      </c>
      <c r="J1199" s="601">
        <v>83.477999999999994</v>
      </c>
      <c r="K1199" s="602">
        <v>0.18867924528301888</v>
      </c>
      <c r="L1199" s="981">
        <v>1</v>
      </c>
      <c r="M1199" s="1249" t="s">
        <v>366</v>
      </c>
      <c r="N1199" s="604" t="s">
        <v>227</v>
      </c>
      <c r="O1199" s="465"/>
      <c r="P1199" s="435"/>
      <c r="Q1199" s="435"/>
      <c r="R1199" s="401">
        <v>0</v>
      </c>
      <c r="S1199" s="466">
        <v>0</v>
      </c>
      <c r="U1199" s="1248">
        <f t="shared" si="24"/>
        <v>1</v>
      </c>
      <c r="V1199" s="1304">
        <f t="shared" si="25"/>
        <v>1</v>
      </c>
    </row>
    <row r="1200" spans="1:22" ht="16.5" thickTop="1" thickBot="1">
      <c r="A1200" s="1244"/>
      <c r="B1200" s="1245" t="s">
        <v>1101</v>
      </c>
      <c r="C1200" s="1328" t="s">
        <v>227</v>
      </c>
      <c r="D1200" s="1327" t="s">
        <v>227</v>
      </c>
      <c r="E1200" s="1245" t="s">
        <v>2014</v>
      </c>
      <c r="F1200" s="457" t="s">
        <v>2015</v>
      </c>
      <c r="G1200" s="458" t="s">
        <v>156</v>
      </c>
      <c r="H1200" s="888">
        <v>10</v>
      </c>
      <c r="I1200" s="890">
        <v>48.837000000000003</v>
      </c>
      <c r="J1200" s="899">
        <v>74.695999999999998</v>
      </c>
      <c r="K1200" s="603">
        <v>0.16129032258064516</v>
      </c>
      <c r="L1200" s="980">
        <v>2</v>
      </c>
      <c r="M1200" s="1245" t="s">
        <v>366</v>
      </c>
      <c r="N1200" s="604" t="s">
        <v>227</v>
      </c>
      <c r="O1200" s="463"/>
      <c r="P1200" s="434"/>
      <c r="Q1200" s="434"/>
      <c r="R1200" s="400">
        <v>0</v>
      </c>
      <c r="S1200" s="464">
        <v>0</v>
      </c>
      <c r="U1200" s="1248">
        <f t="shared" si="24"/>
        <v>1</v>
      </c>
      <c r="V1200" s="1304">
        <f t="shared" si="25"/>
        <v>1</v>
      </c>
    </row>
    <row r="1201" spans="1:22" ht="16.5" thickTop="1" thickBot="1">
      <c r="A1201" s="1244"/>
      <c r="B1201" s="1249" t="s">
        <v>1101</v>
      </c>
      <c r="C1201" s="1329" t="s">
        <v>1180</v>
      </c>
      <c r="D1201" s="1326" t="s">
        <v>227</v>
      </c>
      <c r="E1201" s="1249" t="s">
        <v>1180</v>
      </c>
      <c r="F1201" s="455" t="s">
        <v>1182</v>
      </c>
      <c r="G1201" s="456" t="s">
        <v>158</v>
      </c>
      <c r="H1201" s="889">
        <v>18</v>
      </c>
      <c r="I1201" s="891">
        <v>46.758000000000003</v>
      </c>
      <c r="J1201" s="601">
        <v>199.28</v>
      </c>
      <c r="K1201" s="602">
        <v>0.16822429906542055</v>
      </c>
      <c r="L1201" s="981">
        <v>6</v>
      </c>
      <c r="M1201" s="1249" t="s">
        <v>366</v>
      </c>
      <c r="N1201" s="604" t="s">
        <v>227</v>
      </c>
      <c r="O1201" s="465"/>
      <c r="P1201" s="435">
        <v>4.37</v>
      </c>
      <c r="Q1201" s="435"/>
      <c r="R1201" s="401">
        <v>0</v>
      </c>
      <c r="S1201" s="466">
        <v>0</v>
      </c>
      <c r="U1201" s="1248">
        <f t="shared" si="24"/>
        <v>1</v>
      </c>
      <c r="V1201" s="1304">
        <f t="shared" si="25"/>
        <v>1</v>
      </c>
    </row>
    <row r="1202" spans="1:22" ht="16.5" thickTop="1" thickBot="1">
      <c r="A1202" s="1244"/>
      <c r="B1202" s="1245" t="s">
        <v>1101</v>
      </c>
      <c r="C1202" s="1328" t="s">
        <v>1180</v>
      </c>
      <c r="D1202" s="1327" t="s">
        <v>227</v>
      </c>
      <c r="E1202" s="1245" t="s">
        <v>1240</v>
      </c>
      <c r="F1202" s="457" t="s">
        <v>1241</v>
      </c>
      <c r="G1202" s="458" t="s">
        <v>156</v>
      </c>
      <c r="H1202" s="888">
        <v>18</v>
      </c>
      <c r="I1202" s="890">
        <v>64.712999999999994</v>
      </c>
      <c r="J1202" s="899">
        <v>120.31100000000001</v>
      </c>
      <c r="K1202" s="603">
        <v>0.15841584158415842</v>
      </c>
      <c r="L1202" s="980">
        <v>4</v>
      </c>
      <c r="M1202" s="1245" t="s">
        <v>366</v>
      </c>
      <c r="N1202" s="604" t="s">
        <v>227</v>
      </c>
      <c r="O1202" s="463"/>
      <c r="P1202" s="434">
        <v>16.873000000000001</v>
      </c>
      <c r="Q1202" s="434">
        <v>2</v>
      </c>
      <c r="R1202" s="400">
        <v>1</v>
      </c>
      <c r="S1202" s="464">
        <v>0.25</v>
      </c>
      <c r="U1202" s="1248">
        <f t="shared" si="24"/>
        <v>1</v>
      </c>
      <c r="V1202" s="1304">
        <f t="shared" si="25"/>
        <v>1</v>
      </c>
    </row>
    <row r="1203" spans="1:22" ht="16.5" thickTop="1" thickBot="1">
      <c r="A1203" s="1244"/>
      <c r="B1203" s="1249" t="s">
        <v>1101</v>
      </c>
      <c r="C1203" s="1329" t="s">
        <v>1180</v>
      </c>
      <c r="D1203" s="1326" t="s">
        <v>227</v>
      </c>
      <c r="E1203" s="1249" t="s">
        <v>1333</v>
      </c>
      <c r="F1203" s="455" t="s">
        <v>1334</v>
      </c>
      <c r="G1203" s="456" t="s">
        <v>157</v>
      </c>
      <c r="H1203" s="889">
        <v>17</v>
      </c>
      <c r="I1203" s="891">
        <v>325.60399999999998</v>
      </c>
      <c r="J1203" s="601">
        <v>824.41</v>
      </c>
      <c r="K1203" s="602">
        <v>0.36206896551724138</v>
      </c>
      <c r="L1203" s="981">
        <v>8</v>
      </c>
      <c r="M1203" s="1249" t="s">
        <v>323</v>
      </c>
      <c r="N1203" s="604" t="s">
        <v>227</v>
      </c>
      <c r="O1203" s="465">
        <v>2</v>
      </c>
      <c r="P1203" s="435">
        <v>48.823</v>
      </c>
      <c r="Q1203" s="435">
        <v>4</v>
      </c>
      <c r="R1203" s="401">
        <v>1</v>
      </c>
      <c r="S1203" s="466">
        <v>0.14285714285714285</v>
      </c>
      <c r="U1203" s="1248">
        <f t="shared" si="24"/>
        <v>0</v>
      </c>
      <c r="V1203" s="1304">
        <f t="shared" si="25"/>
        <v>1</v>
      </c>
    </row>
    <row r="1204" spans="1:22" ht="16.5" thickTop="1" thickBot="1">
      <c r="A1204" s="1244"/>
      <c r="B1204" s="1245" t="s">
        <v>1101</v>
      </c>
      <c r="C1204" s="1328" t="s">
        <v>1180</v>
      </c>
      <c r="D1204" s="1327" t="s">
        <v>227</v>
      </c>
      <c r="E1204" s="1245" t="s">
        <v>1694</v>
      </c>
      <c r="F1204" s="457" t="s">
        <v>1695</v>
      </c>
      <c r="G1204" s="458" t="s">
        <v>156</v>
      </c>
      <c r="H1204" s="888">
        <v>12</v>
      </c>
      <c r="I1204" s="890"/>
      <c r="J1204" s="899"/>
      <c r="K1204" s="603">
        <v>0</v>
      </c>
      <c r="L1204" s="980">
        <v>1</v>
      </c>
      <c r="M1204" s="1245" t="s">
        <v>366</v>
      </c>
      <c r="N1204" s="604" t="s">
        <v>227</v>
      </c>
      <c r="O1204" s="463"/>
      <c r="P1204" s="434"/>
      <c r="Q1204" s="434"/>
      <c r="R1204" s="400">
        <v>0</v>
      </c>
      <c r="S1204" s="464">
        <v>0</v>
      </c>
      <c r="U1204" s="1248">
        <f t="shared" si="24"/>
        <v>1</v>
      </c>
      <c r="V1204" s="1304">
        <f t="shared" si="25"/>
        <v>1</v>
      </c>
    </row>
    <row r="1205" spans="1:22" ht="16.5" thickTop="1" thickBot="1">
      <c r="A1205" s="1244"/>
      <c r="B1205" s="1249" t="s">
        <v>1101</v>
      </c>
      <c r="C1205" s="1329" t="s">
        <v>1180</v>
      </c>
      <c r="D1205" s="1326" t="s">
        <v>227</v>
      </c>
      <c r="E1205" s="1249" t="s">
        <v>1738</v>
      </c>
      <c r="F1205" s="455" t="s">
        <v>1739</v>
      </c>
      <c r="G1205" s="456" t="s">
        <v>156</v>
      </c>
      <c r="H1205" s="889">
        <v>12</v>
      </c>
      <c r="I1205" s="891">
        <v>50.99</v>
      </c>
      <c r="J1205" s="601">
        <v>110.51900000000001</v>
      </c>
      <c r="K1205" s="602">
        <v>0.11320754716981132</v>
      </c>
      <c r="L1205" s="981">
        <v>5</v>
      </c>
      <c r="M1205" s="1249" t="s">
        <v>366</v>
      </c>
      <c r="N1205" s="604" t="s">
        <v>227</v>
      </c>
      <c r="O1205" s="465"/>
      <c r="P1205" s="435"/>
      <c r="Q1205" s="435"/>
      <c r="R1205" s="401">
        <v>0</v>
      </c>
      <c r="S1205" s="466">
        <v>0</v>
      </c>
      <c r="U1205" s="1248">
        <f t="shared" si="24"/>
        <v>1</v>
      </c>
      <c r="V1205" s="1304">
        <f t="shared" si="25"/>
        <v>1</v>
      </c>
    </row>
    <row r="1206" spans="1:22" ht="16.5" thickTop="1" thickBot="1">
      <c r="A1206" s="1244"/>
      <c r="B1206" s="1245" t="s">
        <v>1101</v>
      </c>
      <c r="C1206" s="1328" t="s">
        <v>1180</v>
      </c>
      <c r="D1206" s="1327" t="s">
        <v>227</v>
      </c>
      <c r="E1206" s="1245" t="s">
        <v>2825</v>
      </c>
      <c r="F1206" s="457" t="s">
        <v>2826</v>
      </c>
      <c r="G1206" s="458" t="s">
        <v>156</v>
      </c>
      <c r="H1206" s="888">
        <v>4</v>
      </c>
      <c r="I1206" s="890">
        <v>183.726</v>
      </c>
      <c r="J1206" s="899">
        <v>403.16800000000001</v>
      </c>
      <c r="K1206" s="603">
        <v>0.58333333333333337</v>
      </c>
      <c r="L1206" s="980">
        <v>12</v>
      </c>
      <c r="M1206" s="1245" t="s">
        <v>323</v>
      </c>
      <c r="N1206" s="604" t="s">
        <v>227</v>
      </c>
      <c r="O1206" s="463">
        <v>3</v>
      </c>
      <c r="P1206" s="434">
        <v>136.21</v>
      </c>
      <c r="Q1206" s="434">
        <v>9</v>
      </c>
      <c r="R1206" s="400">
        <v>4</v>
      </c>
      <c r="S1206" s="464">
        <v>0.38095238095238093</v>
      </c>
      <c r="U1206" s="1248">
        <f t="shared" si="24"/>
        <v>0</v>
      </c>
      <c r="V1206" s="1304">
        <f t="shared" si="25"/>
        <v>1</v>
      </c>
    </row>
    <row r="1207" spans="1:22" ht="16.5" thickTop="1" thickBot="1">
      <c r="A1207" s="1244"/>
      <c r="B1207" s="1249" t="s">
        <v>1101</v>
      </c>
      <c r="C1207" s="1329" t="s">
        <v>1180</v>
      </c>
      <c r="D1207" s="1326" t="s">
        <v>227</v>
      </c>
      <c r="E1207" s="1249" t="s">
        <v>3358</v>
      </c>
      <c r="F1207" s="455" t="s">
        <v>3359</v>
      </c>
      <c r="G1207" s="456" t="s">
        <v>156</v>
      </c>
      <c r="H1207" s="889">
        <v>1</v>
      </c>
      <c r="I1207" s="891">
        <v>19.472999999999999</v>
      </c>
      <c r="J1207" s="601">
        <v>158.52500000000001</v>
      </c>
      <c r="K1207" s="602">
        <v>0.625</v>
      </c>
      <c r="L1207" s="981">
        <v>9</v>
      </c>
      <c r="M1207" s="1249" t="s">
        <v>323</v>
      </c>
      <c r="N1207" s="604" t="s">
        <v>227</v>
      </c>
      <c r="O1207" s="465">
        <v>5</v>
      </c>
      <c r="P1207" s="435">
        <v>130.631</v>
      </c>
      <c r="Q1207" s="435">
        <v>14</v>
      </c>
      <c r="R1207" s="401">
        <v>3</v>
      </c>
      <c r="S1207" s="466">
        <v>0.46153846153846156</v>
      </c>
      <c r="U1207" s="1248">
        <f t="shared" si="24"/>
        <v>0</v>
      </c>
      <c r="V1207" s="1304">
        <f t="shared" si="25"/>
        <v>1</v>
      </c>
    </row>
    <row r="1208" spans="1:22" ht="16.5" thickTop="1" thickBot="1">
      <c r="A1208" s="1244"/>
      <c r="B1208" s="1245" t="s">
        <v>1101</v>
      </c>
      <c r="C1208" s="1328" t="s">
        <v>1180</v>
      </c>
      <c r="D1208" s="1327" t="s">
        <v>227</v>
      </c>
      <c r="E1208" s="1245" t="s">
        <v>3893</v>
      </c>
      <c r="F1208" s="457" t="s">
        <v>3894</v>
      </c>
      <c r="G1208" s="458" t="s">
        <v>155</v>
      </c>
      <c r="H1208" s="888"/>
      <c r="I1208" s="890"/>
      <c r="J1208" s="899"/>
      <c r="K1208" s="603">
        <v>0</v>
      </c>
      <c r="L1208" s="980">
        <v>3</v>
      </c>
      <c r="M1208" s="1245" t="s">
        <v>366</v>
      </c>
      <c r="N1208" s="604" t="s">
        <v>227</v>
      </c>
      <c r="O1208" s="463"/>
      <c r="P1208" s="434"/>
      <c r="Q1208" s="434"/>
      <c r="R1208" s="400">
        <v>0</v>
      </c>
      <c r="S1208" s="464">
        <v>0</v>
      </c>
      <c r="U1208" s="1248">
        <f t="shared" si="24"/>
        <v>1</v>
      </c>
      <c r="V1208" s="1304">
        <f t="shared" si="25"/>
        <v>0</v>
      </c>
    </row>
    <row r="1209" spans="1:22" ht="16.5" thickTop="1" thickBot="1">
      <c r="A1209" s="1244"/>
      <c r="B1209" s="1249" t="s">
        <v>1101</v>
      </c>
      <c r="C1209" s="1329" t="s">
        <v>1439</v>
      </c>
      <c r="D1209" s="1326" t="s">
        <v>227</v>
      </c>
      <c r="E1209" s="1249" t="s">
        <v>1439</v>
      </c>
      <c r="F1209" s="455" t="s">
        <v>1441</v>
      </c>
      <c r="G1209" s="456" t="s">
        <v>158</v>
      </c>
      <c r="H1209" s="889">
        <v>14</v>
      </c>
      <c r="I1209" s="891">
        <v>0</v>
      </c>
      <c r="J1209" s="601">
        <v>10.946</v>
      </c>
      <c r="K1209" s="602">
        <v>2.5316455696202531E-2</v>
      </c>
      <c r="L1209" s="981">
        <v>2</v>
      </c>
      <c r="M1209" s="1249" t="s">
        <v>366</v>
      </c>
      <c r="N1209" s="604" t="s">
        <v>227</v>
      </c>
      <c r="O1209" s="465"/>
      <c r="P1209" s="435"/>
      <c r="Q1209" s="435"/>
      <c r="R1209" s="401">
        <v>0</v>
      </c>
      <c r="S1209" s="466">
        <v>0</v>
      </c>
      <c r="U1209" s="1248">
        <f t="shared" si="24"/>
        <v>1</v>
      </c>
      <c r="V1209" s="1304">
        <f t="shared" si="25"/>
        <v>1</v>
      </c>
    </row>
    <row r="1210" spans="1:22" ht="16.5" thickTop="1" thickBot="1">
      <c r="A1210" s="1244"/>
      <c r="B1210" s="1245" t="s">
        <v>1101</v>
      </c>
      <c r="C1210" s="1328" t="s">
        <v>2722</v>
      </c>
      <c r="D1210" s="1327" t="s">
        <v>227</v>
      </c>
      <c r="E1210" s="1245" t="s">
        <v>2722</v>
      </c>
      <c r="F1210" s="457" t="s">
        <v>2724</v>
      </c>
      <c r="G1210" s="458" t="s">
        <v>739</v>
      </c>
      <c r="H1210" s="888">
        <v>3</v>
      </c>
      <c r="I1210" s="890"/>
      <c r="J1210" s="899"/>
      <c r="K1210" s="603">
        <v>0</v>
      </c>
      <c r="L1210" s="980">
        <v>1</v>
      </c>
      <c r="M1210" s="1245" t="s">
        <v>366</v>
      </c>
      <c r="N1210" s="604" t="s">
        <v>227</v>
      </c>
      <c r="O1210" s="463"/>
      <c r="P1210" s="434"/>
      <c r="Q1210" s="434"/>
      <c r="R1210" s="400">
        <v>0</v>
      </c>
      <c r="S1210" s="464">
        <v>0</v>
      </c>
      <c r="U1210" s="1248">
        <f t="shared" si="24"/>
        <v>1</v>
      </c>
      <c r="V1210" s="1304">
        <f t="shared" si="25"/>
        <v>1</v>
      </c>
    </row>
    <row r="1211" spans="1:22" ht="16.5" thickTop="1" thickBot="1">
      <c r="A1211" s="1244"/>
      <c r="B1211" s="1249" t="s">
        <v>1101</v>
      </c>
      <c r="C1211" s="1329" t="s">
        <v>2722</v>
      </c>
      <c r="D1211" s="1326" t="s">
        <v>227</v>
      </c>
      <c r="E1211" s="1249" t="s">
        <v>2748</v>
      </c>
      <c r="F1211" s="455" t="s">
        <v>2750</v>
      </c>
      <c r="G1211" s="456" t="s">
        <v>157</v>
      </c>
      <c r="H1211" s="889">
        <v>3</v>
      </c>
      <c r="I1211" s="891">
        <v>15.522</v>
      </c>
      <c r="J1211" s="601">
        <v>56.235999999999997</v>
      </c>
      <c r="K1211" s="602">
        <v>0.53333333333333333</v>
      </c>
      <c r="L1211" s="981">
        <v>3</v>
      </c>
      <c r="M1211" s="1249" t="s">
        <v>321</v>
      </c>
      <c r="N1211" s="604" t="s">
        <v>227</v>
      </c>
      <c r="O1211" s="465"/>
      <c r="P1211" s="435"/>
      <c r="Q1211" s="435"/>
      <c r="R1211" s="401">
        <v>0</v>
      </c>
      <c r="S1211" s="466">
        <v>0</v>
      </c>
      <c r="U1211" s="1248">
        <f t="shared" si="24"/>
        <v>0</v>
      </c>
      <c r="V1211" s="1304">
        <f t="shared" si="25"/>
        <v>1</v>
      </c>
    </row>
    <row r="1212" spans="1:22" ht="16.5" thickTop="1" thickBot="1">
      <c r="A1212" s="1244"/>
      <c r="B1212" s="1245" t="s">
        <v>1101</v>
      </c>
      <c r="C1212" s="1328" t="s">
        <v>2722</v>
      </c>
      <c r="D1212" s="1327" t="s">
        <v>227</v>
      </c>
      <c r="E1212" s="1245" t="s">
        <v>2827</v>
      </c>
      <c r="F1212" s="457" t="s">
        <v>2828</v>
      </c>
      <c r="G1212" s="458" t="s">
        <v>156</v>
      </c>
      <c r="H1212" s="888">
        <v>3</v>
      </c>
      <c r="I1212" s="890"/>
      <c r="J1212" s="899"/>
      <c r="K1212" s="603">
        <v>0</v>
      </c>
      <c r="L1212" s="980">
        <v>3</v>
      </c>
      <c r="M1212" s="1245" t="s">
        <v>366</v>
      </c>
      <c r="N1212" s="604" t="s">
        <v>227</v>
      </c>
      <c r="O1212" s="463"/>
      <c r="P1212" s="434"/>
      <c r="Q1212" s="434"/>
      <c r="R1212" s="400">
        <v>0</v>
      </c>
      <c r="S1212" s="464">
        <v>0</v>
      </c>
      <c r="U1212" s="1248">
        <f t="shared" si="24"/>
        <v>1</v>
      </c>
      <c r="V1212" s="1304">
        <f t="shared" si="25"/>
        <v>1</v>
      </c>
    </row>
    <row r="1213" spans="1:22" ht="16.5" thickTop="1" thickBot="1">
      <c r="A1213" s="1244"/>
      <c r="B1213" s="1249" t="s">
        <v>1101</v>
      </c>
      <c r="C1213" s="1329" t="s">
        <v>2722</v>
      </c>
      <c r="D1213" s="1326" t="s">
        <v>227</v>
      </c>
      <c r="E1213" s="1249" t="s">
        <v>2829</v>
      </c>
      <c r="F1213" s="455" t="s">
        <v>2830</v>
      </c>
      <c r="G1213" s="456" t="s">
        <v>156</v>
      </c>
      <c r="H1213" s="889">
        <v>3</v>
      </c>
      <c r="I1213" s="891"/>
      <c r="J1213" s="601"/>
      <c r="K1213" s="602">
        <v>0</v>
      </c>
      <c r="L1213" s="981">
        <v>2</v>
      </c>
      <c r="M1213" s="1249" t="s">
        <v>366</v>
      </c>
      <c r="N1213" s="604" t="s">
        <v>227</v>
      </c>
      <c r="O1213" s="465"/>
      <c r="P1213" s="435"/>
      <c r="Q1213" s="435"/>
      <c r="R1213" s="401">
        <v>0</v>
      </c>
      <c r="S1213" s="466">
        <v>0</v>
      </c>
      <c r="U1213" s="1248">
        <f t="shared" si="24"/>
        <v>1</v>
      </c>
      <c r="V1213" s="1304">
        <f t="shared" si="25"/>
        <v>1</v>
      </c>
    </row>
    <row r="1214" spans="1:22" ht="16.5" thickTop="1" thickBot="1">
      <c r="A1214" s="1244"/>
      <c r="B1214" s="1245" t="s">
        <v>1101</v>
      </c>
      <c r="C1214" s="1328" t="s">
        <v>2725</v>
      </c>
      <c r="D1214" s="1327" t="s">
        <v>227</v>
      </c>
      <c r="E1214" s="1245" t="s">
        <v>2725</v>
      </c>
      <c r="F1214" s="457" t="s">
        <v>2727</v>
      </c>
      <c r="G1214" s="458" t="s">
        <v>158</v>
      </c>
      <c r="H1214" s="888">
        <v>3</v>
      </c>
      <c r="I1214" s="890">
        <v>15</v>
      </c>
      <c r="J1214" s="899">
        <v>81.355000000000004</v>
      </c>
      <c r="K1214" s="603">
        <v>0.30303030303030304</v>
      </c>
      <c r="L1214" s="980">
        <v>7</v>
      </c>
      <c r="M1214" s="1245" t="s">
        <v>323</v>
      </c>
      <c r="N1214" s="604" t="s">
        <v>227</v>
      </c>
      <c r="O1214" s="463">
        <v>2</v>
      </c>
      <c r="P1214" s="434">
        <v>10.574999999999999</v>
      </c>
      <c r="Q1214" s="434">
        <v>1</v>
      </c>
      <c r="R1214" s="400">
        <v>1</v>
      </c>
      <c r="S1214" s="464">
        <v>0.16666666666666666</v>
      </c>
      <c r="U1214" s="1248">
        <f t="shared" si="24"/>
        <v>0</v>
      </c>
      <c r="V1214" s="1304">
        <f t="shared" si="25"/>
        <v>1</v>
      </c>
    </row>
    <row r="1215" spans="1:22" ht="16.5" thickTop="1" thickBot="1">
      <c r="A1215" s="1244"/>
      <c r="B1215" s="1249" t="s">
        <v>1101</v>
      </c>
      <c r="C1215" s="1329" t="s">
        <v>2725</v>
      </c>
      <c r="D1215" s="1326" t="s">
        <v>227</v>
      </c>
      <c r="E1215" s="1249" t="s">
        <v>2831</v>
      </c>
      <c r="F1215" s="455" t="s">
        <v>2832</v>
      </c>
      <c r="G1215" s="456" t="s">
        <v>156</v>
      </c>
      <c r="H1215" s="889">
        <v>3</v>
      </c>
      <c r="I1215" s="891">
        <v>7.8579999999999997</v>
      </c>
      <c r="J1215" s="601">
        <v>33.341000000000001</v>
      </c>
      <c r="K1215" s="602">
        <v>0.22222222222222221</v>
      </c>
      <c r="L1215" s="981">
        <v>5</v>
      </c>
      <c r="M1215" s="1249" t="s">
        <v>322</v>
      </c>
      <c r="N1215" s="604" t="s">
        <v>227</v>
      </c>
      <c r="O1215" s="465"/>
      <c r="P1215" s="435"/>
      <c r="Q1215" s="435"/>
      <c r="R1215" s="401">
        <v>0</v>
      </c>
      <c r="S1215" s="466">
        <v>0</v>
      </c>
      <c r="U1215" s="1248">
        <f t="shared" si="24"/>
        <v>0</v>
      </c>
      <c r="V1215" s="1304">
        <f t="shared" si="25"/>
        <v>1</v>
      </c>
    </row>
    <row r="1216" spans="1:22" ht="16.5" thickTop="1" thickBot="1">
      <c r="A1216" s="1244"/>
      <c r="B1216" s="1245" t="s">
        <v>1101</v>
      </c>
      <c r="C1216" s="1328" t="s">
        <v>2725</v>
      </c>
      <c r="D1216" s="1327" t="s">
        <v>227</v>
      </c>
      <c r="E1216" s="1245" t="s">
        <v>2833</v>
      </c>
      <c r="F1216" s="457" t="s">
        <v>2834</v>
      </c>
      <c r="G1216" s="458" t="s">
        <v>156</v>
      </c>
      <c r="H1216" s="888">
        <v>3</v>
      </c>
      <c r="I1216" s="890"/>
      <c r="J1216" s="899">
        <v>36.344999999999999</v>
      </c>
      <c r="K1216" s="603">
        <v>0.2608695652173913</v>
      </c>
      <c r="L1216" s="980">
        <v>5</v>
      </c>
      <c r="M1216" s="1245" t="s">
        <v>322</v>
      </c>
      <c r="N1216" s="604" t="s">
        <v>227</v>
      </c>
      <c r="O1216" s="463">
        <v>1</v>
      </c>
      <c r="P1216" s="434">
        <v>26.129000000000001</v>
      </c>
      <c r="Q1216" s="434">
        <v>2</v>
      </c>
      <c r="R1216" s="400">
        <v>2</v>
      </c>
      <c r="S1216" s="464">
        <v>0.44444444444444442</v>
      </c>
      <c r="U1216" s="1248">
        <f t="shared" si="24"/>
        <v>0</v>
      </c>
      <c r="V1216" s="1304">
        <f t="shared" si="25"/>
        <v>1</v>
      </c>
    </row>
    <row r="1217" spans="1:22" ht="16.5" thickTop="1" thickBot="1">
      <c r="A1217" s="1244"/>
      <c r="B1217" s="1249" t="s">
        <v>1101</v>
      </c>
      <c r="C1217" s="1329" t="s">
        <v>2725</v>
      </c>
      <c r="D1217" s="1326" t="s">
        <v>227</v>
      </c>
      <c r="E1217" s="1249" t="s">
        <v>2835</v>
      </c>
      <c r="F1217" s="455" t="s">
        <v>2836</v>
      </c>
      <c r="G1217" s="456" t="s">
        <v>156</v>
      </c>
      <c r="H1217" s="889">
        <v>3</v>
      </c>
      <c r="I1217" s="891">
        <v>22.463000000000001</v>
      </c>
      <c r="J1217" s="601">
        <v>22.463000000000001</v>
      </c>
      <c r="K1217" s="602">
        <v>8.6956521739130432E-2</v>
      </c>
      <c r="L1217" s="981">
        <v>7</v>
      </c>
      <c r="M1217" s="1249" t="s">
        <v>366</v>
      </c>
      <c r="N1217" s="604" t="s">
        <v>227</v>
      </c>
      <c r="O1217" s="465">
        <v>3</v>
      </c>
      <c r="P1217" s="435"/>
      <c r="Q1217" s="435"/>
      <c r="R1217" s="401">
        <v>0</v>
      </c>
      <c r="S1217" s="466">
        <v>0</v>
      </c>
      <c r="U1217" s="1248">
        <f t="shared" si="24"/>
        <v>1</v>
      </c>
      <c r="V1217" s="1304">
        <f t="shared" si="25"/>
        <v>1</v>
      </c>
    </row>
    <row r="1218" spans="1:22" ht="16.5" thickTop="1" thickBot="1">
      <c r="A1218" s="1244"/>
      <c r="B1218" s="1245" t="s">
        <v>1101</v>
      </c>
      <c r="C1218" s="1328" t="s">
        <v>2725</v>
      </c>
      <c r="D1218" s="1327" t="s">
        <v>227</v>
      </c>
      <c r="E1218" s="1245" t="s">
        <v>3050</v>
      </c>
      <c r="F1218" s="457" t="s">
        <v>3051</v>
      </c>
      <c r="G1218" s="458" t="s">
        <v>156</v>
      </c>
      <c r="H1218" s="888">
        <v>2</v>
      </c>
      <c r="I1218" s="890">
        <v>14.249000000000001</v>
      </c>
      <c r="J1218" s="899">
        <v>45.704000000000001</v>
      </c>
      <c r="K1218" s="603">
        <v>0.375</v>
      </c>
      <c r="L1218" s="980">
        <v>8</v>
      </c>
      <c r="M1218" s="1245" t="s">
        <v>323</v>
      </c>
      <c r="N1218" s="604" t="s">
        <v>227</v>
      </c>
      <c r="O1218" s="463">
        <v>5</v>
      </c>
      <c r="P1218" s="434"/>
      <c r="Q1218" s="434"/>
      <c r="R1218" s="400">
        <v>0</v>
      </c>
      <c r="S1218" s="464">
        <v>0</v>
      </c>
      <c r="U1218" s="1248">
        <f t="shared" si="24"/>
        <v>0</v>
      </c>
      <c r="V1218" s="1304">
        <f t="shared" si="25"/>
        <v>1</v>
      </c>
    </row>
    <row r="1219" spans="1:22" ht="16.5" thickTop="1" thickBot="1">
      <c r="A1219" s="1244"/>
      <c r="B1219" s="1249" t="s">
        <v>1101</v>
      </c>
      <c r="C1219" s="1329" t="s">
        <v>3616</v>
      </c>
      <c r="D1219" s="1326" t="s">
        <v>227</v>
      </c>
      <c r="E1219" s="1249" t="s">
        <v>3616</v>
      </c>
      <c r="F1219" s="455" t="s">
        <v>3618</v>
      </c>
      <c r="G1219" s="456" t="s">
        <v>739</v>
      </c>
      <c r="H1219" s="889">
        <v>0</v>
      </c>
      <c r="I1219" s="891">
        <v>8.2070000000000007</v>
      </c>
      <c r="J1219" s="601">
        <v>8.2070000000000007</v>
      </c>
      <c r="K1219" s="602">
        <v>2</v>
      </c>
      <c r="L1219" s="981">
        <v>1</v>
      </c>
      <c r="M1219" s="1249" t="s">
        <v>227</v>
      </c>
      <c r="N1219" s="604" t="s">
        <v>227</v>
      </c>
      <c r="O1219" s="465">
        <v>1</v>
      </c>
      <c r="P1219" s="435">
        <v>8.2070000000000007</v>
      </c>
      <c r="Q1219" s="435">
        <v>1</v>
      </c>
      <c r="R1219" s="401">
        <v>1</v>
      </c>
      <c r="S1219" s="466">
        <v>2</v>
      </c>
      <c r="U1219" s="1248">
        <f t="shared" si="24"/>
        <v>0</v>
      </c>
      <c r="V1219" s="1304">
        <f t="shared" si="25"/>
        <v>1</v>
      </c>
    </row>
    <row r="1220" spans="1:22" ht="16.5" thickTop="1" thickBot="1">
      <c r="A1220" s="1244"/>
      <c r="B1220" s="1245" t="s">
        <v>1101</v>
      </c>
      <c r="C1220" s="1328" t="s">
        <v>3616</v>
      </c>
      <c r="D1220" s="1327" t="s">
        <v>227</v>
      </c>
      <c r="E1220" s="1245" t="s">
        <v>3687</v>
      </c>
      <c r="F1220" s="457" t="s">
        <v>3689</v>
      </c>
      <c r="G1220" s="458" t="s">
        <v>157</v>
      </c>
      <c r="H1220" s="888">
        <v>0</v>
      </c>
      <c r="I1220" s="890"/>
      <c r="J1220" s="899">
        <v>23.591999999999999</v>
      </c>
      <c r="K1220" s="603">
        <v>0.8</v>
      </c>
      <c r="L1220" s="980">
        <v>5</v>
      </c>
      <c r="M1220" s="1245" t="s">
        <v>227</v>
      </c>
      <c r="N1220" s="604" t="s">
        <v>227</v>
      </c>
      <c r="O1220" s="463">
        <v>5</v>
      </c>
      <c r="P1220" s="434">
        <v>23.591999999999999</v>
      </c>
      <c r="Q1220" s="434">
        <v>3</v>
      </c>
      <c r="R1220" s="400">
        <v>2</v>
      </c>
      <c r="S1220" s="464">
        <v>0.8</v>
      </c>
      <c r="U1220" s="1248">
        <f t="shared" si="24"/>
        <v>0</v>
      </c>
      <c r="V1220" s="1304">
        <f t="shared" si="25"/>
        <v>1</v>
      </c>
    </row>
    <row r="1221" spans="1:22" ht="16.5" thickTop="1" thickBot="1">
      <c r="A1221" s="1244"/>
      <c r="B1221" s="1249" t="s">
        <v>1101</v>
      </c>
      <c r="C1221" s="1329" t="s">
        <v>3616</v>
      </c>
      <c r="D1221" s="1326" t="s">
        <v>227</v>
      </c>
      <c r="E1221" s="1249" t="s">
        <v>3895</v>
      </c>
      <c r="F1221" s="455" t="s">
        <v>3896</v>
      </c>
      <c r="G1221" s="456" t="s">
        <v>156</v>
      </c>
      <c r="H1221" s="889">
        <v>0</v>
      </c>
      <c r="I1221" s="891"/>
      <c r="J1221" s="601"/>
      <c r="K1221" s="602">
        <v>0</v>
      </c>
      <c r="L1221" s="981">
        <v>1</v>
      </c>
      <c r="M1221" s="1249" t="s">
        <v>227</v>
      </c>
      <c r="N1221" s="604" t="s">
        <v>227</v>
      </c>
      <c r="O1221" s="465">
        <v>1</v>
      </c>
      <c r="P1221" s="435"/>
      <c r="Q1221" s="435"/>
      <c r="R1221" s="401">
        <v>0</v>
      </c>
      <c r="S1221" s="466">
        <v>0</v>
      </c>
      <c r="U1221" s="1248">
        <f t="shared" si="24"/>
        <v>0</v>
      </c>
      <c r="V1221" s="1304">
        <f t="shared" si="25"/>
        <v>1</v>
      </c>
    </row>
    <row r="1222" spans="1:22" ht="16.5" thickTop="1" thickBot="1">
      <c r="A1222" s="1244"/>
      <c r="B1222" s="1245" t="s">
        <v>1101</v>
      </c>
      <c r="C1222" s="1328" t="s">
        <v>3616</v>
      </c>
      <c r="D1222" s="1327" t="s">
        <v>227</v>
      </c>
      <c r="E1222" s="1245" t="s">
        <v>3897</v>
      </c>
      <c r="F1222" s="457" t="s">
        <v>3898</v>
      </c>
      <c r="G1222" s="458" t="s">
        <v>156</v>
      </c>
      <c r="H1222" s="888">
        <v>0</v>
      </c>
      <c r="I1222" s="890"/>
      <c r="J1222" s="899"/>
      <c r="K1222" s="603">
        <v>0</v>
      </c>
      <c r="L1222" s="980">
        <v>1</v>
      </c>
      <c r="M1222" s="1245" t="s">
        <v>227</v>
      </c>
      <c r="N1222" s="604" t="s">
        <v>227</v>
      </c>
      <c r="O1222" s="463">
        <v>1</v>
      </c>
      <c r="P1222" s="434"/>
      <c r="Q1222" s="434"/>
      <c r="R1222" s="400">
        <v>0</v>
      </c>
      <c r="S1222" s="464">
        <v>0</v>
      </c>
      <c r="U1222" s="1248">
        <f t="shared" si="24"/>
        <v>0</v>
      </c>
      <c r="V1222" s="1304">
        <f t="shared" si="25"/>
        <v>1</v>
      </c>
    </row>
    <row r="1223" spans="1:22" ht="16.5" thickTop="1" thickBot="1">
      <c r="A1223" s="1244"/>
      <c r="B1223" s="1249" t="s">
        <v>1101</v>
      </c>
      <c r="C1223" s="1329" t="s">
        <v>3616</v>
      </c>
      <c r="D1223" s="1326" t="s">
        <v>227</v>
      </c>
      <c r="E1223" s="1249" t="s">
        <v>3899</v>
      </c>
      <c r="F1223" s="455" t="s">
        <v>3900</v>
      </c>
      <c r="G1223" s="456" t="s">
        <v>156</v>
      </c>
      <c r="H1223" s="889"/>
      <c r="I1223" s="891"/>
      <c r="J1223" s="601"/>
      <c r="K1223" s="602">
        <v>0</v>
      </c>
      <c r="L1223" s="981">
        <v>1</v>
      </c>
      <c r="M1223" s="1249" t="s">
        <v>366</v>
      </c>
      <c r="N1223" s="604" t="s">
        <v>227</v>
      </c>
      <c r="O1223" s="465">
        <v>1</v>
      </c>
      <c r="P1223" s="435"/>
      <c r="Q1223" s="435"/>
      <c r="R1223" s="401">
        <v>0</v>
      </c>
      <c r="S1223" s="466">
        <v>0</v>
      </c>
      <c r="U1223" s="1248">
        <f t="shared" si="24"/>
        <v>1</v>
      </c>
      <c r="V1223" s="1304">
        <f t="shared" si="25"/>
        <v>1</v>
      </c>
    </row>
    <row r="1224" spans="1:22" ht="16.5" thickTop="1" thickBot="1">
      <c r="A1224" s="1244"/>
      <c r="B1224" s="1245" t="s">
        <v>1102</v>
      </c>
      <c r="C1224" s="1328" t="s">
        <v>1183</v>
      </c>
      <c r="D1224" s="1327" t="s">
        <v>227</v>
      </c>
      <c r="E1224" s="1245" t="s">
        <v>1183</v>
      </c>
      <c r="F1224" s="457" t="s">
        <v>1185</v>
      </c>
      <c r="G1224" s="458" t="s">
        <v>158</v>
      </c>
      <c r="H1224" s="888">
        <v>18</v>
      </c>
      <c r="I1224" s="890">
        <v>682.91700000000003</v>
      </c>
      <c r="J1224" s="899">
        <v>797.4</v>
      </c>
      <c r="K1224" s="603">
        <v>0.14207650273224043</v>
      </c>
      <c r="L1224" s="980">
        <v>14</v>
      </c>
      <c r="M1224" s="1245" t="s">
        <v>323</v>
      </c>
      <c r="N1224" s="604" t="s">
        <v>227</v>
      </c>
      <c r="O1224" s="463"/>
      <c r="P1224" s="434"/>
      <c r="Q1224" s="434"/>
      <c r="R1224" s="400">
        <v>0</v>
      </c>
      <c r="S1224" s="464">
        <v>0</v>
      </c>
      <c r="U1224" s="1248">
        <f t="shared" si="24"/>
        <v>0</v>
      </c>
      <c r="V1224" s="1304">
        <f t="shared" si="25"/>
        <v>1</v>
      </c>
    </row>
    <row r="1225" spans="1:22" ht="16.5" thickTop="1" thickBot="1">
      <c r="A1225" s="1244"/>
      <c r="B1225" s="1249" t="s">
        <v>1102</v>
      </c>
      <c r="C1225" s="1329" t="s">
        <v>1183</v>
      </c>
      <c r="D1225" s="1326" t="s">
        <v>227</v>
      </c>
      <c r="E1225" s="1249" t="s">
        <v>1207</v>
      </c>
      <c r="F1225" s="455" t="s">
        <v>1209</v>
      </c>
      <c r="G1225" s="456" t="s">
        <v>157</v>
      </c>
      <c r="H1225" s="889">
        <v>18</v>
      </c>
      <c r="I1225" s="891">
        <v>960.99900000000002</v>
      </c>
      <c r="J1225" s="601">
        <v>2833.0259999999998</v>
      </c>
      <c r="K1225" s="602">
        <v>0.35502958579881655</v>
      </c>
      <c r="L1225" s="981">
        <v>26</v>
      </c>
      <c r="M1225" s="1249" t="s">
        <v>323</v>
      </c>
      <c r="N1225" s="604" t="s">
        <v>227</v>
      </c>
      <c r="O1225" s="465"/>
      <c r="P1225" s="435">
        <v>0</v>
      </c>
      <c r="Q1225" s="435"/>
      <c r="R1225" s="401">
        <v>0</v>
      </c>
      <c r="S1225" s="466">
        <v>0</v>
      </c>
      <c r="U1225" s="1248">
        <f t="shared" si="24"/>
        <v>0</v>
      </c>
      <c r="V1225" s="1304">
        <f t="shared" si="25"/>
        <v>1</v>
      </c>
    </row>
    <row r="1226" spans="1:22" ht="16.5" thickTop="1" thickBot="1">
      <c r="A1226" s="1244"/>
      <c r="B1226" s="1245" t="s">
        <v>1102</v>
      </c>
      <c r="C1226" s="1328" t="s">
        <v>1183</v>
      </c>
      <c r="D1226" s="1327" t="s">
        <v>227</v>
      </c>
      <c r="E1226" s="1245" t="s">
        <v>2456</v>
      </c>
      <c r="F1226" s="457" t="s">
        <v>2458</v>
      </c>
      <c r="G1226" s="458" t="s">
        <v>157</v>
      </c>
      <c r="H1226" s="888">
        <v>6</v>
      </c>
      <c r="I1226" s="890">
        <v>7.0570000000000004</v>
      </c>
      <c r="J1226" s="899">
        <v>78.495999999999995</v>
      </c>
      <c r="K1226" s="603">
        <v>0.13793103448275862</v>
      </c>
      <c r="L1226" s="980">
        <v>8</v>
      </c>
      <c r="M1226" s="1245" t="s">
        <v>322</v>
      </c>
      <c r="N1226" s="604" t="s">
        <v>227</v>
      </c>
      <c r="O1226" s="463"/>
      <c r="P1226" s="434"/>
      <c r="Q1226" s="434"/>
      <c r="R1226" s="400">
        <v>0</v>
      </c>
      <c r="S1226" s="464">
        <v>0</v>
      </c>
      <c r="U1226" s="1248">
        <f t="shared" si="24"/>
        <v>0</v>
      </c>
      <c r="V1226" s="1304">
        <f t="shared" si="25"/>
        <v>1</v>
      </c>
    </row>
    <row r="1227" spans="1:22" ht="16.5" thickTop="1" thickBot="1">
      <c r="A1227" s="1244"/>
      <c r="B1227" s="1249" t="s">
        <v>1102</v>
      </c>
      <c r="C1227" s="1329" t="s">
        <v>1183</v>
      </c>
      <c r="D1227" s="1326" t="s">
        <v>227</v>
      </c>
      <c r="E1227" s="1249" t="s">
        <v>2512</v>
      </c>
      <c r="F1227" s="455" t="s">
        <v>2513</v>
      </c>
      <c r="G1227" s="456" t="s">
        <v>156</v>
      </c>
      <c r="H1227" s="889">
        <v>6</v>
      </c>
      <c r="I1227" s="891">
        <v>32.088000000000001</v>
      </c>
      <c r="J1227" s="601">
        <v>64.176000000000002</v>
      </c>
      <c r="K1227" s="602">
        <v>8.1632653061224483E-2</v>
      </c>
      <c r="L1227" s="981">
        <v>3</v>
      </c>
      <c r="M1227" s="1249" t="s">
        <v>366</v>
      </c>
      <c r="N1227" s="604" t="s">
        <v>227</v>
      </c>
      <c r="O1227" s="465"/>
      <c r="P1227" s="435"/>
      <c r="Q1227" s="435"/>
      <c r="R1227" s="401">
        <v>0</v>
      </c>
      <c r="S1227" s="466">
        <v>0</v>
      </c>
      <c r="U1227" s="1248">
        <f t="shared" si="24"/>
        <v>1</v>
      </c>
      <c r="V1227" s="1304">
        <f t="shared" si="25"/>
        <v>1</v>
      </c>
    </row>
    <row r="1228" spans="1:22" ht="16.5" thickTop="1" thickBot="1">
      <c r="A1228" s="1244"/>
      <c r="B1228" s="1245" t="s">
        <v>1102</v>
      </c>
      <c r="C1228" s="1328" t="s">
        <v>1183</v>
      </c>
      <c r="D1228" s="1327" t="s">
        <v>227</v>
      </c>
      <c r="E1228" s="1245" t="s">
        <v>2514</v>
      </c>
      <c r="F1228" s="457" t="s">
        <v>2515</v>
      </c>
      <c r="G1228" s="458" t="s">
        <v>156</v>
      </c>
      <c r="H1228" s="888">
        <v>6</v>
      </c>
      <c r="I1228" s="890">
        <v>11.05</v>
      </c>
      <c r="J1228" s="899">
        <v>47.1</v>
      </c>
      <c r="K1228" s="603">
        <v>9.9009900990099015E-2</v>
      </c>
      <c r="L1228" s="980">
        <v>9</v>
      </c>
      <c r="M1228" s="1245" t="s">
        <v>366</v>
      </c>
      <c r="N1228" s="604" t="s">
        <v>227</v>
      </c>
      <c r="O1228" s="463"/>
      <c r="P1228" s="434"/>
      <c r="Q1228" s="434"/>
      <c r="R1228" s="400">
        <v>0</v>
      </c>
      <c r="S1228" s="464">
        <v>0</v>
      </c>
      <c r="U1228" s="1248">
        <f t="shared" si="24"/>
        <v>1</v>
      </c>
      <c r="V1228" s="1304">
        <f t="shared" si="25"/>
        <v>1</v>
      </c>
    </row>
    <row r="1229" spans="1:22" ht="16.5" thickTop="1" thickBot="1">
      <c r="A1229" s="1244"/>
      <c r="B1229" s="1249" t="s">
        <v>1102</v>
      </c>
      <c r="C1229" s="1329" t="s">
        <v>1183</v>
      </c>
      <c r="D1229" s="1326" t="s">
        <v>227</v>
      </c>
      <c r="E1229" s="1249" t="s">
        <v>2614</v>
      </c>
      <c r="F1229" s="455" t="s">
        <v>2615</v>
      </c>
      <c r="G1229" s="456" t="s">
        <v>156</v>
      </c>
      <c r="H1229" s="889">
        <v>5</v>
      </c>
      <c r="I1229" s="891">
        <v>602.56700000000001</v>
      </c>
      <c r="J1229" s="601">
        <v>901.70899999999995</v>
      </c>
      <c r="K1229" s="602">
        <v>0.38636363636363635</v>
      </c>
      <c r="L1229" s="981">
        <v>15</v>
      </c>
      <c r="M1229" s="1249" t="s">
        <v>323</v>
      </c>
      <c r="N1229" s="604" t="s">
        <v>227</v>
      </c>
      <c r="O1229" s="465">
        <v>4</v>
      </c>
      <c r="P1229" s="435">
        <v>172.655</v>
      </c>
      <c r="Q1229" s="435">
        <v>11</v>
      </c>
      <c r="R1229" s="401">
        <v>6</v>
      </c>
      <c r="S1229" s="466">
        <v>0.46153846153846156</v>
      </c>
      <c r="U1229" s="1248">
        <f t="shared" si="24"/>
        <v>0</v>
      </c>
      <c r="V1229" s="1304">
        <f t="shared" si="25"/>
        <v>1</v>
      </c>
    </row>
    <row r="1230" spans="1:22" ht="16.5" thickTop="1" thickBot="1">
      <c r="A1230" s="1244"/>
      <c r="B1230" s="1245" t="s">
        <v>1102</v>
      </c>
      <c r="C1230" s="1328" t="s">
        <v>1183</v>
      </c>
      <c r="D1230" s="1327" t="s">
        <v>227</v>
      </c>
      <c r="E1230" s="1245" t="s">
        <v>2616</v>
      </c>
      <c r="F1230" s="457" t="s">
        <v>2617</v>
      </c>
      <c r="G1230" s="458" t="s">
        <v>156</v>
      </c>
      <c r="H1230" s="888">
        <v>5</v>
      </c>
      <c r="I1230" s="890">
        <v>10.311999999999999</v>
      </c>
      <c r="J1230" s="899">
        <v>10.311999999999999</v>
      </c>
      <c r="K1230" s="603">
        <v>9.0909090909090912E-2</v>
      </c>
      <c r="L1230" s="980">
        <v>2</v>
      </c>
      <c r="M1230" s="1245" t="s">
        <v>366</v>
      </c>
      <c r="N1230" s="604" t="s">
        <v>227</v>
      </c>
      <c r="O1230" s="463"/>
      <c r="P1230" s="434"/>
      <c r="Q1230" s="434"/>
      <c r="R1230" s="400">
        <v>0</v>
      </c>
      <c r="S1230" s="464">
        <v>0</v>
      </c>
      <c r="U1230" s="1248">
        <f t="shared" si="24"/>
        <v>1</v>
      </c>
      <c r="V1230" s="1304">
        <f t="shared" si="25"/>
        <v>1</v>
      </c>
    </row>
    <row r="1231" spans="1:22" ht="16.5" thickTop="1" thickBot="1">
      <c r="A1231" s="1244"/>
      <c r="B1231" s="1249" t="s">
        <v>1102</v>
      </c>
      <c r="C1231" s="1329" t="s">
        <v>1360</v>
      </c>
      <c r="D1231" s="1326" t="s">
        <v>227</v>
      </c>
      <c r="E1231" s="1249" t="s">
        <v>1360</v>
      </c>
      <c r="F1231" s="455" t="s">
        <v>1362</v>
      </c>
      <c r="G1231" s="456" t="s">
        <v>158</v>
      </c>
      <c r="H1231" s="889">
        <v>15</v>
      </c>
      <c r="I1231" s="891"/>
      <c r="J1231" s="601">
        <v>8.2690000000000001</v>
      </c>
      <c r="K1231" s="602">
        <v>1.4388489208633094E-2</v>
      </c>
      <c r="L1231" s="981">
        <v>4</v>
      </c>
      <c r="M1231" s="1249" t="s">
        <v>366</v>
      </c>
      <c r="N1231" s="604" t="s">
        <v>227</v>
      </c>
      <c r="O1231" s="465"/>
      <c r="P1231" s="435">
        <v>0</v>
      </c>
      <c r="Q1231" s="435"/>
      <c r="R1231" s="401">
        <v>0</v>
      </c>
      <c r="S1231" s="466">
        <v>0</v>
      </c>
      <c r="U1231" s="1248">
        <f t="shared" si="24"/>
        <v>1</v>
      </c>
      <c r="V1231" s="1304">
        <f t="shared" si="25"/>
        <v>1</v>
      </c>
    </row>
    <row r="1232" spans="1:22" ht="16.5" thickTop="1" thickBot="1">
      <c r="A1232" s="1244"/>
      <c r="B1232" s="1245" t="s">
        <v>1102</v>
      </c>
      <c r="C1232" s="1328" t="s">
        <v>1442</v>
      </c>
      <c r="D1232" s="1327" t="s">
        <v>227</v>
      </c>
      <c r="E1232" s="1245" t="s">
        <v>1442</v>
      </c>
      <c r="F1232" s="457" t="s">
        <v>1444</v>
      </c>
      <c r="G1232" s="458" t="s">
        <v>158</v>
      </c>
      <c r="H1232" s="888">
        <v>14</v>
      </c>
      <c r="I1232" s="890">
        <v>29.838000000000001</v>
      </c>
      <c r="J1232" s="899">
        <v>29.838000000000001</v>
      </c>
      <c r="K1232" s="603">
        <v>7.2727272727272724E-2</v>
      </c>
      <c r="L1232" s="980">
        <v>1</v>
      </c>
      <c r="M1232" s="1245" t="s">
        <v>366</v>
      </c>
      <c r="N1232" s="604" t="s">
        <v>227</v>
      </c>
      <c r="O1232" s="463"/>
      <c r="P1232" s="434"/>
      <c r="Q1232" s="434"/>
      <c r="R1232" s="400">
        <v>0</v>
      </c>
      <c r="S1232" s="464">
        <v>0</v>
      </c>
      <c r="U1232" s="1248">
        <f t="shared" si="24"/>
        <v>1</v>
      </c>
      <c r="V1232" s="1304">
        <f t="shared" si="25"/>
        <v>1</v>
      </c>
    </row>
    <row r="1233" spans="1:22" ht="16.5" thickTop="1" thickBot="1">
      <c r="A1233" s="1244"/>
      <c r="B1233" s="1249" t="s">
        <v>1102</v>
      </c>
      <c r="C1233" s="1329" t="s">
        <v>1676</v>
      </c>
      <c r="D1233" s="1326" t="s">
        <v>227</v>
      </c>
      <c r="E1233" s="1249" t="s">
        <v>1242</v>
      </c>
      <c r="F1233" s="455" t="s">
        <v>1243</v>
      </c>
      <c r="G1233" s="456" t="s">
        <v>156</v>
      </c>
      <c r="H1233" s="889">
        <v>18</v>
      </c>
      <c r="I1233" s="891">
        <v>222.27799999999999</v>
      </c>
      <c r="J1233" s="601">
        <v>432.87700000000001</v>
      </c>
      <c r="K1233" s="602">
        <v>0.5</v>
      </c>
      <c r="L1233" s="981">
        <v>6</v>
      </c>
      <c r="M1233" s="1249" t="s">
        <v>323</v>
      </c>
      <c r="N1233" s="604" t="s">
        <v>227</v>
      </c>
      <c r="O1233" s="465">
        <v>2</v>
      </c>
      <c r="P1233" s="435">
        <v>4.6539999999999999</v>
      </c>
      <c r="Q1233" s="435">
        <v>1</v>
      </c>
      <c r="R1233" s="401">
        <v>1</v>
      </c>
      <c r="S1233" s="466">
        <v>0.2</v>
      </c>
      <c r="U1233" s="1248">
        <f t="shared" si="24"/>
        <v>0</v>
      </c>
      <c r="V1233" s="1304">
        <f t="shared" si="25"/>
        <v>1</v>
      </c>
    </row>
    <row r="1234" spans="1:22" ht="16.5" thickTop="1" thickBot="1">
      <c r="A1234" s="1244"/>
      <c r="B1234" s="1245" t="s">
        <v>1102</v>
      </c>
      <c r="C1234" s="1328" t="s">
        <v>1676</v>
      </c>
      <c r="D1234" s="1327" t="s">
        <v>227</v>
      </c>
      <c r="E1234" s="1245" t="s">
        <v>1676</v>
      </c>
      <c r="F1234" s="457" t="s">
        <v>1678</v>
      </c>
      <c r="G1234" s="458" t="s">
        <v>158</v>
      </c>
      <c r="H1234" s="888">
        <v>13</v>
      </c>
      <c r="I1234" s="890">
        <v>157.97300000000001</v>
      </c>
      <c r="J1234" s="899">
        <v>192.619</v>
      </c>
      <c r="K1234" s="603">
        <v>0.18518518518518517</v>
      </c>
      <c r="L1234" s="980">
        <v>4</v>
      </c>
      <c r="M1234" s="1245" t="s">
        <v>322</v>
      </c>
      <c r="N1234" s="604" t="s">
        <v>227</v>
      </c>
      <c r="O1234" s="463"/>
      <c r="P1234" s="434"/>
      <c r="Q1234" s="434"/>
      <c r="R1234" s="400">
        <v>0</v>
      </c>
      <c r="S1234" s="464">
        <v>0</v>
      </c>
      <c r="U1234" s="1248">
        <f t="shared" si="24"/>
        <v>0</v>
      </c>
      <c r="V1234" s="1304">
        <f t="shared" si="25"/>
        <v>1</v>
      </c>
    </row>
    <row r="1235" spans="1:22" ht="16.5" thickTop="1" thickBot="1">
      <c r="A1235" s="1244"/>
      <c r="B1235" s="1249" t="s">
        <v>1102</v>
      </c>
      <c r="C1235" s="1329" t="s">
        <v>1676</v>
      </c>
      <c r="D1235" s="1326" t="s">
        <v>227</v>
      </c>
      <c r="E1235" s="1249" t="s">
        <v>1740</v>
      </c>
      <c r="F1235" s="455" t="s">
        <v>1741</v>
      </c>
      <c r="G1235" s="456" t="s">
        <v>156</v>
      </c>
      <c r="H1235" s="889">
        <v>13</v>
      </c>
      <c r="I1235" s="891"/>
      <c r="J1235" s="601">
        <v>46.771000000000001</v>
      </c>
      <c r="K1235" s="602">
        <v>0.11764705882352941</v>
      </c>
      <c r="L1235" s="981">
        <v>1</v>
      </c>
      <c r="M1235" s="1249" t="s">
        <v>366</v>
      </c>
      <c r="N1235" s="604" t="s">
        <v>227</v>
      </c>
      <c r="O1235" s="465"/>
      <c r="P1235" s="435"/>
      <c r="Q1235" s="435"/>
      <c r="R1235" s="401">
        <v>0</v>
      </c>
      <c r="S1235" s="466">
        <v>0</v>
      </c>
      <c r="U1235" s="1248">
        <f t="shared" si="24"/>
        <v>1</v>
      </c>
      <c r="V1235" s="1304">
        <f t="shared" si="25"/>
        <v>1</v>
      </c>
    </row>
    <row r="1236" spans="1:22" ht="16.5" thickTop="1" thickBot="1">
      <c r="A1236" s="1244"/>
      <c r="B1236" s="1245" t="s">
        <v>1102</v>
      </c>
      <c r="C1236" s="1328" t="s">
        <v>1676</v>
      </c>
      <c r="D1236" s="1327" t="s">
        <v>227</v>
      </c>
      <c r="E1236" s="1245" t="s">
        <v>1742</v>
      </c>
      <c r="F1236" s="457" t="s">
        <v>1743</v>
      </c>
      <c r="G1236" s="458" t="s">
        <v>156</v>
      </c>
      <c r="H1236" s="888">
        <v>13</v>
      </c>
      <c r="I1236" s="890">
        <v>88.853999999999999</v>
      </c>
      <c r="J1236" s="899">
        <v>290.74599999999998</v>
      </c>
      <c r="K1236" s="603">
        <v>0.34965034965034963</v>
      </c>
      <c r="L1236" s="980">
        <v>6</v>
      </c>
      <c r="M1236" s="1245" t="s">
        <v>321</v>
      </c>
      <c r="N1236" s="604" t="s">
        <v>227</v>
      </c>
      <c r="O1236" s="463"/>
      <c r="P1236" s="434">
        <v>7.7149999999999999</v>
      </c>
      <c r="Q1236" s="434">
        <v>1</v>
      </c>
      <c r="R1236" s="400">
        <v>1</v>
      </c>
      <c r="S1236" s="464">
        <v>0.16666666666666666</v>
      </c>
      <c r="U1236" s="1248">
        <f t="shared" si="24"/>
        <v>0</v>
      </c>
      <c r="V1236" s="1304">
        <f t="shared" si="25"/>
        <v>1</v>
      </c>
    </row>
    <row r="1237" spans="1:22" ht="16.5" thickTop="1" thickBot="1">
      <c r="A1237" s="1244"/>
      <c r="B1237" s="1249" t="s">
        <v>1102</v>
      </c>
      <c r="C1237" s="1329" t="s">
        <v>1676</v>
      </c>
      <c r="D1237" s="1326" t="s">
        <v>227</v>
      </c>
      <c r="E1237" s="1249" t="s">
        <v>1744</v>
      </c>
      <c r="F1237" s="455" t="s">
        <v>1745</v>
      </c>
      <c r="G1237" s="456" t="s">
        <v>156</v>
      </c>
      <c r="H1237" s="889">
        <v>13</v>
      </c>
      <c r="I1237" s="891">
        <v>16.501999999999999</v>
      </c>
      <c r="J1237" s="601">
        <v>288.49099999999999</v>
      </c>
      <c r="K1237" s="602">
        <v>0.32911392405063289</v>
      </c>
      <c r="L1237" s="981">
        <v>2</v>
      </c>
      <c r="M1237" s="1249" t="s">
        <v>321</v>
      </c>
      <c r="N1237" s="604" t="s">
        <v>227</v>
      </c>
      <c r="O1237" s="465"/>
      <c r="P1237" s="435">
        <v>10.468999999999999</v>
      </c>
      <c r="Q1237" s="435">
        <v>1</v>
      </c>
      <c r="R1237" s="401">
        <v>1</v>
      </c>
      <c r="S1237" s="466">
        <v>0.5</v>
      </c>
      <c r="U1237" s="1248">
        <f t="shared" si="24"/>
        <v>0</v>
      </c>
      <c r="V1237" s="1304">
        <f t="shared" si="25"/>
        <v>1</v>
      </c>
    </row>
    <row r="1238" spans="1:22" ht="16.5" thickTop="1" thickBot="1">
      <c r="A1238" s="1244"/>
      <c r="B1238" s="1245" t="s">
        <v>1102</v>
      </c>
      <c r="C1238" s="1328" t="s">
        <v>1676</v>
      </c>
      <c r="D1238" s="1327" t="s">
        <v>227</v>
      </c>
      <c r="E1238" s="1245" t="s">
        <v>1696</v>
      </c>
      <c r="F1238" s="457" t="s">
        <v>1698</v>
      </c>
      <c r="G1238" s="458" t="s">
        <v>157</v>
      </c>
      <c r="H1238" s="888">
        <v>13</v>
      </c>
      <c r="I1238" s="890">
        <v>131.16999999999999</v>
      </c>
      <c r="J1238" s="899">
        <v>169.33600000000001</v>
      </c>
      <c r="K1238" s="603">
        <v>0.3728813559322034</v>
      </c>
      <c r="L1238" s="980">
        <v>3</v>
      </c>
      <c r="M1238" s="1245" t="s">
        <v>366</v>
      </c>
      <c r="N1238" s="604" t="s">
        <v>227</v>
      </c>
      <c r="O1238" s="463"/>
      <c r="P1238" s="434">
        <v>7.242</v>
      </c>
      <c r="Q1238" s="434">
        <v>1</v>
      </c>
      <c r="R1238" s="400">
        <v>1</v>
      </c>
      <c r="S1238" s="464">
        <v>0.33333333333333331</v>
      </c>
      <c r="U1238" s="1248">
        <f t="shared" si="24"/>
        <v>1</v>
      </c>
      <c r="V1238" s="1304">
        <f t="shared" si="25"/>
        <v>1</v>
      </c>
    </row>
    <row r="1239" spans="1:22" ht="16.5" thickTop="1" thickBot="1">
      <c r="A1239" s="1244"/>
      <c r="B1239" s="1249" t="s">
        <v>1102</v>
      </c>
      <c r="C1239" s="1329" t="s">
        <v>1676</v>
      </c>
      <c r="D1239" s="1326" t="s">
        <v>227</v>
      </c>
      <c r="E1239" s="1249" t="s">
        <v>1746</v>
      </c>
      <c r="F1239" s="455" t="s">
        <v>1747</v>
      </c>
      <c r="G1239" s="456" t="s">
        <v>156</v>
      </c>
      <c r="H1239" s="889">
        <v>13</v>
      </c>
      <c r="I1239" s="891">
        <v>42.926000000000002</v>
      </c>
      <c r="J1239" s="601">
        <v>124.398</v>
      </c>
      <c r="K1239" s="602">
        <v>0.21176470588235294</v>
      </c>
      <c r="L1239" s="981">
        <v>3</v>
      </c>
      <c r="M1239" s="1249" t="s">
        <v>366</v>
      </c>
      <c r="N1239" s="604" t="s">
        <v>227</v>
      </c>
      <c r="O1239" s="465"/>
      <c r="P1239" s="435">
        <v>7.0609999999999999</v>
      </c>
      <c r="Q1239" s="435">
        <v>1</v>
      </c>
      <c r="R1239" s="401">
        <v>1</v>
      </c>
      <c r="S1239" s="466">
        <v>0.33333333333333331</v>
      </c>
      <c r="U1239" s="1248">
        <f t="shared" si="24"/>
        <v>1</v>
      </c>
      <c r="V1239" s="1304">
        <f t="shared" si="25"/>
        <v>1</v>
      </c>
    </row>
    <row r="1240" spans="1:22" ht="16.5" thickTop="1" thickBot="1">
      <c r="A1240" s="1244"/>
      <c r="B1240" s="1245" t="s">
        <v>1102</v>
      </c>
      <c r="C1240" s="1328" t="s">
        <v>1676</v>
      </c>
      <c r="D1240" s="1327" t="s">
        <v>227</v>
      </c>
      <c r="E1240" s="1245" t="s">
        <v>1884</v>
      </c>
      <c r="F1240" s="457" t="s">
        <v>1886</v>
      </c>
      <c r="G1240" s="458" t="s">
        <v>157</v>
      </c>
      <c r="H1240" s="888">
        <v>11</v>
      </c>
      <c r="I1240" s="890">
        <v>35.472999999999999</v>
      </c>
      <c r="J1240" s="899">
        <v>70.872</v>
      </c>
      <c r="K1240" s="603">
        <v>0.13725490196078433</v>
      </c>
      <c r="L1240" s="980">
        <v>3</v>
      </c>
      <c r="M1240" s="1245" t="s">
        <v>366</v>
      </c>
      <c r="N1240" s="604" t="s">
        <v>227</v>
      </c>
      <c r="O1240" s="463"/>
      <c r="P1240" s="434"/>
      <c r="Q1240" s="434"/>
      <c r="R1240" s="400">
        <v>0</v>
      </c>
      <c r="S1240" s="464">
        <v>0</v>
      </c>
      <c r="U1240" s="1248">
        <f t="shared" si="24"/>
        <v>1</v>
      </c>
      <c r="V1240" s="1304">
        <f t="shared" si="25"/>
        <v>1</v>
      </c>
    </row>
    <row r="1241" spans="1:22" ht="16.5" thickTop="1" thickBot="1">
      <c r="A1241" s="1244"/>
      <c r="B1241" s="1249" t="s">
        <v>1102</v>
      </c>
      <c r="C1241" s="1329" t="s">
        <v>1676</v>
      </c>
      <c r="D1241" s="1326" t="s">
        <v>227</v>
      </c>
      <c r="E1241" s="1249" t="s">
        <v>1929</v>
      </c>
      <c r="F1241" s="455" t="s">
        <v>1930</v>
      </c>
      <c r="G1241" s="456" t="s">
        <v>156</v>
      </c>
      <c r="H1241" s="889">
        <v>11</v>
      </c>
      <c r="I1241" s="891">
        <v>55.716000000000001</v>
      </c>
      <c r="J1241" s="601">
        <v>202.285</v>
      </c>
      <c r="K1241" s="602">
        <v>0.25490196078431371</v>
      </c>
      <c r="L1241" s="981">
        <v>6</v>
      </c>
      <c r="M1241" s="1249" t="s">
        <v>322</v>
      </c>
      <c r="N1241" s="604" t="s">
        <v>227</v>
      </c>
      <c r="O1241" s="465"/>
      <c r="P1241" s="435">
        <v>11.999000000000001</v>
      </c>
      <c r="Q1241" s="435"/>
      <c r="R1241" s="401">
        <v>0</v>
      </c>
      <c r="S1241" s="466">
        <v>0</v>
      </c>
      <c r="U1241" s="1248">
        <f t="shared" si="24"/>
        <v>0</v>
      </c>
      <c r="V1241" s="1304">
        <f t="shared" si="25"/>
        <v>1</v>
      </c>
    </row>
    <row r="1242" spans="1:22" ht="16.5" thickTop="1" thickBot="1">
      <c r="A1242" s="1244"/>
      <c r="B1242" s="1245" t="s">
        <v>1102</v>
      </c>
      <c r="C1242" s="1328" t="s">
        <v>1676</v>
      </c>
      <c r="D1242" s="1327" t="s">
        <v>227</v>
      </c>
      <c r="E1242" s="1245" t="s">
        <v>2016</v>
      </c>
      <c r="F1242" s="457" t="s">
        <v>2017</v>
      </c>
      <c r="G1242" s="458" t="s">
        <v>156</v>
      </c>
      <c r="H1242" s="888">
        <v>11</v>
      </c>
      <c r="I1242" s="890">
        <v>73.290999999999997</v>
      </c>
      <c r="J1242" s="899">
        <v>90.009</v>
      </c>
      <c r="K1242" s="603">
        <v>0.1702127659574468</v>
      </c>
      <c r="L1242" s="980">
        <v>1</v>
      </c>
      <c r="M1242" s="1245" t="s">
        <v>366</v>
      </c>
      <c r="N1242" s="604" t="s">
        <v>227</v>
      </c>
      <c r="O1242" s="463"/>
      <c r="P1242" s="434"/>
      <c r="Q1242" s="434"/>
      <c r="R1242" s="400">
        <v>0</v>
      </c>
      <c r="S1242" s="464">
        <v>0</v>
      </c>
      <c r="U1242" s="1248">
        <f t="shared" si="24"/>
        <v>1</v>
      </c>
      <c r="V1242" s="1304">
        <f t="shared" si="25"/>
        <v>1</v>
      </c>
    </row>
    <row r="1243" spans="1:22" ht="16.5" thickTop="1" thickBot="1">
      <c r="A1243" s="1244"/>
      <c r="B1243" s="1249" t="s">
        <v>1102</v>
      </c>
      <c r="C1243" s="1329" t="s">
        <v>1676</v>
      </c>
      <c r="D1243" s="1326" t="s">
        <v>227</v>
      </c>
      <c r="E1243" s="1249" t="s">
        <v>2281</v>
      </c>
      <c r="F1243" s="455" t="s">
        <v>2282</v>
      </c>
      <c r="G1243" s="456" t="s">
        <v>156</v>
      </c>
      <c r="H1243" s="889">
        <v>8</v>
      </c>
      <c r="I1243" s="891">
        <v>47.741999999999997</v>
      </c>
      <c r="J1243" s="601">
        <v>47.741999999999997</v>
      </c>
      <c r="K1243" s="602">
        <v>0.11594202898550725</v>
      </c>
      <c r="L1243" s="981">
        <v>4</v>
      </c>
      <c r="M1243" s="1249" t="s">
        <v>366</v>
      </c>
      <c r="N1243" s="604" t="s">
        <v>227</v>
      </c>
      <c r="O1243" s="465"/>
      <c r="P1243" s="435"/>
      <c r="Q1243" s="435"/>
      <c r="R1243" s="401">
        <v>0</v>
      </c>
      <c r="S1243" s="466">
        <v>0</v>
      </c>
      <c r="U1243" s="1248">
        <f t="shared" si="24"/>
        <v>1</v>
      </c>
      <c r="V1243" s="1304">
        <f t="shared" si="25"/>
        <v>1</v>
      </c>
    </row>
    <row r="1244" spans="1:22" ht="16.5" thickTop="1" thickBot="1">
      <c r="A1244" s="1244"/>
      <c r="B1244" s="1245" t="s">
        <v>1102</v>
      </c>
      <c r="C1244" s="1328" t="s">
        <v>1676</v>
      </c>
      <c r="D1244" s="1327" t="s">
        <v>227</v>
      </c>
      <c r="E1244" s="1245" t="s">
        <v>2403</v>
      </c>
      <c r="F1244" s="457" t="s">
        <v>2404</v>
      </c>
      <c r="G1244" s="458" t="s">
        <v>155</v>
      </c>
      <c r="H1244" s="888"/>
      <c r="I1244" s="890"/>
      <c r="J1244" s="899">
        <v>83.956999999999994</v>
      </c>
      <c r="K1244" s="603">
        <v>0.13793103448275862</v>
      </c>
      <c r="L1244" s="980">
        <v>1</v>
      </c>
      <c r="M1244" s="1245" t="s">
        <v>366</v>
      </c>
      <c r="N1244" s="604" t="s">
        <v>227</v>
      </c>
      <c r="O1244" s="463"/>
      <c r="P1244" s="434">
        <v>75.268000000000001</v>
      </c>
      <c r="Q1244" s="434">
        <v>5</v>
      </c>
      <c r="R1244" s="400">
        <v>1</v>
      </c>
      <c r="S1244" s="464">
        <v>1</v>
      </c>
      <c r="U1244" s="1248">
        <f t="shared" si="24"/>
        <v>1</v>
      </c>
      <c r="V1244" s="1304">
        <f t="shared" si="25"/>
        <v>0</v>
      </c>
    </row>
    <row r="1245" spans="1:22" ht="16.5" thickTop="1" thickBot="1">
      <c r="A1245" s="1244"/>
      <c r="B1245" s="1249" t="s">
        <v>1102</v>
      </c>
      <c r="C1245" s="1329" t="s">
        <v>1676</v>
      </c>
      <c r="D1245" s="1326" t="s">
        <v>227</v>
      </c>
      <c r="E1245" s="1249" t="s">
        <v>2405</v>
      </c>
      <c r="F1245" s="455" t="s">
        <v>2406</v>
      </c>
      <c r="G1245" s="456" t="s">
        <v>155</v>
      </c>
      <c r="H1245" s="889"/>
      <c r="I1245" s="891"/>
      <c r="J1245" s="601">
        <v>18.437999999999999</v>
      </c>
      <c r="K1245" s="602">
        <v>9.0909090909090912E-2</v>
      </c>
      <c r="L1245" s="981">
        <v>2</v>
      </c>
      <c r="M1245" s="1249" t="s">
        <v>366</v>
      </c>
      <c r="N1245" s="604" t="s">
        <v>227</v>
      </c>
      <c r="O1245" s="465"/>
      <c r="P1245" s="435"/>
      <c r="Q1245" s="435"/>
      <c r="R1245" s="401">
        <v>0</v>
      </c>
      <c r="S1245" s="466">
        <v>0</v>
      </c>
      <c r="U1245" s="1248">
        <f t="shared" si="24"/>
        <v>1</v>
      </c>
      <c r="V1245" s="1304">
        <f t="shared" si="25"/>
        <v>0</v>
      </c>
    </row>
    <row r="1246" spans="1:22" ht="16.5" thickTop="1" thickBot="1">
      <c r="A1246" s="1244"/>
      <c r="B1246" s="1245" t="s">
        <v>1102</v>
      </c>
      <c r="C1246" s="1328" t="s">
        <v>1676</v>
      </c>
      <c r="D1246" s="1327" t="s">
        <v>227</v>
      </c>
      <c r="E1246" s="1245" t="s">
        <v>2679</v>
      </c>
      <c r="F1246" s="457" t="s">
        <v>2680</v>
      </c>
      <c r="G1246" s="458" t="s">
        <v>156</v>
      </c>
      <c r="H1246" s="888">
        <v>5</v>
      </c>
      <c r="I1246" s="890"/>
      <c r="J1246" s="899">
        <v>11.46</v>
      </c>
      <c r="K1246" s="603">
        <v>4.7619047619047616E-2</v>
      </c>
      <c r="L1246" s="980">
        <v>5</v>
      </c>
      <c r="M1246" s="1245" t="s">
        <v>366</v>
      </c>
      <c r="N1246" s="604" t="s">
        <v>227</v>
      </c>
      <c r="O1246" s="463"/>
      <c r="P1246" s="434"/>
      <c r="Q1246" s="434"/>
      <c r="R1246" s="400">
        <v>0</v>
      </c>
      <c r="S1246" s="464">
        <v>0</v>
      </c>
      <c r="U1246" s="1248">
        <f t="shared" si="24"/>
        <v>1</v>
      </c>
      <c r="V1246" s="1304">
        <f t="shared" si="25"/>
        <v>1</v>
      </c>
    </row>
    <row r="1247" spans="1:22" ht="16.5" thickTop="1" thickBot="1">
      <c r="A1247" s="1244"/>
      <c r="B1247" s="1249" t="s">
        <v>1102</v>
      </c>
      <c r="C1247" s="1329" t="s">
        <v>1676</v>
      </c>
      <c r="D1247" s="1326" t="s">
        <v>227</v>
      </c>
      <c r="E1247" s="1249" t="s">
        <v>2681</v>
      </c>
      <c r="F1247" s="455" t="s">
        <v>2682</v>
      </c>
      <c r="G1247" s="456" t="s">
        <v>156</v>
      </c>
      <c r="H1247" s="889">
        <v>5</v>
      </c>
      <c r="I1247" s="891">
        <v>42.36</v>
      </c>
      <c r="J1247" s="601">
        <v>97.665000000000006</v>
      </c>
      <c r="K1247" s="602">
        <v>0.30769230769230771</v>
      </c>
      <c r="L1247" s="981">
        <v>8</v>
      </c>
      <c r="M1247" s="1249" t="s">
        <v>321</v>
      </c>
      <c r="N1247" s="604" t="s">
        <v>227</v>
      </c>
      <c r="O1247" s="465">
        <v>3</v>
      </c>
      <c r="P1247" s="435">
        <v>31.616</v>
      </c>
      <c r="Q1247" s="435">
        <v>3</v>
      </c>
      <c r="R1247" s="401">
        <v>3</v>
      </c>
      <c r="S1247" s="466">
        <v>0.46153846153846156</v>
      </c>
      <c r="U1247" s="1248">
        <f t="shared" si="24"/>
        <v>0</v>
      </c>
      <c r="V1247" s="1304">
        <f t="shared" si="25"/>
        <v>1</v>
      </c>
    </row>
    <row r="1248" spans="1:22" ht="16.5" thickTop="1" thickBot="1">
      <c r="A1248" s="1244"/>
      <c r="B1248" s="1245" t="s">
        <v>1102</v>
      </c>
      <c r="C1248" s="1328" t="s">
        <v>1676</v>
      </c>
      <c r="D1248" s="1327" t="s">
        <v>227</v>
      </c>
      <c r="E1248" s="1245" t="s">
        <v>3052</v>
      </c>
      <c r="F1248" s="457" t="s">
        <v>3053</v>
      </c>
      <c r="G1248" s="458" t="s">
        <v>156</v>
      </c>
      <c r="H1248" s="888">
        <v>2</v>
      </c>
      <c r="I1248" s="890">
        <v>10.374000000000001</v>
      </c>
      <c r="J1248" s="899">
        <v>30.943999999999999</v>
      </c>
      <c r="K1248" s="603">
        <v>0.4</v>
      </c>
      <c r="L1248" s="980">
        <v>3</v>
      </c>
      <c r="M1248" s="1245" t="s">
        <v>321</v>
      </c>
      <c r="N1248" s="604" t="s">
        <v>227</v>
      </c>
      <c r="O1248" s="463"/>
      <c r="P1248" s="434"/>
      <c r="Q1248" s="434"/>
      <c r="R1248" s="400">
        <v>0</v>
      </c>
      <c r="S1248" s="464">
        <v>0</v>
      </c>
      <c r="U1248" s="1248">
        <f t="shared" si="24"/>
        <v>0</v>
      </c>
      <c r="V1248" s="1304">
        <f t="shared" si="25"/>
        <v>1</v>
      </c>
    </row>
    <row r="1249" spans="1:22" ht="16.5" thickTop="1" thickBot="1">
      <c r="A1249" s="1244"/>
      <c r="B1249" s="1249" t="s">
        <v>1102</v>
      </c>
      <c r="C1249" s="1329" t="s">
        <v>1676</v>
      </c>
      <c r="D1249" s="1326" t="s">
        <v>227</v>
      </c>
      <c r="E1249" s="1249" t="s">
        <v>3054</v>
      </c>
      <c r="F1249" s="455" t="s">
        <v>3055</v>
      </c>
      <c r="G1249" s="456" t="s">
        <v>156</v>
      </c>
      <c r="H1249" s="889">
        <v>2</v>
      </c>
      <c r="I1249" s="891"/>
      <c r="J1249" s="601"/>
      <c r="K1249" s="602">
        <v>0</v>
      </c>
      <c r="L1249" s="981">
        <v>1</v>
      </c>
      <c r="M1249" s="1249" t="s">
        <v>366</v>
      </c>
      <c r="N1249" s="604" t="s">
        <v>227</v>
      </c>
      <c r="O1249" s="465"/>
      <c r="P1249" s="435"/>
      <c r="Q1249" s="435"/>
      <c r="R1249" s="401">
        <v>0</v>
      </c>
      <c r="S1249" s="466">
        <v>0</v>
      </c>
      <c r="U1249" s="1248">
        <f t="shared" si="24"/>
        <v>1</v>
      </c>
      <c r="V1249" s="1304">
        <f t="shared" si="25"/>
        <v>1</v>
      </c>
    </row>
    <row r="1250" spans="1:22" ht="16.5" thickTop="1" thickBot="1">
      <c r="A1250" s="1244"/>
      <c r="B1250" s="1245" t="s">
        <v>1102</v>
      </c>
      <c r="C1250" s="1328" t="s">
        <v>1676</v>
      </c>
      <c r="D1250" s="1327" t="s">
        <v>227</v>
      </c>
      <c r="E1250" s="1245" t="s">
        <v>3901</v>
      </c>
      <c r="F1250" s="457" t="s">
        <v>3902</v>
      </c>
      <c r="G1250" s="458" t="s">
        <v>156</v>
      </c>
      <c r="H1250" s="888"/>
      <c r="I1250" s="890"/>
      <c r="J1250" s="899"/>
      <c r="K1250" s="603">
        <v>0</v>
      </c>
      <c r="L1250" s="980">
        <v>2</v>
      </c>
      <c r="M1250" s="1245" t="s">
        <v>366</v>
      </c>
      <c r="N1250" s="604" t="s">
        <v>227</v>
      </c>
      <c r="O1250" s="463">
        <v>2</v>
      </c>
      <c r="P1250" s="434"/>
      <c r="Q1250" s="434"/>
      <c r="R1250" s="400">
        <v>0</v>
      </c>
      <c r="S1250" s="464">
        <v>0</v>
      </c>
      <c r="U1250" s="1248">
        <f t="shared" si="24"/>
        <v>1</v>
      </c>
      <c r="V1250" s="1304">
        <f t="shared" si="25"/>
        <v>1</v>
      </c>
    </row>
    <row r="1251" spans="1:22" ht="16.5" thickTop="1" thickBot="1">
      <c r="A1251" s="1244"/>
      <c r="B1251" s="1249" t="s">
        <v>1102</v>
      </c>
      <c r="C1251" s="1329" t="s">
        <v>1676</v>
      </c>
      <c r="D1251" s="1326" t="s">
        <v>227</v>
      </c>
      <c r="E1251" s="1249" t="s">
        <v>3903</v>
      </c>
      <c r="F1251" s="455" t="s">
        <v>3904</v>
      </c>
      <c r="G1251" s="456" t="s">
        <v>156</v>
      </c>
      <c r="H1251" s="889"/>
      <c r="I1251" s="891"/>
      <c r="J1251" s="601"/>
      <c r="K1251" s="602">
        <v>0</v>
      </c>
      <c r="L1251" s="981">
        <v>2</v>
      </c>
      <c r="M1251" s="1249" t="s">
        <v>366</v>
      </c>
      <c r="N1251" s="604" t="s">
        <v>227</v>
      </c>
      <c r="O1251" s="465">
        <v>2</v>
      </c>
      <c r="P1251" s="435"/>
      <c r="Q1251" s="435"/>
      <c r="R1251" s="401">
        <v>0</v>
      </c>
      <c r="S1251" s="466">
        <v>0</v>
      </c>
      <c r="U1251" s="1248">
        <f t="shared" si="24"/>
        <v>1</v>
      </c>
      <c r="V1251" s="1304">
        <f t="shared" si="25"/>
        <v>1</v>
      </c>
    </row>
    <row r="1252" spans="1:22" ht="16.5" thickTop="1" thickBot="1">
      <c r="A1252" s="1244"/>
      <c r="B1252" s="1245" t="s">
        <v>1102</v>
      </c>
      <c r="C1252" s="1328" t="s">
        <v>1676</v>
      </c>
      <c r="D1252" s="1327" t="s">
        <v>227</v>
      </c>
      <c r="E1252" s="1245" t="s">
        <v>3690</v>
      </c>
      <c r="F1252" s="457" t="s">
        <v>3692</v>
      </c>
      <c r="G1252" s="458" t="s">
        <v>157</v>
      </c>
      <c r="H1252" s="888"/>
      <c r="I1252" s="890"/>
      <c r="J1252" s="899"/>
      <c r="K1252" s="603">
        <v>0</v>
      </c>
      <c r="L1252" s="980">
        <v>1</v>
      </c>
      <c r="M1252" s="1245" t="s">
        <v>366</v>
      </c>
      <c r="N1252" s="604" t="s">
        <v>227</v>
      </c>
      <c r="O1252" s="463">
        <v>1</v>
      </c>
      <c r="P1252" s="434"/>
      <c r="Q1252" s="434"/>
      <c r="R1252" s="400">
        <v>0</v>
      </c>
      <c r="S1252" s="464">
        <v>0</v>
      </c>
      <c r="U1252" s="1248">
        <f t="shared" si="24"/>
        <v>1</v>
      </c>
      <c r="V1252" s="1304">
        <f t="shared" si="25"/>
        <v>1</v>
      </c>
    </row>
    <row r="1253" spans="1:22" ht="16.5" thickTop="1" thickBot="1">
      <c r="A1253" s="1244"/>
      <c r="B1253" s="1249" t="s">
        <v>3172</v>
      </c>
      <c r="C1253" s="1329" t="s">
        <v>3202</v>
      </c>
      <c r="D1253" s="1326" t="s">
        <v>227</v>
      </c>
      <c r="E1253" s="1249" t="s">
        <v>3202</v>
      </c>
      <c r="F1253" s="455" t="s">
        <v>3204</v>
      </c>
      <c r="G1253" s="456" t="s">
        <v>739</v>
      </c>
      <c r="H1253" s="889">
        <v>1</v>
      </c>
      <c r="I1253" s="891"/>
      <c r="J1253" s="601"/>
      <c r="K1253" s="602">
        <v>0</v>
      </c>
      <c r="L1253" s="981">
        <v>1</v>
      </c>
      <c r="M1253" s="1249" t="s">
        <v>366</v>
      </c>
      <c r="N1253" s="604" t="s">
        <v>227</v>
      </c>
      <c r="O1253" s="465"/>
      <c r="P1253" s="435"/>
      <c r="Q1253" s="435"/>
      <c r="R1253" s="401">
        <v>0</v>
      </c>
      <c r="S1253" s="466">
        <v>0</v>
      </c>
      <c r="U1253" s="1248">
        <f t="shared" si="24"/>
        <v>1</v>
      </c>
      <c r="V1253" s="1304">
        <f t="shared" si="25"/>
        <v>1</v>
      </c>
    </row>
    <row r="1254" spans="1:22" ht="16.5" thickTop="1" thickBot="1">
      <c r="A1254" s="1244"/>
      <c r="B1254" s="1245" t="s">
        <v>3172</v>
      </c>
      <c r="C1254" s="1328" t="s">
        <v>3202</v>
      </c>
      <c r="D1254" s="1327" t="s">
        <v>227</v>
      </c>
      <c r="E1254" s="1245" t="s">
        <v>3362</v>
      </c>
      <c r="F1254" s="457" t="s">
        <v>3363</v>
      </c>
      <c r="G1254" s="458" t="s">
        <v>157</v>
      </c>
      <c r="H1254" s="888">
        <v>1</v>
      </c>
      <c r="I1254" s="890">
        <v>0</v>
      </c>
      <c r="J1254" s="899">
        <v>146.86799999999999</v>
      </c>
      <c r="K1254" s="603">
        <v>0.66666666666666663</v>
      </c>
      <c r="L1254" s="980">
        <v>12</v>
      </c>
      <c r="M1254" s="1245" t="s">
        <v>323</v>
      </c>
      <c r="N1254" s="604" t="s">
        <v>227</v>
      </c>
      <c r="O1254" s="463">
        <v>9</v>
      </c>
      <c r="P1254" s="434">
        <v>83.411000000000001</v>
      </c>
      <c r="Q1254" s="434">
        <v>6</v>
      </c>
      <c r="R1254" s="400">
        <v>4</v>
      </c>
      <c r="S1254" s="464">
        <v>0.53333333333333333</v>
      </c>
      <c r="U1254" s="1248">
        <f t="shared" si="24"/>
        <v>0</v>
      </c>
      <c r="V1254" s="1304">
        <f t="shared" si="25"/>
        <v>1</v>
      </c>
    </row>
    <row r="1255" spans="1:22" ht="16.5" thickTop="1" thickBot="1">
      <c r="A1255" s="1244"/>
      <c r="B1255" s="1249" t="s">
        <v>3172</v>
      </c>
      <c r="C1255" s="1329" t="s">
        <v>3202</v>
      </c>
      <c r="D1255" s="1326" t="s">
        <v>227</v>
      </c>
      <c r="E1255" s="1249" t="s">
        <v>3364</v>
      </c>
      <c r="F1255" s="455" t="s">
        <v>3365</v>
      </c>
      <c r="G1255" s="456" t="s">
        <v>156</v>
      </c>
      <c r="H1255" s="889">
        <v>1</v>
      </c>
      <c r="I1255" s="891">
        <v>20.742000000000001</v>
      </c>
      <c r="J1255" s="601">
        <v>38.512</v>
      </c>
      <c r="K1255" s="602">
        <v>0.33333333333333331</v>
      </c>
      <c r="L1255" s="981">
        <v>6</v>
      </c>
      <c r="M1255" s="1249" t="s">
        <v>323</v>
      </c>
      <c r="N1255" s="604" t="s">
        <v>227</v>
      </c>
      <c r="O1255" s="465">
        <v>3</v>
      </c>
      <c r="P1255" s="435">
        <v>38.512</v>
      </c>
      <c r="Q1255" s="435">
        <v>4</v>
      </c>
      <c r="R1255" s="401">
        <v>2</v>
      </c>
      <c r="S1255" s="466">
        <v>0.44444444444444442</v>
      </c>
      <c r="U1255" s="1248">
        <f t="shared" si="24"/>
        <v>0</v>
      </c>
      <c r="V1255" s="1304">
        <f t="shared" si="25"/>
        <v>1</v>
      </c>
    </row>
    <row r="1256" spans="1:22" ht="16.5" thickTop="1" thickBot="1">
      <c r="A1256" s="1244"/>
      <c r="B1256" s="1245" t="s">
        <v>3172</v>
      </c>
      <c r="C1256" s="1328" t="s">
        <v>3202</v>
      </c>
      <c r="D1256" s="1327" t="s">
        <v>227</v>
      </c>
      <c r="E1256" s="1245" t="s">
        <v>3366</v>
      </c>
      <c r="F1256" s="457" t="s">
        <v>3367</v>
      </c>
      <c r="G1256" s="458" t="s">
        <v>156</v>
      </c>
      <c r="H1256" s="888">
        <v>1</v>
      </c>
      <c r="I1256" s="890"/>
      <c r="J1256" s="899">
        <v>15.128</v>
      </c>
      <c r="K1256" s="603">
        <v>0.2857142857142857</v>
      </c>
      <c r="L1256" s="980">
        <v>3</v>
      </c>
      <c r="M1256" s="1245" t="s">
        <v>321</v>
      </c>
      <c r="N1256" s="604" t="s">
        <v>227</v>
      </c>
      <c r="O1256" s="463">
        <v>1</v>
      </c>
      <c r="P1256" s="434"/>
      <c r="Q1256" s="434"/>
      <c r="R1256" s="400">
        <v>0</v>
      </c>
      <c r="S1256" s="464">
        <v>0</v>
      </c>
      <c r="U1256" s="1248">
        <f t="shared" ref="U1256:U1319" si="26">IF(M1256="U_200",1,0)</f>
        <v>0</v>
      </c>
      <c r="V1256" s="1304">
        <f t="shared" ref="V1256:V1319" si="27">IF(G1256&lt;&gt;"US",1,0)</f>
        <v>1</v>
      </c>
    </row>
    <row r="1257" spans="1:22" ht="16.5" thickTop="1" thickBot="1">
      <c r="A1257" s="1244"/>
      <c r="B1257" s="1249" t="s">
        <v>3172</v>
      </c>
      <c r="C1257" s="1329" t="s">
        <v>3202</v>
      </c>
      <c r="D1257" s="1326" t="s">
        <v>227</v>
      </c>
      <c r="E1257" s="1249" t="s">
        <v>3905</v>
      </c>
      <c r="F1257" s="455" t="s">
        <v>3906</v>
      </c>
      <c r="G1257" s="456" t="s">
        <v>156</v>
      </c>
      <c r="H1257" s="889">
        <v>0</v>
      </c>
      <c r="I1257" s="891"/>
      <c r="J1257" s="601"/>
      <c r="K1257" s="602">
        <v>0</v>
      </c>
      <c r="L1257" s="981">
        <v>2</v>
      </c>
      <c r="M1257" s="1249" t="s">
        <v>227</v>
      </c>
      <c r="N1257" s="604" t="s">
        <v>227</v>
      </c>
      <c r="O1257" s="465">
        <v>2</v>
      </c>
      <c r="P1257" s="435"/>
      <c r="Q1257" s="435"/>
      <c r="R1257" s="401">
        <v>0</v>
      </c>
      <c r="S1257" s="466">
        <v>0</v>
      </c>
      <c r="U1257" s="1248">
        <f t="shared" si="26"/>
        <v>0</v>
      </c>
      <c r="V1257" s="1304">
        <f t="shared" si="27"/>
        <v>1</v>
      </c>
    </row>
    <row r="1258" spans="1:22" ht="16.5" thickTop="1" thickBot="1">
      <c r="A1258" s="1244"/>
      <c r="B1258" s="1245" t="s">
        <v>3172</v>
      </c>
      <c r="C1258" s="1328" t="s">
        <v>3202</v>
      </c>
      <c r="D1258" s="1327" t="s">
        <v>227</v>
      </c>
      <c r="E1258" s="1245" t="s">
        <v>3907</v>
      </c>
      <c r="F1258" s="457" t="s">
        <v>3908</v>
      </c>
      <c r="G1258" s="458" t="s">
        <v>156</v>
      </c>
      <c r="H1258" s="888">
        <v>0</v>
      </c>
      <c r="I1258" s="890"/>
      <c r="J1258" s="899">
        <v>10.465</v>
      </c>
      <c r="K1258" s="603">
        <v>0.4</v>
      </c>
      <c r="L1258" s="980">
        <v>5</v>
      </c>
      <c r="M1258" s="1245" t="s">
        <v>227</v>
      </c>
      <c r="N1258" s="604" t="s">
        <v>227</v>
      </c>
      <c r="O1258" s="463">
        <v>5</v>
      </c>
      <c r="P1258" s="434">
        <v>10.465</v>
      </c>
      <c r="Q1258" s="434">
        <v>1</v>
      </c>
      <c r="R1258" s="400">
        <v>1</v>
      </c>
      <c r="S1258" s="464">
        <v>0.4</v>
      </c>
      <c r="U1258" s="1248">
        <f t="shared" si="26"/>
        <v>0</v>
      </c>
      <c r="V1258" s="1304">
        <f t="shared" si="27"/>
        <v>1</v>
      </c>
    </row>
    <row r="1259" spans="1:22" ht="16.5" thickTop="1" thickBot="1">
      <c r="A1259" s="1244"/>
      <c r="B1259" s="1249" t="s">
        <v>3172</v>
      </c>
      <c r="C1259" s="1329" t="s">
        <v>3202</v>
      </c>
      <c r="D1259" s="1326" t="s">
        <v>227</v>
      </c>
      <c r="E1259" s="1249" t="s">
        <v>3909</v>
      </c>
      <c r="F1259" s="455" t="s">
        <v>3910</v>
      </c>
      <c r="G1259" s="456" t="s">
        <v>156</v>
      </c>
      <c r="H1259" s="889"/>
      <c r="I1259" s="891"/>
      <c r="J1259" s="601">
        <v>36.351999999999997</v>
      </c>
      <c r="K1259" s="602">
        <v>0.8</v>
      </c>
      <c r="L1259" s="981">
        <v>5</v>
      </c>
      <c r="M1259" s="1249" t="s">
        <v>366</v>
      </c>
      <c r="N1259" s="604" t="s">
        <v>227</v>
      </c>
      <c r="O1259" s="465">
        <v>5</v>
      </c>
      <c r="P1259" s="435">
        <v>36.351999999999997</v>
      </c>
      <c r="Q1259" s="435">
        <v>3</v>
      </c>
      <c r="R1259" s="401">
        <v>2</v>
      </c>
      <c r="S1259" s="466">
        <v>0.8</v>
      </c>
      <c r="U1259" s="1248">
        <f t="shared" si="26"/>
        <v>1</v>
      </c>
      <c r="V1259" s="1304">
        <f t="shared" si="27"/>
        <v>1</v>
      </c>
    </row>
    <row r="1260" spans="1:22" ht="16.5" thickTop="1" thickBot="1">
      <c r="A1260" s="1244"/>
      <c r="B1260" s="1245" t="s">
        <v>3172</v>
      </c>
      <c r="C1260" s="1328" t="s">
        <v>3205</v>
      </c>
      <c r="D1260" s="1327" t="s">
        <v>227</v>
      </c>
      <c r="E1260" s="1245" t="s">
        <v>3360</v>
      </c>
      <c r="F1260" s="457" t="s">
        <v>3361</v>
      </c>
      <c r="G1260" s="458" t="s">
        <v>157</v>
      </c>
      <c r="H1260" s="888">
        <v>1</v>
      </c>
      <c r="I1260" s="890">
        <v>33.930999999999997</v>
      </c>
      <c r="J1260" s="899">
        <v>70.614000000000004</v>
      </c>
      <c r="K1260" s="603">
        <v>0.66666666666666663</v>
      </c>
      <c r="L1260" s="980">
        <v>7</v>
      </c>
      <c r="M1260" s="1245" t="s">
        <v>323</v>
      </c>
      <c r="N1260" s="604" t="s">
        <v>227</v>
      </c>
      <c r="O1260" s="463">
        <v>4</v>
      </c>
      <c r="P1260" s="434">
        <v>23.454999999999998</v>
      </c>
      <c r="Q1260" s="434">
        <v>2</v>
      </c>
      <c r="R1260" s="400">
        <v>2</v>
      </c>
      <c r="S1260" s="464">
        <v>0.4</v>
      </c>
      <c r="U1260" s="1248">
        <f t="shared" si="26"/>
        <v>0</v>
      </c>
      <c r="V1260" s="1304">
        <f t="shared" si="27"/>
        <v>1</v>
      </c>
    </row>
    <row r="1261" spans="1:22" ht="16.5" thickTop="1" thickBot="1">
      <c r="A1261" s="1244"/>
      <c r="B1261" s="1249" t="s">
        <v>3172</v>
      </c>
      <c r="C1261" s="1329" t="s">
        <v>3205</v>
      </c>
      <c r="D1261" s="1326" t="s">
        <v>227</v>
      </c>
      <c r="E1261" s="1249" t="s">
        <v>3205</v>
      </c>
      <c r="F1261" s="455" t="s">
        <v>2836</v>
      </c>
      <c r="G1261" s="456" t="s">
        <v>158</v>
      </c>
      <c r="H1261" s="889">
        <v>1</v>
      </c>
      <c r="I1261" s="891"/>
      <c r="J1261" s="601">
        <v>33.103000000000002</v>
      </c>
      <c r="K1261" s="602">
        <v>0.22222222222222221</v>
      </c>
      <c r="L1261" s="981">
        <v>5</v>
      </c>
      <c r="M1261" s="1249" t="s">
        <v>323</v>
      </c>
      <c r="N1261" s="604" t="s">
        <v>227</v>
      </c>
      <c r="O1261" s="465">
        <v>2</v>
      </c>
      <c r="P1261" s="435">
        <v>33.103000000000002</v>
      </c>
      <c r="Q1261" s="435">
        <v>2</v>
      </c>
      <c r="R1261" s="401">
        <v>1</v>
      </c>
      <c r="S1261" s="466">
        <v>0.25</v>
      </c>
      <c r="U1261" s="1248">
        <f t="shared" si="26"/>
        <v>0</v>
      </c>
      <c r="V1261" s="1304">
        <f t="shared" si="27"/>
        <v>1</v>
      </c>
    </row>
    <row r="1262" spans="1:22" ht="16.5" thickTop="1" thickBot="1">
      <c r="A1262" s="1244"/>
      <c r="B1262" s="1245" t="s">
        <v>3172</v>
      </c>
      <c r="C1262" s="1328" t="s">
        <v>3205</v>
      </c>
      <c r="D1262" s="1327" t="s">
        <v>227</v>
      </c>
      <c r="E1262" s="1245" t="s">
        <v>3368</v>
      </c>
      <c r="F1262" s="457" t="s">
        <v>3369</v>
      </c>
      <c r="G1262" s="458" t="s">
        <v>156</v>
      </c>
      <c r="H1262" s="888">
        <v>1</v>
      </c>
      <c r="I1262" s="890"/>
      <c r="J1262" s="899"/>
      <c r="K1262" s="603">
        <v>0</v>
      </c>
      <c r="L1262" s="980">
        <v>1</v>
      </c>
      <c r="M1262" s="1245" t="s">
        <v>366</v>
      </c>
      <c r="N1262" s="604" t="s">
        <v>227</v>
      </c>
      <c r="O1262" s="463"/>
      <c r="P1262" s="434"/>
      <c r="Q1262" s="434"/>
      <c r="R1262" s="400">
        <v>0</v>
      </c>
      <c r="S1262" s="464">
        <v>0</v>
      </c>
      <c r="U1262" s="1248">
        <f t="shared" si="26"/>
        <v>1</v>
      </c>
      <c r="V1262" s="1304">
        <f t="shared" si="27"/>
        <v>1</v>
      </c>
    </row>
    <row r="1263" spans="1:22" ht="16.5" thickTop="1" thickBot="1">
      <c r="A1263" s="1244"/>
      <c r="B1263" s="1249" t="s">
        <v>3172</v>
      </c>
      <c r="C1263" s="1329" t="s">
        <v>3205</v>
      </c>
      <c r="D1263" s="1326" t="s">
        <v>227</v>
      </c>
      <c r="E1263" s="1249" t="s">
        <v>3693</v>
      </c>
      <c r="F1263" s="455" t="s">
        <v>3011</v>
      </c>
      <c r="G1263" s="456" t="s">
        <v>157</v>
      </c>
      <c r="H1263" s="889">
        <v>0</v>
      </c>
      <c r="I1263" s="891"/>
      <c r="J1263" s="601">
        <v>61.542999999999999</v>
      </c>
      <c r="K1263" s="602">
        <v>0.66666666666666663</v>
      </c>
      <c r="L1263" s="981">
        <v>4</v>
      </c>
      <c r="M1263" s="1249" t="s">
        <v>227</v>
      </c>
      <c r="N1263" s="604" t="s">
        <v>227</v>
      </c>
      <c r="O1263" s="465">
        <v>2</v>
      </c>
      <c r="P1263" s="435">
        <v>61.542999999999999</v>
      </c>
      <c r="Q1263" s="435">
        <v>4</v>
      </c>
      <c r="R1263" s="401">
        <v>2</v>
      </c>
      <c r="S1263" s="466">
        <v>0.66666666666666663</v>
      </c>
      <c r="U1263" s="1248">
        <f t="shared" si="26"/>
        <v>0</v>
      </c>
      <c r="V1263" s="1304">
        <f t="shared" si="27"/>
        <v>1</v>
      </c>
    </row>
    <row r="1264" spans="1:22" ht="16.5" thickTop="1" thickBot="1">
      <c r="A1264" s="1244"/>
      <c r="B1264" s="1245" t="s">
        <v>3172</v>
      </c>
      <c r="C1264" s="1328" t="s">
        <v>3205</v>
      </c>
      <c r="D1264" s="1327" t="s">
        <v>227</v>
      </c>
      <c r="E1264" s="1245" t="s">
        <v>3911</v>
      </c>
      <c r="F1264" s="457" t="s">
        <v>3912</v>
      </c>
      <c r="G1264" s="458" t="s">
        <v>156</v>
      </c>
      <c r="H1264" s="888">
        <v>0</v>
      </c>
      <c r="I1264" s="890"/>
      <c r="J1264" s="899"/>
      <c r="K1264" s="603">
        <v>0</v>
      </c>
      <c r="L1264" s="980">
        <v>3</v>
      </c>
      <c r="M1264" s="1245" t="s">
        <v>227</v>
      </c>
      <c r="N1264" s="604" t="s">
        <v>227</v>
      </c>
      <c r="O1264" s="463">
        <v>3</v>
      </c>
      <c r="P1264" s="434"/>
      <c r="Q1264" s="434"/>
      <c r="R1264" s="400">
        <v>0</v>
      </c>
      <c r="S1264" s="464">
        <v>0</v>
      </c>
      <c r="U1264" s="1248">
        <f t="shared" si="26"/>
        <v>0</v>
      </c>
      <c r="V1264" s="1304">
        <f t="shared" si="27"/>
        <v>1</v>
      </c>
    </row>
    <row r="1265" spans="1:22" ht="16.5" thickTop="1" thickBot="1">
      <c r="A1265" s="1244"/>
      <c r="B1265" s="1249" t="s">
        <v>3172</v>
      </c>
      <c r="C1265" s="1329" t="s">
        <v>3205</v>
      </c>
      <c r="D1265" s="1326" t="s">
        <v>227</v>
      </c>
      <c r="E1265" s="1249" t="s">
        <v>3913</v>
      </c>
      <c r="F1265" s="455" t="s">
        <v>3914</v>
      </c>
      <c r="G1265" s="456" t="s">
        <v>156</v>
      </c>
      <c r="H1265" s="889">
        <v>0</v>
      </c>
      <c r="I1265" s="891">
        <v>85.385999999999996</v>
      </c>
      <c r="J1265" s="601">
        <v>85.385999999999996</v>
      </c>
      <c r="K1265" s="602">
        <v>0.4</v>
      </c>
      <c r="L1265" s="981">
        <v>3</v>
      </c>
      <c r="M1265" s="1249" t="s">
        <v>227</v>
      </c>
      <c r="N1265" s="604" t="s">
        <v>227</v>
      </c>
      <c r="O1265" s="465">
        <v>1</v>
      </c>
      <c r="P1265" s="435">
        <v>85.385999999999996</v>
      </c>
      <c r="Q1265" s="435">
        <v>2</v>
      </c>
      <c r="R1265" s="401">
        <v>1</v>
      </c>
      <c r="S1265" s="466">
        <v>0.4</v>
      </c>
      <c r="U1265" s="1248">
        <f t="shared" si="26"/>
        <v>0</v>
      </c>
      <c r="V1265" s="1304">
        <f t="shared" si="27"/>
        <v>1</v>
      </c>
    </row>
    <row r="1266" spans="1:22" ht="16.5" thickTop="1" thickBot="1">
      <c r="A1266" s="1244"/>
      <c r="B1266" s="1245" t="s">
        <v>3517</v>
      </c>
      <c r="C1266" s="1328" t="s">
        <v>227</v>
      </c>
      <c r="D1266" s="1327" t="s">
        <v>227</v>
      </c>
      <c r="E1266" s="1245" t="s">
        <v>2754</v>
      </c>
      <c r="F1266" s="457" t="s">
        <v>2756</v>
      </c>
      <c r="G1266" s="458" t="s">
        <v>157</v>
      </c>
      <c r="H1266" s="888">
        <v>4</v>
      </c>
      <c r="I1266" s="890">
        <v>7.2830000000000004</v>
      </c>
      <c r="J1266" s="899">
        <v>215.036</v>
      </c>
      <c r="K1266" s="603">
        <v>0.47058823529411764</v>
      </c>
      <c r="L1266" s="980">
        <v>3</v>
      </c>
      <c r="M1266" s="1245" t="s">
        <v>323</v>
      </c>
      <c r="N1266" s="604" t="s">
        <v>227</v>
      </c>
      <c r="O1266" s="463"/>
      <c r="P1266" s="434"/>
      <c r="Q1266" s="434"/>
      <c r="R1266" s="400">
        <v>0</v>
      </c>
      <c r="S1266" s="464">
        <v>0</v>
      </c>
      <c r="U1266" s="1248">
        <f t="shared" si="26"/>
        <v>0</v>
      </c>
      <c r="V1266" s="1304">
        <f t="shared" si="27"/>
        <v>1</v>
      </c>
    </row>
    <row r="1267" spans="1:22" ht="16.5" thickTop="1" thickBot="1">
      <c r="A1267" s="1244"/>
      <c r="B1267" s="1249" t="s">
        <v>3517</v>
      </c>
      <c r="C1267" s="1329" t="s">
        <v>227</v>
      </c>
      <c r="D1267" s="1326" t="s">
        <v>227</v>
      </c>
      <c r="E1267" s="1249" t="s">
        <v>2777</v>
      </c>
      <c r="F1267" s="455" t="s">
        <v>2779</v>
      </c>
      <c r="G1267" s="456" t="s">
        <v>157</v>
      </c>
      <c r="H1267" s="889">
        <v>4</v>
      </c>
      <c r="I1267" s="891"/>
      <c r="J1267" s="601">
        <v>10.365</v>
      </c>
      <c r="K1267" s="602">
        <v>6.25E-2</v>
      </c>
      <c r="L1267" s="981">
        <v>6</v>
      </c>
      <c r="M1267" s="1249" t="s">
        <v>366</v>
      </c>
      <c r="N1267" s="604" t="s">
        <v>227</v>
      </c>
      <c r="O1267" s="465"/>
      <c r="P1267" s="435">
        <v>10.365</v>
      </c>
      <c r="Q1267" s="435">
        <v>1</v>
      </c>
      <c r="R1267" s="401">
        <v>1</v>
      </c>
      <c r="S1267" s="466">
        <v>0.16666666666666666</v>
      </c>
      <c r="U1267" s="1248">
        <f t="shared" si="26"/>
        <v>1</v>
      </c>
      <c r="V1267" s="1304">
        <f t="shared" si="27"/>
        <v>1</v>
      </c>
    </row>
    <row r="1268" spans="1:22" ht="16.5" thickTop="1" thickBot="1">
      <c r="A1268" s="1244"/>
      <c r="B1268" s="1245" t="s">
        <v>3517</v>
      </c>
      <c r="C1268" s="1328" t="s">
        <v>227</v>
      </c>
      <c r="D1268" s="1327" t="s">
        <v>227</v>
      </c>
      <c r="E1268" s="1245" t="s">
        <v>2851</v>
      </c>
      <c r="F1268" s="457" t="s">
        <v>2852</v>
      </c>
      <c r="G1268" s="458" t="s">
        <v>156</v>
      </c>
      <c r="H1268" s="888">
        <v>3</v>
      </c>
      <c r="I1268" s="890">
        <v>8.2919999999999998</v>
      </c>
      <c r="J1268" s="899">
        <v>83.751000000000005</v>
      </c>
      <c r="K1268" s="603">
        <v>0.48275862068965519</v>
      </c>
      <c r="L1268" s="980">
        <v>5</v>
      </c>
      <c r="M1268" s="1245" t="s">
        <v>323</v>
      </c>
      <c r="N1268" s="604" t="s">
        <v>227</v>
      </c>
      <c r="O1268" s="463">
        <v>1</v>
      </c>
      <c r="P1268" s="434">
        <v>18.501000000000001</v>
      </c>
      <c r="Q1268" s="434">
        <v>2</v>
      </c>
      <c r="R1268" s="400">
        <v>1</v>
      </c>
      <c r="S1268" s="464">
        <v>0.22222222222222221</v>
      </c>
      <c r="U1268" s="1248">
        <f t="shared" si="26"/>
        <v>0</v>
      </c>
      <c r="V1268" s="1304">
        <f t="shared" si="27"/>
        <v>1</v>
      </c>
    </row>
    <row r="1269" spans="1:22" ht="16.5" thickTop="1" thickBot="1">
      <c r="A1269" s="1244"/>
      <c r="B1269" s="1249" t="s">
        <v>3517</v>
      </c>
      <c r="C1269" s="1329" t="s">
        <v>227</v>
      </c>
      <c r="D1269" s="1326" t="s">
        <v>227</v>
      </c>
      <c r="E1269" s="1249" t="s">
        <v>2873</v>
      </c>
      <c r="F1269" s="455" t="s">
        <v>2874</v>
      </c>
      <c r="G1269" s="456" t="s">
        <v>156</v>
      </c>
      <c r="H1269" s="889">
        <v>3</v>
      </c>
      <c r="I1269" s="891">
        <v>31.33</v>
      </c>
      <c r="J1269" s="601">
        <v>66.430000000000007</v>
      </c>
      <c r="K1269" s="602">
        <v>0.19047619047619047</v>
      </c>
      <c r="L1269" s="981">
        <v>3</v>
      </c>
      <c r="M1269" s="1249" t="s">
        <v>323</v>
      </c>
      <c r="N1269" s="604" t="s">
        <v>227</v>
      </c>
      <c r="O1269" s="465"/>
      <c r="P1269" s="435"/>
      <c r="Q1269" s="435"/>
      <c r="R1269" s="401">
        <v>0</v>
      </c>
      <c r="S1269" s="466">
        <v>0</v>
      </c>
      <c r="U1269" s="1248">
        <f t="shared" si="26"/>
        <v>0</v>
      </c>
      <c r="V1269" s="1304">
        <f t="shared" si="27"/>
        <v>1</v>
      </c>
    </row>
    <row r="1270" spans="1:22" ht="16.5" thickTop="1" thickBot="1">
      <c r="A1270" s="1244"/>
      <c r="B1270" s="1245" t="s">
        <v>3517</v>
      </c>
      <c r="C1270" s="1328" t="s">
        <v>227</v>
      </c>
      <c r="D1270" s="1327" t="s">
        <v>227</v>
      </c>
      <c r="E1270" s="1245" t="s">
        <v>3153</v>
      </c>
      <c r="F1270" s="457" t="s">
        <v>3154</v>
      </c>
      <c r="G1270" s="458" t="s">
        <v>156</v>
      </c>
      <c r="H1270" s="888">
        <v>2</v>
      </c>
      <c r="I1270" s="890">
        <v>50.947000000000003</v>
      </c>
      <c r="J1270" s="899">
        <v>50.947000000000003</v>
      </c>
      <c r="K1270" s="603">
        <v>0.36363636363636365</v>
      </c>
      <c r="L1270" s="980">
        <v>3</v>
      </c>
      <c r="M1270" s="1245" t="s">
        <v>323</v>
      </c>
      <c r="N1270" s="604" t="s">
        <v>227</v>
      </c>
      <c r="O1270" s="463"/>
      <c r="P1270" s="434"/>
      <c r="Q1270" s="434"/>
      <c r="R1270" s="400">
        <v>0</v>
      </c>
      <c r="S1270" s="464">
        <v>0</v>
      </c>
      <c r="U1270" s="1248">
        <f t="shared" si="26"/>
        <v>0</v>
      </c>
      <c r="V1270" s="1304">
        <f t="shared" si="27"/>
        <v>1</v>
      </c>
    </row>
    <row r="1271" spans="1:22" ht="16.5" thickTop="1" thickBot="1">
      <c r="A1271" s="1244"/>
      <c r="B1271" s="1249" t="s">
        <v>3517</v>
      </c>
      <c r="C1271" s="1329" t="s">
        <v>2728</v>
      </c>
      <c r="D1271" s="1326" t="s">
        <v>227</v>
      </c>
      <c r="E1271" s="1249" t="s">
        <v>2728</v>
      </c>
      <c r="F1271" s="455" t="s">
        <v>2730</v>
      </c>
      <c r="G1271" s="456" t="s">
        <v>158</v>
      </c>
      <c r="H1271" s="889">
        <v>4</v>
      </c>
      <c r="I1271" s="891">
        <v>51.462000000000003</v>
      </c>
      <c r="J1271" s="601">
        <v>71.962999999999994</v>
      </c>
      <c r="K1271" s="602">
        <v>0.7142857142857143</v>
      </c>
      <c r="L1271" s="981">
        <v>2</v>
      </c>
      <c r="M1271" s="1249" t="s">
        <v>321</v>
      </c>
      <c r="N1271" s="604" t="s">
        <v>227</v>
      </c>
      <c r="O1271" s="465"/>
      <c r="P1271" s="435"/>
      <c r="Q1271" s="435"/>
      <c r="R1271" s="401">
        <v>0</v>
      </c>
      <c r="S1271" s="466">
        <v>0</v>
      </c>
      <c r="U1271" s="1248">
        <f t="shared" si="26"/>
        <v>0</v>
      </c>
      <c r="V1271" s="1304">
        <f t="shared" si="27"/>
        <v>1</v>
      </c>
    </row>
    <row r="1272" spans="1:22" ht="16.5" thickTop="1" thickBot="1">
      <c r="A1272" s="1244"/>
      <c r="B1272" s="1245" t="s">
        <v>3517</v>
      </c>
      <c r="C1272" s="1328" t="s">
        <v>2728</v>
      </c>
      <c r="D1272" s="1327" t="s">
        <v>227</v>
      </c>
      <c r="E1272" s="1245" t="s">
        <v>2757</v>
      </c>
      <c r="F1272" s="457" t="s">
        <v>2473</v>
      </c>
      <c r="G1272" s="458" t="s">
        <v>157</v>
      </c>
      <c r="H1272" s="888">
        <v>3</v>
      </c>
      <c r="I1272" s="890">
        <v>133.20500000000001</v>
      </c>
      <c r="J1272" s="899">
        <v>244.84700000000001</v>
      </c>
      <c r="K1272" s="603">
        <v>0.5</v>
      </c>
      <c r="L1272" s="980">
        <v>4</v>
      </c>
      <c r="M1272" s="1245" t="s">
        <v>323</v>
      </c>
      <c r="N1272" s="604" t="s">
        <v>227</v>
      </c>
      <c r="O1272" s="463"/>
      <c r="P1272" s="434"/>
      <c r="Q1272" s="434"/>
      <c r="R1272" s="400">
        <v>0</v>
      </c>
      <c r="S1272" s="464">
        <v>0</v>
      </c>
      <c r="U1272" s="1248">
        <f t="shared" si="26"/>
        <v>0</v>
      </c>
      <c r="V1272" s="1304">
        <f t="shared" si="27"/>
        <v>1</v>
      </c>
    </row>
    <row r="1273" spans="1:22" ht="16.5" thickTop="1" thickBot="1">
      <c r="A1273" s="1244"/>
      <c r="B1273" s="1249" t="s">
        <v>3517</v>
      </c>
      <c r="C1273" s="1329" t="s">
        <v>2728</v>
      </c>
      <c r="D1273" s="1326" t="s">
        <v>227</v>
      </c>
      <c r="E1273" s="1249" t="s">
        <v>2853</v>
      </c>
      <c r="F1273" s="455" t="s">
        <v>2854</v>
      </c>
      <c r="G1273" s="456" t="s">
        <v>156</v>
      </c>
      <c r="H1273" s="889">
        <v>3</v>
      </c>
      <c r="I1273" s="891">
        <v>10.178000000000001</v>
      </c>
      <c r="J1273" s="601">
        <v>10.178000000000001</v>
      </c>
      <c r="K1273" s="602">
        <v>7.1428571428571425E-2</v>
      </c>
      <c r="L1273" s="981">
        <v>4</v>
      </c>
      <c r="M1273" s="1249" t="s">
        <v>366</v>
      </c>
      <c r="N1273" s="604" t="s">
        <v>227</v>
      </c>
      <c r="O1273" s="465"/>
      <c r="P1273" s="435"/>
      <c r="Q1273" s="435"/>
      <c r="R1273" s="401">
        <v>0</v>
      </c>
      <c r="S1273" s="466">
        <v>0</v>
      </c>
      <c r="U1273" s="1248">
        <f t="shared" si="26"/>
        <v>1</v>
      </c>
      <c r="V1273" s="1304">
        <f t="shared" si="27"/>
        <v>1</v>
      </c>
    </row>
    <row r="1274" spans="1:22" ht="16.5" thickTop="1" thickBot="1">
      <c r="A1274" s="1244"/>
      <c r="B1274" s="1245" t="s">
        <v>3517</v>
      </c>
      <c r="C1274" s="1328" t="s">
        <v>2728</v>
      </c>
      <c r="D1274" s="1327" t="s">
        <v>227</v>
      </c>
      <c r="E1274" s="1245" t="s">
        <v>3396</v>
      </c>
      <c r="F1274" s="457" t="s">
        <v>2267</v>
      </c>
      <c r="G1274" s="458" t="s">
        <v>156</v>
      </c>
      <c r="H1274" s="888">
        <v>1</v>
      </c>
      <c r="I1274" s="890">
        <v>30.831</v>
      </c>
      <c r="J1274" s="899">
        <v>45.582000000000001</v>
      </c>
      <c r="K1274" s="603">
        <v>0.5714285714285714</v>
      </c>
      <c r="L1274" s="980">
        <v>3</v>
      </c>
      <c r="M1274" s="1245" t="s">
        <v>323</v>
      </c>
      <c r="N1274" s="604" t="s">
        <v>227</v>
      </c>
      <c r="O1274" s="463">
        <v>1</v>
      </c>
      <c r="P1274" s="434">
        <v>14.750999999999999</v>
      </c>
      <c r="Q1274" s="434">
        <v>1</v>
      </c>
      <c r="R1274" s="400">
        <v>1</v>
      </c>
      <c r="S1274" s="464">
        <v>0.4</v>
      </c>
      <c r="U1274" s="1248">
        <f t="shared" si="26"/>
        <v>0</v>
      </c>
      <c r="V1274" s="1304">
        <f t="shared" si="27"/>
        <v>1</v>
      </c>
    </row>
    <row r="1275" spans="1:22" ht="16.5" thickTop="1" thickBot="1">
      <c r="A1275" s="1244"/>
      <c r="B1275" s="1249" t="s">
        <v>47</v>
      </c>
      <c r="C1275" s="1329" t="s">
        <v>227</v>
      </c>
      <c r="D1275" s="1326" t="s">
        <v>227</v>
      </c>
      <c r="E1275" s="1249" t="s">
        <v>23</v>
      </c>
      <c r="F1275" s="455" t="s">
        <v>302</v>
      </c>
      <c r="G1275" s="456" t="s">
        <v>157</v>
      </c>
      <c r="H1275" s="889">
        <v>51</v>
      </c>
      <c r="I1275" s="891">
        <v>86.656999999999996</v>
      </c>
      <c r="J1275" s="601">
        <v>250.369</v>
      </c>
      <c r="K1275" s="602">
        <v>0.21359223300970873</v>
      </c>
      <c r="L1275" s="981">
        <v>4</v>
      </c>
      <c r="M1275" s="1249" t="s">
        <v>366</v>
      </c>
      <c r="N1275" s="604" t="s">
        <v>227</v>
      </c>
      <c r="O1275" s="465"/>
      <c r="P1275" s="435">
        <v>90.338999999999999</v>
      </c>
      <c r="Q1275" s="435">
        <v>4</v>
      </c>
      <c r="R1275" s="401">
        <v>3</v>
      </c>
      <c r="S1275" s="466">
        <v>0.75</v>
      </c>
      <c r="U1275" s="1248">
        <f t="shared" si="26"/>
        <v>1</v>
      </c>
      <c r="V1275" s="1304">
        <f t="shared" si="27"/>
        <v>1</v>
      </c>
    </row>
    <row r="1276" spans="1:22" ht="16.5" thickTop="1" thickBot="1">
      <c r="A1276" s="1244"/>
      <c r="B1276" s="1245" t="s">
        <v>47</v>
      </c>
      <c r="C1276" s="1328" t="s">
        <v>227</v>
      </c>
      <c r="D1276" s="1327" t="s">
        <v>227</v>
      </c>
      <c r="E1276" s="1245" t="s">
        <v>24</v>
      </c>
      <c r="F1276" s="457" t="s">
        <v>329</v>
      </c>
      <c r="G1276" s="458" t="s">
        <v>157</v>
      </c>
      <c r="H1276" s="888">
        <v>51</v>
      </c>
      <c r="I1276" s="890">
        <v>1557.5730000000001</v>
      </c>
      <c r="J1276" s="899">
        <v>2311.451</v>
      </c>
      <c r="K1276" s="603">
        <v>0.45714285714285713</v>
      </c>
      <c r="L1276" s="980">
        <v>6</v>
      </c>
      <c r="M1276" s="1245" t="s">
        <v>366</v>
      </c>
      <c r="N1276" s="604" t="s">
        <v>227</v>
      </c>
      <c r="O1276" s="463"/>
      <c r="P1276" s="434">
        <v>119.93600000000001</v>
      </c>
      <c r="Q1276" s="434">
        <v>4</v>
      </c>
      <c r="R1276" s="400">
        <v>3</v>
      </c>
      <c r="S1276" s="464">
        <v>0.5</v>
      </c>
      <c r="U1276" s="1248">
        <f t="shared" si="26"/>
        <v>1</v>
      </c>
      <c r="V1276" s="1304">
        <f t="shared" si="27"/>
        <v>1</v>
      </c>
    </row>
    <row r="1277" spans="1:22" ht="16.5" thickTop="1" thickBot="1">
      <c r="A1277" s="1244"/>
      <c r="B1277" s="1249" t="s">
        <v>47</v>
      </c>
      <c r="C1277" s="1329" t="s">
        <v>227</v>
      </c>
      <c r="D1277" s="1326" t="s">
        <v>227</v>
      </c>
      <c r="E1277" s="1249" t="s">
        <v>25</v>
      </c>
      <c r="F1277" s="455" t="s">
        <v>330</v>
      </c>
      <c r="G1277" s="456" t="s">
        <v>156</v>
      </c>
      <c r="H1277" s="889">
        <v>51</v>
      </c>
      <c r="I1277" s="891">
        <v>237.22300000000001</v>
      </c>
      <c r="J1277" s="601">
        <v>245.30600000000001</v>
      </c>
      <c r="K1277" s="602">
        <v>0.40677966101694918</v>
      </c>
      <c r="L1277" s="981">
        <v>3</v>
      </c>
      <c r="M1277" s="1249" t="s">
        <v>366</v>
      </c>
      <c r="N1277" s="604" t="s">
        <v>227</v>
      </c>
      <c r="O1277" s="465"/>
      <c r="P1277" s="435">
        <v>43.688000000000002</v>
      </c>
      <c r="Q1277" s="435">
        <v>2</v>
      </c>
      <c r="R1277" s="401">
        <v>1</v>
      </c>
      <c r="S1277" s="466">
        <v>0.33333333333333331</v>
      </c>
      <c r="U1277" s="1248">
        <f t="shared" si="26"/>
        <v>1</v>
      </c>
      <c r="V1277" s="1304">
        <f t="shared" si="27"/>
        <v>1</v>
      </c>
    </row>
    <row r="1278" spans="1:22" ht="16.5" thickTop="1" thickBot="1">
      <c r="A1278" s="1244"/>
      <c r="B1278" s="1245" t="s">
        <v>47</v>
      </c>
      <c r="C1278" s="1328" t="s">
        <v>227</v>
      </c>
      <c r="D1278" s="1327" t="s">
        <v>227</v>
      </c>
      <c r="E1278" s="1245" t="s">
        <v>442</v>
      </c>
      <c r="F1278" s="457" t="s">
        <v>443</v>
      </c>
      <c r="G1278" s="458" t="s">
        <v>156</v>
      </c>
      <c r="H1278" s="888">
        <v>36</v>
      </c>
      <c r="I1278" s="890">
        <v>890.27800000000002</v>
      </c>
      <c r="J1278" s="899">
        <v>910.55499999999995</v>
      </c>
      <c r="K1278" s="603">
        <v>0.2978723404255319</v>
      </c>
      <c r="L1278" s="980">
        <v>3</v>
      </c>
      <c r="M1278" s="1245" t="s">
        <v>366</v>
      </c>
      <c r="N1278" s="604" t="s">
        <v>227</v>
      </c>
      <c r="O1278" s="463"/>
      <c r="P1278" s="434">
        <v>38.335999999999999</v>
      </c>
      <c r="Q1278" s="434">
        <v>2</v>
      </c>
      <c r="R1278" s="400">
        <v>2</v>
      </c>
      <c r="S1278" s="464">
        <v>0.66666666666666663</v>
      </c>
      <c r="U1278" s="1248">
        <f t="shared" si="26"/>
        <v>1</v>
      </c>
      <c r="V1278" s="1304">
        <f t="shared" si="27"/>
        <v>1</v>
      </c>
    </row>
    <row r="1279" spans="1:22" ht="16.5" thickTop="1" thickBot="1">
      <c r="A1279" s="1244"/>
      <c r="B1279" s="1249" t="s">
        <v>47</v>
      </c>
      <c r="C1279" s="1329" t="s">
        <v>227</v>
      </c>
      <c r="D1279" s="1326" t="s">
        <v>227</v>
      </c>
      <c r="E1279" s="1249" t="s">
        <v>781</v>
      </c>
      <c r="F1279" s="455" t="s">
        <v>782</v>
      </c>
      <c r="G1279" s="456" t="s">
        <v>156</v>
      </c>
      <c r="H1279" s="889">
        <v>25</v>
      </c>
      <c r="I1279" s="891">
        <v>812.36300000000006</v>
      </c>
      <c r="J1279" s="601">
        <v>1232.8900000000001</v>
      </c>
      <c r="K1279" s="602">
        <v>0.31901840490797545</v>
      </c>
      <c r="L1279" s="981">
        <v>8</v>
      </c>
      <c r="M1279" s="1249" t="s">
        <v>323</v>
      </c>
      <c r="N1279" s="604" t="s">
        <v>227</v>
      </c>
      <c r="O1279" s="465"/>
      <c r="P1279" s="435">
        <v>188.12299999999999</v>
      </c>
      <c r="Q1279" s="435">
        <v>5</v>
      </c>
      <c r="R1279" s="401">
        <v>2</v>
      </c>
      <c r="S1279" s="466">
        <v>0.23529411764705882</v>
      </c>
      <c r="U1279" s="1248">
        <f t="shared" si="26"/>
        <v>0</v>
      </c>
      <c r="V1279" s="1304">
        <f t="shared" si="27"/>
        <v>1</v>
      </c>
    </row>
    <row r="1280" spans="1:22" ht="16.5" thickTop="1" thickBot="1">
      <c r="A1280" s="1244"/>
      <c r="B1280" s="1245" t="s">
        <v>47</v>
      </c>
      <c r="C1280" s="1328" t="s">
        <v>227</v>
      </c>
      <c r="D1280" s="1327" t="s">
        <v>227</v>
      </c>
      <c r="E1280" s="1245" t="s">
        <v>1650</v>
      </c>
      <c r="F1280" s="457" t="s">
        <v>1651</v>
      </c>
      <c r="G1280" s="458" t="s">
        <v>155</v>
      </c>
      <c r="H1280" s="888"/>
      <c r="I1280" s="890"/>
      <c r="J1280" s="899">
        <v>17.803000000000001</v>
      </c>
      <c r="K1280" s="603">
        <v>9.3023255813953487E-2</v>
      </c>
      <c r="L1280" s="980">
        <v>1</v>
      </c>
      <c r="M1280" s="1245" t="s">
        <v>366</v>
      </c>
      <c r="N1280" s="604" t="s">
        <v>227</v>
      </c>
      <c r="O1280" s="463"/>
      <c r="P1280" s="434"/>
      <c r="Q1280" s="434"/>
      <c r="R1280" s="400">
        <v>0</v>
      </c>
      <c r="S1280" s="464">
        <v>0</v>
      </c>
      <c r="U1280" s="1248">
        <f t="shared" si="26"/>
        <v>1</v>
      </c>
      <c r="V1280" s="1304">
        <f t="shared" si="27"/>
        <v>0</v>
      </c>
    </row>
    <row r="1281" spans="1:22" ht="16.5" thickTop="1" thickBot="1">
      <c r="A1281" s="1244"/>
      <c r="B1281" s="1249" t="s">
        <v>47</v>
      </c>
      <c r="C1281" s="1329" t="s">
        <v>227</v>
      </c>
      <c r="D1281" s="1326" t="s">
        <v>227</v>
      </c>
      <c r="E1281" s="1249" t="s">
        <v>1649</v>
      </c>
      <c r="F1281" s="455" t="s">
        <v>1614</v>
      </c>
      <c r="G1281" s="456" t="s">
        <v>156</v>
      </c>
      <c r="H1281" s="889">
        <v>13</v>
      </c>
      <c r="I1281" s="891">
        <v>208.94300000000001</v>
      </c>
      <c r="J1281" s="601">
        <v>295.87900000000002</v>
      </c>
      <c r="K1281" s="602">
        <v>0.20689655172413793</v>
      </c>
      <c r="L1281" s="981">
        <v>5</v>
      </c>
      <c r="M1281" s="1249" t="s">
        <v>321</v>
      </c>
      <c r="N1281" s="604" t="s">
        <v>227</v>
      </c>
      <c r="O1281" s="465"/>
      <c r="P1281" s="435"/>
      <c r="Q1281" s="435"/>
      <c r="R1281" s="401">
        <v>0</v>
      </c>
      <c r="S1281" s="466">
        <v>0</v>
      </c>
      <c r="U1281" s="1248">
        <f t="shared" si="26"/>
        <v>0</v>
      </c>
      <c r="V1281" s="1304">
        <f t="shared" si="27"/>
        <v>1</v>
      </c>
    </row>
    <row r="1282" spans="1:22" ht="16.5" thickTop="1" thickBot="1">
      <c r="A1282" s="1244"/>
      <c r="B1282" s="1245" t="s">
        <v>47</v>
      </c>
      <c r="C1282" s="1328" t="s">
        <v>227</v>
      </c>
      <c r="D1282" s="1327" t="s">
        <v>227</v>
      </c>
      <c r="E1282" s="1245" t="s">
        <v>2411</v>
      </c>
      <c r="F1282" s="457" t="s">
        <v>1609</v>
      </c>
      <c r="G1282" s="458" t="s">
        <v>155</v>
      </c>
      <c r="H1282" s="888"/>
      <c r="I1282" s="890"/>
      <c r="J1282" s="899">
        <v>49.073999999999998</v>
      </c>
      <c r="K1282" s="603">
        <v>0.12903225806451613</v>
      </c>
      <c r="L1282" s="980">
        <v>4</v>
      </c>
      <c r="M1282" s="1245" t="s">
        <v>366</v>
      </c>
      <c r="N1282" s="604" t="s">
        <v>227</v>
      </c>
      <c r="O1282" s="463"/>
      <c r="P1282" s="434"/>
      <c r="Q1282" s="434"/>
      <c r="R1282" s="400">
        <v>0</v>
      </c>
      <c r="S1282" s="464">
        <v>0</v>
      </c>
      <c r="U1282" s="1248">
        <f t="shared" si="26"/>
        <v>1</v>
      </c>
      <c r="V1282" s="1304">
        <f t="shared" si="27"/>
        <v>0</v>
      </c>
    </row>
    <row r="1283" spans="1:22" ht="16.5" thickTop="1" thickBot="1">
      <c r="A1283" s="1244"/>
      <c r="B1283" s="1249" t="s">
        <v>47</v>
      </c>
      <c r="C1283" s="1329" t="s">
        <v>866</v>
      </c>
      <c r="D1283" s="1326" t="s">
        <v>227</v>
      </c>
      <c r="E1283" s="1249" t="s">
        <v>866</v>
      </c>
      <c r="F1283" s="455" t="s">
        <v>868</v>
      </c>
      <c r="G1283" s="456" t="s">
        <v>158</v>
      </c>
      <c r="H1283" s="889">
        <v>21</v>
      </c>
      <c r="I1283" s="891">
        <v>302.67599999999999</v>
      </c>
      <c r="J1283" s="601">
        <v>452.928</v>
      </c>
      <c r="K1283" s="602">
        <v>0.27848101265822783</v>
      </c>
      <c r="L1283" s="981">
        <v>4</v>
      </c>
      <c r="M1283" s="1249" t="s">
        <v>323</v>
      </c>
      <c r="N1283" s="604" t="s">
        <v>227</v>
      </c>
      <c r="O1283" s="465">
        <v>1</v>
      </c>
      <c r="P1283" s="435">
        <v>55.591999999999999</v>
      </c>
      <c r="Q1283" s="435">
        <v>3</v>
      </c>
      <c r="R1283" s="401">
        <v>1</v>
      </c>
      <c r="S1283" s="466">
        <v>0.2857142857142857</v>
      </c>
      <c r="U1283" s="1248">
        <f t="shared" si="26"/>
        <v>0</v>
      </c>
      <c r="V1283" s="1304">
        <f t="shared" si="27"/>
        <v>1</v>
      </c>
    </row>
    <row r="1284" spans="1:22" ht="16.5" thickTop="1" thickBot="1">
      <c r="A1284" s="1244"/>
      <c r="B1284" s="1245" t="s">
        <v>47</v>
      </c>
      <c r="C1284" s="1328" t="s">
        <v>866</v>
      </c>
      <c r="D1284" s="1327" t="s">
        <v>227</v>
      </c>
      <c r="E1284" s="1245" t="s">
        <v>1083</v>
      </c>
      <c r="F1284" s="457" t="s">
        <v>1084</v>
      </c>
      <c r="G1284" s="458" t="s">
        <v>156</v>
      </c>
      <c r="H1284" s="888">
        <v>19</v>
      </c>
      <c r="I1284" s="890">
        <v>39.177</v>
      </c>
      <c r="J1284" s="899">
        <v>317.863</v>
      </c>
      <c r="K1284" s="603">
        <v>0.34482758620689657</v>
      </c>
      <c r="L1284" s="980">
        <v>6</v>
      </c>
      <c r="M1284" s="1245" t="s">
        <v>321</v>
      </c>
      <c r="N1284" s="604" t="s">
        <v>227</v>
      </c>
      <c r="O1284" s="463">
        <v>1</v>
      </c>
      <c r="P1284" s="434">
        <v>33.954999999999998</v>
      </c>
      <c r="Q1284" s="434">
        <v>4</v>
      </c>
      <c r="R1284" s="400">
        <v>4</v>
      </c>
      <c r="S1284" s="464">
        <v>0.66666666666666663</v>
      </c>
      <c r="U1284" s="1248">
        <f t="shared" si="26"/>
        <v>0</v>
      </c>
      <c r="V1284" s="1304">
        <f t="shared" si="27"/>
        <v>1</v>
      </c>
    </row>
    <row r="1285" spans="1:22" ht="16.5" thickTop="1" thickBot="1">
      <c r="A1285" s="1244"/>
      <c r="B1285" s="1249" t="s">
        <v>736</v>
      </c>
      <c r="C1285" s="1329" t="s">
        <v>227</v>
      </c>
      <c r="D1285" s="1326" t="s">
        <v>227</v>
      </c>
      <c r="E1285" s="1249" t="s">
        <v>810</v>
      </c>
      <c r="F1285" s="455" t="s">
        <v>812</v>
      </c>
      <c r="G1285" s="456" t="s">
        <v>157</v>
      </c>
      <c r="H1285" s="889">
        <v>24</v>
      </c>
      <c r="I1285" s="891">
        <v>116.542</v>
      </c>
      <c r="J1285" s="601">
        <v>241.84399999999999</v>
      </c>
      <c r="K1285" s="602">
        <v>0.4375</v>
      </c>
      <c r="L1285" s="981">
        <v>3</v>
      </c>
      <c r="M1285" s="1249" t="s">
        <v>322</v>
      </c>
      <c r="N1285" s="604" t="s">
        <v>227</v>
      </c>
      <c r="O1285" s="465"/>
      <c r="P1285" s="435">
        <v>20.381</v>
      </c>
      <c r="Q1285" s="435">
        <v>1</v>
      </c>
      <c r="R1285" s="401">
        <v>1</v>
      </c>
      <c r="S1285" s="466">
        <v>0.2857142857142857</v>
      </c>
      <c r="U1285" s="1248">
        <f t="shared" si="26"/>
        <v>0</v>
      </c>
      <c r="V1285" s="1304">
        <f t="shared" si="27"/>
        <v>1</v>
      </c>
    </row>
    <row r="1286" spans="1:22" ht="16.5" thickTop="1" thickBot="1">
      <c r="A1286" s="1244"/>
      <c r="B1286" s="1245" t="s">
        <v>736</v>
      </c>
      <c r="C1286" s="1328" t="s">
        <v>227</v>
      </c>
      <c r="D1286" s="1327" t="s">
        <v>227</v>
      </c>
      <c r="E1286" s="1245" t="s">
        <v>1524</v>
      </c>
      <c r="F1286" s="457" t="s">
        <v>1525</v>
      </c>
      <c r="G1286" s="458" t="s">
        <v>157</v>
      </c>
      <c r="H1286" s="888">
        <v>15</v>
      </c>
      <c r="I1286" s="890">
        <v>204.47399999999999</v>
      </c>
      <c r="J1286" s="899">
        <v>417.72199999999998</v>
      </c>
      <c r="K1286" s="603">
        <v>0.16438356164383561</v>
      </c>
      <c r="L1286" s="980">
        <v>5</v>
      </c>
      <c r="M1286" s="1245" t="s">
        <v>323</v>
      </c>
      <c r="N1286" s="604" t="s">
        <v>227</v>
      </c>
      <c r="O1286" s="463"/>
      <c r="P1286" s="434">
        <v>6.7610000000000001</v>
      </c>
      <c r="Q1286" s="434"/>
      <c r="R1286" s="400">
        <v>0</v>
      </c>
      <c r="S1286" s="464">
        <v>0</v>
      </c>
      <c r="U1286" s="1248">
        <f t="shared" si="26"/>
        <v>0</v>
      </c>
      <c r="V1286" s="1304">
        <f t="shared" si="27"/>
        <v>1</v>
      </c>
    </row>
    <row r="1287" spans="1:22" ht="16.5" thickTop="1" thickBot="1">
      <c r="A1287" s="1244"/>
      <c r="B1287" s="1249" t="s">
        <v>736</v>
      </c>
      <c r="C1287" s="1329" t="s">
        <v>227</v>
      </c>
      <c r="D1287" s="1326" t="s">
        <v>227</v>
      </c>
      <c r="E1287" s="1249" t="s">
        <v>1526</v>
      </c>
      <c r="F1287" s="455" t="s">
        <v>1527</v>
      </c>
      <c r="G1287" s="456" t="s">
        <v>156</v>
      </c>
      <c r="H1287" s="889">
        <v>14</v>
      </c>
      <c r="I1287" s="891">
        <v>31.66</v>
      </c>
      <c r="J1287" s="601">
        <v>178.13499999999999</v>
      </c>
      <c r="K1287" s="602">
        <v>0.15652173913043479</v>
      </c>
      <c r="L1287" s="981">
        <v>5</v>
      </c>
      <c r="M1287" s="1249" t="s">
        <v>366</v>
      </c>
      <c r="N1287" s="604" t="s">
        <v>227</v>
      </c>
      <c r="O1287" s="465"/>
      <c r="P1287" s="435"/>
      <c r="Q1287" s="435"/>
      <c r="R1287" s="401">
        <v>0</v>
      </c>
      <c r="S1287" s="466">
        <v>0</v>
      </c>
      <c r="U1287" s="1248">
        <f t="shared" si="26"/>
        <v>1</v>
      </c>
      <c r="V1287" s="1304">
        <f t="shared" si="27"/>
        <v>1</v>
      </c>
    </row>
    <row r="1288" spans="1:22" ht="16.5" thickTop="1" thickBot="1">
      <c r="A1288" s="1244"/>
      <c r="B1288" s="1245" t="s">
        <v>736</v>
      </c>
      <c r="C1288" s="1328" t="s">
        <v>227</v>
      </c>
      <c r="D1288" s="1327" t="s">
        <v>227</v>
      </c>
      <c r="E1288" s="1245" t="s">
        <v>1522</v>
      </c>
      <c r="F1288" s="457" t="s">
        <v>1523</v>
      </c>
      <c r="G1288" s="458" t="s">
        <v>157</v>
      </c>
      <c r="H1288" s="888">
        <v>14</v>
      </c>
      <c r="I1288" s="890">
        <v>30.59</v>
      </c>
      <c r="J1288" s="899">
        <v>192.10300000000001</v>
      </c>
      <c r="K1288" s="603">
        <v>0.2711864406779661</v>
      </c>
      <c r="L1288" s="980">
        <v>2</v>
      </c>
      <c r="M1288" s="1245" t="s">
        <v>322</v>
      </c>
      <c r="N1288" s="604" t="s">
        <v>227</v>
      </c>
      <c r="O1288" s="463"/>
      <c r="P1288" s="434">
        <v>11.41</v>
      </c>
      <c r="Q1288" s="434">
        <v>2</v>
      </c>
      <c r="R1288" s="400">
        <v>1</v>
      </c>
      <c r="S1288" s="464">
        <v>0.5</v>
      </c>
      <c r="U1288" s="1248">
        <f t="shared" si="26"/>
        <v>0</v>
      </c>
      <c r="V1288" s="1304">
        <f t="shared" si="27"/>
        <v>1</v>
      </c>
    </row>
    <row r="1289" spans="1:22" ht="16.5" thickTop="1" thickBot="1">
      <c r="A1289" s="1244"/>
      <c r="B1289" s="1249" t="s">
        <v>736</v>
      </c>
      <c r="C1289" s="1329" t="s">
        <v>227</v>
      </c>
      <c r="D1289" s="1326" t="s">
        <v>227</v>
      </c>
      <c r="E1289" s="1249" t="s">
        <v>2172</v>
      </c>
      <c r="F1289" s="455" t="s">
        <v>2173</v>
      </c>
      <c r="G1289" s="456" t="s">
        <v>156</v>
      </c>
      <c r="H1289" s="889">
        <v>9</v>
      </c>
      <c r="I1289" s="891">
        <v>93.534000000000006</v>
      </c>
      <c r="J1289" s="601">
        <v>352.85199999999998</v>
      </c>
      <c r="K1289" s="602">
        <v>0.3125</v>
      </c>
      <c r="L1289" s="981">
        <v>4</v>
      </c>
      <c r="M1289" s="1249" t="s">
        <v>323</v>
      </c>
      <c r="N1289" s="604" t="s">
        <v>227</v>
      </c>
      <c r="O1289" s="465"/>
      <c r="P1289" s="435"/>
      <c r="Q1289" s="435"/>
      <c r="R1289" s="401">
        <v>0</v>
      </c>
      <c r="S1289" s="466">
        <v>0</v>
      </c>
      <c r="U1289" s="1248">
        <f t="shared" si="26"/>
        <v>0</v>
      </c>
      <c r="V1289" s="1304">
        <f t="shared" si="27"/>
        <v>1</v>
      </c>
    </row>
    <row r="1290" spans="1:22" ht="16.5" thickTop="1" thickBot="1">
      <c r="A1290" s="1244"/>
      <c r="B1290" s="1245" t="s">
        <v>736</v>
      </c>
      <c r="C1290" s="1328" t="s">
        <v>227</v>
      </c>
      <c r="D1290" s="1327" t="s">
        <v>227</v>
      </c>
      <c r="E1290" s="1245" t="s">
        <v>2520</v>
      </c>
      <c r="F1290" s="457" t="s">
        <v>2521</v>
      </c>
      <c r="G1290" s="458" t="s">
        <v>155</v>
      </c>
      <c r="H1290" s="888"/>
      <c r="I1290" s="890"/>
      <c r="J1290" s="899">
        <v>128.495</v>
      </c>
      <c r="K1290" s="603">
        <v>0.24390243902439024</v>
      </c>
      <c r="L1290" s="980">
        <v>3</v>
      </c>
      <c r="M1290" s="1245" t="s">
        <v>366</v>
      </c>
      <c r="N1290" s="604" t="s">
        <v>227</v>
      </c>
      <c r="O1290" s="463"/>
      <c r="P1290" s="434">
        <v>11.548</v>
      </c>
      <c r="Q1290" s="434">
        <v>1</v>
      </c>
      <c r="R1290" s="400">
        <v>1</v>
      </c>
      <c r="S1290" s="464">
        <v>0.33333333333333331</v>
      </c>
      <c r="U1290" s="1248">
        <f t="shared" si="26"/>
        <v>1</v>
      </c>
      <c r="V1290" s="1304">
        <f t="shared" si="27"/>
        <v>0</v>
      </c>
    </row>
    <row r="1291" spans="1:22" ht="16.5" thickTop="1" thickBot="1">
      <c r="A1291" s="1244"/>
      <c r="B1291" s="1249" t="s">
        <v>736</v>
      </c>
      <c r="C1291" s="1329" t="s">
        <v>754</v>
      </c>
      <c r="D1291" s="1326" t="s">
        <v>227</v>
      </c>
      <c r="E1291" s="1249" t="s">
        <v>707</v>
      </c>
      <c r="F1291" s="455" t="s">
        <v>718</v>
      </c>
      <c r="G1291" s="456" t="s">
        <v>156</v>
      </c>
      <c r="H1291" s="889">
        <v>25</v>
      </c>
      <c r="I1291" s="891">
        <v>901.52499999999998</v>
      </c>
      <c r="J1291" s="601">
        <v>2103.7660000000001</v>
      </c>
      <c r="K1291" s="602">
        <v>0.43010752688172044</v>
      </c>
      <c r="L1291" s="981">
        <v>12</v>
      </c>
      <c r="M1291" s="1249" t="s">
        <v>323</v>
      </c>
      <c r="N1291" s="604" t="s">
        <v>227</v>
      </c>
      <c r="O1291" s="465">
        <v>4</v>
      </c>
      <c r="P1291" s="435">
        <v>155.184</v>
      </c>
      <c r="Q1291" s="435">
        <v>8</v>
      </c>
      <c r="R1291" s="401">
        <v>5</v>
      </c>
      <c r="S1291" s="466">
        <v>0.5</v>
      </c>
      <c r="U1291" s="1248">
        <f t="shared" si="26"/>
        <v>0</v>
      </c>
      <c r="V1291" s="1304">
        <f t="shared" si="27"/>
        <v>1</v>
      </c>
    </row>
    <row r="1292" spans="1:22" ht="16.5" thickTop="1" thickBot="1">
      <c r="A1292" s="1244"/>
      <c r="B1292" s="1245" t="s">
        <v>736</v>
      </c>
      <c r="C1292" s="1328" t="s">
        <v>754</v>
      </c>
      <c r="D1292" s="1327" t="s">
        <v>227</v>
      </c>
      <c r="E1292" s="1245" t="s">
        <v>783</v>
      </c>
      <c r="F1292" s="457" t="s">
        <v>784</v>
      </c>
      <c r="G1292" s="458" t="s">
        <v>157</v>
      </c>
      <c r="H1292" s="888">
        <v>25</v>
      </c>
      <c r="I1292" s="890">
        <v>341.40100000000001</v>
      </c>
      <c r="J1292" s="899">
        <v>1184.6759999999999</v>
      </c>
      <c r="K1292" s="603">
        <v>0.32258064516129031</v>
      </c>
      <c r="L1292" s="980">
        <v>8</v>
      </c>
      <c r="M1292" s="1245" t="s">
        <v>323</v>
      </c>
      <c r="N1292" s="604" t="s">
        <v>227</v>
      </c>
      <c r="O1292" s="463"/>
      <c r="P1292" s="434">
        <v>103.86799999999999</v>
      </c>
      <c r="Q1292" s="434">
        <v>5</v>
      </c>
      <c r="R1292" s="400">
        <v>2</v>
      </c>
      <c r="S1292" s="464">
        <v>0.2</v>
      </c>
      <c r="U1292" s="1248">
        <f t="shared" si="26"/>
        <v>0</v>
      </c>
      <c r="V1292" s="1304">
        <f t="shared" si="27"/>
        <v>1</v>
      </c>
    </row>
    <row r="1293" spans="1:22" ht="16.5" thickTop="1" thickBot="1">
      <c r="A1293" s="1244"/>
      <c r="B1293" s="1249" t="s">
        <v>736</v>
      </c>
      <c r="C1293" s="1329" t="s">
        <v>754</v>
      </c>
      <c r="D1293" s="1326" t="s">
        <v>227</v>
      </c>
      <c r="E1293" s="1249" t="s">
        <v>754</v>
      </c>
      <c r="F1293" s="455" t="s">
        <v>756</v>
      </c>
      <c r="G1293" s="456" t="s">
        <v>158</v>
      </c>
      <c r="H1293" s="889">
        <v>25</v>
      </c>
      <c r="I1293" s="891">
        <v>186.209</v>
      </c>
      <c r="J1293" s="601">
        <v>855.18399999999997</v>
      </c>
      <c r="K1293" s="602">
        <v>0.3592814371257485</v>
      </c>
      <c r="L1293" s="981">
        <v>11</v>
      </c>
      <c r="M1293" s="1249" t="s">
        <v>323</v>
      </c>
      <c r="N1293" s="604" t="s">
        <v>227</v>
      </c>
      <c r="O1293" s="465">
        <v>3</v>
      </c>
      <c r="P1293" s="435">
        <v>112.99299999999999</v>
      </c>
      <c r="Q1293" s="435">
        <v>7</v>
      </c>
      <c r="R1293" s="401">
        <v>5</v>
      </c>
      <c r="S1293" s="466">
        <v>0.52631578947368418</v>
      </c>
      <c r="U1293" s="1248">
        <f t="shared" si="26"/>
        <v>0</v>
      </c>
      <c r="V1293" s="1304">
        <f t="shared" si="27"/>
        <v>1</v>
      </c>
    </row>
    <row r="1294" spans="1:22" ht="16.5" thickTop="1" thickBot="1">
      <c r="A1294" s="1244"/>
      <c r="B1294" s="1245" t="s">
        <v>736</v>
      </c>
      <c r="C1294" s="1328" t="s">
        <v>754</v>
      </c>
      <c r="D1294" s="1327" t="s">
        <v>227</v>
      </c>
      <c r="E1294" s="1245" t="s">
        <v>853</v>
      </c>
      <c r="F1294" s="457" t="s">
        <v>854</v>
      </c>
      <c r="G1294" s="458" t="s">
        <v>156</v>
      </c>
      <c r="H1294" s="888">
        <v>23</v>
      </c>
      <c r="I1294" s="890">
        <v>165.68299999999999</v>
      </c>
      <c r="J1294" s="899">
        <v>377.67599999999999</v>
      </c>
      <c r="K1294" s="603">
        <v>0.189873417721519</v>
      </c>
      <c r="L1294" s="980">
        <v>4</v>
      </c>
      <c r="M1294" s="1245" t="s">
        <v>321</v>
      </c>
      <c r="N1294" s="604" t="s">
        <v>227</v>
      </c>
      <c r="O1294" s="463"/>
      <c r="P1294" s="434">
        <v>0</v>
      </c>
      <c r="Q1294" s="434"/>
      <c r="R1294" s="400">
        <v>0</v>
      </c>
      <c r="S1294" s="464">
        <v>0</v>
      </c>
      <c r="U1294" s="1248">
        <f t="shared" si="26"/>
        <v>0</v>
      </c>
      <c r="V1294" s="1304">
        <f t="shared" si="27"/>
        <v>1</v>
      </c>
    </row>
    <row r="1295" spans="1:22" ht="16.5" thickTop="1" thickBot="1">
      <c r="A1295" s="1244"/>
      <c r="B1295" s="1249" t="s">
        <v>736</v>
      </c>
      <c r="C1295" s="1329" t="s">
        <v>754</v>
      </c>
      <c r="D1295" s="1326" t="s">
        <v>227</v>
      </c>
      <c r="E1295" s="1249" t="s">
        <v>1250</v>
      </c>
      <c r="F1295" s="455" t="s">
        <v>1251</v>
      </c>
      <c r="G1295" s="456" t="s">
        <v>157</v>
      </c>
      <c r="H1295" s="889">
        <v>18</v>
      </c>
      <c r="I1295" s="891">
        <v>0</v>
      </c>
      <c r="J1295" s="601">
        <v>91.433000000000007</v>
      </c>
      <c r="K1295" s="602">
        <v>0.16901408450704225</v>
      </c>
      <c r="L1295" s="981">
        <v>3</v>
      </c>
      <c r="M1295" s="1249" t="s">
        <v>366</v>
      </c>
      <c r="N1295" s="604" t="s">
        <v>227</v>
      </c>
      <c r="O1295" s="465"/>
      <c r="P1295" s="435">
        <v>7.2119999999999997</v>
      </c>
      <c r="Q1295" s="435">
        <v>2</v>
      </c>
      <c r="R1295" s="401">
        <v>1</v>
      </c>
      <c r="S1295" s="466">
        <v>0.33333333333333331</v>
      </c>
      <c r="U1295" s="1248">
        <f t="shared" si="26"/>
        <v>1</v>
      </c>
      <c r="V1295" s="1304">
        <f t="shared" si="27"/>
        <v>1</v>
      </c>
    </row>
    <row r="1296" spans="1:22" ht="16.5" thickTop="1" thickBot="1">
      <c r="A1296" s="1244"/>
      <c r="B1296" s="1245" t="s">
        <v>736</v>
      </c>
      <c r="C1296" s="1328" t="s">
        <v>754</v>
      </c>
      <c r="D1296" s="1327" t="s">
        <v>227</v>
      </c>
      <c r="E1296" s="1245" t="s">
        <v>1652</v>
      </c>
      <c r="F1296" s="457" t="s">
        <v>1653</v>
      </c>
      <c r="G1296" s="458" t="s">
        <v>156</v>
      </c>
      <c r="H1296" s="888">
        <v>14</v>
      </c>
      <c r="I1296" s="890">
        <v>37.622</v>
      </c>
      <c r="J1296" s="899">
        <v>143.94499999999999</v>
      </c>
      <c r="K1296" s="603">
        <v>0.21739130434782608</v>
      </c>
      <c r="L1296" s="980">
        <v>2</v>
      </c>
      <c r="M1296" s="1245" t="s">
        <v>366</v>
      </c>
      <c r="N1296" s="604" t="s">
        <v>227</v>
      </c>
      <c r="O1296" s="463"/>
      <c r="P1296" s="434">
        <v>0</v>
      </c>
      <c r="Q1296" s="434"/>
      <c r="R1296" s="400">
        <v>0</v>
      </c>
      <c r="S1296" s="464">
        <v>0</v>
      </c>
      <c r="U1296" s="1248">
        <f t="shared" si="26"/>
        <v>1</v>
      </c>
      <c r="V1296" s="1304">
        <f t="shared" si="27"/>
        <v>1</v>
      </c>
    </row>
    <row r="1297" spans="1:22" ht="16.5" thickTop="1" thickBot="1">
      <c r="A1297" s="1244"/>
      <c r="B1297" s="1249" t="s">
        <v>736</v>
      </c>
      <c r="C1297" s="1329" t="s">
        <v>754</v>
      </c>
      <c r="D1297" s="1326" t="s">
        <v>227</v>
      </c>
      <c r="E1297" s="1249" t="s">
        <v>1887</v>
      </c>
      <c r="F1297" s="455" t="s">
        <v>1889</v>
      </c>
      <c r="G1297" s="456" t="s">
        <v>157</v>
      </c>
      <c r="H1297" s="889">
        <v>11</v>
      </c>
      <c r="I1297" s="891">
        <v>28.14</v>
      </c>
      <c r="J1297" s="601">
        <v>28.14</v>
      </c>
      <c r="K1297" s="602">
        <v>5.7142857142857141E-2</v>
      </c>
      <c r="L1297" s="981">
        <v>3</v>
      </c>
      <c r="M1297" s="1249" t="s">
        <v>366</v>
      </c>
      <c r="N1297" s="604" t="s">
        <v>227</v>
      </c>
      <c r="O1297" s="465"/>
      <c r="P1297" s="435"/>
      <c r="Q1297" s="435"/>
      <c r="R1297" s="401">
        <v>0</v>
      </c>
      <c r="S1297" s="466">
        <v>0</v>
      </c>
      <c r="U1297" s="1248">
        <f t="shared" si="26"/>
        <v>1</v>
      </c>
      <c r="V1297" s="1304">
        <f t="shared" si="27"/>
        <v>1</v>
      </c>
    </row>
    <row r="1298" spans="1:22" ht="16.5" thickTop="1" thickBot="1">
      <c r="A1298" s="1244"/>
      <c r="B1298" s="1245" t="s">
        <v>736</v>
      </c>
      <c r="C1298" s="1328" t="s">
        <v>754</v>
      </c>
      <c r="D1298" s="1327" t="s">
        <v>227</v>
      </c>
      <c r="E1298" s="1245" t="s">
        <v>2287</v>
      </c>
      <c r="F1298" s="457" t="s">
        <v>2288</v>
      </c>
      <c r="G1298" s="458" t="s">
        <v>156</v>
      </c>
      <c r="H1298" s="888">
        <v>8</v>
      </c>
      <c r="I1298" s="890">
        <v>40.17</v>
      </c>
      <c r="J1298" s="899">
        <v>2750.826</v>
      </c>
      <c r="K1298" s="603">
        <v>0.36363636363636365</v>
      </c>
      <c r="L1298" s="980">
        <v>7</v>
      </c>
      <c r="M1298" s="1245" t="s">
        <v>323</v>
      </c>
      <c r="N1298" s="604" t="s">
        <v>227</v>
      </c>
      <c r="O1298" s="463">
        <v>1</v>
      </c>
      <c r="P1298" s="434">
        <v>89.245000000000005</v>
      </c>
      <c r="Q1298" s="434">
        <v>2</v>
      </c>
      <c r="R1298" s="400">
        <v>1</v>
      </c>
      <c r="S1298" s="464">
        <v>0.15384615384615385</v>
      </c>
      <c r="U1298" s="1248">
        <f t="shared" si="26"/>
        <v>0</v>
      </c>
      <c r="V1298" s="1304">
        <f t="shared" si="27"/>
        <v>1</v>
      </c>
    </row>
    <row r="1299" spans="1:22" ht="16.5" thickTop="1" thickBot="1">
      <c r="A1299" s="1244"/>
      <c r="B1299" s="1249" t="s">
        <v>736</v>
      </c>
      <c r="C1299" s="1329" t="s">
        <v>754</v>
      </c>
      <c r="D1299" s="1326" t="s">
        <v>227</v>
      </c>
      <c r="E1299" s="1249" t="s">
        <v>2518</v>
      </c>
      <c r="F1299" s="455" t="s">
        <v>2519</v>
      </c>
      <c r="G1299" s="456" t="s">
        <v>155</v>
      </c>
      <c r="H1299" s="889"/>
      <c r="I1299" s="891"/>
      <c r="J1299" s="601">
        <v>43.965000000000003</v>
      </c>
      <c r="K1299" s="602">
        <v>0.27777777777777779</v>
      </c>
      <c r="L1299" s="981">
        <v>6</v>
      </c>
      <c r="M1299" s="1249" t="s">
        <v>366</v>
      </c>
      <c r="N1299" s="604" t="s">
        <v>227</v>
      </c>
      <c r="O1299" s="465">
        <v>3</v>
      </c>
      <c r="P1299" s="435"/>
      <c r="Q1299" s="435"/>
      <c r="R1299" s="401">
        <v>0</v>
      </c>
      <c r="S1299" s="466">
        <v>0</v>
      </c>
      <c r="U1299" s="1248">
        <f t="shared" si="26"/>
        <v>1</v>
      </c>
      <c r="V1299" s="1304">
        <f t="shared" si="27"/>
        <v>0</v>
      </c>
    </row>
    <row r="1300" spans="1:22" ht="16.5" thickTop="1" thickBot="1">
      <c r="A1300" s="1244"/>
      <c r="B1300" s="1245" t="s">
        <v>736</v>
      </c>
      <c r="C1300" s="1328" t="s">
        <v>754</v>
      </c>
      <c r="D1300" s="1327" t="s">
        <v>227</v>
      </c>
      <c r="E1300" s="1245" t="s">
        <v>2522</v>
      </c>
      <c r="F1300" s="457" t="s">
        <v>2523</v>
      </c>
      <c r="G1300" s="458" t="s">
        <v>156</v>
      </c>
      <c r="H1300" s="888">
        <v>7</v>
      </c>
      <c r="I1300" s="890">
        <v>49.255000000000003</v>
      </c>
      <c r="J1300" s="899">
        <v>197.935</v>
      </c>
      <c r="K1300" s="603">
        <v>0.11764705882352941</v>
      </c>
      <c r="L1300" s="980">
        <v>5</v>
      </c>
      <c r="M1300" s="1245" t="s">
        <v>323</v>
      </c>
      <c r="N1300" s="604" t="s">
        <v>227</v>
      </c>
      <c r="O1300" s="463"/>
      <c r="P1300" s="434"/>
      <c r="Q1300" s="434"/>
      <c r="R1300" s="400">
        <v>0</v>
      </c>
      <c r="S1300" s="464">
        <v>0</v>
      </c>
      <c r="U1300" s="1248">
        <f t="shared" si="26"/>
        <v>0</v>
      </c>
      <c r="V1300" s="1304">
        <f t="shared" si="27"/>
        <v>1</v>
      </c>
    </row>
    <row r="1301" spans="1:22" ht="16.5" thickTop="1" thickBot="1">
      <c r="A1301" s="1244"/>
      <c r="B1301" s="1249" t="s">
        <v>736</v>
      </c>
      <c r="C1301" s="1329" t="s">
        <v>754</v>
      </c>
      <c r="D1301" s="1326" t="s">
        <v>227</v>
      </c>
      <c r="E1301" s="1249" t="s">
        <v>2620</v>
      </c>
      <c r="F1301" s="455" t="s">
        <v>2621</v>
      </c>
      <c r="G1301" s="456" t="s">
        <v>155</v>
      </c>
      <c r="H1301" s="889"/>
      <c r="I1301" s="891"/>
      <c r="J1301" s="601">
        <v>105.84</v>
      </c>
      <c r="K1301" s="602">
        <v>0.12903225806451613</v>
      </c>
      <c r="L1301" s="981">
        <v>3</v>
      </c>
      <c r="M1301" s="1249" t="s">
        <v>366</v>
      </c>
      <c r="N1301" s="604" t="s">
        <v>227</v>
      </c>
      <c r="O1301" s="465"/>
      <c r="P1301" s="435"/>
      <c r="Q1301" s="435"/>
      <c r="R1301" s="401">
        <v>0</v>
      </c>
      <c r="S1301" s="466">
        <v>0</v>
      </c>
      <c r="U1301" s="1248">
        <f t="shared" si="26"/>
        <v>1</v>
      </c>
      <c r="V1301" s="1304">
        <f t="shared" si="27"/>
        <v>0</v>
      </c>
    </row>
    <row r="1302" spans="1:22" ht="16.5" thickTop="1" thickBot="1">
      <c r="A1302" s="1244"/>
      <c r="B1302" s="1245" t="s">
        <v>736</v>
      </c>
      <c r="C1302" s="1328" t="s">
        <v>754</v>
      </c>
      <c r="D1302" s="1327" t="s">
        <v>227</v>
      </c>
      <c r="E1302" s="1245" t="s">
        <v>2839</v>
      </c>
      <c r="F1302" s="457" t="s">
        <v>2840</v>
      </c>
      <c r="G1302" s="458" t="s">
        <v>156</v>
      </c>
      <c r="H1302" s="888">
        <v>4</v>
      </c>
      <c r="I1302" s="890">
        <v>75.795000000000002</v>
      </c>
      <c r="J1302" s="899">
        <v>127.601</v>
      </c>
      <c r="K1302" s="603">
        <v>0.24242424242424243</v>
      </c>
      <c r="L1302" s="980">
        <v>5</v>
      </c>
      <c r="M1302" s="1245" t="s">
        <v>323</v>
      </c>
      <c r="N1302" s="604" t="s">
        <v>227</v>
      </c>
      <c r="O1302" s="463"/>
      <c r="P1302" s="434">
        <v>14.558</v>
      </c>
      <c r="Q1302" s="434">
        <v>1</v>
      </c>
      <c r="R1302" s="400">
        <v>1</v>
      </c>
      <c r="S1302" s="464">
        <v>0.2</v>
      </c>
      <c r="U1302" s="1248">
        <f t="shared" si="26"/>
        <v>0</v>
      </c>
      <c r="V1302" s="1304">
        <f t="shared" si="27"/>
        <v>1</v>
      </c>
    </row>
    <row r="1303" spans="1:22" ht="16.5" thickTop="1" thickBot="1">
      <c r="A1303" s="1244"/>
      <c r="B1303" s="1249" t="s">
        <v>736</v>
      </c>
      <c r="C1303" s="1329" t="s">
        <v>754</v>
      </c>
      <c r="D1303" s="1326" t="s">
        <v>227</v>
      </c>
      <c r="E1303" s="1249" t="s">
        <v>2841</v>
      </c>
      <c r="F1303" s="455" t="s">
        <v>2842</v>
      </c>
      <c r="G1303" s="456" t="s">
        <v>156</v>
      </c>
      <c r="H1303" s="889">
        <v>4</v>
      </c>
      <c r="I1303" s="891">
        <v>39.771999999999998</v>
      </c>
      <c r="J1303" s="601">
        <v>174.22900000000001</v>
      </c>
      <c r="K1303" s="602">
        <v>0.36363636363636365</v>
      </c>
      <c r="L1303" s="981">
        <v>5</v>
      </c>
      <c r="M1303" s="1249" t="s">
        <v>323</v>
      </c>
      <c r="N1303" s="604" t="s">
        <v>227</v>
      </c>
      <c r="O1303" s="465"/>
      <c r="P1303" s="435">
        <v>85.585999999999999</v>
      </c>
      <c r="Q1303" s="435">
        <v>4</v>
      </c>
      <c r="R1303" s="401">
        <v>3</v>
      </c>
      <c r="S1303" s="466">
        <v>0.6</v>
      </c>
      <c r="U1303" s="1248">
        <f t="shared" si="26"/>
        <v>0</v>
      </c>
      <c r="V1303" s="1304">
        <f t="shared" si="27"/>
        <v>1</v>
      </c>
    </row>
    <row r="1304" spans="1:22" ht="16.5" thickTop="1" thickBot="1">
      <c r="A1304" s="1244"/>
      <c r="B1304" s="1245" t="s">
        <v>736</v>
      </c>
      <c r="C1304" s="1328" t="s">
        <v>754</v>
      </c>
      <c r="D1304" s="1327" t="s">
        <v>227</v>
      </c>
      <c r="E1304" s="1245" t="s">
        <v>3370</v>
      </c>
      <c r="F1304" s="457" t="s">
        <v>3371</v>
      </c>
      <c r="G1304" s="458" t="s">
        <v>155</v>
      </c>
      <c r="H1304" s="888"/>
      <c r="I1304" s="890"/>
      <c r="J1304" s="899">
        <v>54.845999999999997</v>
      </c>
      <c r="K1304" s="603">
        <v>0.53333333333333333</v>
      </c>
      <c r="L1304" s="980">
        <v>5</v>
      </c>
      <c r="M1304" s="1245" t="s">
        <v>366</v>
      </c>
      <c r="N1304" s="604" t="s">
        <v>227</v>
      </c>
      <c r="O1304" s="463">
        <v>1</v>
      </c>
      <c r="P1304" s="434">
        <v>34.677999999999997</v>
      </c>
      <c r="Q1304" s="434">
        <v>2</v>
      </c>
      <c r="R1304" s="400">
        <v>2</v>
      </c>
      <c r="S1304" s="464">
        <v>0.44444444444444442</v>
      </c>
      <c r="U1304" s="1248">
        <f t="shared" si="26"/>
        <v>1</v>
      </c>
      <c r="V1304" s="1304">
        <f t="shared" si="27"/>
        <v>0</v>
      </c>
    </row>
    <row r="1305" spans="1:22" ht="16.5" thickTop="1" thickBot="1">
      <c r="A1305" s="1244"/>
      <c r="B1305" s="1249" t="s">
        <v>1570</v>
      </c>
      <c r="C1305" s="1329" t="s">
        <v>227</v>
      </c>
      <c r="D1305" s="1326" t="s">
        <v>227</v>
      </c>
      <c r="E1305" s="1249" t="s">
        <v>1971</v>
      </c>
      <c r="F1305" s="455" t="s">
        <v>1973</v>
      </c>
      <c r="G1305" s="456" t="s">
        <v>157</v>
      </c>
      <c r="H1305" s="889">
        <v>20</v>
      </c>
      <c r="I1305" s="891">
        <v>90.445999999999998</v>
      </c>
      <c r="J1305" s="601">
        <v>239.65799999999999</v>
      </c>
      <c r="K1305" s="602">
        <v>0.18181818181818182</v>
      </c>
      <c r="L1305" s="981">
        <v>2</v>
      </c>
      <c r="M1305" s="1249" t="s">
        <v>322</v>
      </c>
      <c r="N1305" s="604" t="s">
        <v>227</v>
      </c>
      <c r="O1305" s="465"/>
      <c r="P1305" s="435">
        <v>0</v>
      </c>
      <c r="Q1305" s="435"/>
      <c r="R1305" s="401">
        <v>0</v>
      </c>
      <c r="S1305" s="466">
        <v>0</v>
      </c>
      <c r="U1305" s="1248">
        <f t="shared" si="26"/>
        <v>0</v>
      </c>
      <c r="V1305" s="1304">
        <f t="shared" si="27"/>
        <v>1</v>
      </c>
    </row>
    <row r="1306" spans="1:22" ht="16.5" thickTop="1" thickBot="1">
      <c r="A1306" s="1244"/>
      <c r="B1306" s="1245" t="s">
        <v>1570</v>
      </c>
      <c r="C1306" s="1328" t="s">
        <v>227</v>
      </c>
      <c r="D1306" s="1327" t="s">
        <v>227</v>
      </c>
      <c r="E1306" s="1245" t="s">
        <v>1699</v>
      </c>
      <c r="F1306" s="457" t="s">
        <v>1701</v>
      </c>
      <c r="G1306" s="458" t="s">
        <v>157</v>
      </c>
      <c r="H1306" s="888">
        <v>12</v>
      </c>
      <c r="I1306" s="890">
        <v>33.005000000000003</v>
      </c>
      <c r="J1306" s="899">
        <v>33.005000000000003</v>
      </c>
      <c r="K1306" s="603">
        <v>0.05</v>
      </c>
      <c r="L1306" s="980">
        <v>3</v>
      </c>
      <c r="M1306" s="1245" t="s">
        <v>366</v>
      </c>
      <c r="N1306" s="604" t="s">
        <v>227</v>
      </c>
      <c r="O1306" s="463"/>
      <c r="P1306" s="434"/>
      <c r="Q1306" s="434"/>
      <c r="R1306" s="400">
        <v>0</v>
      </c>
      <c r="S1306" s="464">
        <v>0</v>
      </c>
      <c r="U1306" s="1248">
        <f t="shared" si="26"/>
        <v>1</v>
      </c>
      <c r="V1306" s="1304">
        <f t="shared" si="27"/>
        <v>1</v>
      </c>
    </row>
    <row r="1307" spans="1:22" ht="16.5" thickTop="1" thickBot="1">
      <c r="A1307" s="1244"/>
      <c r="B1307" s="1249" t="s">
        <v>1570</v>
      </c>
      <c r="C1307" s="1329" t="s">
        <v>227</v>
      </c>
      <c r="D1307" s="1326" t="s">
        <v>227</v>
      </c>
      <c r="E1307" s="1249" t="s">
        <v>1931</v>
      </c>
      <c r="F1307" s="455" t="s">
        <v>785</v>
      </c>
      <c r="G1307" s="456" t="s">
        <v>156</v>
      </c>
      <c r="H1307" s="889">
        <v>11</v>
      </c>
      <c r="I1307" s="891">
        <v>26.765999999999998</v>
      </c>
      <c r="J1307" s="601">
        <v>313.012</v>
      </c>
      <c r="K1307" s="602">
        <v>0.41269841269841268</v>
      </c>
      <c r="L1307" s="981">
        <v>6</v>
      </c>
      <c r="M1307" s="1249" t="s">
        <v>321</v>
      </c>
      <c r="N1307" s="604" t="s">
        <v>227</v>
      </c>
      <c r="O1307" s="465"/>
      <c r="P1307" s="435">
        <v>12.587</v>
      </c>
      <c r="Q1307" s="435">
        <v>1</v>
      </c>
      <c r="R1307" s="401">
        <v>1</v>
      </c>
      <c r="S1307" s="466">
        <v>0.16666666666666666</v>
      </c>
      <c r="U1307" s="1248">
        <f t="shared" si="26"/>
        <v>0</v>
      </c>
      <c r="V1307" s="1304">
        <f t="shared" si="27"/>
        <v>1</v>
      </c>
    </row>
    <row r="1308" spans="1:22" ht="16.5" thickTop="1" thickBot="1">
      <c r="A1308" s="1244"/>
      <c r="B1308" s="1245" t="s">
        <v>1570</v>
      </c>
      <c r="C1308" s="1328" t="s">
        <v>227</v>
      </c>
      <c r="D1308" s="1327" t="s">
        <v>227</v>
      </c>
      <c r="E1308" s="1245" t="s">
        <v>1974</v>
      </c>
      <c r="F1308" s="457" t="s">
        <v>1976</v>
      </c>
      <c r="G1308" s="458" t="s">
        <v>157</v>
      </c>
      <c r="H1308" s="888">
        <v>11</v>
      </c>
      <c r="I1308" s="890">
        <v>11.996</v>
      </c>
      <c r="J1308" s="899">
        <v>24.361999999999998</v>
      </c>
      <c r="K1308" s="603">
        <v>7.6923076923076927E-2</v>
      </c>
      <c r="L1308" s="980">
        <v>3</v>
      </c>
      <c r="M1308" s="1245" t="s">
        <v>366</v>
      </c>
      <c r="N1308" s="604" t="s">
        <v>227</v>
      </c>
      <c r="O1308" s="463"/>
      <c r="P1308" s="434">
        <v>12.366</v>
      </c>
      <c r="Q1308" s="434">
        <v>1</v>
      </c>
      <c r="R1308" s="400">
        <v>1</v>
      </c>
      <c r="S1308" s="464">
        <v>0.33333333333333331</v>
      </c>
      <c r="U1308" s="1248">
        <f t="shared" si="26"/>
        <v>1</v>
      </c>
      <c r="V1308" s="1304">
        <f t="shared" si="27"/>
        <v>1</v>
      </c>
    </row>
    <row r="1309" spans="1:22" ht="16.5" thickTop="1" thickBot="1">
      <c r="A1309" s="1244"/>
      <c r="B1309" s="1249" t="s">
        <v>1570</v>
      </c>
      <c r="C1309" s="1329" t="s">
        <v>227</v>
      </c>
      <c r="D1309" s="1326" t="s">
        <v>227</v>
      </c>
      <c r="E1309" s="1249" t="s">
        <v>2174</v>
      </c>
      <c r="F1309" s="455" t="s">
        <v>2175</v>
      </c>
      <c r="G1309" s="456" t="s">
        <v>156</v>
      </c>
      <c r="H1309" s="889">
        <v>9</v>
      </c>
      <c r="I1309" s="891">
        <v>41.96</v>
      </c>
      <c r="J1309" s="601">
        <v>371.86799999999999</v>
      </c>
      <c r="K1309" s="602">
        <v>0.20869565217391303</v>
      </c>
      <c r="L1309" s="981">
        <v>5</v>
      </c>
      <c r="M1309" s="1249" t="s">
        <v>323</v>
      </c>
      <c r="N1309" s="604" t="s">
        <v>227</v>
      </c>
      <c r="O1309" s="465"/>
      <c r="P1309" s="435"/>
      <c r="Q1309" s="435"/>
      <c r="R1309" s="401">
        <v>0</v>
      </c>
      <c r="S1309" s="466">
        <v>0</v>
      </c>
      <c r="U1309" s="1248">
        <f t="shared" si="26"/>
        <v>0</v>
      </c>
      <c r="V1309" s="1304">
        <f t="shared" si="27"/>
        <v>1</v>
      </c>
    </row>
    <row r="1310" spans="1:22" ht="16.5" thickTop="1" thickBot="1">
      <c r="A1310" s="1244"/>
      <c r="B1310" s="1245" t="s">
        <v>1570</v>
      </c>
      <c r="C1310" s="1328" t="s">
        <v>227</v>
      </c>
      <c r="D1310" s="1327" t="s">
        <v>227</v>
      </c>
      <c r="E1310" s="1245" t="s">
        <v>2176</v>
      </c>
      <c r="F1310" s="457" t="s">
        <v>2177</v>
      </c>
      <c r="G1310" s="458" t="s">
        <v>156</v>
      </c>
      <c r="H1310" s="888">
        <v>9</v>
      </c>
      <c r="I1310" s="890">
        <v>81.843000000000004</v>
      </c>
      <c r="J1310" s="899">
        <v>581.56700000000001</v>
      </c>
      <c r="K1310" s="603">
        <v>0.5617977528089888</v>
      </c>
      <c r="L1310" s="980">
        <v>3</v>
      </c>
      <c r="M1310" s="1245" t="s">
        <v>323</v>
      </c>
      <c r="N1310" s="604" t="s">
        <v>227</v>
      </c>
      <c r="O1310" s="463"/>
      <c r="P1310" s="434">
        <v>22.67</v>
      </c>
      <c r="Q1310" s="434">
        <v>2</v>
      </c>
      <c r="R1310" s="400">
        <v>2</v>
      </c>
      <c r="S1310" s="464">
        <v>0.66666666666666663</v>
      </c>
      <c r="U1310" s="1248">
        <f t="shared" si="26"/>
        <v>0</v>
      </c>
      <c r="V1310" s="1304">
        <f t="shared" si="27"/>
        <v>1</v>
      </c>
    </row>
    <row r="1311" spans="1:22" ht="16.5" thickTop="1" thickBot="1">
      <c r="A1311" s="1244"/>
      <c r="B1311" s="1249" t="s">
        <v>1570</v>
      </c>
      <c r="C1311" s="1329" t="s">
        <v>227</v>
      </c>
      <c r="D1311" s="1326" t="s">
        <v>227</v>
      </c>
      <c r="E1311" s="1249" t="s">
        <v>2178</v>
      </c>
      <c r="F1311" s="455" t="s">
        <v>2179</v>
      </c>
      <c r="G1311" s="456" t="s">
        <v>156</v>
      </c>
      <c r="H1311" s="889">
        <v>9</v>
      </c>
      <c r="I1311" s="891">
        <v>18.658999999999999</v>
      </c>
      <c r="J1311" s="601">
        <v>158.23099999999999</v>
      </c>
      <c r="K1311" s="602">
        <v>0.31168831168831168</v>
      </c>
      <c r="L1311" s="981">
        <v>2</v>
      </c>
      <c r="M1311" s="1249" t="s">
        <v>322</v>
      </c>
      <c r="N1311" s="604" t="s">
        <v>227</v>
      </c>
      <c r="O1311" s="465"/>
      <c r="P1311" s="435"/>
      <c r="Q1311" s="435"/>
      <c r="R1311" s="401">
        <v>0</v>
      </c>
      <c r="S1311" s="466">
        <v>0</v>
      </c>
      <c r="U1311" s="1248">
        <f t="shared" si="26"/>
        <v>0</v>
      </c>
      <c r="V1311" s="1304">
        <f t="shared" si="27"/>
        <v>1</v>
      </c>
    </row>
    <row r="1312" spans="1:22" ht="16.5" thickTop="1" thickBot="1">
      <c r="A1312" s="1244"/>
      <c r="B1312" s="1245" t="s">
        <v>1570</v>
      </c>
      <c r="C1312" s="1328" t="s">
        <v>227</v>
      </c>
      <c r="D1312" s="1327" t="s">
        <v>227</v>
      </c>
      <c r="E1312" s="1245" t="s">
        <v>2180</v>
      </c>
      <c r="F1312" s="457" t="s">
        <v>2181</v>
      </c>
      <c r="G1312" s="458" t="s">
        <v>156</v>
      </c>
      <c r="H1312" s="888">
        <v>9</v>
      </c>
      <c r="I1312" s="890">
        <v>29.98</v>
      </c>
      <c r="J1312" s="899">
        <v>84.617000000000004</v>
      </c>
      <c r="K1312" s="603">
        <v>0.2153846153846154</v>
      </c>
      <c r="L1312" s="980">
        <v>1</v>
      </c>
      <c r="M1312" s="1245" t="s">
        <v>366</v>
      </c>
      <c r="N1312" s="604" t="s">
        <v>227</v>
      </c>
      <c r="O1312" s="463"/>
      <c r="P1312" s="434"/>
      <c r="Q1312" s="434"/>
      <c r="R1312" s="400">
        <v>0</v>
      </c>
      <c r="S1312" s="464">
        <v>0</v>
      </c>
      <c r="U1312" s="1248">
        <f t="shared" si="26"/>
        <v>1</v>
      </c>
      <c r="V1312" s="1304">
        <f t="shared" si="27"/>
        <v>1</v>
      </c>
    </row>
    <row r="1313" spans="1:22" ht="16.5" thickTop="1" thickBot="1">
      <c r="A1313" s="1244"/>
      <c r="B1313" s="1249" t="s">
        <v>1570</v>
      </c>
      <c r="C1313" s="1329" t="s">
        <v>227</v>
      </c>
      <c r="D1313" s="1326" t="s">
        <v>227</v>
      </c>
      <c r="E1313" s="1249" t="s">
        <v>2412</v>
      </c>
      <c r="F1313" s="455" t="s">
        <v>2413</v>
      </c>
      <c r="G1313" s="456" t="s">
        <v>156</v>
      </c>
      <c r="H1313" s="889">
        <v>7</v>
      </c>
      <c r="I1313" s="891">
        <v>113.751</v>
      </c>
      <c r="J1313" s="601">
        <v>259.00700000000001</v>
      </c>
      <c r="K1313" s="602">
        <v>0.38202247191011235</v>
      </c>
      <c r="L1313" s="981">
        <v>10</v>
      </c>
      <c r="M1313" s="1249" t="s">
        <v>323</v>
      </c>
      <c r="N1313" s="604" t="s">
        <v>227</v>
      </c>
      <c r="O1313" s="465"/>
      <c r="P1313" s="435">
        <v>20.076000000000001</v>
      </c>
      <c r="Q1313" s="435">
        <v>2</v>
      </c>
      <c r="R1313" s="401">
        <v>2</v>
      </c>
      <c r="S1313" s="466">
        <v>0.2</v>
      </c>
      <c r="U1313" s="1248">
        <f t="shared" si="26"/>
        <v>0</v>
      </c>
      <c r="V1313" s="1304">
        <f t="shared" si="27"/>
        <v>1</v>
      </c>
    </row>
    <row r="1314" spans="1:22" ht="16.5" thickTop="1" thickBot="1">
      <c r="A1314" s="1244"/>
      <c r="B1314" s="1245" t="s">
        <v>1570</v>
      </c>
      <c r="C1314" s="1328" t="s">
        <v>227</v>
      </c>
      <c r="D1314" s="1327" t="s">
        <v>227</v>
      </c>
      <c r="E1314" s="1245" t="s">
        <v>2843</v>
      </c>
      <c r="F1314" s="457" t="s">
        <v>2844</v>
      </c>
      <c r="G1314" s="458" t="s">
        <v>155</v>
      </c>
      <c r="H1314" s="888"/>
      <c r="I1314" s="890"/>
      <c r="J1314" s="899"/>
      <c r="K1314" s="603">
        <v>0</v>
      </c>
      <c r="L1314" s="980">
        <v>1</v>
      </c>
      <c r="M1314" s="1245" t="s">
        <v>366</v>
      </c>
      <c r="N1314" s="604" t="s">
        <v>227</v>
      </c>
      <c r="O1314" s="463"/>
      <c r="P1314" s="434"/>
      <c r="Q1314" s="434"/>
      <c r="R1314" s="400">
        <v>0</v>
      </c>
      <c r="S1314" s="464">
        <v>0</v>
      </c>
      <c r="U1314" s="1248">
        <f t="shared" si="26"/>
        <v>1</v>
      </c>
      <c r="V1314" s="1304">
        <f t="shared" si="27"/>
        <v>0</v>
      </c>
    </row>
    <row r="1315" spans="1:22" ht="16.5" thickTop="1" thickBot="1">
      <c r="A1315" s="1244"/>
      <c r="B1315" s="1249" t="s">
        <v>1570</v>
      </c>
      <c r="C1315" s="1329" t="s">
        <v>227</v>
      </c>
      <c r="D1315" s="1326" t="s">
        <v>227</v>
      </c>
      <c r="E1315" s="1249" t="s">
        <v>2845</v>
      </c>
      <c r="F1315" s="455" t="s">
        <v>2846</v>
      </c>
      <c r="G1315" s="456" t="s">
        <v>155</v>
      </c>
      <c r="H1315" s="889"/>
      <c r="I1315" s="891"/>
      <c r="J1315" s="601">
        <v>64.111000000000004</v>
      </c>
      <c r="K1315" s="602">
        <v>0.41666666666666669</v>
      </c>
      <c r="L1315" s="981">
        <v>3</v>
      </c>
      <c r="M1315" s="1249" t="s">
        <v>366</v>
      </c>
      <c r="N1315" s="604" t="s">
        <v>227</v>
      </c>
      <c r="O1315" s="465"/>
      <c r="P1315" s="435">
        <v>27.908999999999999</v>
      </c>
      <c r="Q1315" s="435">
        <v>2</v>
      </c>
      <c r="R1315" s="401">
        <v>2</v>
      </c>
      <c r="S1315" s="466">
        <v>0.66666666666666663</v>
      </c>
      <c r="U1315" s="1248">
        <f t="shared" si="26"/>
        <v>1</v>
      </c>
      <c r="V1315" s="1304">
        <f t="shared" si="27"/>
        <v>0</v>
      </c>
    </row>
    <row r="1316" spans="1:22" ht="16.5" thickTop="1" thickBot="1">
      <c r="A1316" s="1244"/>
      <c r="B1316" s="1245" t="s">
        <v>1570</v>
      </c>
      <c r="C1316" s="1328" t="s">
        <v>227</v>
      </c>
      <c r="D1316" s="1327" t="s">
        <v>227</v>
      </c>
      <c r="E1316" s="1245" t="s">
        <v>2847</v>
      </c>
      <c r="F1316" s="457" t="s">
        <v>2848</v>
      </c>
      <c r="G1316" s="458" t="s">
        <v>155</v>
      </c>
      <c r="H1316" s="888"/>
      <c r="I1316" s="890"/>
      <c r="J1316" s="899">
        <v>11.146000000000001</v>
      </c>
      <c r="K1316" s="603">
        <v>0.22222222222222221</v>
      </c>
      <c r="L1316" s="980">
        <v>2</v>
      </c>
      <c r="M1316" s="1245" t="s">
        <v>366</v>
      </c>
      <c r="N1316" s="604" t="s">
        <v>227</v>
      </c>
      <c r="O1316" s="463"/>
      <c r="P1316" s="434">
        <v>-20.065000000000001</v>
      </c>
      <c r="Q1316" s="434">
        <v>-1</v>
      </c>
      <c r="R1316" s="400">
        <v>0</v>
      </c>
      <c r="S1316" s="464">
        <v>0</v>
      </c>
      <c r="U1316" s="1248">
        <f t="shared" si="26"/>
        <v>1</v>
      </c>
      <c r="V1316" s="1304">
        <f t="shared" si="27"/>
        <v>0</v>
      </c>
    </row>
    <row r="1317" spans="1:22" ht="16.5" thickTop="1" thickBot="1">
      <c r="A1317" s="1244"/>
      <c r="B1317" s="1249" t="s">
        <v>1570</v>
      </c>
      <c r="C1317" s="1329" t="s">
        <v>227</v>
      </c>
      <c r="D1317" s="1326" t="s">
        <v>227</v>
      </c>
      <c r="E1317" s="1249" t="s">
        <v>2751</v>
      </c>
      <c r="F1317" s="455" t="s">
        <v>2753</v>
      </c>
      <c r="G1317" s="456" t="s">
        <v>157</v>
      </c>
      <c r="H1317" s="889">
        <v>3</v>
      </c>
      <c r="I1317" s="891">
        <v>31.274000000000001</v>
      </c>
      <c r="J1317" s="601">
        <v>277.87599999999998</v>
      </c>
      <c r="K1317" s="602">
        <v>0.58823529411764708</v>
      </c>
      <c r="L1317" s="981">
        <v>6</v>
      </c>
      <c r="M1317" s="1249" t="s">
        <v>323</v>
      </c>
      <c r="N1317" s="604" t="s">
        <v>227</v>
      </c>
      <c r="O1317" s="465">
        <v>1</v>
      </c>
      <c r="P1317" s="435">
        <v>8.5419999999999998</v>
      </c>
      <c r="Q1317" s="435">
        <v>1</v>
      </c>
      <c r="R1317" s="401">
        <v>1</v>
      </c>
      <c r="S1317" s="466">
        <v>0.18181818181818182</v>
      </c>
      <c r="U1317" s="1248">
        <f t="shared" si="26"/>
        <v>0</v>
      </c>
      <c r="V1317" s="1304">
        <f t="shared" si="27"/>
        <v>1</v>
      </c>
    </row>
    <row r="1318" spans="1:22" ht="16.5" thickTop="1" thickBot="1">
      <c r="A1318" s="1244"/>
      <c r="B1318" s="1245" t="s">
        <v>1570</v>
      </c>
      <c r="C1318" s="1328" t="s">
        <v>227</v>
      </c>
      <c r="D1318" s="1327" t="s">
        <v>227</v>
      </c>
      <c r="E1318" s="1245" t="s">
        <v>2849</v>
      </c>
      <c r="F1318" s="457" t="s">
        <v>2850</v>
      </c>
      <c r="G1318" s="458" t="s">
        <v>156</v>
      </c>
      <c r="H1318" s="888">
        <v>3</v>
      </c>
      <c r="I1318" s="890">
        <v>95.352999999999994</v>
      </c>
      <c r="J1318" s="899">
        <v>154.89599999999999</v>
      </c>
      <c r="K1318" s="603">
        <v>0.32258064516129031</v>
      </c>
      <c r="L1318" s="980">
        <v>5</v>
      </c>
      <c r="M1318" s="1245" t="s">
        <v>323</v>
      </c>
      <c r="N1318" s="604" t="s">
        <v>227</v>
      </c>
      <c r="O1318" s="463"/>
      <c r="P1318" s="434">
        <v>54.96</v>
      </c>
      <c r="Q1318" s="434">
        <v>4</v>
      </c>
      <c r="R1318" s="400">
        <v>2</v>
      </c>
      <c r="S1318" s="464">
        <v>0.4</v>
      </c>
      <c r="U1318" s="1248">
        <f t="shared" si="26"/>
        <v>0</v>
      </c>
      <c r="V1318" s="1304">
        <f t="shared" si="27"/>
        <v>1</v>
      </c>
    </row>
    <row r="1319" spans="1:22" ht="16.5" thickTop="1" thickBot="1">
      <c r="A1319" s="1244"/>
      <c r="B1319" s="1249" t="s">
        <v>1570</v>
      </c>
      <c r="C1319" s="1329" t="s">
        <v>227</v>
      </c>
      <c r="D1319" s="1326" t="s">
        <v>227</v>
      </c>
      <c r="E1319" s="1249" t="s">
        <v>3060</v>
      </c>
      <c r="F1319" s="455" t="s">
        <v>3061</v>
      </c>
      <c r="G1319" s="456" t="s">
        <v>156</v>
      </c>
      <c r="H1319" s="889">
        <v>2</v>
      </c>
      <c r="I1319" s="891">
        <v>15.189</v>
      </c>
      <c r="J1319" s="601">
        <v>15.189</v>
      </c>
      <c r="K1319" s="602">
        <v>0.33333333333333331</v>
      </c>
      <c r="L1319" s="981">
        <v>2</v>
      </c>
      <c r="M1319" s="1249" t="s">
        <v>366</v>
      </c>
      <c r="N1319" s="604" t="s">
        <v>227</v>
      </c>
      <c r="O1319" s="465">
        <v>1</v>
      </c>
      <c r="P1319" s="435"/>
      <c r="Q1319" s="435"/>
      <c r="R1319" s="401">
        <v>0</v>
      </c>
      <c r="S1319" s="466">
        <v>0</v>
      </c>
      <c r="U1319" s="1248">
        <f t="shared" si="26"/>
        <v>1</v>
      </c>
      <c r="V1319" s="1304">
        <f t="shared" si="27"/>
        <v>1</v>
      </c>
    </row>
    <row r="1320" spans="1:22" ht="16.5" thickTop="1" thickBot="1">
      <c r="A1320" s="1244"/>
      <c r="B1320" s="1245" t="s">
        <v>1570</v>
      </c>
      <c r="C1320" s="1328" t="s">
        <v>227</v>
      </c>
      <c r="D1320" s="1327" t="s">
        <v>227</v>
      </c>
      <c r="E1320" s="1245" t="s">
        <v>3372</v>
      </c>
      <c r="F1320" s="457" t="s">
        <v>3373</v>
      </c>
      <c r="G1320" s="458" t="s">
        <v>156</v>
      </c>
      <c r="H1320" s="888">
        <v>1</v>
      </c>
      <c r="I1320" s="890"/>
      <c r="J1320" s="899"/>
      <c r="K1320" s="603">
        <v>0</v>
      </c>
      <c r="L1320" s="980">
        <v>3</v>
      </c>
      <c r="M1320" s="1245" t="s">
        <v>366</v>
      </c>
      <c r="N1320" s="604" t="s">
        <v>227</v>
      </c>
      <c r="O1320" s="463">
        <v>2</v>
      </c>
      <c r="P1320" s="434"/>
      <c r="Q1320" s="434"/>
      <c r="R1320" s="400">
        <v>0</v>
      </c>
      <c r="S1320" s="464">
        <v>0</v>
      </c>
      <c r="U1320" s="1248">
        <f t="shared" ref="U1320:U1383" si="28">IF(M1320="U_200",1,0)</f>
        <v>1</v>
      </c>
      <c r="V1320" s="1304">
        <f t="shared" ref="V1320:V1383" si="29">IF(G1320&lt;&gt;"US",1,0)</f>
        <v>1</v>
      </c>
    </row>
    <row r="1321" spans="1:22" ht="16.5" thickTop="1" thickBot="1">
      <c r="A1321" s="1244"/>
      <c r="B1321" s="1249" t="s">
        <v>1570</v>
      </c>
      <c r="C1321" s="1329" t="s">
        <v>227</v>
      </c>
      <c r="D1321" s="1326" t="s">
        <v>227</v>
      </c>
      <c r="E1321" s="1249" t="s">
        <v>3915</v>
      </c>
      <c r="F1321" s="455" t="s">
        <v>3916</v>
      </c>
      <c r="G1321" s="456" t="s">
        <v>156</v>
      </c>
      <c r="H1321" s="889">
        <v>0</v>
      </c>
      <c r="I1321" s="891">
        <v>46.183999999999997</v>
      </c>
      <c r="J1321" s="601">
        <v>46.183999999999997</v>
      </c>
      <c r="K1321" s="602">
        <v>1</v>
      </c>
      <c r="L1321" s="981">
        <v>2</v>
      </c>
      <c r="M1321" s="1249" t="s">
        <v>227</v>
      </c>
      <c r="N1321" s="604" t="s">
        <v>227</v>
      </c>
      <c r="O1321" s="465">
        <v>2</v>
      </c>
      <c r="P1321" s="435">
        <v>46.183999999999997</v>
      </c>
      <c r="Q1321" s="435">
        <v>3</v>
      </c>
      <c r="R1321" s="401">
        <v>1</v>
      </c>
      <c r="S1321" s="466">
        <v>1</v>
      </c>
      <c r="U1321" s="1248">
        <f t="shared" si="28"/>
        <v>0</v>
      </c>
      <c r="V1321" s="1304">
        <f t="shared" si="29"/>
        <v>1</v>
      </c>
    </row>
    <row r="1322" spans="1:22" ht="16.5" thickTop="1" thickBot="1">
      <c r="A1322" s="1244"/>
      <c r="B1322" s="1245" t="s">
        <v>1570</v>
      </c>
      <c r="C1322" s="1328" t="s">
        <v>227</v>
      </c>
      <c r="D1322" s="1327" t="s">
        <v>227</v>
      </c>
      <c r="E1322" s="1245" t="s">
        <v>3917</v>
      </c>
      <c r="F1322" s="457" t="s">
        <v>3918</v>
      </c>
      <c r="G1322" s="458" t="s">
        <v>155</v>
      </c>
      <c r="H1322" s="888"/>
      <c r="I1322" s="890"/>
      <c r="J1322" s="899">
        <v>14.692</v>
      </c>
      <c r="K1322" s="603">
        <v>0.5</v>
      </c>
      <c r="L1322" s="980">
        <v>2</v>
      </c>
      <c r="M1322" s="1245" t="s">
        <v>366</v>
      </c>
      <c r="N1322" s="604" t="s">
        <v>227</v>
      </c>
      <c r="O1322" s="463"/>
      <c r="P1322" s="434">
        <v>14.692</v>
      </c>
      <c r="Q1322" s="434">
        <v>1</v>
      </c>
      <c r="R1322" s="400">
        <v>1</v>
      </c>
      <c r="S1322" s="464">
        <v>0.5</v>
      </c>
      <c r="U1322" s="1248">
        <f t="shared" si="28"/>
        <v>1</v>
      </c>
      <c r="V1322" s="1304">
        <f t="shared" si="29"/>
        <v>0</v>
      </c>
    </row>
    <row r="1323" spans="1:22" ht="16.5" thickTop="1" thickBot="1">
      <c r="A1323" s="1244"/>
      <c r="B1323" s="1249" t="s">
        <v>1570</v>
      </c>
      <c r="C1323" s="1329" t="s">
        <v>2315</v>
      </c>
      <c r="D1323" s="1326" t="s">
        <v>227</v>
      </c>
      <c r="E1323" s="1249" t="s">
        <v>2315</v>
      </c>
      <c r="F1323" s="455" t="s">
        <v>2317</v>
      </c>
      <c r="G1323" s="456" t="s">
        <v>158</v>
      </c>
      <c r="H1323" s="889">
        <v>7</v>
      </c>
      <c r="I1323" s="891">
        <v>60.081000000000003</v>
      </c>
      <c r="J1323" s="601">
        <v>298.56700000000001</v>
      </c>
      <c r="K1323" s="602">
        <v>0.42553191489361702</v>
      </c>
      <c r="L1323" s="981">
        <v>7</v>
      </c>
      <c r="M1323" s="1249" t="s">
        <v>323</v>
      </c>
      <c r="N1323" s="604" t="s">
        <v>227</v>
      </c>
      <c r="O1323" s="465">
        <v>2</v>
      </c>
      <c r="P1323" s="435">
        <v>13.659000000000001</v>
      </c>
      <c r="Q1323" s="435">
        <v>3</v>
      </c>
      <c r="R1323" s="401">
        <v>2</v>
      </c>
      <c r="S1323" s="466">
        <v>0.33333333333333331</v>
      </c>
      <c r="U1323" s="1248">
        <f t="shared" si="28"/>
        <v>0</v>
      </c>
      <c r="V1323" s="1304">
        <f t="shared" si="29"/>
        <v>1</v>
      </c>
    </row>
    <row r="1324" spans="1:22" ht="16.5" thickTop="1" thickBot="1">
      <c r="A1324" s="1244"/>
      <c r="B1324" s="1245" t="s">
        <v>1570</v>
      </c>
      <c r="C1324" s="1328" t="s">
        <v>2315</v>
      </c>
      <c r="D1324" s="1327" t="s">
        <v>227</v>
      </c>
      <c r="E1324" s="1245" t="s">
        <v>2333</v>
      </c>
      <c r="F1324" s="457" t="s">
        <v>2335</v>
      </c>
      <c r="G1324" s="458" t="s">
        <v>157</v>
      </c>
      <c r="H1324" s="888">
        <v>7</v>
      </c>
      <c r="I1324" s="890">
        <v>12.144</v>
      </c>
      <c r="J1324" s="899">
        <v>37.398000000000003</v>
      </c>
      <c r="K1324" s="603">
        <v>0.26666666666666666</v>
      </c>
      <c r="L1324" s="980">
        <v>2</v>
      </c>
      <c r="M1324" s="1245" t="s">
        <v>366</v>
      </c>
      <c r="N1324" s="604" t="s">
        <v>227</v>
      </c>
      <c r="O1324" s="463"/>
      <c r="P1324" s="434"/>
      <c r="Q1324" s="434"/>
      <c r="R1324" s="400">
        <v>0</v>
      </c>
      <c r="S1324" s="464">
        <v>0</v>
      </c>
      <c r="U1324" s="1248">
        <f t="shared" si="28"/>
        <v>1</v>
      </c>
      <c r="V1324" s="1304">
        <f t="shared" si="29"/>
        <v>1</v>
      </c>
    </row>
    <row r="1325" spans="1:22" ht="16.5" thickTop="1" thickBot="1">
      <c r="A1325" s="1244"/>
      <c r="B1325" s="1249" t="s">
        <v>1570</v>
      </c>
      <c r="C1325" s="1329" t="s">
        <v>2315</v>
      </c>
      <c r="D1325" s="1326" t="s">
        <v>227</v>
      </c>
      <c r="E1325" s="1249" t="s">
        <v>2414</v>
      </c>
      <c r="F1325" s="455" t="s">
        <v>2415</v>
      </c>
      <c r="G1325" s="456" t="s">
        <v>156</v>
      </c>
      <c r="H1325" s="889">
        <v>7</v>
      </c>
      <c r="I1325" s="891">
        <v>34.130000000000003</v>
      </c>
      <c r="J1325" s="601">
        <v>151.30000000000001</v>
      </c>
      <c r="K1325" s="602">
        <v>0.32876712328767121</v>
      </c>
      <c r="L1325" s="981">
        <v>5</v>
      </c>
      <c r="M1325" s="1249" t="s">
        <v>321</v>
      </c>
      <c r="N1325" s="604" t="s">
        <v>227</v>
      </c>
      <c r="O1325" s="465"/>
      <c r="P1325" s="435"/>
      <c r="Q1325" s="435"/>
      <c r="R1325" s="401">
        <v>0</v>
      </c>
      <c r="S1325" s="466">
        <v>0</v>
      </c>
      <c r="U1325" s="1248">
        <f t="shared" si="28"/>
        <v>0</v>
      </c>
      <c r="V1325" s="1304">
        <f t="shared" si="29"/>
        <v>1</v>
      </c>
    </row>
    <row r="1326" spans="1:22" ht="16.5" thickTop="1" thickBot="1">
      <c r="A1326" s="1244"/>
      <c r="B1326" s="1245" t="s">
        <v>1570</v>
      </c>
      <c r="C1326" s="1328" t="s">
        <v>2315</v>
      </c>
      <c r="D1326" s="1327" t="s">
        <v>227</v>
      </c>
      <c r="E1326" s="1245" t="s">
        <v>3062</v>
      </c>
      <c r="F1326" s="457" t="s">
        <v>3063</v>
      </c>
      <c r="G1326" s="458" t="s">
        <v>156</v>
      </c>
      <c r="H1326" s="888">
        <v>2</v>
      </c>
      <c r="I1326" s="890">
        <v>14.04</v>
      </c>
      <c r="J1326" s="899">
        <v>109.553</v>
      </c>
      <c r="K1326" s="603">
        <v>0.7</v>
      </c>
      <c r="L1326" s="980">
        <v>4</v>
      </c>
      <c r="M1326" s="1245" t="s">
        <v>323</v>
      </c>
      <c r="N1326" s="604" t="s">
        <v>227</v>
      </c>
      <c r="O1326" s="463"/>
      <c r="P1326" s="434">
        <v>24.475000000000001</v>
      </c>
      <c r="Q1326" s="434">
        <v>3</v>
      </c>
      <c r="R1326" s="400">
        <v>3</v>
      </c>
      <c r="S1326" s="464">
        <v>0.75</v>
      </c>
      <c r="U1326" s="1248">
        <f t="shared" si="28"/>
        <v>0</v>
      </c>
      <c r="V1326" s="1304">
        <f t="shared" si="29"/>
        <v>1</v>
      </c>
    </row>
    <row r="1327" spans="1:22" ht="16.5" thickTop="1" thickBot="1">
      <c r="A1327" s="1244"/>
      <c r="B1327" s="1249" t="s">
        <v>1570</v>
      </c>
      <c r="C1327" s="1329" t="s">
        <v>2315</v>
      </c>
      <c r="D1327" s="1326" t="s">
        <v>227</v>
      </c>
      <c r="E1327" s="1249" t="s">
        <v>3374</v>
      </c>
      <c r="F1327" s="455" t="s">
        <v>3375</v>
      </c>
      <c r="G1327" s="456" t="s">
        <v>157</v>
      </c>
      <c r="H1327" s="889">
        <v>1</v>
      </c>
      <c r="I1327" s="891"/>
      <c r="J1327" s="601"/>
      <c r="K1327" s="602">
        <v>0</v>
      </c>
      <c r="L1327" s="981">
        <v>1</v>
      </c>
      <c r="M1327" s="1249" t="s">
        <v>366</v>
      </c>
      <c r="N1327" s="604" t="s">
        <v>227</v>
      </c>
      <c r="O1327" s="465"/>
      <c r="P1327" s="435"/>
      <c r="Q1327" s="435"/>
      <c r="R1327" s="401">
        <v>0</v>
      </c>
      <c r="S1327" s="466">
        <v>0</v>
      </c>
      <c r="U1327" s="1248">
        <f t="shared" si="28"/>
        <v>1</v>
      </c>
      <c r="V1327" s="1304">
        <f t="shared" si="29"/>
        <v>1</v>
      </c>
    </row>
    <row r="1328" spans="1:22" ht="16.5" thickTop="1" thickBot="1">
      <c r="A1328" s="1244"/>
      <c r="B1328" s="1245" t="s">
        <v>1570</v>
      </c>
      <c r="C1328" s="1328" t="s">
        <v>2315</v>
      </c>
      <c r="D1328" s="1327" t="s">
        <v>227</v>
      </c>
      <c r="E1328" s="1245" t="s">
        <v>3376</v>
      </c>
      <c r="F1328" s="457" t="s">
        <v>3377</v>
      </c>
      <c r="G1328" s="458" t="s">
        <v>156</v>
      </c>
      <c r="H1328" s="888">
        <v>1</v>
      </c>
      <c r="I1328" s="890"/>
      <c r="J1328" s="899">
        <v>57.912999999999997</v>
      </c>
      <c r="K1328" s="603">
        <v>0.5</v>
      </c>
      <c r="L1328" s="980">
        <v>4</v>
      </c>
      <c r="M1328" s="1245" t="s">
        <v>323</v>
      </c>
      <c r="N1328" s="604" t="s">
        <v>227</v>
      </c>
      <c r="O1328" s="463"/>
      <c r="P1328" s="434">
        <v>46.277000000000001</v>
      </c>
      <c r="Q1328" s="434">
        <v>3</v>
      </c>
      <c r="R1328" s="400">
        <v>2</v>
      </c>
      <c r="S1328" s="464">
        <v>0.5</v>
      </c>
      <c r="U1328" s="1248">
        <f t="shared" si="28"/>
        <v>0</v>
      </c>
      <c r="V1328" s="1304">
        <f t="shared" si="29"/>
        <v>1</v>
      </c>
    </row>
    <row r="1329" spans="1:22" ht="16.5" thickTop="1" thickBot="1">
      <c r="A1329" s="1244"/>
      <c r="B1329" s="1249" t="s">
        <v>1570</v>
      </c>
      <c r="C1329" s="1329" t="s">
        <v>2315</v>
      </c>
      <c r="D1329" s="1326" t="s">
        <v>227</v>
      </c>
      <c r="E1329" s="1249" t="s">
        <v>3378</v>
      </c>
      <c r="F1329" s="455" t="s">
        <v>3379</v>
      </c>
      <c r="G1329" s="456" t="s">
        <v>156</v>
      </c>
      <c r="H1329" s="889">
        <v>1</v>
      </c>
      <c r="I1329" s="891">
        <v>17.483000000000001</v>
      </c>
      <c r="J1329" s="601">
        <v>35.453000000000003</v>
      </c>
      <c r="K1329" s="602">
        <v>0.5</v>
      </c>
      <c r="L1329" s="981">
        <v>4</v>
      </c>
      <c r="M1329" s="1249" t="s">
        <v>323</v>
      </c>
      <c r="N1329" s="604" t="s">
        <v>227</v>
      </c>
      <c r="O1329" s="465">
        <v>2</v>
      </c>
      <c r="P1329" s="435">
        <v>35.453000000000003</v>
      </c>
      <c r="Q1329" s="435">
        <v>2</v>
      </c>
      <c r="R1329" s="401">
        <v>2</v>
      </c>
      <c r="S1329" s="466">
        <v>0.66666666666666663</v>
      </c>
      <c r="U1329" s="1248">
        <f t="shared" si="28"/>
        <v>0</v>
      </c>
      <c r="V1329" s="1304">
        <f t="shared" si="29"/>
        <v>1</v>
      </c>
    </row>
    <row r="1330" spans="1:22" ht="16.5" thickTop="1" thickBot="1">
      <c r="A1330" s="1244"/>
      <c r="B1330" s="1245" t="s">
        <v>1570</v>
      </c>
      <c r="C1330" s="1328" t="s">
        <v>2315</v>
      </c>
      <c r="D1330" s="1327" t="s">
        <v>227</v>
      </c>
      <c r="E1330" s="1245" t="s">
        <v>3380</v>
      </c>
      <c r="F1330" s="457" t="s">
        <v>3381</v>
      </c>
      <c r="G1330" s="458" t="s">
        <v>157</v>
      </c>
      <c r="H1330" s="888">
        <v>1</v>
      </c>
      <c r="I1330" s="890">
        <v>18.167999999999999</v>
      </c>
      <c r="J1330" s="899">
        <v>18.167999999999999</v>
      </c>
      <c r="K1330" s="603">
        <v>0.25</v>
      </c>
      <c r="L1330" s="980">
        <v>6</v>
      </c>
      <c r="M1330" s="1245" t="s">
        <v>321</v>
      </c>
      <c r="N1330" s="604" t="s">
        <v>227</v>
      </c>
      <c r="O1330" s="463">
        <v>5</v>
      </c>
      <c r="P1330" s="434"/>
      <c r="Q1330" s="434"/>
      <c r="R1330" s="400">
        <v>0</v>
      </c>
      <c r="S1330" s="464">
        <v>0</v>
      </c>
      <c r="U1330" s="1248">
        <f t="shared" si="28"/>
        <v>0</v>
      </c>
      <c r="V1330" s="1304">
        <f t="shared" si="29"/>
        <v>1</v>
      </c>
    </row>
    <row r="1331" spans="1:22" ht="16.5" thickTop="1" thickBot="1">
      <c r="A1331" s="1244"/>
      <c r="B1331" s="1249" t="s">
        <v>1570</v>
      </c>
      <c r="C1331" s="1329" t="s">
        <v>2315</v>
      </c>
      <c r="D1331" s="1326" t="s">
        <v>227</v>
      </c>
      <c r="E1331" s="1249" t="s">
        <v>3919</v>
      </c>
      <c r="F1331" s="455" t="s">
        <v>3920</v>
      </c>
      <c r="G1331" s="456" t="s">
        <v>156</v>
      </c>
      <c r="H1331" s="889">
        <v>1</v>
      </c>
      <c r="I1331" s="891"/>
      <c r="J1331" s="601">
        <v>223.44800000000001</v>
      </c>
      <c r="K1331" s="602">
        <v>0.5714285714285714</v>
      </c>
      <c r="L1331" s="981">
        <v>4</v>
      </c>
      <c r="M1331" s="1249" t="s">
        <v>323</v>
      </c>
      <c r="N1331" s="604" t="s">
        <v>227</v>
      </c>
      <c r="O1331" s="465">
        <v>1</v>
      </c>
      <c r="P1331" s="435">
        <v>223.44800000000001</v>
      </c>
      <c r="Q1331" s="435">
        <v>13</v>
      </c>
      <c r="R1331" s="401">
        <v>2</v>
      </c>
      <c r="S1331" s="466">
        <v>0.5714285714285714</v>
      </c>
      <c r="U1331" s="1248">
        <f t="shared" si="28"/>
        <v>0</v>
      </c>
      <c r="V1331" s="1304">
        <f t="shared" si="29"/>
        <v>1</v>
      </c>
    </row>
    <row r="1332" spans="1:22" ht="16.5" thickTop="1" thickBot="1">
      <c r="A1332" s="1244"/>
      <c r="B1332" s="1245" t="s">
        <v>1570</v>
      </c>
      <c r="C1332" s="1328" t="s">
        <v>2315</v>
      </c>
      <c r="D1332" s="1327" t="s">
        <v>227</v>
      </c>
      <c r="E1332" s="1245" t="s">
        <v>3921</v>
      </c>
      <c r="F1332" s="457" t="s">
        <v>3922</v>
      </c>
      <c r="G1332" s="458" t="s">
        <v>156</v>
      </c>
      <c r="H1332" s="888">
        <v>0</v>
      </c>
      <c r="I1332" s="890">
        <v>10.074</v>
      </c>
      <c r="J1332" s="899">
        <v>10.074</v>
      </c>
      <c r="K1332" s="603">
        <v>0.66666666666666663</v>
      </c>
      <c r="L1332" s="980">
        <v>3</v>
      </c>
      <c r="M1332" s="1245" t="s">
        <v>227</v>
      </c>
      <c r="N1332" s="604" t="s">
        <v>227</v>
      </c>
      <c r="O1332" s="463">
        <v>3</v>
      </c>
      <c r="P1332" s="434">
        <v>10.074</v>
      </c>
      <c r="Q1332" s="434">
        <v>1</v>
      </c>
      <c r="R1332" s="400">
        <v>1</v>
      </c>
      <c r="S1332" s="464">
        <v>0.66666666666666663</v>
      </c>
      <c r="U1332" s="1248">
        <f t="shared" si="28"/>
        <v>0</v>
      </c>
      <c r="V1332" s="1304">
        <f t="shared" si="29"/>
        <v>1</v>
      </c>
    </row>
    <row r="1333" spans="1:22" ht="16.5" thickTop="1" thickBot="1">
      <c r="A1333" s="1244"/>
      <c r="B1333" s="1249" t="s">
        <v>1570</v>
      </c>
      <c r="C1333" s="1329" t="s">
        <v>2315</v>
      </c>
      <c r="D1333" s="1326" t="s">
        <v>227</v>
      </c>
      <c r="E1333" s="1249" t="s">
        <v>3923</v>
      </c>
      <c r="F1333" s="455" t="s">
        <v>1918</v>
      </c>
      <c r="G1333" s="456" t="s">
        <v>156</v>
      </c>
      <c r="H1333" s="889">
        <v>0</v>
      </c>
      <c r="I1333" s="891"/>
      <c r="J1333" s="601"/>
      <c r="K1333" s="602">
        <v>0</v>
      </c>
      <c r="L1333" s="981">
        <v>1</v>
      </c>
      <c r="M1333" s="1249" t="s">
        <v>227</v>
      </c>
      <c r="N1333" s="604" t="s">
        <v>227</v>
      </c>
      <c r="O1333" s="465">
        <v>1</v>
      </c>
      <c r="P1333" s="435"/>
      <c r="Q1333" s="435"/>
      <c r="R1333" s="401">
        <v>0</v>
      </c>
      <c r="S1333" s="466">
        <v>0</v>
      </c>
      <c r="U1333" s="1248">
        <f t="shared" si="28"/>
        <v>0</v>
      </c>
      <c r="V1333" s="1304">
        <f t="shared" si="29"/>
        <v>1</v>
      </c>
    </row>
    <row r="1334" spans="1:22" ht="16.5" thickTop="1" thickBot="1">
      <c r="A1334" s="1244"/>
      <c r="B1334" s="1245" t="s">
        <v>1570</v>
      </c>
      <c r="C1334" s="1328" t="s">
        <v>2315</v>
      </c>
      <c r="D1334" s="1327" t="s">
        <v>227</v>
      </c>
      <c r="E1334" s="1245" t="s">
        <v>3924</v>
      </c>
      <c r="F1334" s="457" t="s">
        <v>3925</v>
      </c>
      <c r="G1334" s="458" t="s">
        <v>156</v>
      </c>
      <c r="H1334" s="888"/>
      <c r="I1334" s="890"/>
      <c r="J1334" s="899">
        <v>55.042999999999999</v>
      </c>
      <c r="K1334" s="603">
        <v>0.5</v>
      </c>
      <c r="L1334" s="980">
        <v>3</v>
      </c>
      <c r="M1334" s="1245" t="s">
        <v>366</v>
      </c>
      <c r="N1334" s="604" t="s">
        <v>227</v>
      </c>
      <c r="O1334" s="463">
        <v>2</v>
      </c>
      <c r="P1334" s="434">
        <v>55.042999999999999</v>
      </c>
      <c r="Q1334" s="434">
        <v>2</v>
      </c>
      <c r="R1334" s="400">
        <v>1</v>
      </c>
      <c r="S1334" s="464">
        <v>0.5</v>
      </c>
      <c r="U1334" s="1248">
        <f t="shared" si="28"/>
        <v>1</v>
      </c>
      <c r="V1334" s="1304">
        <f t="shared" si="29"/>
        <v>1</v>
      </c>
    </row>
    <row r="1335" spans="1:22" ht="16.5" thickTop="1" thickBot="1">
      <c r="A1335" s="1244"/>
      <c r="B1335" s="1249" t="s">
        <v>1570</v>
      </c>
      <c r="C1335" s="1329" t="s">
        <v>2315</v>
      </c>
      <c r="D1335" s="1326" t="s">
        <v>227</v>
      </c>
      <c r="E1335" s="1249" t="s">
        <v>3926</v>
      </c>
      <c r="F1335" s="455" t="s">
        <v>3927</v>
      </c>
      <c r="G1335" s="456" t="s">
        <v>156</v>
      </c>
      <c r="H1335" s="889"/>
      <c r="I1335" s="891"/>
      <c r="J1335" s="601"/>
      <c r="K1335" s="602">
        <v>0</v>
      </c>
      <c r="L1335" s="981">
        <v>3</v>
      </c>
      <c r="M1335" s="1249" t="s">
        <v>366</v>
      </c>
      <c r="N1335" s="604" t="s">
        <v>227</v>
      </c>
      <c r="O1335" s="465">
        <v>3</v>
      </c>
      <c r="P1335" s="435"/>
      <c r="Q1335" s="435"/>
      <c r="R1335" s="401">
        <v>0</v>
      </c>
      <c r="S1335" s="466">
        <v>0</v>
      </c>
      <c r="U1335" s="1248">
        <f t="shared" si="28"/>
        <v>1</v>
      </c>
      <c r="V1335" s="1304">
        <f t="shared" si="29"/>
        <v>1</v>
      </c>
    </row>
    <row r="1336" spans="1:22" ht="16.5" thickTop="1" thickBot="1">
      <c r="A1336" s="1244"/>
      <c r="B1336" s="1245" t="s">
        <v>1570</v>
      </c>
      <c r="C1336" s="1328" t="s">
        <v>2315</v>
      </c>
      <c r="D1336" s="1327" t="s">
        <v>227</v>
      </c>
      <c r="E1336" s="1245" t="s">
        <v>3928</v>
      </c>
      <c r="F1336" s="457" t="s">
        <v>3929</v>
      </c>
      <c r="G1336" s="458" t="s">
        <v>156</v>
      </c>
      <c r="H1336" s="888"/>
      <c r="I1336" s="890"/>
      <c r="J1336" s="899"/>
      <c r="K1336" s="603">
        <v>0</v>
      </c>
      <c r="L1336" s="980">
        <v>1</v>
      </c>
      <c r="M1336" s="1245" t="s">
        <v>366</v>
      </c>
      <c r="N1336" s="604" t="s">
        <v>227</v>
      </c>
      <c r="O1336" s="463">
        <v>1</v>
      </c>
      <c r="P1336" s="434"/>
      <c r="Q1336" s="434"/>
      <c r="R1336" s="400">
        <v>0</v>
      </c>
      <c r="S1336" s="464">
        <v>0</v>
      </c>
      <c r="U1336" s="1248">
        <f t="shared" si="28"/>
        <v>1</v>
      </c>
      <c r="V1336" s="1304">
        <f t="shared" si="29"/>
        <v>1</v>
      </c>
    </row>
    <row r="1337" spans="1:22" ht="16.5" thickTop="1" thickBot="1">
      <c r="A1337" s="1244"/>
      <c r="B1337" s="1249" t="s">
        <v>1570</v>
      </c>
      <c r="C1337" s="1329" t="s">
        <v>2318</v>
      </c>
      <c r="D1337" s="1326" t="s">
        <v>227</v>
      </c>
      <c r="E1337" s="1249" t="s">
        <v>2318</v>
      </c>
      <c r="F1337" s="455" t="s">
        <v>2320</v>
      </c>
      <c r="G1337" s="456" t="s">
        <v>158</v>
      </c>
      <c r="H1337" s="889">
        <v>7</v>
      </c>
      <c r="I1337" s="891">
        <v>11.324999999999999</v>
      </c>
      <c r="J1337" s="601">
        <v>11.324999999999999</v>
      </c>
      <c r="K1337" s="602">
        <v>3.3333333333333333E-2</v>
      </c>
      <c r="L1337" s="981">
        <v>6</v>
      </c>
      <c r="M1337" s="1249" t="s">
        <v>366</v>
      </c>
      <c r="N1337" s="604" t="s">
        <v>227</v>
      </c>
      <c r="O1337" s="465"/>
      <c r="P1337" s="435"/>
      <c r="Q1337" s="435"/>
      <c r="R1337" s="401">
        <v>0</v>
      </c>
      <c r="S1337" s="466">
        <v>0</v>
      </c>
      <c r="U1337" s="1248">
        <f t="shared" si="28"/>
        <v>1</v>
      </c>
      <c r="V1337" s="1304">
        <f t="shared" si="29"/>
        <v>1</v>
      </c>
    </row>
    <row r="1338" spans="1:22" ht="16.5" thickTop="1" thickBot="1">
      <c r="A1338" s="1244"/>
      <c r="B1338" s="1245" t="s">
        <v>1570</v>
      </c>
      <c r="C1338" s="1328" t="s">
        <v>2318</v>
      </c>
      <c r="D1338" s="1327" t="s">
        <v>227</v>
      </c>
      <c r="E1338" s="1245" t="s">
        <v>2524</v>
      </c>
      <c r="F1338" s="457" t="s">
        <v>2525</v>
      </c>
      <c r="G1338" s="458" t="s">
        <v>156</v>
      </c>
      <c r="H1338" s="888">
        <v>6</v>
      </c>
      <c r="I1338" s="890">
        <v>12.967000000000001</v>
      </c>
      <c r="J1338" s="899">
        <v>62.683999999999997</v>
      </c>
      <c r="K1338" s="603">
        <v>0.22641509433962265</v>
      </c>
      <c r="L1338" s="980">
        <v>5</v>
      </c>
      <c r="M1338" s="1245" t="s">
        <v>366</v>
      </c>
      <c r="N1338" s="604" t="s">
        <v>227</v>
      </c>
      <c r="O1338" s="463"/>
      <c r="P1338" s="434"/>
      <c r="Q1338" s="434"/>
      <c r="R1338" s="400">
        <v>0</v>
      </c>
      <c r="S1338" s="464">
        <v>0</v>
      </c>
      <c r="U1338" s="1248">
        <f t="shared" si="28"/>
        <v>1</v>
      </c>
      <c r="V1338" s="1304">
        <f t="shared" si="29"/>
        <v>1</v>
      </c>
    </row>
    <row r="1339" spans="1:22" ht="16.5" thickTop="1" thickBot="1">
      <c r="A1339" s="1244"/>
      <c r="B1339" s="1249" t="s">
        <v>1570</v>
      </c>
      <c r="C1339" s="1329" t="s">
        <v>2318</v>
      </c>
      <c r="D1339" s="1326" t="s">
        <v>227</v>
      </c>
      <c r="E1339" s="1249" t="s">
        <v>2526</v>
      </c>
      <c r="F1339" s="455" t="s">
        <v>2527</v>
      </c>
      <c r="G1339" s="456" t="s">
        <v>156</v>
      </c>
      <c r="H1339" s="889">
        <v>6</v>
      </c>
      <c r="I1339" s="891">
        <v>20.184000000000001</v>
      </c>
      <c r="J1339" s="601">
        <v>116.06699999999999</v>
      </c>
      <c r="K1339" s="602">
        <v>0.31111111111111112</v>
      </c>
      <c r="L1339" s="981">
        <v>3</v>
      </c>
      <c r="M1339" s="1249" t="s">
        <v>321</v>
      </c>
      <c r="N1339" s="604" t="s">
        <v>227</v>
      </c>
      <c r="O1339" s="465"/>
      <c r="P1339" s="435"/>
      <c r="Q1339" s="435"/>
      <c r="R1339" s="401">
        <v>0</v>
      </c>
      <c r="S1339" s="466">
        <v>0</v>
      </c>
      <c r="U1339" s="1248">
        <f t="shared" si="28"/>
        <v>0</v>
      </c>
      <c r="V1339" s="1304">
        <f t="shared" si="29"/>
        <v>1</v>
      </c>
    </row>
    <row r="1340" spans="1:22" ht="16.5" thickTop="1" thickBot="1">
      <c r="A1340" s="1244"/>
      <c r="B1340" s="1245" t="s">
        <v>1570</v>
      </c>
      <c r="C1340" s="1328" t="s">
        <v>2318</v>
      </c>
      <c r="D1340" s="1327" t="s">
        <v>227</v>
      </c>
      <c r="E1340" s="1245" t="s">
        <v>2528</v>
      </c>
      <c r="F1340" s="457" t="s">
        <v>2529</v>
      </c>
      <c r="G1340" s="458" t="s">
        <v>156</v>
      </c>
      <c r="H1340" s="888">
        <v>6</v>
      </c>
      <c r="I1340" s="890">
        <v>18.204999999999998</v>
      </c>
      <c r="J1340" s="899">
        <v>58.585999999999999</v>
      </c>
      <c r="K1340" s="603">
        <v>0.15384615384615385</v>
      </c>
      <c r="L1340" s="980">
        <v>4</v>
      </c>
      <c r="M1340" s="1245" t="s">
        <v>366</v>
      </c>
      <c r="N1340" s="604" t="s">
        <v>227</v>
      </c>
      <c r="O1340" s="463"/>
      <c r="P1340" s="434"/>
      <c r="Q1340" s="434"/>
      <c r="R1340" s="400">
        <v>0</v>
      </c>
      <c r="S1340" s="464">
        <v>0</v>
      </c>
      <c r="U1340" s="1248">
        <f t="shared" si="28"/>
        <v>1</v>
      </c>
      <c r="V1340" s="1304">
        <f t="shared" si="29"/>
        <v>1</v>
      </c>
    </row>
    <row r="1341" spans="1:22" ht="16.5" thickTop="1" thickBot="1">
      <c r="A1341" s="1244"/>
      <c r="B1341" s="1249" t="s">
        <v>1570</v>
      </c>
      <c r="C1341" s="1329" t="s">
        <v>2442</v>
      </c>
      <c r="D1341" s="1326" t="s">
        <v>227</v>
      </c>
      <c r="E1341" s="1249" t="s">
        <v>2460</v>
      </c>
      <c r="F1341" s="455" t="s">
        <v>2462</v>
      </c>
      <c r="G1341" s="456" t="s">
        <v>157</v>
      </c>
      <c r="H1341" s="889">
        <v>6</v>
      </c>
      <c r="I1341" s="891"/>
      <c r="J1341" s="601"/>
      <c r="K1341" s="602">
        <v>0</v>
      </c>
      <c r="L1341" s="981">
        <v>2</v>
      </c>
      <c r="M1341" s="1249" t="s">
        <v>366</v>
      </c>
      <c r="N1341" s="604" t="s">
        <v>227</v>
      </c>
      <c r="O1341" s="465"/>
      <c r="P1341" s="435"/>
      <c r="Q1341" s="435"/>
      <c r="R1341" s="401">
        <v>0</v>
      </c>
      <c r="S1341" s="466">
        <v>0</v>
      </c>
      <c r="U1341" s="1248">
        <f t="shared" si="28"/>
        <v>1</v>
      </c>
      <c r="V1341" s="1304">
        <f t="shared" si="29"/>
        <v>1</v>
      </c>
    </row>
    <row r="1342" spans="1:22" ht="16.5" thickTop="1" thickBot="1">
      <c r="A1342" s="1244"/>
      <c r="B1342" s="1245" t="s">
        <v>1570</v>
      </c>
      <c r="C1342" s="1328" t="s">
        <v>2442</v>
      </c>
      <c r="D1342" s="1327" t="s">
        <v>227</v>
      </c>
      <c r="E1342" s="1245" t="s">
        <v>2530</v>
      </c>
      <c r="F1342" s="457" t="s">
        <v>2531</v>
      </c>
      <c r="G1342" s="458" t="s">
        <v>156</v>
      </c>
      <c r="H1342" s="888">
        <v>6</v>
      </c>
      <c r="I1342" s="890">
        <v>20.774999999999999</v>
      </c>
      <c r="J1342" s="899">
        <v>262.63799999999998</v>
      </c>
      <c r="K1342" s="603">
        <v>0.40625</v>
      </c>
      <c r="L1342" s="980">
        <v>4</v>
      </c>
      <c r="M1342" s="1245" t="s">
        <v>323</v>
      </c>
      <c r="N1342" s="604" t="s">
        <v>227</v>
      </c>
      <c r="O1342" s="463"/>
      <c r="P1342" s="434"/>
      <c r="Q1342" s="434"/>
      <c r="R1342" s="400">
        <v>0</v>
      </c>
      <c r="S1342" s="464">
        <v>0</v>
      </c>
      <c r="U1342" s="1248">
        <f t="shared" si="28"/>
        <v>0</v>
      </c>
      <c r="V1342" s="1304">
        <f t="shared" si="29"/>
        <v>1</v>
      </c>
    </row>
    <row r="1343" spans="1:22" ht="16.5" thickTop="1" thickBot="1">
      <c r="A1343" s="1244"/>
      <c r="B1343" s="1249" t="s">
        <v>1570</v>
      </c>
      <c r="C1343" s="1329" t="s">
        <v>2442</v>
      </c>
      <c r="D1343" s="1326" t="s">
        <v>227</v>
      </c>
      <c r="E1343" s="1249" t="s">
        <v>3382</v>
      </c>
      <c r="F1343" s="455" t="s">
        <v>3383</v>
      </c>
      <c r="G1343" s="456" t="s">
        <v>155</v>
      </c>
      <c r="H1343" s="889"/>
      <c r="I1343" s="891"/>
      <c r="J1343" s="601">
        <v>11.215</v>
      </c>
      <c r="K1343" s="602">
        <v>0.44444444444444442</v>
      </c>
      <c r="L1343" s="981">
        <v>3</v>
      </c>
      <c r="M1343" s="1249" t="s">
        <v>366</v>
      </c>
      <c r="N1343" s="604" t="s">
        <v>227</v>
      </c>
      <c r="O1343" s="465">
        <v>1</v>
      </c>
      <c r="P1343" s="435">
        <v>11.215</v>
      </c>
      <c r="Q1343" s="435">
        <v>1</v>
      </c>
      <c r="R1343" s="401">
        <v>1</v>
      </c>
      <c r="S1343" s="466">
        <v>0.4</v>
      </c>
      <c r="U1343" s="1248">
        <f t="shared" si="28"/>
        <v>1</v>
      </c>
      <c r="V1343" s="1304">
        <f t="shared" si="29"/>
        <v>0</v>
      </c>
    </row>
    <row r="1344" spans="1:22" ht="16.5" thickTop="1" thickBot="1">
      <c r="A1344" s="1244"/>
      <c r="B1344" s="1245" t="s">
        <v>1570</v>
      </c>
      <c r="C1344" s="1328" t="s">
        <v>3207</v>
      </c>
      <c r="D1344" s="1327" t="s">
        <v>227</v>
      </c>
      <c r="E1344" s="1245" t="s">
        <v>3384</v>
      </c>
      <c r="F1344" s="457" t="s">
        <v>636</v>
      </c>
      <c r="G1344" s="458" t="s">
        <v>157</v>
      </c>
      <c r="H1344" s="888">
        <v>1</v>
      </c>
      <c r="I1344" s="890"/>
      <c r="J1344" s="899"/>
      <c r="K1344" s="603">
        <v>0</v>
      </c>
      <c r="L1344" s="980">
        <v>1</v>
      </c>
      <c r="M1344" s="1245" t="s">
        <v>366</v>
      </c>
      <c r="N1344" s="604" t="s">
        <v>227</v>
      </c>
      <c r="O1344" s="463"/>
      <c r="P1344" s="434"/>
      <c r="Q1344" s="434"/>
      <c r="R1344" s="400">
        <v>0</v>
      </c>
      <c r="S1344" s="464">
        <v>0</v>
      </c>
      <c r="U1344" s="1248">
        <f t="shared" si="28"/>
        <v>1</v>
      </c>
      <c r="V1344" s="1304">
        <f t="shared" si="29"/>
        <v>1</v>
      </c>
    </row>
    <row r="1345" spans="1:22" ht="16.5" thickTop="1" thickBot="1">
      <c r="A1345" s="1244"/>
      <c r="B1345" s="1249" t="s">
        <v>1570</v>
      </c>
      <c r="C1345" s="1329" t="s">
        <v>3207</v>
      </c>
      <c r="D1345" s="1326" t="s">
        <v>227</v>
      </c>
      <c r="E1345" s="1249" t="s">
        <v>3385</v>
      </c>
      <c r="F1345" s="455" t="s">
        <v>3386</v>
      </c>
      <c r="G1345" s="456" t="s">
        <v>156</v>
      </c>
      <c r="H1345" s="889">
        <v>1</v>
      </c>
      <c r="I1345" s="891"/>
      <c r="J1345" s="601">
        <v>28.777999999999999</v>
      </c>
      <c r="K1345" s="602">
        <v>0.22222222222222221</v>
      </c>
      <c r="L1345" s="981">
        <v>3</v>
      </c>
      <c r="M1345" s="1249" t="s">
        <v>323</v>
      </c>
      <c r="N1345" s="604" t="s">
        <v>227</v>
      </c>
      <c r="O1345" s="465"/>
      <c r="P1345" s="435">
        <v>28.777999999999999</v>
      </c>
      <c r="Q1345" s="435">
        <v>1</v>
      </c>
      <c r="R1345" s="401">
        <v>1</v>
      </c>
      <c r="S1345" s="466">
        <v>0.33333333333333331</v>
      </c>
      <c r="U1345" s="1248">
        <f t="shared" si="28"/>
        <v>0</v>
      </c>
      <c r="V1345" s="1304">
        <f t="shared" si="29"/>
        <v>1</v>
      </c>
    </row>
    <row r="1346" spans="1:22" ht="16.5" thickTop="1" thickBot="1">
      <c r="A1346" s="1244"/>
      <c r="B1346" s="1245" t="s">
        <v>1570</v>
      </c>
      <c r="C1346" s="1328" t="s">
        <v>3207</v>
      </c>
      <c r="D1346" s="1327" t="s">
        <v>227</v>
      </c>
      <c r="E1346" s="1245" t="s">
        <v>3387</v>
      </c>
      <c r="F1346" s="457" t="s">
        <v>2121</v>
      </c>
      <c r="G1346" s="458" t="s">
        <v>156</v>
      </c>
      <c r="H1346" s="888">
        <v>1</v>
      </c>
      <c r="I1346" s="890"/>
      <c r="J1346" s="899">
        <v>60.359000000000002</v>
      </c>
      <c r="K1346" s="603">
        <v>0.5714285714285714</v>
      </c>
      <c r="L1346" s="980">
        <v>3</v>
      </c>
      <c r="M1346" s="1245" t="s">
        <v>323</v>
      </c>
      <c r="N1346" s="604" t="s">
        <v>227</v>
      </c>
      <c r="O1346" s="463">
        <v>1</v>
      </c>
      <c r="P1346" s="434">
        <v>60.359000000000002</v>
      </c>
      <c r="Q1346" s="434">
        <v>4</v>
      </c>
      <c r="R1346" s="400">
        <v>2</v>
      </c>
      <c r="S1346" s="464">
        <v>0.8</v>
      </c>
      <c r="U1346" s="1248">
        <f t="shared" si="28"/>
        <v>0</v>
      </c>
      <c r="V1346" s="1304">
        <f t="shared" si="29"/>
        <v>1</v>
      </c>
    </row>
    <row r="1347" spans="1:22" ht="16.5" thickTop="1" thickBot="1">
      <c r="A1347" s="1244"/>
      <c r="B1347" s="1249" t="s">
        <v>1570</v>
      </c>
      <c r="C1347" s="1329" t="s">
        <v>3207</v>
      </c>
      <c r="D1347" s="1326" t="s">
        <v>227</v>
      </c>
      <c r="E1347" s="1249" t="s">
        <v>3388</v>
      </c>
      <c r="F1347" s="455" t="s">
        <v>3389</v>
      </c>
      <c r="G1347" s="456" t="s">
        <v>156</v>
      </c>
      <c r="H1347" s="889">
        <v>1</v>
      </c>
      <c r="I1347" s="891">
        <v>10.007999999999999</v>
      </c>
      <c r="J1347" s="601">
        <v>10.007999999999999</v>
      </c>
      <c r="K1347" s="602">
        <v>0.25</v>
      </c>
      <c r="L1347" s="981">
        <v>4</v>
      </c>
      <c r="M1347" s="1249" t="s">
        <v>322</v>
      </c>
      <c r="N1347" s="604" t="s">
        <v>227</v>
      </c>
      <c r="O1347" s="465">
        <v>2</v>
      </c>
      <c r="P1347" s="435">
        <v>10.007999999999999</v>
      </c>
      <c r="Q1347" s="435">
        <v>1</v>
      </c>
      <c r="R1347" s="401">
        <v>1</v>
      </c>
      <c r="S1347" s="466">
        <v>0.33333333333333331</v>
      </c>
      <c r="U1347" s="1248">
        <f t="shared" si="28"/>
        <v>0</v>
      </c>
      <c r="V1347" s="1304">
        <f t="shared" si="29"/>
        <v>1</v>
      </c>
    </row>
    <row r="1348" spans="1:22" ht="16.5" thickTop="1" thickBot="1">
      <c r="A1348" s="1244"/>
      <c r="B1348" s="1245" t="s">
        <v>1570</v>
      </c>
      <c r="C1348" s="1328" t="s">
        <v>3207</v>
      </c>
      <c r="D1348" s="1327" t="s">
        <v>227</v>
      </c>
      <c r="E1348" s="1245" t="s">
        <v>3207</v>
      </c>
      <c r="F1348" s="457" t="s">
        <v>3209</v>
      </c>
      <c r="G1348" s="458" t="s">
        <v>158</v>
      </c>
      <c r="H1348" s="888">
        <v>1</v>
      </c>
      <c r="I1348" s="890">
        <v>10.048999999999999</v>
      </c>
      <c r="J1348" s="899">
        <v>10.048999999999999</v>
      </c>
      <c r="K1348" s="603">
        <v>0.4</v>
      </c>
      <c r="L1348" s="980">
        <v>3</v>
      </c>
      <c r="M1348" s="1245" t="s">
        <v>322</v>
      </c>
      <c r="N1348" s="604" t="s">
        <v>227</v>
      </c>
      <c r="O1348" s="463">
        <v>2</v>
      </c>
      <c r="P1348" s="434">
        <v>10.048999999999999</v>
      </c>
      <c r="Q1348" s="434">
        <v>1</v>
      </c>
      <c r="R1348" s="400">
        <v>1</v>
      </c>
      <c r="S1348" s="464">
        <v>0.5</v>
      </c>
      <c r="U1348" s="1248">
        <f t="shared" si="28"/>
        <v>0</v>
      </c>
      <c r="V1348" s="1304">
        <f t="shared" si="29"/>
        <v>1</v>
      </c>
    </row>
    <row r="1349" spans="1:22" ht="16.5" thickTop="1" thickBot="1">
      <c r="A1349" s="1244"/>
      <c r="B1349" s="1249" t="s">
        <v>1570</v>
      </c>
      <c r="C1349" s="1329" t="s">
        <v>3207</v>
      </c>
      <c r="D1349" s="1326" t="s">
        <v>227</v>
      </c>
      <c r="E1349" s="1249" t="s">
        <v>3930</v>
      </c>
      <c r="F1349" s="455" t="s">
        <v>3931</v>
      </c>
      <c r="G1349" s="456" t="s">
        <v>156</v>
      </c>
      <c r="H1349" s="889">
        <v>0</v>
      </c>
      <c r="I1349" s="891"/>
      <c r="J1349" s="601"/>
      <c r="K1349" s="602">
        <v>0</v>
      </c>
      <c r="L1349" s="981">
        <v>3</v>
      </c>
      <c r="M1349" s="1249" t="s">
        <v>227</v>
      </c>
      <c r="N1349" s="604" t="s">
        <v>227</v>
      </c>
      <c r="O1349" s="465">
        <v>3</v>
      </c>
      <c r="P1349" s="435"/>
      <c r="Q1349" s="435"/>
      <c r="R1349" s="401">
        <v>0</v>
      </c>
      <c r="S1349" s="466">
        <v>0</v>
      </c>
      <c r="U1349" s="1248">
        <f t="shared" si="28"/>
        <v>0</v>
      </c>
      <c r="V1349" s="1304">
        <f t="shared" si="29"/>
        <v>1</v>
      </c>
    </row>
    <row r="1350" spans="1:22" ht="16.5" thickTop="1" thickBot="1">
      <c r="A1350" s="1244"/>
      <c r="B1350" s="1245" t="s">
        <v>1570</v>
      </c>
      <c r="C1350" s="1328" t="s">
        <v>3207</v>
      </c>
      <c r="D1350" s="1327" t="s">
        <v>227</v>
      </c>
      <c r="E1350" s="1245" t="s">
        <v>3932</v>
      </c>
      <c r="F1350" s="457" t="s">
        <v>3933</v>
      </c>
      <c r="G1350" s="458" t="s">
        <v>156</v>
      </c>
      <c r="H1350" s="888"/>
      <c r="I1350" s="890">
        <v>11.010999999999999</v>
      </c>
      <c r="J1350" s="899">
        <v>19.021000000000001</v>
      </c>
      <c r="K1350" s="603">
        <v>1.3333333333333333</v>
      </c>
      <c r="L1350" s="980">
        <v>3</v>
      </c>
      <c r="M1350" s="1245" t="s">
        <v>366</v>
      </c>
      <c r="N1350" s="604" t="s">
        <v>227</v>
      </c>
      <c r="O1350" s="463">
        <v>3</v>
      </c>
      <c r="P1350" s="434">
        <v>19.021000000000001</v>
      </c>
      <c r="Q1350" s="434">
        <v>2</v>
      </c>
      <c r="R1350" s="400">
        <v>2</v>
      </c>
      <c r="S1350" s="464">
        <v>1.3333333333333333</v>
      </c>
      <c r="U1350" s="1248">
        <f t="shared" si="28"/>
        <v>1</v>
      </c>
      <c r="V1350" s="1304">
        <f t="shared" si="29"/>
        <v>1</v>
      </c>
    </row>
    <row r="1351" spans="1:22" ht="16.5" thickTop="1" thickBot="1">
      <c r="A1351" s="1244"/>
      <c r="B1351" s="1249" t="s">
        <v>1570</v>
      </c>
      <c r="C1351" s="1329" t="s">
        <v>3207</v>
      </c>
      <c r="D1351" s="1326" t="s">
        <v>227</v>
      </c>
      <c r="E1351" s="1249" t="s">
        <v>3934</v>
      </c>
      <c r="F1351" s="455" t="s">
        <v>2402</v>
      </c>
      <c r="G1351" s="456" t="s">
        <v>156</v>
      </c>
      <c r="H1351" s="889"/>
      <c r="I1351" s="891"/>
      <c r="J1351" s="601"/>
      <c r="K1351" s="602">
        <v>0</v>
      </c>
      <c r="L1351" s="981">
        <v>1</v>
      </c>
      <c r="M1351" s="1249" t="s">
        <v>366</v>
      </c>
      <c r="N1351" s="604" t="s">
        <v>227</v>
      </c>
      <c r="O1351" s="465">
        <v>1</v>
      </c>
      <c r="P1351" s="435"/>
      <c r="Q1351" s="435"/>
      <c r="R1351" s="401">
        <v>0</v>
      </c>
      <c r="S1351" s="466">
        <v>0</v>
      </c>
      <c r="U1351" s="1248">
        <f t="shared" si="28"/>
        <v>1</v>
      </c>
      <c r="V1351" s="1304">
        <f t="shared" si="29"/>
        <v>1</v>
      </c>
    </row>
    <row r="1352" spans="1:22" ht="16.5" thickTop="1" thickBot="1">
      <c r="A1352" s="1244"/>
      <c r="B1352" s="1245" t="s">
        <v>799</v>
      </c>
      <c r="C1352" s="1328" t="s">
        <v>227</v>
      </c>
      <c r="D1352" s="1327" t="s">
        <v>227</v>
      </c>
      <c r="E1352" s="1245" t="s">
        <v>969</v>
      </c>
      <c r="F1352" s="457" t="s">
        <v>971</v>
      </c>
      <c r="G1352" s="458" t="s">
        <v>157</v>
      </c>
      <c r="H1352" s="888">
        <v>19</v>
      </c>
      <c r="I1352" s="890">
        <v>39.597000000000001</v>
      </c>
      <c r="J1352" s="899">
        <v>423.03699999999998</v>
      </c>
      <c r="K1352" s="603">
        <v>0.30303030303030304</v>
      </c>
      <c r="L1352" s="980">
        <v>6</v>
      </c>
      <c r="M1352" s="1245" t="s">
        <v>323</v>
      </c>
      <c r="N1352" s="604" t="s">
        <v>227</v>
      </c>
      <c r="O1352" s="463">
        <v>2</v>
      </c>
      <c r="P1352" s="434">
        <v>62.026000000000003</v>
      </c>
      <c r="Q1352" s="434">
        <v>6</v>
      </c>
      <c r="R1352" s="400">
        <v>1</v>
      </c>
      <c r="S1352" s="464">
        <v>0.2</v>
      </c>
      <c r="U1352" s="1248">
        <f t="shared" si="28"/>
        <v>0</v>
      </c>
      <c r="V1352" s="1304">
        <f t="shared" si="29"/>
        <v>1</v>
      </c>
    </row>
    <row r="1353" spans="1:22" ht="16.5" thickTop="1" thickBot="1">
      <c r="A1353" s="1244"/>
      <c r="B1353" s="1249" t="s">
        <v>799</v>
      </c>
      <c r="C1353" s="1329" t="s">
        <v>227</v>
      </c>
      <c r="D1353" s="1326" t="s">
        <v>227</v>
      </c>
      <c r="E1353" s="1249" t="s">
        <v>1003</v>
      </c>
      <c r="F1353" s="455" t="s">
        <v>1004</v>
      </c>
      <c r="G1353" s="456" t="s">
        <v>156</v>
      </c>
      <c r="H1353" s="889">
        <v>19</v>
      </c>
      <c r="I1353" s="891">
        <v>619.23400000000004</v>
      </c>
      <c r="J1353" s="601">
        <v>758.65800000000002</v>
      </c>
      <c r="K1353" s="602">
        <v>0.34408602150537637</v>
      </c>
      <c r="L1353" s="981">
        <v>2</v>
      </c>
      <c r="M1353" s="1249" t="s">
        <v>323</v>
      </c>
      <c r="N1353" s="604" t="s">
        <v>227</v>
      </c>
      <c r="O1353" s="465"/>
      <c r="P1353" s="435">
        <v>13.507999999999999</v>
      </c>
      <c r="Q1353" s="435">
        <v>1</v>
      </c>
      <c r="R1353" s="401">
        <v>1</v>
      </c>
      <c r="S1353" s="466">
        <v>0.5</v>
      </c>
      <c r="U1353" s="1248">
        <f t="shared" si="28"/>
        <v>0</v>
      </c>
      <c r="V1353" s="1304">
        <f t="shared" si="29"/>
        <v>1</v>
      </c>
    </row>
    <row r="1354" spans="1:22" ht="16.5" thickTop="1" thickBot="1">
      <c r="A1354" s="1244"/>
      <c r="B1354" s="1245" t="s">
        <v>799</v>
      </c>
      <c r="C1354" s="1328" t="s">
        <v>227</v>
      </c>
      <c r="D1354" s="1327" t="s">
        <v>227</v>
      </c>
      <c r="E1354" s="1245" t="s">
        <v>2182</v>
      </c>
      <c r="F1354" s="457" t="s">
        <v>2183</v>
      </c>
      <c r="G1354" s="458" t="s">
        <v>156</v>
      </c>
      <c r="H1354" s="888">
        <v>10</v>
      </c>
      <c r="I1354" s="890">
        <v>100.572</v>
      </c>
      <c r="J1354" s="899">
        <v>490.64299999999997</v>
      </c>
      <c r="K1354" s="603">
        <v>0.44036697247706424</v>
      </c>
      <c r="L1354" s="980">
        <v>5</v>
      </c>
      <c r="M1354" s="1245" t="s">
        <v>323</v>
      </c>
      <c r="N1354" s="604" t="s">
        <v>227</v>
      </c>
      <c r="O1354" s="463"/>
      <c r="P1354" s="434"/>
      <c r="Q1354" s="434"/>
      <c r="R1354" s="400">
        <v>0</v>
      </c>
      <c r="S1354" s="464">
        <v>0</v>
      </c>
      <c r="U1354" s="1248">
        <f t="shared" si="28"/>
        <v>0</v>
      </c>
      <c r="V1354" s="1304">
        <f t="shared" si="29"/>
        <v>1</v>
      </c>
    </row>
    <row r="1355" spans="1:22" ht="16.5" thickTop="1" thickBot="1">
      <c r="A1355" s="1244"/>
      <c r="B1355" s="1249" t="s">
        <v>799</v>
      </c>
      <c r="C1355" s="1329" t="s">
        <v>227</v>
      </c>
      <c r="D1355" s="1326" t="s">
        <v>227</v>
      </c>
      <c r="E1355" s="1249" t="s">
        <v>3064</v>
      </c>
      <c r="F1355" s="455" t="s">
        <v>3065</v>
      </c>
      <c r="G1355" s="456" t="s">
        <v>155</v>
      </c>
      <c r="H1355" s="889"/>
      <c r="I1355" s="891"/>
      <c r="J1355" s="601">
        <v>25.9</v>
      </c>
      <c r="K1355" s="602">
        <v>0.33333333333333331</v>
      </c>
      <c r="L1355" s="981">
        <v>2</v>
      </c>
      <c r="M1355" s="1249" t="s">
        <v>366</v>
      </c>
      <c r="N1355" s="604" t="s">
        <v>227</v>
      </c>
      <c r="O1355" s="465"/>
      <c r="P1355" s="435">
        <v>25.9</v>
      </c>
      <c r="Q1355" s="435">
        <v>2</v>
      </c>
      <c r="R1355" s="401">
        <v>2</v>
      </c>
      <c r="S1355" s="466">
        <v>1</v>
      </c>
      <c r="U1355" s="1248">
        <f t="shared" si="28"/>
        <v>1</v>
      </c>
      <c r="V1355" s="1304">
        <f t="shared" si="29"/>
        <v>0</v>
      </c>
    </row>
    <row r="1356" spans="1:22" ht="16.5" thickTop="1" thickBot="1">
      <c r="A1356" s="1244"/>
      <c r="B1356" s="1245" t="s">
        <v>799</v>
      </c>
      <c r="C1356" s="1328" t="s">
        <v>227</v>
      </c>
      <c r="D1356" s="1327" t="s">
        <v>227</v>
      </c>
      <c r="E1356" s="1245" t="s">
        <v>3390</v>
      </c>
      <c r="F1356" s="457" t="s">
        <v>3391</v>
      </c>
      <c r="G1356" s="458" t="s">
        <v>156</v>
      </c>
      <c r="H1356" s="888">
        <v>1</v>
      </c>
      <c r="I1356" s="890">
        <v>52.944000000000003</v>
      </c>
      <c r="J1356" s="899">
        <v>52.944000000000003</v>
      </c>
      <c r="K1356" s="603">
        <v>0.13333333333333333</v>
      </c>
      <c r="L1356" s="980">
        <v>5</v>
      </c>
      <c r="M1356" s="1245" t="s">
        <v>323</v>
      </c>
      <c r="N1356" s="604" t="s">
        <v>227</v>
      </c>
      <c r="O1356" s="463"/>
      <c r="P1356" s="434">
        <v>52.944000000000003</v>
      </c>
      <c r="Q1356" s="434">
        <v>1</v>
      </c>
      <c r="R1356" s="400">
        <v>1</v>
      </c>
      <c r="S1356" s="464">
        <v>0.2</v>
      </c>
      <c r="U1356" s="1248">
        <f t="shared" si="28"/>
        <v>0</v>
      </c>
      <c r="V1356" s="1304">
        <f t="shared" si="29"/>
        <v>1</v>
      </c>
    </row>
    <row r="1357" spans="1:22" ht="16.5" thickTop="1" thickBot="1">
      <c r="A1357" s="1244"/>
      <c r="B1357" s="1249" t="s">
        <v>799</v>
      </c>
      <c r="C1357" s="1329" t="s">
        <v>1451</v>
      </c>
      <c r="D1357" s="1326" t="s">
        <v>227</v>
      </c>
      <c r="E1357" s="1249" t="s">
        <v>1451</v>
      </c>
      <c r="F1357" s="455" t="s">
        <v>1453</v>
      </c>
      <c r="G1357" s="456" t="s">
        <v>739</v>
      </c>
      <c r="H1357" s="889">
        <v>14</v>
      </c>
      <c r="I1357" s="891">
        <v>302.42899999999997</v>
      </c>
      <c r="J1357" s="601">
        <v>569.529</v>
      </c>
      <c r="K1357" s="602">
        <v>0.31325301204819278</v>
      </c>
      <c r="L1357" s="981">
        <v>3</v>
      </c>
      <c r="M1357" s="1249" t="s">
        <v>323</v>
      </c>
      <c r="N1357" s="604" t="s">
        <v>227</v>
      </c>
      <c r="O1357" s="465"/>
      <c r="P1357" s="435">
        <v>33.368000000000002</v>
      </c>
      <c r="Q1357" s="435">
        <v>3</v>
      </c>
      <c r="R1357" s="401">
        <v>2</v>
      </c>
      <c r="S1357" s="466">
        <v>0.5714285714285714</v>
      </c>
      <c r="U1357" s="1248">
        <f t="shared" si="28"/>
        <v>0</v>
      </c>
      <c r="V1357" s="1304">
        <f t="shared" si="29"/>
        <v>1</v>
      </c>
    </row>
    <row r="1358" spans="1:22" ht="16.5" thickTop="1" thickBot="1">
      <c r="A1358" s="1244"/>
      <c r="B1358" s="1245" t="s">
        <v>799</v>
      </c>
      <c r="C1358" s="1328" t="s">
        <v>1451</v>
      </c>
      <c r="D1358" s="1327" t="s">
        <v>227</v>
      </c>
      <c r="E1358" s="1245" t="s">
        <v>1748</v>
      </c>
      <c r="F1358" s="457" t="s">
        <v>1749</v>
      </c>
      <c r="G1358" s="458" t="s">
        <v>156</v>
      </c>
      <c r="H1358" s="888">
        <v>12</v>
      </c>
      <c r="I1358" s="890">
        <v>188.59299999999999</v>
      </c>
      <c r="J1358" s="899">
        <v>969.03099999999995</v>
      </c>
      <c r="K1358" s="603">
        <v>0.43870967741935485</v>
      </c>
      <c r="L1358" s="980">
        <v>7</v>
      </c>
      <c r="M1358" s="1245" t="s">
        <v>323</v>
      </c>
      <c r="N1358" s="604" t="s">
        <v>227</v>
      </c>
      <c r="O1358" s="463"/>
      <c r="P1358" s="434">
        <v>126.93300000000001</v>
      </c>
      <c r="Q1358" s="434">
        <v>6</v>
      </c>
      <c r="R1358" s="400">
        <v>4</v>
      </c>
      <c r="S1358" s="464">
        <v>0.5714285714285714</v>
      </c>
      <c r="U1358" s="1248">
        <f t="shared" si="28"/>
        <v>0</v>
      </c>
      <c r="V1358" s="1304">
        <f t="shared" si="29"/>
        <v>1</v>
      </c>
    </row>
    <row r="1359" spans="1:22" ht="16.5" thickTop="1" thickBot="1">
      <c r="A1359" s="1244"/>
      <c r="B1359" s="1249" t="s">
        <v>799</v>
      </c>
      <c r="C1359" s="1329" t="s">
        <v>1451</v>
      </c>
      <c r="D1359" s="1326" t="s">
        <v>227</v>
      </c>
      <c r="E1359" s="1249" t="s">
        <v>1978</v>
      </c>
      <c r="F1359" s="455" t="s">
        <v>1980</v>
      </c>
      <c r="G1359" s="456" t="s">
        <v>157</v>
      </c>
      <c r="H1359" s="889">
        <v>10</v>
      </c>
      <c r="I1359" s="891">
        <v>63.853999999999999</v>
      </c>
      <c r="J1359" s="601">
        <v>102.71899999999999</v>
      </c>
      <c r="K1359" s="602">
        <v>0.3888888888888889</v>
      </c>
      <c r="L1359" s="981">
        <v>2</v>
      </c>
      <c r="M1359" s="1249" t="s">
        <v>366</v>
      </c>
      <c r="N1359" s="604" t="s">
        <v>227</v>
      </c>
      <c r="O1359" s="465"/>
      <c r="P1359" s="435"/>
      <c r="Q1359" s="435"/>
      <c r="R1359" s="401">
        <v>0</v>
      </c>
      <c r="S1359" s="466">
        <v>0</v>
      </c>
      <c r="U1359" s="1248">
        <f t="shared" si="28"/>
        <v>1</v>
      </c>
      <c r="V1359" s="1304">
        <f t="shared" si="29"/>
        <v>1</v>
      </c>
    </row>
    <row r="1360" spans="1:22" ht="16.5" thickTop="1" thickBot="1">
      <c r="A1360" s="1244"/>
      <c r="B1360" s="1245" t="s">
        <v>799</v>
      </c>
      <c r="C1360" s="1328" t="s">
        <v>1451</v>
      </c>
      <c r="D1360" s="1327" t="s">
        <v>227</v>
      </c>
      <c r="E1360" s="1245" t="s">
        <v>2020</v>
      </c>
      <c r="F1360" s="457" t="s">
        <v>785</v>
      </c>
      <c r="G1360" s="458" t="s">
        <v>156</v>
      </c>
      <c r="H1360" s="888">
        <v>10</v>
      </c>
      <c r="I1360" s="890">
        <v>218.8</v>
      </c>
      <c r="J1360" s="899">
        <v>645.94299999999998</v>
      </c>
      <c r="K1360" s="603">
        <v>0.39455782312925169</v>
      </c>
      <c r="L1360" s="980">
        <v>11</v>
      </c>
      <c r="M1360" s="1245" t="s">
        <v>323</v>
      </c>
      <c r="N1360" s="604" t="s">
        <v>227</v>
      </c>
      <c r="O1360" s="463">
        <v>2</v>
      </c>
      <c r="P1360" s="434">
        <v>32.055</v>
      </c>
      <c r="Q1360" s="434">
        <v>3</v>
      </c>
      <c r="R1360" s="400">
        <v>3</v>
      </c>
      <c r="S1360" s="464">
        <v>0.2857142857142857</v>
      </c>
      <c r="U1360" s="1248">
        <f t="shared" si="28"/>
        <v>0</v>
      </c>
      <c r="V1360" s="1304">
        <f t="shared" si="29"/>
        <v>1</v>
      </c>
    </row>
    <row r="1361" spans="1:22" ht="16.5" thickTop="1" thickBot="1">
      <c r="A1361" s="1244"/>
      <c r="B1361" s="1249" t="s">
        <v>799</v>
      </c>
      <c r="C1361" s="1329" t="s">
        <v>1451</v>
      </c>
      <c r="D1361" s="1326" t="s">
        <v>227</v>
      </c>
      <c r="E1361" s="1249" t="s">
        <v>2021</v>
      </c>
      <c r="F1361" s="455" t="s">
        <v>2022</v>
      </c>
      <c r="G1361" s="456" t="s">
        <v>156</v>
      </c>
      <c r="H1361" s="889">
        <v>10</v>
      </c>
      <c r="I1361" s="891">
        <v>40.36</v>
      </c>
      <c r="J1361" s="601">
        <v>224.11799999999999</v>
      </c>
      <c r="K1361" s="602">
        <v>0.27272727272727271</v>
      </c>
      <c r="L1361" s="981">
        <v>4</v>
      </c>
      <c r="M1361" s="1249" t="s">
        <v>321</v>
      </c>
      <c r="N1361" s="604" t="s">
        <v>227</v>
      </c>
      <c r="O1361" s="465">
        <v>1</v>
      </c>
      <c r="P1361" s="435">
        <v>15.144</v>
      </c>
      <c r="Q1361" s="435">
        <v>1</v>
      </c>
      <c r="R1361" s="401">
        <v>1</v>
      </c>
      <c r="S1361" s="466">
        <v>0.22222222222222221</v>
      </c>
      <c r="U1361" s="1248">
        <f t="shared" si="28"/>
        <v>0</v>
      </c>
      <c r="V1361" s="1304">
        <f t="shared" si="29"/>
        <v>1</v>
      </c>
    </row>
    <row r="1362" spans="1:22" ht="16.5" thickTop="1" thickBot="1">
      <c r="A1362" s="1244"/>
      <c r="B1362" s="1245" t="s">
        <v>799</v>
      </c>
      <c r="C1362" s="1328" t="s">
        <v>1451</v>
      </c>
      <c r="D1362" s="1327" t="s">
        <v>227</v>
      </c>
      <c r="E1362" s="1245" t="s">
        <v>2289</v>
      </c>
      <c r="F1362" s="457" t="s">
        <v>2290</v>
      </c>
      <c r="G1362" s="458" t="s">
        <v>156</v>
      </c>
      <c r="H1362" s="888">
        <v>9</v>
      </c>
      <c r="I1362" s="890">
        <v>11.846</v>
      </c>
      <c r="J1362" s="899">
        <v>117.449</v>
      </c>
      <c r="K1362" s="603">
        <v>0.20512820512820512</v>
      </c>
      <c r="L1362" s="980">
        <v>6</v>
      </c>
      <c r="M1362" s="1245" t="s">
        <v>366</v>
      </c>
      <c r="N1362" s="604" t="s">
        <v>227</v>
      </c>
      <c r="O1362" s="463"/>
      <c r="P1362" s="434">
        <v>33.627000000000002</v>
      </c>
      <c r="Q1362" s="434">
        <v>2</v>
      </c>
      <c r="R1362" s="400">
        <v>1</v>
      </c>
      <c r="S1362" s="464">
        <v>0.16666666666666666</v>
      </c>
      <c r="U1362" s="1248">
        <f t="shared" si="28"/>
        <v>1</v>
      </c>
      <c r="V1362" s="1304">
        <f t="shared" si="29"/>
        <v>1</v>
      </c>
    </row>
    <row r="1363" spans="1:22" ht="16.5" thickTop="1" thickBot="1">
      <c r="A1363" s="1244"/>
      <c r="B1363" s="1249" t="s">
        <v>799</v>
      </c>
      <c r="C1363" s="1329" t="s">
        <v>1451</v>
      </c>
      <c r="D1363" s="1326" t="s">
        <v>227</v>
      </c>
      <c r="E1363" s="1249" t="s">
        <v>2291</v>
      </c>
      <c r="F1363" s="455" t="s">
        <v>1060</v>
      </c>
      <c r="G1363" s="456" t="s">
        <v>157</v>
      </c>
      <c r="H1363" s="889">
        <v>8</v>
      </c>
      <c r="I1363" s="891">
        <v>7.02</v>
      </c>
      <c r="J1363" s="601">
        <v>536.04300000000001</v>
      </c>
      <c r="K1363" s="602">
        <v>0.34177215189873417</v>
      </c>
      <c r="L1363" s="981">
        <v>5</v>
      </c>
      <c r="M1363" s="1249" t="s">
        <v>323</v>
      </c>
      <c r="N1363" s="604" t="s">
        <v>227</v>
      </c>
      <c r="O1363" s="465"/>
      <c r="P1363" s="435">
        <v>10.28</v>
      </c>
      <c r="Q1363" s="435">
        <v>1</v>
      </c>
      <c r="R1363" s="401">
        <v>1</v>
      </c>
      <c r="S1363" s="466">
        <v>0.2</v>
      </c>
      <c r="U1363" s="1248">
        <f t="shared" si="28"/>
        <v>0</v>
      </c>
      <c r="V1363" s="1304">
        <f t="shared" si="29"/>
        <v>1</v>
      </c>
    </row>
    <row r="1364" spans="1:22" ht="16.5" thickTop="1" thickBot="1">
      <c r="A1364" s="1244"/>
      <c r="B1364" s="1245" t="s">
        <v>799</v>
      </c>
      <c r="C1364" s="1328" t="s">
        <v>1451</v>
      </c>
      <c r="D1364" s="1327" t="s">
        <v>227</v>
      </c>
      <c r="E1364" s="1245" t="s">
        <v>2622</v>
      </c>
      <c r="F1364" s="457" t="s">
        <v>2623</v>
      </c>
      <c r="G1364" s="458" t="s">
        <v>155</v>
      </c>
      <c r="H1364" s="888"/>
      <c r="I1364" s="890"/>
      <c r="J1364" s="899">
        <v>54.478000000000002</v>
      </c>
      <c r="K1364" s="603">
        <v>0.16326530612244897</v>
      </c>
      <c r="L1364" s="980">
        <v>5</v>
      </c>
      <c r="M1364" s="1245" t="s">
        <v>366</v>
      </c>
      <c r="N1364" s="604" t="s">
        <v>227</v>
      </c>
      <c r="O1364" s="463">
        <v>1</v>
      </c>
      <c r="P1364" s="434">
        <v>37.859000000000002</v>
      </c>
      <c r="Q1364" s="434">
        <v>2</v>
      </c>
      <c r="R1364" s="400">
        <v>2</v>
      </c>
      <c r="S1364" s="464">
        <v>0.36363636363636365</v>
      </c>
      <c r="U1364" s="1248">
        <f t="shared" si="28"/>
        <v>1</v>
      </c>
      <c r="V1364" s="1304">
        <f t="shared" si="29"/>
        <v>0</v>
      </c>
    </row>
    <row r="1365" spans="1:22" ht="16.5" thickTop="1" thickBot="1">
      <c r="A1365" s="1244"/>
      <c r="B1365" s="1249" t="s">
        <v>799</v>
      </c>
      <c r="C1365" s="1329" t="s">
        <v>1451</v>
      </c>
      <c r="D1365" s="1326" t="s">
        <v>227</v>
      </c>
      <c r="E1365" s="1249" t="s">
        <v>2624</v>
      </c>
      <c r="F1365" s="455" t="s">
        <v>2625</v>
      </c>
      <c r="G1365" s="456" t="s">
        <v>157</v>
      </c>
      <c r="H1365" s="889">
        <v>5</v>
      </c>
      <c r="I1365" s="891">
        <v>141.976</v>
      </c>
      <c r="J1365" s="601">
        <v>418.483</v>
      </c>
      <c r="K1365" s="602">
        <v>0.59375</v>
      </c>
      <c r="L1365" s="981">
        <v>7</v>
      </c>
      <c r="M1365" s="1249" t="s">
        <v>323</v>
      </c>
      <c r="N1365" s="604" t="s">
        <v>227</v>
      </c>
      <c r="O1365" s="465">
        <v>1</v>
      </c>
      <c r="P1365" s="435">
        <v>105.825</v>
      </c>
      <c r="Q1365" s="435">
        <v>8</v>
      </c>
      <c r="R1365" s="401">
        <v>4</v>
      </c>
      <c r="S1365" s="466">
        <v>0.61538461538461542</v>
      </c>
      <c r="U1365" s="1248">
        <f t="shared" si="28"/>
        <v>0</v>
      </c>
      <c r="V1365" s="1304">
        <f t="shared" si="29"/>
        <v>1</v>
      </c>
    </row>
    <row r="1366" spans="1:22" ht="16.5" thickTop="1" thickBot="1">
      <c r="A1366" s="1244"/>
      <c r="B1366" s="1245" t="s">
        <v>799</v>
      </c>
      <c r="C1366" s="1328" t="s">
        <v>1451</v>
      </c>
      <c r="D1366" s="1327" t="s">
        <v>227</v>
      </c>
      <c r="E1366" s="1245" t="s">
        <v>2687</v>
      </c>
      <c r="F1366" s="457" t="s">
        <v>191</v>
      </c>
      <c r="G1366" s="458" t="s">
        <v>155</v>
      </c>
      <c r="H1366" s="888"/>
      <c r="I1366" s="890"/>
      <c r="J1366" s="899">
        <v>111.11799999999999</v>
      </c>
      <c r="K1366" s="603">
        <v>0.2608695652173913</v>
      </c>
      <c r="L1366" s="980">
        <v>6</v>
      </c>
      <c r="M1366" s="1245" t="s">
        <v>366</v>
      </c>
      <c r="N1366" s="604" t="s">
        <v>227</v>
      </c>
      <c r="O1366" s="463">
        <v>1</v>
      </c>
      <c r="P1366" s="434">
        <v>52.350999999999999</v>
      </c>
      <c r="Q1366" s="434">
        <v>4</v>
      </c>
      <c r="R1366" s="400">
        <v>4</v>
      </c>
      <c r="S1366" s="464">
        <v>0.72727272727272729</v>
      </c>
      <c r="U1366" s="1248">
        <f t="shared" si="28"/>
        <v>1</v>
      </c>
      <c r="V1366" s="1304">
        <f t="shared" si="29"/>
        <v>0</v>
      </c>
    </row>
    <row r="1367" spans="1:22" ht="16.5" thickTop="1" thickBot="1">
      <c r="A1367" s="1244"/>
      <c r="B1367" s="1249" t="s">
        <v>799</v>
      </c>
      <c r="C1367" s="1329" t="s">
        <v>1451</v>
      </c>
      <c r="D1367" s="1326" t="s">
        <v>227</v>
      </c>
      <c r="E1367" s="1249" t="s">
        <v>2688</v>
      </c>
      <c r="F1367" s="455" t="s">
        <v>2689</v>
      </c>
      <c r="G1367" s="456" t="s">
        <v>155</v>
      </c>
      <c r="H1367" s="889"/>
      <c r="I1367" s="891"/>
      <c r="J1367" s="601">
        <v>10.231</v>
      </c>
      <c r="K1367" s="602">
        <v>0.14285714285714285</v>
      </c>
      <c r="L1367" s="981"/>
      <c r="M1367" s="1249" t="s">
        <v>366</v>
      </c>
      <c r="N1367" s="604" t="s">
        <v>227</v>
      </c>
      <c r="O1367" s="465"/>
      <c r="P1367" s="435"/>
      <c r="Q1367" s="435"/>
      <c r="R1367" s="401">
        <v>0</v>
      </c>
      <c r="S1367" s="466">
        <v>0</v>
      </c>
      <c r="U1367" s="1248">
        <f t="shared" si="28"/>
        <v>1</v>
      </c>
      <c r="V1367" s="1304">
        <f t="shared" si="29"/>
        <v>0</v>
      </c>
    </row>
    <row r="1368" spans="1:22" ht="16.5" thickTop="1" thickBot="1">
      <c r="A1368" s="1244"/>
      <c r="B1368" s="1245" t="s">
        <v>799</v>
      </c>
      <c r="C1368" s="1328" t="s">
        <v>1451</v>
      </c>
      <c r="D1368" s="1327" t="s">
        <v>227</v>
      </c>
      <c r="E1368" s="1245" t="s">
        <v>3066</v>
      </c>
      <c r="F1368" s="457" t="s">
        <v>3067</v>
      </c>
      <c r="G1368" s="458" t="s">
        <v>155</v>
      </c>
      <c r="H1368" s="888"/>
      <c r="I1368" s="890"/>
      <c r="J1368" s="899"/>
      <c r="K1368" s="603">
        <v>0</v>
      </c>
      <c r="L1368" s="980"/>
      <c r="M1368" s="1245" t="s">
        <v>366</v>
      </c>
      <c r="N1368" s="604" t="s">
        <v>227</v>
      </c>
      <c r="O1368" s="463"/>
      <c r="P1368" s="434"/>
      <c r="Q1368" s="434"/>
      <c r="R1368" s="400">
        <v>0</v>
      </c>
      <c r="S1368" s="464">
        <v>0</v>
      </c>
      <c r="U1368" s="1248">
        <f t="shared" si="28"/>
        <v>1</v>
      </c>
      <c r="V1368" s="1304">
        <f t="shared" si="29"/>
        <v>0</v>
      </c>
    </row>
    <row r="1369" spans="1:22" ht="16.5" thickTop="1" thickBot="1">
      <c r="A1369" s="1244"/>
      <c r="B1369" s="1249" t="s">
        <v>799</v>
      </c>
      <c r="C1369" s="1329" t="s">
        <v>1451</v>
      </c>
      <c r="D1369" s="1326" t="s">
        <v>227</v>
      </c>
      <c r="E1369" s="1249" t="s">
        <v>3068</v>
      </c>
      <c r="F1369" s="455" t="s">
        <v>3069</v>
      </c>
      <c r="G1369" s="456" t="s">
        <v>156</v>
      </c>
      <c r="H1369" s="889">
        <v>3</v>
      </c>
      <c r="I1369" s="891">
        <v>164.05799999999999</v>
      </c>
      <c r="J1369" s="601">
        <v>186.654</v>
      </c>
      <c r="K1369" s="602">
        <v>0.54545454545454541</v>
      </c>
      <c r="L1369" s="981">
        <v>7</v>
      </c>
      <c r="M1369" s="1249" t="s">
        <v>323</v>
      </c>
      <c r="N1369" s="604" t="s">
        <v>227</v>
      </c>
      <c r="O1369" s="465">
        <v>1</v>
      </c>
      <c r="P1369" s="435">
        <v>37.173999999999999</v>
      </c>
      <c r="Q1369" s="435">
        <v>2</v>
      </c>
      <c r="R1369" s="401">
        <v>1</v>
      </c>
      <c r="S1369" s="466">
        <v>0.14285714285714285</v>
      </c>
      <c r="U1369" s="1248">
        <f t="shared" si="28"/>
        <v>0</v>
      </c>
      <c r="V1369" s="1304">
        <f t="shared" si="29"/>
        <v>1</v>
      </c>
    </row>
    <row r="1370" spans="1:22" ht="16.5" thickTop="1" thickBot="1">
      <c r="A1370" s="1244"/>
      <c r="B1370" s="1245" t="s">
        <v>799</v>
      </c>
      <c r="C1370" s="1328" t="s">
        <v>1451</v>
      </c>
      <c r="D1370" s="1327" t="s">
        <v>227</v>
      </c>
      <c r="E1370" s="1245" t="s">
        <v>3070</v>
      </c>
      <c r="F1370" s="457" t="s">
        <v>3071</v>
      </c>
      <c r="G1370" s="458" t="s">
        <v>155</v>
      </c>
      <c r="H1370" s="888"/>
      <c r="I1370" s="890"/>
      <c r="J1370" s="899"/>
      <c r="K1370" s="603">
        <v>0</v>
      </c>
      <c r="L1370" s="980"/>
      <c r="M1370" s="1245" t="s">
        <v>366</v>
      </c>
      <c r="N1370" s="604" t="s">
        <v>227</v>
      </c>
      <c r="O1370" s="463"/>
      <c r="P1370" s="434"/>
      <c r="Q1370" s="434"/>
      <c r="R1370" s="400">
        <v>0</v>
      </c>
      <c r="S1370" s="464">
        <v>0</v>
      </c>
      <c r="U1370" s="1248">
        <f t="shared" si="28"/>
        <v>1</v>
      </c>
      <c r="V1370" s="1304">
        <f t="shared" si="29"/>
        <v>0</v>
      </c>
    </row>
    <row r="1371" spans="1:22" ht="16.5" thickTop="1" thickBot="1">
      <c r="A1371" s="1244"/>
      <c r="B1371" s="1249" t="s">
        <v>799</v>
      </c>
      <c r="C1371" s="1329" t="s">
        <v>1451</v>
      </c>
      <c r="D1371" s="1326" t="s">
        <v>227</v>
      </c>
      <c r="E1371" s="1249" t="s">
        <v>3072</v>
      </c>
      <c r="F1371" s="455" t="s">
        <v>3073</v>
      </c>
      <c r="G1371" s="456" t="s">
        <v>156</v>
      </c>
      <c r="H1371" s="889">
        <v>2</v>
      </c>
      <c r="I1371" s="891"/>
      <c r="J1371" s="601"/>
      <c r="K1371" s="602">
        <v>0</v>
      </c>
      <c r="L1371" s="981">
        <v>1</v>
      </c>
      <c r="M1371" s="1249" t="s">
        <v>366</v>
      </c>
      <c r="N1371" s="604" t="s">
        <v>227</v>
      </c>
      <c r="O1371" s="465"/>
      <c r="P1371" s="435"/>
      <c r="Q1371" s="435"/>
      <c r="R1371" s="401">
        <v>0</v>
      </c>
      <c r="S1371" s="466">
        <v>0</v>
      </c>
      <c r="U1371" s="1248">
        <f t="shared" si="28"/>
        <v>1</v>
      </c>
      <c r="V1371" s="1304">
        <f t="shared" si="29"/>
        <v>1</v>
      </c>
    </row>
    <row r="1372" spans="1:22" ht="16.5" thickTop="1" thickBot="1">
      <c r="A1372" s="1244"/>
      <c r="B1372" s="1245" t="s">
        <v>799</v>
      </c>
      <c r="C1372" s="1328" t="s">
        <v>1451</v>
      </c>
      <c r="D1372" s="1327" t="s">
        <v>227</v>
      </c>
      <c r="E1372" s="1245" t="s">
        <v>3392</v>
      </c>
      <c r="F1372" s="457" t="s">
        <v>3393</v>
      </c>
      <c r="G1372" s="458" t="s">
        <v>156</v>
      </c>
      <c r="H1372" s="888">
        <v>1</v>
      </c>
      <c r="I1372" s="890"/>
      <c r="J1372" s="899">
        <v>40.74</v>
      </c>
      <c r="K1372" s="603">
        <v>0.75</v>
      </c>
      <c r="L1372" s="980">
        <v>4</v>
      </c>
      <c r="M1372" s="1245" t="s">
        <v>323</v>
      </c>
      <c r="N1372" s="604" t="s">
        <v>227</v>
      </c>
      <c r="O1372" s="463">
        <v>2</v>
      </c>
      <c r="P1372" s="434">
        <v>25.646000000000001</v>
      </c>
      <c r="Q1372" s="434">
        <v>2</v>
      </c>
      <c r="R1372" s="400">
        <v>2</v>
      </c>
      <c r="S1372" s="464">
        <v>0.66666666666666663</v>
      </c>
      <c r="U1372" s="1248">
        <f t="shared" si="28"/>
        <v>0</v>
      </c>
      <c r="V1372" s="1304">
        <f t="shared" si="29"/>
        <v>1</v>
      </c>
    </row>
    <row r="1373" spans="1:22" ht="16.5" thickTop="1" thickBot="1">
      <c r="A1373" s="1244"/>
      <c r="B1373" s="1249" t="s">
        <v>799</v>
      </c>
      <c r="C1373" s="1329" t="s">
        <v>1451</v>
      </c>
      <c r="D1373" s="1326" t="s">
        <v>227</v>
      </c>
      <c r="E1373" s="1249" t="s">
        <v>3935</v>
      </c>
      <c r="F1373" s="455" t="s">
        <v>3936</v>
      </c>
      <c r="G1373" s="456" t="s">
        <v>155</v>
      </c>
      <c r="H1373" s="889"/>
      <c r="I1373" s="891"/>
      <c r="J1373" s="601">
        <v>11.446999999999999</v>
      </c>
      <c r="K1373" s="602">
        <v>0.4</v>
      </c>
      <c r="L1373" s="981">
        <v>3</v>
      </c>
      <c r="M1373" s="1249" t="s">
        <v>366</v>
      </c>
      <c r="N1373" s="604" t="s">
        <v>227</v>
      </c>
      <c r="O1373" s="465">
        <v>1</v>
      </c>
      <c r="P1373" s="435">
        <v>11.446999999999999</v>
      </c>
      <c r="Q1373" s="435">
        <v>1</v>
      </c>
      <c r="R1373" s="401">
        <v>1</v>
      </c>
      <c r="S1373" s="466">
        <v>0.4</v>
      </c>
      <c r="U1373" s="1248">
        <f t="shared" si="28"/>
        <v>1</v>
      </c>
      <c r="V1373" s="1304">
        <f t="shared" si="29"/>
        <v>0</v>
      </c>
    </row>
    <row r="1374" spans="1:22" ht="16.5" thickTop="1" thickBot="1">
      <c r="A1374" s="1244"/>
      <c r="B1374" s="1245" t="s">
        <v>799</v>
      </c>
      <c r="C1374" s="1328" t="s">
        <v>2663</v>
      </c>
      <c r="D1374" s="1327" t="s">
        <v>227</v>
      </c>
      <c r="E1374" s="1245" t="s">
        <v>829</v>
      </c>
      <c r="F1374" s="457" t="s">
        <v>831</v>
      </c>
      <c r="G1374" s="458" t="s">
        <v>157</v>
      </c>
      <c r="H1374" s="888">
        <v>23</v>
      </c>
      <c r="I1374" s="890">
        <v>57.906999999999996</v>
      </c>
      <c r="J1374" s="899">
        <v>138.559</v>
      </c>
      <c r="K1374" s="603">
        <v>0.35616438356164382</v>
      </c>
      <c r="L1374" s="980">
        <v>5</v>
      </c>
      <c r="M1374" s="1245" t="s">
        <v>366</v>
      </c>
      <c r="N1374" s="604" t="s">
        <v>227</v>
      </c>
      <c r="O1374" s="463">
        <v>2</v>
      </c>
      <c r="P1374" s="434">
        <v>45.771000000000001</v>
      </c>
      <c r="Q1374" s="434">
        <v>4</v>
      </c>
      <c r="R1374" s="400">
        <v>4</v>
      </c>
      <c r="S1374" s="464">
        <v>0.88888888888888884</v>
      </c>
      <c r="U1374" s="1248">
        <f t="shared" si="28"/>
        <v>1</v>
      </c>
      <c r="V1374" s="1304">
        <f t="shared" si="29"/>
        <v>1</v>
      </c>
    </row>
    <row r="1375" spans="1:22" ht="16.5" thickTop="1" thickBot="1">
      <c r="A1375" s="1244"/>
      <c r="B1375" s="1249" t="s">
        <v>799</v>
      </c>
      <c r="C1375" s="1329" t="s">
        <v>2663</v>
      </c>
      <c r="D1375" s="1326" t="s">
        <v>227</v>
      </c>
      <c r="E1375" s="1249" t="s">
        <v>855</v>
      </c>
      <c r="F1375" s="455" t="s">
        <v>856</v>
      </c>
      <c r="G1375" s="456" t="s">
        <v>156</v>
      </c>
      <c r="H1375" s="889">
        <v>23</v>
      </c>
      <c r="I1375" s="891">
        <v>8.3019999999999996</v>
      </c>
      <c r="J1375" s="601">
        <v>361.45100000000002</v>
      </c>
      <c r="K1375" s="602">
        <v>0.32768361581920902</v>
      </c>
      <c r="L1375" s="981">
        <v>11</v>
      </c>
      <c r="M1375" s="1249" t="s">
        <v>321</v>
      </c>
      <c r="N1375" s="604" t="s">
        <v>227</v>
      </c>
      <c r="O1375" s="465">
        <v>1</v>
      </c>
      <c r="P1375" s="435">
        <v>7.0979999999999999</v>
      </c>
      <c r="Q1375" s="435">
        <v>1</v>
      </c>
      <c r="R1375" s="401">
        <v>1</v>
      </c>
      <c r="S1375" s="466">
        <v>9.5238095238095233E-2</v>
      </c>
      <c r="U1375" s="1248">
        <f t="shared" si="28"/>
        <v>0</v>
      </c>
      <c r="V1375" s="1304">
        <f t="shared" si="29"/>
        <v>1</v>
      </c>
    </row>
    <row r="1376" spans="1:22" ht="16.5" thickTop="1" thickBot="1">
      <c r="A1376" s="1244"/>
      <c r="B1376" s="1245" t="s">
        <v>799</v>
      </c>
      <c r="C1376" s="1328" t="s">
        <v>2663</v>
      </c>
      <c r="D1376" s="1327" t="s">
        <v>227</v>
      </c>
      <c r="E1376" s="1245" t="s">
        <v>1252</v>
      </c>
      <c r="F1376" s="457" t="s">
        <v>1253</v>
      </c>
      <c r="G1376" s="458" t="s">
        <v>157</v>
      </c>
      <c r="H1376" s="888">
        <v>17</v>
      </c>
      <c r="I1376" s="890">
        <v>56.148000000000003</v>
      </c>
      <c r="J1376" s="899">
        <v>511.108</v>
      </c>
      <c r="K1376" s="603">
        <v>0.4519774011299435</v>
      </c>
      <c r="L1376" s="980">
        <v>13</v>
      </c>
      <c r="M1376" s="1245" t="s">
        <v>323</v>
      </c>
      <c r="N1376" s="604" t="s">
        <v>227</v>
      </c>
      <c r="O1376" s="463">
        <v>4</v>
      </c>
      <c r="P1376" s="434">
        <v>44.938000000000002</v>
      </c>
      <c r="Q1376" s="434">
        <v>4</v>
      </c>
      <c r="R1376" s="400">
        <v>4</v>
      </c>
      <c r="S1376" s="464">
        <v>0.34782608695652173</v>
      </c>
      <c r="U1376" s="1248">
        <f t="shared" si="28"/>
        <v>0</v>
      </c>
      <c r="V1376" s="1304">
        <f t="shared" si="29"/>
        <v>1</v>
      </c>
    </row>
    <row r="1377" spans="1:22" ht="16.5" thickTop="1" thickBot="1">
      <c r="A1377" s="1244"/>
      <c r="B1377" s="1249" t="s">
        <v>799</v>
      </c>
      <c r="C1377" s="1329" t="s">
        <v>2663</v>
      </c>
      <c r="D1377" s="1326" t="s">
        <v>227</v>
      </c>
      <c r="E1377" s="1249" t="s">
        <v>1338</v>
      </c>
      <c r="F1377" s="455" t="s">
        <v>1339</v>
      </c>
      <c r="G1377" s="456" t="s">
        <v>156</v>
      </c>
      <c r="H1377" s="889">
        <v>17</v>
      </c>
      <c r="I1377" s="891">
        <v>53.856000000000002</v>
      </c>
      <c r="J1377" s="601">
        <v>279.26400000000001</v>
      </c>
      <c r="K1377" s="602">
        <v>0.44705882352941179</v>
      </c>
      <c r="L1377" s="981">
        <v>6</v>
      </c>
      <c r="M1377" s="1249" t="s">
        <v>322</v>
      </c>
      <c r="N1377" s="604" t="s">
        <v>227</v>
      </c>
      <c r="O1377" s="465">
        <v>2</v>
      </c>
      <c r="P1377" s="435">
        <v>10.08</v>
      </c>
      <c r="Q1377" s="435">
        <v>1</v>
      </c>
      <c r="R1377" s="401">
        <v>1</v>
      </c>
      <c r="S1377" s="466">
        <v>0.2</v>
      </c>
      <c r="U1377" s="1248">
        <f t="shared" si="28"/>
        <v>0</v>
      </c>
      <c r="V1377" s="1304">
        <f t="shared" si="29"/>
        <v>1</v>
      </c>
    </row>
    <row r="1378" spans="1:22" ht="16.5" thickTop="1" thickBot="1">
      <c r="A1378" s="1244"/>
      <c r="B1378" s="1245" t="s">
        <v>799</v>
      </c>
      <c r="C1378" s="1328" t="s">
        <v>2663</v>
      </c>
      <c r="D1378" s="1327" t="s">
        <v>227</v>
      </c>
      <c r="E1378" s="1245" t="s">
        <v>2018</v>
      </c>
      <c r="F1378" s="457" t="s">
        <v>2019</v>
      </c>
      <c r="G1378" s="458" t="s">
        <v>155</v>
      </c>
      <c r="H1378" s="888"/>
      <c r="I1378" s="890"/>
      <c r="J1378" s="899">
        <v>104.05</v>
      </c>
      <c r="K1378" s="603">
        <v>0.4</v>
      </c>
      <c r="L1378" s="980">
        <v>4</v>
      </c>
      <c r="M1378" s="1245" t="s">
        <v>366</v>
      </c>
      <c r="N1378" s="604" t="s">
        <v>227</v>
      </c>
      <c r="O1378" s="463"/>
      <c r="P1378" s="434">
        <v>24.634</v>
      </c>
      <c r="Q1378" s="434">
        <v>2</v>
      </c>
      <c r="R1378" s="400">
        <v>2</v>
      </c>
      <c r="S1378" s="464">
        <v>0.5</v>
      </c>
      <c r="U1378" s="1248">
        <f t="shared" si="28"/>
        <v>1</v>
      </c>
      <c r="V1378" s="1304">
        <f t="shared" si="29"/>
        <v>0</v>
      </c>
    </row>
    <row r="1379" spans="1:22" ht="16.5" thickTop="1" thickBot="1">
      <c r="A1379" s="1244"/>
      <c r="B1379" s="1249" t="s">
        <v>799</v>
      </c>
      <c r="C1379" s="1329" t="s">
        <v>2663</v>
      </c>
      <c r="D1379" s="1326" t="s">
        <v>227</v>
      </c>
      <c r="E1379" s="1249" t="s">
        <v>2626</v>
      </c>
      <c r="F1379" s="455" t="s">
        <v>2627</v>
      </c>
      <c r="G1379" s="456" t="s">
        <v>156</v>
      </c>
      <c r="H1379" s="889">
        <v>5</v>
      </c>
      <c r="I1379" s="891">
        <v>33.505000000000003</v>
      </c>
      <c r="J1379" s="601">
        <v>237.39400000000001</v>
      </c>
      <c r="K1379" s="602">
        <v>0.5357142857142857</v>
      </c>
      <c r="L1379" s="981">
        <v>10</v>
      </c>
      <c r="M1379" s="1249" t="s">
        <v>323</v>
      </c>
      <c r="N1379" s="604" t="s">
        <v>227</v>
      </c>
      <c r="O1379" s="465">
        <v>1</v>
      </c>
      <c r="P1379" s="435">
        <v>75.563000000000002</v>
      </c>
      <c r="Q1379" s="435">
        <v>6</v>
      </c>
      <c r="R1379" s="401">
        <v>5</v>
      </c>
      <c r="S1379" s="466">
        <v>0.5</v>
      </c>
      <c r="U1379" s="1248">
        <f t="shared" si="28"/>
        <v>0</v>
      </c>
      <c r="V1379" s="1304">
        <f t="shared" si="29"/>
        <v>1</v>
      </c>
    </row>
    <row r="1380" spans="1:22" ht="16.5" thickTop="1" thickBot="1">
      <c r="A1380" s="1244"/>
      <c r="B1380" s="1245" t="s">
        <v>799</v>
      </c>
      <c r="C1380" s="1328" t="s">
        <v>2663</v>
      </c>
      <c r="D1380" s="1327" t="s">
        <v>227</v>
      </c>
      <c r="E1380" s="1245" t="s">
        <v>2663</v>
      </c>
      <c r="F1380" s="457" t="s">
        <v>2665</v>
      </c>
      <c r="G1380" s="458" t="s">
        <v>158</v>
      </c>
      <c r="H1380" s="888">
        <v>4</v>
      </c>
      <c r="I1380" s="890">
        <v>2.323</v>
      </c>
      <c r="J1380" s="899">
        <v>513.00900000000001</v>
      </c>
      <c r="K1380" s="603">
        <v>0.48837209302325579</v>
      </c>
      <c r="L1380" s="980">
        <v>21</v>
      </c>
      <c r="M1380" s="1245" t="s">
        <v>323</v>
      </c>
      <c r="N1380" s="604" t="s">
        <v>227</v>
      </c>
      <c r="O1380" s="463">
        <v>4</v>
      </c>
      <c r="P1380" s="434">
        <v>222.999</v>
      </c>
      <c r="Q1380" s="434">
        <v>15</v>
      </c>
      <c r="R1380" s="400">
        <v>7</v>
      </c>
      <c r="S1380" s="464">
        <v>0.36842105263157893</v>
      </c>
      <c r="U1380" s="1248">
        <f t="shared" si="28"/>
        <v>0</v>
      </c>
      <c r="V1380" s="1304">
        <f t="shared" si="29"/>
        <v>1</v>
      </c>
    </row>
    <row r="1381" spans="1:22" ht="16.5" thickTop="1" thickBot="1">
      <c r="A1381" s="1244"/>
      <c r="B1381" s="1249" t="s">
        <v>799</v>
      </c>
      <c r="C1381" s="1329" t="s">
        <v>2663</v>
      </c>
      <c r="D1381" s="1326" t="s">
        <v>227</v>
      </c>
      <c r="E1381" s="1249" t="s">
        <v>3074</v>
      </c>
      <c r="F1381" s="455" t="s">
        <v>3075</v>
      </c>
      <c r="G1381" s="456" t="s">
        <v>156</v>
      </c>
      <c r="H1381" s="889">
        <v>3</v>
      </c>
      <c r="I1381" s="891">
        <v>75.968999999999994</v>
      </c>
      <c r="J1381" s="601">
        <v>97.688000000000002</v>
      </c>
      <c r="K1381" s="602">
        <v>0.5</v>
      </c>
      <c r="L1381" s="981">
        <v>4</v>
      </c>
      <c r="M1381" s="1249" t="s">
        <v>323</v>
      </c>
      <c r="N1381" s="604" t="s">
        <v>227</v>
      </c>
      <c r="O1381" s="465">
        <v>1</v>
      </c>
      <c r="P1381" s="435">
        <v>49.16</v>
      </c>
      <c r="Q1381" s="435">
        <v>3</v>
      </c>
      <c r="R1381" s="401">
        <v>2</v>
      </c>
      <c r="S1381" s="466">
        <v>0.5714285714285714</v>
      </c>
      <c r="U1381" s="1248">
        <f t="shared" si="28"/>
        <v>0</v>
      </c>
      <c r="V1381" s="1304">
        <f t="shared" si="29"/>
        <v>1</v>
      </c>
    </row>
    <row r="1382" spans="1:22" ht="16.5" thickTop="1" thickBot="1">
      <c r="A1382" s="1244"/>
      <c r="B1382" s="1245" t="s">
        <v>799</v>
      </c>
      <c r="C1382" s="1328" t="s">
        <v>2663</v>
      </c>
      <c r="D1382" s="1327" t="s">
        <v>227</v>
      </c>
      <c r="E1382" s="1245" t="s">
        <v>3394</v>
      </c>
      <c r="F1382" s="457" t="s">
        <v>3395</v>
      </c>
      <c r="G1382" s="458" t="s">
        <v>155</v>
      </c>
      <c r="H1382" s="888"/>
      <c r="I1382" s="890"/>
      <c r="J1382" s="899">
        <v>28.559000000000001</v>
      </c>
      <c r="K1382" s="603">
        <v>0.375</v>
      </c>
      <c r="L1382" s="980">
        <v>4</v>
      </c>
      <c r="M1382" s="1245" t="s">
        <v>366</v>
      </c>
      <c r="N1382" s="604" t="s">
        <v>227</v>
      </c>
      <c r="O1382" s="463"/>
      <c r="P1382" s="434">
        <v>28.559000000000001</v>
      </c>
      <c r="Q1382" s="434">
        <v>2</v>
      </c>
      <c r="R1382" s="400">
        <v>2</v>
      </c>
      <c r="S1382" s="464">
        <v>0.5</v>
      </c>
      <c r="U1382" s="1248">
        <f t="shared" si="28"/>
        <v>1</v>
      </c>
      <c r="V1382" s="1304">
        <f t="shared" si="29"/>
        <v>0</v>
      </c>
    </row>
    <row r="1383" spans="1:22" ht="16.5" thickTop="1" thickBot="1">
      <c r="A1383" s="1244"/>
      <c r="B1383" s="1249" t="s">
        <v>799</v>
      </c>
      <c r="C1383" s="1329" t="s">
        <v>2663</v>
      </c>
      <c r="D1383" s="1326" t="s">
        <v>227</v>
      </c>
      <c r="E1383" s="1249" t="s">
        <v>3937</v>
      </c>
      <c r="F1383" s="455" t="s">
        <v>3938</v>
      </c>
      <c r="G1383" s="456" t="s">
        <v>156</v>
      </c>
      <c r="H1383" s="889">
        <v>0</v>
      </c>
      <c r="I1383" s="891">
        <v>11.196</v>
      </c>
      <c r="J1383" s="601">
        <v>22.170999999999999</v>
      </c>
      <c r="K1383" s="602">
        <v>2</v>
      </c>
      <c r="L1383" s="981">
        <v>2</v>
      </c>
      <c r="M1383" s="1249" t="s">
        <v>227</v>
      </c>
      <c r="N1383" s="604" t="s">
        <v>227</v>
      </c>
      <c r="O1383" s="465">
        <v>2</v>
      </c>
      <c r="P1383" s="435">
        <v>22.170999999999999</v>
      </c>
      <c r="Q1383" s="435">
        <v>2</v>
      </c>
      <c r="R1383" s="401">
        <v>2</v>
      </c>
      <c r="S1383" s="466">
        <v>2</v>
      </c>
      <c r="U1383" s="1248">
        <f t="shared" si="28"/>
        <v>0</v>
      </c>
      <c r="V1383" s="1304">
        <f t="shared" si="29"/>
        <v>1</v>
      </c>
    </row>
    <row r="1384" spans="1:22" ht="16.5" thickTop="1" thickBot="1">
      <c r="A1384" s="1244"/>
      <c r="B1384" s="1245" t="s">
        <v>799</v>
      </c>
      <c r="C1384" s="1328" t="s">
        <v>2663</v>
      </c>
      <c r="D1384" s="1327" t="s">
        <v>227</v>
      </c>
      <c r="E1384" s="1245" t="s">
        <v>3696</v>
      </c>
      <c r="F1384" s="457" t="s">
        <v>3698</v>
      </c>
      <c r="G1384" s="458" t="s">
        <v>157</v>
      </c>
      <c r="H1384" s="888"/>
      <c r="I1384" s="890"/>
      <c r="J1384" s="899"/>
      <c r="K1384" s="603">
        <v>0.66666666666666663</v>
      </c>
      <c r="L1384" s="980">
        <v>4</v>
      </c>
      <c r="M1384" s="1245" t="s">
        <v>366</v>
      </c>
      <c r="N1384" s="604" t="s">
        <v>227</v>
      </c>
      <c r="O1384" s="463">
        <v>2</v>
      </c>
      <c r="P1384" s="434"/>
      <c r="Q1384" s="434"/>
      <c r="R1384" s="400">
        <v>2</v>
      </c>
      <c r="S1384" s="464">
        <v>0.66666666666666663</v>
      </c>
      <c r="U1384" s="1248">
        <f t="shared" ref="U1384:U1483" si="30">IF(M1384="U_200",1,0)</f>
        <v>1</v>
      </c>
      <c r="V1384" s="1304">
        <f t="shared" ref="V1384:V1483" si="31">IF(G1384&lt;&gt;"US",1,0)</f>
        <v>1</v>
      </c>
    </row>
    <row r="1385" spans="1:22" ht="16.5" thickTop="1" thickBot="1">
      <c r="A1385" s="1244"/>
      <c r="B1385" s="1249" t="s">
        <v>796</v>
      </c>
      <c r="C1385" s="1329" t="s">
        <v>227</v>
      </c>
      <c r="D1385" s="1326" t="s">
        <v>227</v>
      </c>
      <c r="E1385" s="1249" t="s">
        <v>1254</v>
      </c>
      <c r="F1385" s="455" t="s">
        <v>1255</v>
      </c>
      <c r="G1385" s="456" t="s">
        <v>156</v>
      </c>
      <c r="H1385" s="889">
        <v>17</v>
      </c>
      <c r="I1385" s="891">
        <v>0</v>
      </c>
      <c r="J1385" s="601">
        <v>173.393</v>
      </c>
      <c r="K1385" s="602">
        <v>0.18556701030927836</v>
      </c>
      <c r="L1385" s="981">
        <v>4</v>
      </c>
      <c r="M1385" s="1249" t="s">
        <v>366</v>
      </c>
      <c r="N1385" s="604" t="s">
        <v>227</v>
      </c>
      <c r="O1385" s="465"/>
      <c r="P1385" s="435">
        <v>17.957999999999998</v>
      </c>
      <c r="Q1385" s="435">
        <v>2</v>
      </c>
      <c r="R1385" s="401">
        <v>1</v>
      </c>
      <c r="S1385" s="466">
        <v>0.25</v>
      </c>
      <c r="U1385" s="1248">
        <f t="shared" si="30"/>
        <v>1</v>
      </c>
      <c r="V1385" s="1304">
        <f t="shared" si="31"/>
        <v>1</v>
      </c>
    </row>
    <row r="1386" spans="1:22" ht="16.5" thickTop="1" thickBot="1">
      <c r="A1386" s="1244"/>
      <c r="B1386" s="1245" t="s">
        <v>796</v>
      </c>
      <c r="C1386" s="1328" t="s">
        <v>227</v>
      </c>
      <c r="D1386" s="1327" t="s">
        <v>227</v>
      </c>
      <c r="E1386" s="1245" t="s">
        <v>1679</v>
      </c>
      <c r="F1386" s="457" t="s">
        <v>1680</v>
      </c>
      <c r="G1386" s="458" t="s">
        <v>156</v>
      </c>
      <c r="H1386" s="888">
        <v>13</v>
      </c>
      <c r="I1386" s="890">
        <v>227.51499999999999</v>
      </c>
      <c r="J1386" s="899">
        <v>358.68700000000001</v>
      </c>
      <c r="K1386" s="603">
        <v>0.31818181818181818</v>
      </c>
      <c r="L1386" s="980">
        <v>4</v>
      </c>
      <c r="M1386" s="1245" t="s">
        <v>321</v>
      </c>
      <c r="N1386" s="604" t="s">
        <v>227</v>
      </c>
      <c r="O1386" s="463">
        <v>1</v>
      </c>
      <c r="P1386" s="434">
        <v>15.124000000000001</v>
      </c>
      <c r="Q1386" s="434">
        <v>2</v>
      </c>
      <c r="R1386" s="400">
        <v>2</v>
      </c>
      <c r="S1386" s="464">
        <v>0.5714285714285714</v>
      </c>
      <c r="U1386" s="1248">
        <f t="shared" si="30"/>
        <v>0</v>
      </c>
      <c r="V1386" s="1304">
        <f t="shared" si="31"/>
        <v>1</v>
      </c>
    </row>
    <row r="1387" spans="1:22" ht="16.5" thickTop="1" thickBot="1">
      <c r="A1387" s="1244"/>
      <c r="B1387" s="1249" t="s">
        <v>796</v>
      </c>
      <c r="C1387" s="1329" t="s">
        <v>227</v>
      </c>
      <c r="D1387" s="1326" t="s">
        <v>227</v>
      </c>
      <c r="E1387" s="1249" t="s">
        <v>1702</v>
      </c>
      <c r="F1387" s="455" t="s">
        <v>1704</v>
      </c>
      <c r="G1387" s="456" t="s">
        <v>157</v>
      </c>
      <c r="H1387" s="889">
        <v>12</v>
      </c>
      <c r="I1387" s="891">
        <v>69.421999999999997</v>
      </c>
      <c r="J1387" s="601">
        <v>1102.6959999999999</v>
      </c>
      <c r="K1387" s="602">
        <v>0.35064935064935066</v>
      </c>
      <c r="L1387" s="981">
        <v>11</v>
      </c>
      <c r="M1387" s="1249" t="s">
        <v>323</v>
      </c>
      <c r="N1387" s="604" t="s">
        <v>227</v>
      </c>
      <c r="O1387" s="465"/>
      <c r="P1387" s="435">
        <v>30.111999999999998</v>
      </c>
      <c r="Q1387" s="435">
        <v>3</v>
      </c>
      <c r="R1387" s="401">
        <v>3</v>
      </c>
      <c r="S1387" s="466">
        <v>0.2608695652173913</v>
      </c>
      <c r="U1387" s="1248">
        <f t="shared" si="30"/>
        <v>0</v>
      </c>
      <c r="V1387" s="1304">
        <f t="shared" si="31"/>
        <v>1</v>
      </c>
    </row>
    <row r="1388" spans="1:22" ht="16.5" thickTop="1" thickBot="1">
      <c r="A1388" s="1244"/>
      <c r="B1388" s="1245" t="s">
        <v>796</v>
      </c>
      <c r="C1388" s="1328" t="s">
        <v>227</v>
      </c>
      <c r="D1388" s="1327" t="s">
        <v>227</v>
      </c>
      <c r="E1388" s="1245" t="s">
        <v>2628</v>
      </c>
      <c r="F1388" s="457" t="s">
        <v>2629</v>
      </c>
      <c r="G1388" s="458" t="s">
        <v>155</v>
      </c>
      <c r="H1388" s="888"/>
      <c r="I1388" s="890"/>
      <c r="J1388" s="899">
        <v>38.261000000000003</v>
      </c>
      <c r="K1388" s="603">
        <v>0.25</v>
      </c>
      <c r="L1388" s="980">
        <v>2</v>
      </c>
      <c r="M1388" s="1245" t="s">
        <v>366</v>
      </c>
      <c r="N1388" s="604" t="s">
        <v>227</v>
      </c>
      <c r="O1388" s="463"/>
      <c r="P1388" s="434">
        <v>20.341000000000001</v>
      </c>
      <c r="Q1388" s="434">
        <v>2</v>
      </c>
      <c r="R1388" s="400">
        <v>2</v>
      </c>
      <c r="S1388" s="464">
        <v>1</v>
      </c>
      <c r="U1388" s="1248">
        <f t="shared" si="30"/>
        <v>1</v>
      </c>
      <c r="V1388" s="1304">
        <f t="shared" si="31"/>
        <v>0</v>
      </c>
    </row>
    <row r="1389" spans="1:22" ht="16.5" thickTop="1" thickBot="1">
      <c r="A1389" s="1244"/>
      <c r="B1389" s="1249" t="s">
        <v>796</v>
      </c>
      <c r="C1389" s="1329" t="s">
        <v>826</v>
      </c>
      <c r="D1389" s="1326" t="s">
        <v>227</v>
      </c>
      <c r="E1389" s="1249" t="s">
        <v>819</v>
      </c>
      <c r="F1389" s="455" t="s">
        <v>820</v>
      </c>
      <c r="G1389" s="456" t="s">
        <v>156</v>
      </c>
      <c r="H1389" s="889">
        <v>23</v>
      </c>
      <c r="I1389" s="891">
        <v>64.86</v>
      </c>
      <c r="J1389" s="601">
        <v>88.376999999999995</v>
      </c>
      <c r="K1389" s="602">
        <v>0.17391304347826086</v>
      </c>
      <c r="L1389" s="981">
        <v>4</v>
      </c>
      <c r="M1389" s="1249" t="s">
        <v>366</v>
      </c>
      <c r="N1389" s="604" t="s">
        <v>227</v>
      </c>
      <c r="O1389" s="465">
        <v>1</v>
      </c>
      <c r="P1389" s="435">
        <v>19.148</v>
      </c>
      <c r="Q1389" s="435">
        <v>1</v>
      </c>
      <c r="R1389" s="401">
        <v>1</v>
      </c>
      <c r="S1389" s="466">
        <v>0.2857142857142857</v>
      </c>
      <c r="U1389" s="1248">
        <f t="shared" si="30"/>
        <v>1</v>
      </c>
      <c r="V1389" s="1304">
        <f t="shared" si="31"/>
        <v>1</v>
      </c>
    </row>
    <row r="1390" spans="1:22" ht="16.5" thickTop="1" thickBot="1">
      <c r="A1390" s="1244"/>
      <c r="B1390" s="1245" t="s">
        <v>796</v>
      </c>
      <c r="C1390" s="1328" t="s">
        <v>826</v>
      </c>
      <c r="D1390" s="1327" t="s">
        <v>227</v>
      </c>
      <c r="E1390" s="1245" t="s">
        <v>826</v>
      </c>
      <c r="F1390" s="457" t="s">
        <v>828</v>
      </c>
      <c r="G1390" s="458" t="s">
        <v>158</v>
      </c>
      <c r="H1390" s="888">
        <v>22</v>
      </c>
      <c r="I1390" s="890">
        <v>533.10699999999997</v>
      </c>
      <c r="J1390" s="899">
        <v>665.20799999999997</v>
      </c>
      <c r="K1390" s="603">
        <v>0.3619047619047619</v>
      </c>
      <c r="L1390" s="980">
        <v>8</v>
      </c>
      <c r="M1390" s="1245" t="s">
        <v>323</v>
      </c>
      <c r="N1390" s="604" t="s">
        <v>227</v>
      </c>
      <c r="O1390" s="463">
        <v>1</v>
      </c>
      <c r="P1390" s="434">
        <v>20.263999999999999</v>
      </c>
      <c r="Q1390" s="434">
        <v>2</v>
      </c>
      <c r="R1390" s="400">
        <v>2</v>
      </c>
      <c r="S1390" s="464">
        <v>0.26666666666666666</v>
      </c>
      <c r="U1390" s="1248">
        <f t="shared" si="30"/>
        <v>0</v>
      </c>
      <c r="V1390" s="1304">
        <f t="shared" si="31"/>
        <v>1</v>
      </c>
    </row>
    <row r="1391" spans="1:22" ht="16.5" thickTop="1" thickBot="1">
      <c r="A1391" s="1244"/>
      <c r="B1391" s="1249" t="s">
        <v>796</v>
      </c>
      <c r="C1391" s="1329" t="s">
        <v>826</v>
      </c>
      <c r="D1391" s="1326" t="s">
        <v>227</v>
      </c>
      <c r="E1391" s="1249" t="s">
        <v>1890</v>
      </c>
      <c r="F1391" s="455" t="s">
        <v>1891</v>
      </c>
      <c r="G1391" s="456" t="s">
        <v>156</v>
      </c>
      <c r="H1391" s="889">
        <v>11</v>
      </c>
      <c r="I1391" s="891">
        <v>27.434999999999999</v>
      </c>
      <c r="J1391" s="601">
        <v>55.259</v>
      </c>
      <c r="K1391" s="602">
        <v>0.18181818181818182</v>
      </c>
      <c r="L1391" s="981">
        <v>2</v>
      </c>
      <c r="M1391" s="1249" t="s">
        <v>366</v>
      </c>
      <c r="N1391" s="604" t="s">
        <v>227</v>
      </c>
      <c r="O1391" s="465"/>
      <c r="P1391" s="435"/>
      <c r="Q1391" s="435"/>
      <c r="R1391" s="401">
        <v>0</v>
      </c>
      <c r="S1391" s="466">
        <v>0</v>
      </c>
      <c r="U1391" s="1248">
        <f t="shared" si="30"/>
        <v>1</v>
      </c>
      <c r="V1391" s="1304">
        <f t="shared" si="31"/>
        <v>1</v>
      </c>
    </row>
    <row r="1392" spans="1:22" ht="16.5" thickTop="1" thickBot="1">
      <c r="A1392" s="1244"/>
      <c r="B1392" s="1245" t="s">
        <v>796</v>
      </c>
      <c r="C1392" s="1328" t="s">
        <v>826</v>
      </c>
      <c r="D1392" s="1327" t="s">
        <v>227</v>
      </c>
      <c r="E1392" s="1245" t="s">
        <v>1932</v>
      </c>
      <c r="F1392" s="457" t="s">
        <v>1933</v>
      </c>
      <c r="G1392" s="458" t="s">
        <v>156</v>
      </c>
      <c r="H1392" s="888">
        <v>11</v>
      </c>
      <c r="I1392" s="890">
        <v>198.64099999999999</v>
      </c>
      <c r="J1392" s="899">
        <v>267.798</v>
      </c>
      <c r="K1392" s="603">
        <v>0.35443037974683544</v>
      </c>
      <c r="L1392" s="980">
        <v>5</v>
      </c>
      <c r="M1392" s="1245" t="s">
        <v>321</v>
      </c>
      <c r="N1392" s="604" t="s">
        <v>227</v>
      </c>
      <c r="O1392" s="463">
        <v>2</v>
      </c>
      <c r="P1392" s="434">
        <v>40.47</v>
      </c>
      <c r="Q1392" s="434">
        <v>3</v>
      </c>
      <c r="R1392" s="400">
        <v>3</v>
      </c>
      <c r="S1392" s="464">
        <v>0.75</v>
      </c>
      <c r="U1392" s="1248">
        <f t="shared" si="30"/>
        <v>0</v>
      </c>
      <c r="V1392" s="1304">
        <f t="shared" si="31"/>
        <v>1</v>
      </c>
    </row>
    <row r="1393" spans="1:22" ht="16.5" thickTop="1" thickBot="1">
      <c r="A1393" s="1244"/>
      <c r="B1393" s="1249" t="s">
        <v>796</v>
      </c>
      <c r="C1393" s="1329" t="s">
        <v>826</v>
      </c>
      <c r="D1393" s="1326" t="s">
        <v>227</v>
      </c>
      <c r="E1393" s="1249" t="s">
        <v>2023</v>
      </c>
      <c r="F1393" s="455" t="s">
        <v>2024</v>
      </c>
      <c r="G1393" s="456" t="s">
        <v>156</v>
      </c>
      <c r="H1393" s="889">
        <v>11</v>
      </c>
      <c r="I1393" s="891">
        <v>83.632000000000005</v>
      </c>
      <c r="J1393" s="601">
        <v>124.39400000000001</v>
      </c>
      <c r="K1393" s="602">
        <v>0.20779220779220781</v>
      </c>
      <c r="L1393" s="981">
        <v>3</v>
      </c>
      <c r="M1393" s="1249" t="s">
        <v>366</v>
      </c>
      <c r="N1393" s="604" t="s">
        <v>227</v>
      </c>
      <c r="O1393" s="465"/>
      <c r="P1393" s="435">
        <v>16.809000000000001</v>
      </c>
      <c r="Q1393" s="435">
        <v>1</v>
      </c>
      <c r="R1393" s="401">
        <v>1</v>
      </c>
      <c r="S1393" s="466">
        <v>0.33333333333333331</v>
      </c>
      <c r="U1393" s="1248">
        <f t="shared" si="30"/>
        <v>1</v>
      </c>
      <c r="V1393" s="1304">
        <f t="shared" si="31"/>
        <v>1</v>
      </c>
    </row>
    <row r="1394" spans="1:22" ht="16.5" thickTop="1" thickBot="1">
      <c r="A1394" s="1244"/>
      <c r="B1394" s="1245" t="s">
        <v>796</v>
      </c>
      <c r="C1394" s="1328" t="s">
        <v>826</v>
      </c>
      <c r="D1394" s="1327" t="s">
        <v>227</v>
      </c>
      <c r="E1394" s="1245" t="s">
        <v>3076</v>
      </c>
      <c r="F1394" s="457" t="s">
        <v>3077</v>
      </c>
      <c r="G1394" s="458" t="s">
        <v>156</v>
      </c>
      <c r="H1394" s="888">
        <v>3</v>
      </c>
      <c r="I1394" s="890"/>
      <c r="J1394" s="899">
        <v>52.84</v>
      </c>
      <c r="K1394" s="603">
        <v>0.23529411764705882</v>
      </c>
      <c r="L1394" s="980">
        <v>5</v>
      </c>
      <c r="M1394" s="1245" t="s">
        <v>321</v>
      </c>
      <c r="N1394" s="604" t="s">
        <v>227</v>
      </c>
      <c r="O1394" s="463">
        <v>1</v>
      </c>
      <c r="P1394" s="434"/>
      <c r="Q1394" s="434"/>
      <c r="R1394" s="400">
        <v>0</v>
      </c>
      <c r="S1394" s="464">
        <v>0</v>
      </c>
      <c r="U1394" s="1248">
        <f t="shared" si="30"/>
        <v>0</v>
      </c>
      <c r="V1394" s="1304">
        <f t="shared" si="31"/>
        <v>1</v>
      </c>
    </row>
    <row r="1395" spans="1:22" ht="16.5" thickTop="1" thickBot="1">
      <c r="A1395" s="1244"/>
      <c r="B1395" s="1249" t="s">
        <v>796</v>
      </c>
      <c r="C1395" s="1329" t="s">
        <v>1025</v>
      </c>
      <c r="D1395" s="1326" t="s">
        <v>227</v>
      </c>
      <c r="E1395" s="1249" t="s">
        <v>1025</v>
      </c>
      <c r="F1395" s="455" t="s">
        <v>1027</v>
      </c>
      <c r="G1395" s="456" t="s">
        <v>158</v>
      </c>
      <c r="H1395" s="889">
        <v>18</v>
      </c>
      <c r="I1395" s="891">
        <v>312.44400000000002</v>
      </c>
      <c r="J1395" s="601">
        <v>540.07600000000002</v>
      </c>
      <c r="K1395" s="602">
        <v>0.33057851239669422</v>
      </c>
      <c r="L1395" s="981">
        <v>7</v>
      </c>
      <c r="M1395" s="1249" t="s">
        <v>323</v>
      </c>
      <c r="N1395" s="604" t="s">
        <v>227</v>
      </c>
      <c r="O1395" s="465"/>
      <c r="P1395" s="435">
        <v>6.0549999999999997</v>
      </c>
      <c r="Q1395" s="435"/>
      <c r="R1395" s="401">
        <v>0</v>
      </c>
      <c r="S1395" s="466">
        <v>0</v>
      </c>
      <c r="U1395" s="1248">
        <f t="shared" si="30"/>
        <v>0</v>
      </c>
      <c r="V1395" s="1304">
        <f t="shared" si="31"/>
        <v>1</v>
      </c>
    </row>
    <row r="1396" spans="1:22" ht="16.5" thickTop="1" thickBot="1">
      <c r="A1396" s="1244"/>
      <c r="B1396" s="1245" t="s">
        <v>796</v>
      </c>
      <c r="C1396" s="1328" t="s">
        <v>1025</v>
      </c>
      <c r="D1396" s="1327" t="s">
        <v>227</v>
      </c>
      <c r="E1396" s="1245" t="s">
        <v>1256</v>
      </c>
      <c r="F1396" s="457" t="s">
        <v>1257</v>
      </c>
      <c r="G1396" s="458" t="s">
        <v>156</v>
      </c>
      <c r="H1396" s="888">
        <v>18</v>
      </c>
      <c r="I1396" s="890">
        <v>1076.518</v>
      </c>
      <c r="J1396" s="899">
        <v>1660.7840000000001</v>
      </c>
      <c r="K1396" s="603">
        <v>0.3515151515151515</v>
      </c>
      <c r="L1396" s="980">
        <v>5</v>
      </c>
      <c r="M1396" s="1245" t="s">
        <v>323</v>
      </c>
      <c r="N1396" s="604" t="s">
        <v>227</v>
      </c>
      <c r="O1396" s="463"/>
      <c r="P1396" s="434">
        <v>48.460999999999999</v>
      </c>
      <c r="Q1396" s="434">
        <v>2</v>
      </c>
      <c r="R1396" s="400">
        <v>1</v>
      </c>
      <c r="S1396" s="464">
        <v>0.2</v>
      </c>
      <c r="U1396" s="1248">
        <f t="shared" si="30"/>
        <v>0</v>
      </c>
      <c r="V1396" s="1304">
        <f t="shared" si="31"/>
        <v>1</v>
      </c>
    </row>
    <row r="1397" spans="1:22" ht="16.5" thickTop="1" thickBot="1">
      <c r="A1397" s="1244"/>
      <c r="B1397" s="1249" t="s">
        <v>796</v>
      </c>
      <c r="C1397" s="1329" t="s">
        <v>1025</v>
      </c>
      <c r="D1397" s="1326" t="s">
        <v>227</v>
      </c>
      <c r="E1397" s="1249" t="s">
        <v>2855</v>
      </c>
      <c r="F1397" s="455" t="s">
        <v>2856</v>
      </c>
      <c r="G1397" s="456" t="s">
        <v>156</v>
      </c>
      <c r="H1397" s="889">
        <v>3</v>
      </c>
      <c r="I1397" s="891">
        <v>20.859000000000002</v>
      </c>
      <c r="J1397" s="601">
        <v>20.859000000000002</v>
      </c>
      <c r="K1397" s="602">
        <v>0.10526315789473684</v>
      </c>
      <c r="L1397" s="981">
        <v>7</v>
      </c>
      <c r="M1397" s="1249" t="s">
        <v>366</v>
      </c>
      <c r="N1397" s="604" t="s">
        <v>227</v>
      </c>
      <c r="O1397" s="465">
        <v>4</v>
      </c>
      <c r="P1397" s="435"/>
      <c r="Q1397" s="435"/>
      <c r="R1397" s="401">
        <v>0</v>
      </c>
      <c r="S1397" s="466">
        <v>0</v>
      </c>
      <c r="U1397" s="1248">
        <f t="shared" si="30"/>
        <v>1</v>
      </c>
      <c r="V1397" s="1304">
        <f t="shared" si="31"/>
        <v>1</v>
      </c>
    </row>
    <row r="1398" spans="1:22" ht="16.5" thickTop="1" thickBot="1">
      <c r="A1398" s="1244"/>
      <c r="B1398" s="1245" t="s">
        <v>1567</v>
      </c>
      <c r="C1398" s="1328" t="s">
        <v>227</v>
      </c>
      <c r="D1398" s="1327" t="s">
        <v>227</v>
      </c>
      <c r="E1398" s="1245" t="s">
        <v>1086</v>
      </c>
      <c r="F1398" s="457" t="s">
        <v>1087</v>
      </c>
      <c r="G1398" s="458" t="s">
        <v>157</v>
      </c>
      <c r="H1398" s="888">
        <v>19</v>
      </c>
      <c r="I1398" s="890">
        <v>1139.098</v>
      </c>
      <c r="J1398" s="899">
        <v>1663.165</v>
      </c>
      <c r="K1398" s="603">
        <v>0.51282051282051277</v>
      </c>
      <c r="L1398" s="980">
        <v>7</v>
      </c>
      <c r="M1398" s="1245" t="s">
        <v>323</v>
      </c>
      <c r="N1398" s="604" t="s">
        <v>227</v>
      </c>
      <c r="O1398" s="463"/>
      <c r="P1398" s="434">
        <v>529.93899999999996</v>
      </c>
      <c r="Q1398" s="434">
        <v>7</v>
      </c>
      <c r="R1398" s="400">
        <v>4</v>
      </c>
      <c r="S1398" s="464">
        <v>0.53333333333333333</v>
      </c>
      <c r="U1398" s="1248">
        <f t="shared" si="30"/>
        <v>0</v>
      </c>
      <c r="V1398" s="1304">
        <f t="shared" si="31"/>
        <v>1</v>
      </c>
    </row>
    <row r="1399" spans="1:22" ht="16.5" thickTop="1" thickBot="1">
      <c r="A1399" s="1244"/>
      <c r="B1399" s="1249" t="s">
        <v>1567</v>
      </c>
      <c r="C1399" s="1329" t="s">
        <v>227</v>
      </c>
      <c r="D1399" s="1326" t="s">
        <v>227</v>
      </c>
      <c r="E1399" s="1249" t="s">
        <v>1258</v>
      </c>
      <c r="F1399" s="455" t="s">
        <v>1259</v>
      </c>
      <c r="G1399" s="456" t="s">
        <v>156</v>
      </c>
      <c r="H1399" s="889">
        <v>17</v>
      </c>
      <c r="I1399" s="891">
        <v>123.646</v>
      </c>
      <c r="J1399" s="601">
        <v>306.51400000000001</v>
      </c>
      <c r="K1399" s="602">
        <v>0.32558139534883723</v>
      </c>
      <c r="L1399" s="981">
        <v>5</v>
      </c>
      <c r="M1399" s="1249" t="s">
        <v>321</v>
      </c>
      <c r="N1399" s="604" t="s">
        <v>227</v>
      </c>
      <c r="O1399" s="465">
        <v>1</v>
      </c>
      <c r="P1399" s="435">
        <v>29.222000000000001</v>
      </c>
      <c r="Q1399" s="435">
        <v>2</v>
      </c>
      <c r="R1399" s="401">
        <v>2</v>
      </c>
      <c r="S1399" s="466">
        <v>0.44444444444444442</v>
      </c>
      <c r="U1399" s="1248">
        <f t="shared" si="30"/>
        <v>0</v>
      </c>
      <c r="V1399" s="1304">
        <f t="shared" si="31"/>
        <v>1</v>
      </c>
    </row>
    <row r="1400" spans="1:22" ht="16.5" thickTop="1" thickBot="1">
      <c r="A1400" s="1244"/>
      <c r="B1400" s="1245" t="s">
        <v>1567</v>
      </c>
      <c r="C1400" s="1328" t="s">
        <v>227</v>
      </c>
      <c r="D1400" s="1327" t="s">
        <v>227</v>
      </c>
      <c r="E1400" s="1245" t="s">
        <v>1603</v>
      </c>
      <c r="F1400" s="457" t="s">
        <v>1605</v>
      </c>
      <c r="G1400" s="458" t="s">
        <v>157</v>
      </c>
      <c r="H1400" s="888">
        <v>14</v>
      </c>
      <c r="I1400" s="890">
        <v>79.876000000000005</v>
      </c>
      <c r="J1400" s="899">
        <v>287.83800000000002</v>
      </c>
      <c r="K1400" s="603">
        <v>0.24489795918367346</v>
      </c>
      <c r="L1400" s="980">
        <v>4</v>
      </c>
      <c r="M1400" s="1245" t="s">
        <v>321</v>
      </c>
      <c r="N1400" s="604" t="s">
        <v>227</v>
      </c>
      <c r="O1400" s="463">
        <v>1</v>
      </c>
      <c r="P1400" s="434">
        <v>7.3040000000000003</v>
      </c>
      <c r="Q1400" s="434">
        <v>1</v>
      </c>
      <c r="R1400" s="400">
        <v>1</v>
      </c>
      <c r="S1400" s="464">
        <v>0.2857142857142857</v>
      </c>
      <c r="U1400" s="1248">
        <f t="shared" si="30"/>
        <v>0</v>
      </c>
      <c r="V1400" s="1304">
        <f t="shared" si="31"/>
        <v>1</v>
      </c>
    </row>
    <row r="1401" spans="1:22" ht="16.5" thickTop="1" thickBot="1">
      <c r="A1401" s="1244"/>
      <c r="B1401" s="1249" t="s">
        <v>1567</v>
      </c>
      <c r="C1401" s="1329" t="s">
        <v>227</v>
      </c>
      <c r="D1401" s="1326" t="s">
        <v>227</v>
      </c>
      <c r="E1401" s="1249" t="s">
        <v>1654</v>
      </c>
      <c r="F1401" s="455" t="s">
        <v>1655</v>
      </c>
      <c r="G1401" s="456" t="s">
        <v>156</v>
      </c>
      <c r="H1401" s="889">
        <v>14</v>
      </c>
      <c r="I1401" s="891">
        <v>77.004999999999995</v>
      </c>
      <c r="J1401" s="601">
        <v>134.52000000000001</v>
      </c>
      <c r="K1401" s="602">
        <v>0.22680412371134021</v>
      </c>
      <c r="L1401" s="981">
        <v>3</v>
      </c>
      <c r="M1401" s="1249" t="s">
        <v>366</v>
      </c>
      <c r="N1401" s="604" t="s">
        <v>227</v>
      </c>
      <c r="O1401" s="465"/>
      <c r="P1401" s="435">
        <v>0</v>
      </c>
      <c r="Q1401" s="435"/>
      <c r="R1401" s="401">
        <v>0</v>
      </c>
      <c r="S1401" s="466">
        <v>0</v>
      </c>
      <c r="U1401" s="1248">
        <f t="shared" si="30"/>
        <v>1</v>
      </c>
      <c r="V1401" s="1304">
        <f t="shared" si="31"/>
        <v>1</v>
      </c>
    </row>
    <row r="1402" spans="1:22" ht="16.5" thickTop="1" thickBot="1">
      <c r="A1402" s="1244"/>
      <c r="B1402" s="1245" t="s">
        <v>1567</v>
      </c>
      <c r="C1402" s="1328" t="s">
        <v>227</v>
      </c>
      <c r="D1402" s="1327" t="s">
        <v>227</v>
      </c>
      <c r="E1402" s="1245" t="s">
        <v>1656</v>
      </c>
      <c r="F1402" s="457" t="s">
        <v>1657</v>
      </c>
      <c r="G1402" s="458" t="s">
        <v>156</v>
      </c>
      <c r="H1402" s="888">
        <v>14</v>
      </c>
      <c r="I1402" s="890">
        <v>117.51900000000001</v>
      </c>
      <c r="J1402" s="899">
        <v>228.77799999999999</v>
      </c>
      <c r="K1402" s="603">
        <v>0.24324324324324326</v>
      </c>
      <c r="L1402" s="980">
        <v>4</v>
      </c>
      <c r="M1402" s="1245" t="s">
        <v>322</v>
      </c>
      <c r="N1402" s="604" t="s">
        <v>227</v>
      </c>
      <c r="O1402" s="463"/>
      <c r="P1402" s="434">
        <v>23.782</v>
      </c>
      <c r="Q1402" s="434">
        <v>1</v>
      </c>
      <c r="R1402" s="400">
        <v>1</v>
      </c>
      <c r="S1402" s="464">
        <v>0.25</v>
      </c>
      <c r="U1402" s="1248">
        <f t="shared" si="30"/>
        <v>0</v>
      </c>
      <c r="V1402" s="1304">
        <f t="shared" si="31"/>
        <v>1</v>
      </c>
    </row>
    <row r="1403" spans="1:22" ht="16.5" thickTop="1" thickBot="1">
      <c r="A1403" s="1244"/>
      <c r="B1403" s="1249" t="s">
        <v>1567</v>
      </c>
      <c r="C1403" s="1329" t="s">
        <v>227</v>
      </c>
      <c r="D1403" s="1326" t="s">
        <v>227</v>
      </c>
      <c r="E1403" s="1249" t="s">
        <v>1658</v>
      </c>
      <c r="F1403" s="455" t="s">
        <v>1085</v>
      </c>
      <c r="G1403" s="456" t="s">
        <v>156</v>
      </c>
      <c r="H1403" s="889">
        <v>13</v>
      </c>
      <c r="I1403" s="891">
        <v>202.929</v>
      </c>
      <c r="J1403" s="601">
        <v>458.10500000000002</v>
      </c>
      <c r="K1403" s="602">
        <v>0.34722222222222221</v>
      </c>
      <c r="L1403" s="981">
        <v>7</v>
      </c>
      <c r="M1403" s="1249" t="s">
        <v>323</v>
      </c>
      <c r="N1403" s="604" t="s">
        <v>227</v>
      </c>
      <c r="O1403" s="465"/>
      <c r="P1403" s="435">
        <v>66.158000000000001</v>
      </c>
      <c r="Q1403" s="435">
        <v>3</v>
      </c>
      <c r="R1403" s="401">
        <v>2</v>
      </c>
      <c r="S1403" s="466">
        <v>0.2857142857142857</v>
      </c>
      <c r="U1403" s="1248">
        <f t="shared" si="30"/>
        <v>0</v>
      </c>
      <c r="V1403" s="1304">
        <f t="shared" si="31"/>
        <v>1</v>
      </c>
    </row>
    <row r="1404" spans="1:22" ht="16.5" thickTop="1" thickBot="1">
      <c r="A1404" s="1244"/>
      <c r="B1404" s="1245" t="s">
        <v>1567</v>
      </c>
      <c r="C1404" s="1328" t="s">
        <v>227</v>
      </c>
      <c r="D1404" s="1327" t="s">
        <v>227</v>
      </c>
      <c r="E1404" s="1245" t="s">
        <v>1750</v>
      </c>
      <c r="F1404" s="457" t="s">
        <v>1751</v>
      </c>
      <c r="G1404" s="458" t="s">
        <v>156</v>
      </c>
      <c r="H1404" s="888">
        <v>12</v>
      </c>
      <c r="I1404" s="890">
        <v>31.329000000000001</v>
      </c>
      <c r="J1404" s="899">
        <v>89.343000000000004</v>
      </c>
      <c r="K1404" s="603">
        <v>0.125</v>
      </c>
      <c r="L1404" s="980">
        <v>2</v>
      </c>
      <c r="M1404" s="1245" t="s">
        <v>366</v>
      </c>
      <c r="N1404" s="604" t="s">
        <v>227</v>
      </c>
      <c r="O1404" s="463"/>
      <c r="P1404" s="434"/>
      <c r="Q1404" s="434"/>
      <c r="R1404" s="400">
        <v>0</v>
      </c>
      <c r="S1404" s="464">
        <v>0</v>
      </c>
      <c r="U1404" s="1248">
        <f t="shared" si="30"/>
        <v>1</v>
      </c>
      <c r="V1404" s="1304">
        <f t="shared" si="31"/>
        <v>1</v>
      </c>
    </row>
    <row r="1405" spans="1:22" ht="16.5" thickTop="1" thickBot="1">
      <c r="A1405" s="1244"/>
      <c r="B1405" s="1249" t="s">
        <v>1567</v>
      </c>
      <c r="C1405" s="1329" t="s">
        <v>227</v>
      </c>
      <c r="D1405" s="1326" t="s">
        <v>227</v>
      </c>
      <c r="E1405" s="1249" t="s">
        <v>2416</v>
      </c>
      <c r="F1405" s="455" t="s">
        <v>2417</v>
      </c>
      <c r="G1405" s="456" t="s">
        <v>156</v>
      </c>
      <c r="H1405" s="889">
        <v>7</v>
      </c>
      <c r="I1405" s="891">
        <v>214.54</v>
      </c>
      <c r="J1405" s="601">
        <v>473.25799999999998</v>
      </c>
      <c r="K1405" s="602">
        <v>0.5074626865671642</v>
      </c>
      <c r="L1405" s="981">
        <v>9</v>
      </c>
      <c r="M1405" s="1249" t="s">
        <v>323</v>
      </c>
      <c r="N1405" s="604" t="s">
        <v>227</v>
      </c>
      <c r="O1405" s="465">
        <v>2</v>
      </c>
      <c r="P1405" s="435">
        <v>105.04300000000001</v>
      </c>
      <c r="Q1405" s="435">
        <v>6</v>
      </c>
      <c r="R1405" s="401">
        <v>6</v>
      </c>
      <c r="S1405" s="466">
        <v>0.75</v>
      </c>
      <c r="U1405" s="1248">
        <f t="shared" si="30"/>
        <v>0</v>
      </c>
      <c r="V1405" s="1304">
        <f t="shared" si="31"/>
        <v>1</v>
      </c>
    </row>
    <row r="1406" spans="1:22" ht="16.5" thickTop="1" thickBot="1">
      <c r="A1406" s="1244"/>
      <c r="B1406" s="1245" t="s">
        <v>1567</v>
      </c>
      <c r="C1406" s="1328" t="s">
        <v>227</v>
      </c>
      <c r="D1406" s="1327" t="s">
        <v>227</v>
      </c>
      <c r="E1406" s="1245" t="s">
        <v>2532</v>
      </c>
      <c r="F1406" s="457" t="s">
        <v>2533</v>
      </c>
      <c r="G1406" s="458" t="s">
        <v>156</v>
      </c>
      <c r="H1406" s="888">
        <v>7</v>
      </c>
      <c r="I1406" s="890">
        <v>60.448</v>
      </c>
      <c r="J1406" s="899">
        <v>60.448</v>
      </c>
      <c r="K1406" s="603">
        <v>7.407407407407407E-2</v>
      </c>
      <c r="L1406" s="980">
        <v>6</v>
      </c>
      <c r="M1406" s="1245" t="s">
        <v>366</v>
      </c>
      <c r="N1406" s="604" t="s">
        <v>227</v>
      </c>
      <c r="O1406" s="463"/>
      <c r="P1406" s="434">
        <v>-17.024999999999999</v>
      </c>
      <c r="Q1406" s="434">
        <v>-1</v>
      </c>
      <c r="R1406" s="400">
        <v>0</v>
      </c>
      <c r="S1406" s="464">
        <v>0</v>
      </c>
      <c r="U1406" s="1248">
        <f t="shared" si="30"/>
        <v>1</v>
      </c>
      <c r="V1406" s="1304">
        <f t="shared" si="31"/>
        <v>1</v>
      </c>
    </row>
    <row r="1407" spans="1:22" ht="16.5" thickTop="1" thickBot="1">
      <c r="A1407" s="1244"/>
      <c r="B1407" s="1249" t="s">
        <v>1567</v>
      </c>
      <c r="C1407" s="1329" t="s">
        <v>227</v>
      </c>
      <c r="D1407" s="1326" t="s">
        <v>227</v>
      </c>
      <c r="E1407" s="1249" t="s">
        <v>3078</v>
      </c>
      <c r="F1407" s="455" t="s">
        <v>2379</v>
      </c>
      <c r="G1407" s="456" t="s">
        <v>155</v>
      </c>
      <c r="H1407" s="889"/>
      <c r="I1407" s="891"/>
      <c r="J1407" s="601">
        <v>101.58499999999999</v>
      </c>
      <c r="K1407" s="602">
        <v>0.44444444444444442</v>
      </c>
      <c r="L1407" s="981">
        <v>5</v>
      </c>
      <c r="M1407" s="1249" t="s">
        <v>366</v>
      </c>
      <c r="N1407" s="604" t="s">
        <v>227</v>
      </c>
      <c r="O1407" s="465"/>
      <c r="P1407" s="435">
        <v>57.808</v>
      </c>
      <c r="Q1407" s="435">
        <v>6</v>
      </c>
      <c r="R1407" s="401">
        <v>3</v>
      </c>
      <c r="S1407" s="466">
        <v>0.6</v>
      </c>
      <c r="U1407" s="1248">
        <f t="shared" si="30"/>
        <v>1</v>
      </c>
      <c r="V1407" s="1304">
        <f t="shared" si="31"/>
        <v>0</v>
      </c>
    </row>
    <row r="1408" spans="1:22" ht="16.5" thickTop="1" thickBot="1">
      <c r="A1408" s="1244"/>
      <c r="B1408" s="1245" t="s">
        <v>1567</v>
      </c>
      <c r="C1408" s="1328" t="s">
        <v>227</v>
      </c>
      <c r="D1408" s="1327" t="s">
        <v>227</v>
      </c>
      <c r="E1408" s="1245" t="s">
        <v>3079</v>
      </c>
      <c r="F1408" s="457" t="s">
        <v>3080</v>
      </c>
      <c r="G1408" s="458" t="s">
        <v>155</v>
      </c>
      <c r="H1408" s="888"/>
      <c r="I1408" s="890"/>
      <c r="J1408" s="899">
        <v>34.625</v>
      </c>
      <c r="K1408" s="603">
        <v>0.1111111111111111</v>
      </c>
      <c r="L1408" s="980">
        <v>3</v>
      </c>
      <c r="M1408" s="1245" t="s">
        <v>366</v>
      </c>
      <c r="N1408" s="604" t="s">
        <v>227</v>
      </c>
      <c r="O1408" s="463"/>
      <c r="P1408" s="434"/>
      <c r="Q1408" s="434"/>
      <c r="R1408" s="400">
        <v>0</v>
      </c>
      <c r="S1408" s="464">
        <v>0</v>
      </c>
      <c r="U1408" s="1248">
        <f t="shared" si="30"/>
        <v>1</v>
      </c>
      <c r="V1408" s="1304">
        <f t="shared" si="31"/>
        <v>0</v>
      </c>
    </row>
    <row r="1409" spans="1:22" ht="16.5" thickTop="1" thickBot="1">
      <c r="A1409" s="1244"/>
      <c r="B1409" s="1249" t="s">
        <v>1567</v>
      </c>
      <c r="C1409" s="1329" t="s">
        <v>227</v>
      </c>
      <c r="D1409" s="1326" t="s">
        <v>227</v>
      </c>
      <c r="E1409" s="1249" t="s">
        <v>3939</v>
      </c>
      <c r="F1409" s="455" t="s">
        <v>3940</v>
      </c>
      <c r="G1409" s="456" t="s">
        <v>156</v>
      </c>
      <c r="H1409" s="889">
        <v>0</v>
      </c>
      <c r="I1409" s="891">
        <v>62.527999999999999</v>
      </c>
      <c r="J1409" s="601">
        <v>62.527999999999999</v>
      </c>
      <c r="K1409" s="602">
        <v>2</v>
      </c>
      <c r="L1409" s="981">
        <v>1</v>
      </c>
      <c r="M1409" s="1249" t="s">
        <v>227</v>
      </c>
      <c r="N1409" s="604" t="s">
        <v>227</v>
      </c>
      <c r="O1409" s="465">
        <v>1</v>
      </c>
      <c r="P1409" s="435">
        <v>62.527999999999999</v>
      </c>
      <c r="Q1409" s="435">
        <v>2</v>
      </c>
      <c r="R1409" s="401">
        <v>1</v>
      </c>
      <c r="S1409" s="466">
        <v>2</v>
      </c>
      <c r="U1409" s="1248">
        <f t="shared" si="30"/>
        <v>0</v>
      </c>
      <c r="V1409" s="1304">
        <f t="shared" si="31"/>
        <v>1</v>
      </c>
    </row>
    <row r="1410" spans="1:22" ht="16.5" thickTop="1" thickBot="1">
      <c r="A1410" s="1244"/>
      <c r="B1410" s="1245" t="s">
        <v>1567</v>
      </c>
      <c r="C1410" s="1328" t="s">
        <v>1588</v>
      </c>
      <c r="D1410" s="1327" t="s">
        <v>227</v>
      </c>
      <c r="E1410" s="1245" t="s">
        <v>1588</v>
      </c>
      <c r="F1410" s="457" t="s">
        <v>1590</v>
      </c>
      <c r="G1410" s="458" t="s">
        <v>739</v>
      </c>
      <c r="H1410" s="888">
        <v>13</v>
      </c>
      <c r="I1410" s="890">
        <v>1095.5360000000001</v>
      </c>
      <c r="J1410" s="899">
        <v>1419.019</v>
      </c>
      <c r="K1410" s="603">
        <v>0.69503546099290781</v>
      </c>
      <c r="L1410" s="980">
        <v>8</v>
      </c>
      <c r="M1410" s="1245" t="s">
        <v>323</v>
      </c>
      <c r="N1410" s="604" t="s">
        <v>227</v>
      </c>
      <c r="O1410" s="463"/>
      <c r="P1410" s="434">
        <v>241.322</v>
      </c>
      <c r="Q1410" s="434">
        <v>7</v>
      </c>
      <c r="R1410" s="400">
        <v>1</v>
      </c>
      <c r="S1410" s="464">
        <v>0.125</v>
      </c>
      <c r="U1410" s="1248">
        <f t="shared" si="30"/>
        <v>0</v>
      </c>
      <c r="V1410" s="1304">
        <f t="shared" si="31"/>
        <v>1</v>
      </c>
    </row>
    <row r="1411" spans="1:22" ht="16.5" thickTop="1" thickBot="1">
      <c r="A1411" s="1244"/>
      <c r="B1411" s="1249" t="s">
        <v>1567</v>
      </c>
      <c r="C1411" s="1329" t="s">
        <v>1588</v>
      </c>
      <c r="D1411" s="1326" t="s">
        <v>227</v>
      </c>
      <c r="E1411" s="1249" t="s">
        <v>1606</v>
      </c>
      <c r="F1411" s="455" t="s">
        <v>1608</v>
      </c>
      <c r="G1411" s="456" t="s">
        <v>157</v>
      </c>
      <c r="H1411" s="889">
        <v>13</v>
      </c>
      <c r="I1411" s="891">
        <v>9.74</v>
      </c>
      <c r="J1411" s="601">
        <v>217.34700000000001</v>
      </c>
      <c r="K1411" s="602">
        <v>0.19607843137254902</v>
      </c>
      <c r="L1411" s="981">
        <v>7</v>
      </c>
      <c r="M1411" s="1249" t="s">
        <v>322</v>
      </c>
      <c r="N1411" s="604" t="s">
        <v>227</v>
      </c>
      <c r="O1411" s="465"/>
      <c r="P1411" s="435">
        <v>0</v>
      </c>
      <c r="Q1411" s="435"/>
      <c r="R1411" s="401">
        <v>0</v>
      </c>
      <c r="S1411" s="466">
        <v>0</v>
      </c>
      <c r="U1411" s="1248">
        <f t="shared" si="30"/>
        <v>0</v>
      </c>
      <c r="V1411" s="1304">
        <f t="shared" si="31"/>
        <v>1</v>
      </c>
    </row>
    <row r="1412" spans="1:22" ht="16.5" thickTop="1" thickBot="1">
      <c r="A1412" s="1244"/>
      <c r="B1412" s="1245" t="s">
        <v>1567</v>
      </c>
      <c r="C1412" s="1328" t="s">
        <v>1588</v>
      </c>
      <c r="D1412" s="1327" t="s">
        <v>227</v>
      </c>
      <c r="E1412" s="1245" t="s">
        <v>1659</v>
      </c>
      <c r="F1412" s="457" t="s">
        <v>1660</v>
      </c>
      <c r="G1412" s="458" t="s">
        <v>156</v>
      </c>
      <c r="H1412" s="888">
        <v>13</v>
      </c>
      <c r="I1412" s="890">
        <v>126.498</v>
      </c>
      <c r="J1412" s="899">
        <v>126.498</v>
      </c>
      <c r="K1412" s="603">
        <v>0.21875</v>
      </c>
      <c r="L1412" s="980">
        <v>3</v>
      </c>
      <c r="M1412" s="1245" t="s">
        <v>366</v>
      </c>
      <c r="N1412" s="604" t="s">
        <v>227</v>
      </c>
      <c r="O1412" s="463"/>
      <c r="P1412" s="434"/>
      <c r="Q1412" s="434"/>
      <c r="R1412" s="400">
        <v>0</v>
      </c>
      <c r="S1412" s="464">
        <v>0</v>
      </c>
      <c r="U1412" s="1248">
        <f t="shared" si="30"/>
        <v>1</v>
      </c>
      <c r="V1412" s="1304">
        <f t="shared" si="31"/>
        <v>1</v>
      </c>
    </row>
    <row r="1413" spans="1:22" ht="16.5" thickTop="1" thickBot="1">
      <c r="A1413" s="1244"/>
      <c r="B1413" s="1249" t="s">
        <v>1567</v>
      </c>
      <c r="C1413" s="1329" t="s">
        <v>1588</v>
      </c>
      <c r="D1413" s="1326" t="s">
        <v>227</v>
      </c>
      <c r="E1413" s="1249" t="s">
        <v>1661</v>
      </c>
      <c r="F1413" s="455" t="s">
        <v>1662</v>
      </c>
      <c r="G1413" s="456" t="s">
        <v>156</v>
      </c>
      <c r="H1413" s="889">
        <v>13</v>
      </c>
      <c r="I1413" s="891">
        <v>439.91</v>
      </c>
      <c r="J1413" s="601">
        <v>598.75699999999995</v>
      </c>
      <c r="K1413" s="602">
        <v>0.29545454545454547</v>
      </c>
      <c r="L1413" s="981">
        <v>6</v>
      </c>
      <c r="M1413" s="1249" t="s">
        <v>323</v>
      </c>
      <c r="N1413" s="604" t="s">
        <v>227</v>
      </c>
      <c r="O1413" s="465">
        <v>1</v>
      </c>
      <c r="P1413" s="435">
        <v>7.1239999999999997</v>
      </c>
      <c r="Q1413" s="435">
        <v>1</v>
      </c>
      <c r="R1413" s="401">
        <v>1</v>
      </c>
      <c r="S1413" s="466">
        <v>0.18181818181818182</v>
      </c>
      <c r="U1413" s="1248">
        <f t="shared" si="30"/>
        <v>0</v>
      </c>
      <c r="V1413" s="1304">
        <f t="shared" si="31"/>
        <v>1</v>
      </c>
    </row>
    <row r="1414" spans="1:22" ht="16.5" thickTop="1" thickBot="1">
      <c r="A1414" s="1244"/>
      <c r="B1414" s="1245" t="s">
        <v>1567</v>
      </c>
      <c r="C1414" s="1328" t="s">
        <v>1588</v>
      </c>
      <c r="D1414" s="1327" t="s">
        <v>227</v>
      </c>
      <c r="E1414" s="1245" t="s">
        <v>2025</v>
      </c>
      <c r="F1414" s="457" t="s">
        <v>2026</v>
      </c>
      <c r="G1414" s="458" t="s">
        <v>156</v>
      </c>
      <c r="H1414" s="888">
        <v>10</v>
      </c>
      <c r="I1414" s="890">
        <v>23.745999999999999</v>
      </c>
      <c r="J1414" s="899">
        <v>23.745999999999999</v>
      </c>
      <c r="K1414" s="603">
        <v>0.10256410256410256</v>
      </c>
      <c r="L1414" s="980">
        <v>1</v>
      </c>
      <c r="M1414" s="1245" t="s">
        <v>366</v>
      </c>
      <c r="N1414" s="604" t="s">
        <v>227</v>
      </c>
      <c r="O1414" s="463"/>
      <c r="P1414" s="434"/>
      <c r="Q1414" s="434"/>
      <c r="R1414" s="400">
        <v>0</v>
      </c>
      <c r="S1414" s="464">
        <v>0</v>
      </c>
      <c r="U1414" s="1248">
        <f t="shared" si="30"/>
        <v>1</v>
      </c>
      <c r="V1414" s="1304">
        <f t="shared" si="31"/>
        <v>1</v>
      </c>
    </row>
    <row r="1415" spans="1:22" ht="16.5" thickTop="1" thickBot="1">
      <c r="A1415" s="1244"/>
      <c r="B1415" s="1249" t="s">
        <v>1567</v>
      </c>
      <c r="C1415" s="1329" t="s">
        <v>1588</v>
      </c>
      <c r="D1415" s="1326" t="s">
        <v>227</v>
      </c>
      <c r="E1415" s="1249" t="s">
        <v>2027</v>
      </c>
      <c r="F1415" s="455" t="s">
        <v>2028</v>
      </c>
      <c r="G1415" s="456" t="s">
        <v>156</v>
      </c>
      <c r="H1415" s="889">
        <v>10</v>
      </c>
      <c r="I1415" s="891">
        <v>10.050000000000001</v>
      </c>
      <c r="J1415" s="601">
        <v>10.050000000000001</v>
      </c>
      <c r="K1415" s="602">
        <v>4.6511627906976744E-2</v>
      </c>
      <c r="L1415" s="981">
        <v>1</v>
      </c>
      <c r="M1415" s="1249" t="s">
        <v>366</v>
      </c>
      <c r="N1415" s="604" t="s">
        <v>227</v>
      </c>
      <c r="O1415" s="465"/>
      <c r="P1415" s="435"/>
      <c r="Q1415" s="435"/>
      <c r="R1415" s="401">
        <v>0</v>
      </c>
      <c r="S1415" s="466">
        <v>0</v>
      </c>
      <c r="U1415" s="1248">
        <f t="shared" si="30"/>
        <v>1</v>
      </c>
      <c r="V1415" s="1304">
        <f t="shared" si="31"/>
        <v>1</v>
      </c>
    </row>
    <row r="1416" spans="1:22" ht="16.5" thickTop="1" thickBot="1">
      <c r="A1416" s="1244"/>
      <c r="B1416" s="1245" t="s">
        <v>1567</v>
      </c>
      <c r="C1416" s="1328" t="s">
        <v>1588</v>
      </c>
      <c r="D1416" s="1327" t="s">
        <v>227</v>
      </c>
      <c r="E1416" s="1245" t="s">
        <v>2292</v>
      </c>
      <c r="F1416" s="457" t="s">
        <v>2293</v>
      </c>
      <c r="G1416" s="458" t="s">
        <v>155</v>
      </c>
      <c r="H1416" s="888"/>
      <c r="I1416" s="890"/>
      <c r="J1416" s="899">
        <v>57.951000000000001</v>
      </c>
      <c r="K1416" s="603">
        <v>0.16</v>
      </c>
      <c r="L1416" s="980">
        <v>4</v>
      </c>
      <c r="M1416" s="1245" t="s">
        <v>366</v>
      </c>
      <c r="N1416" s="604" t="s">
        <v>227</v>
      </c>
      <c r="O1416" s="463"/>
      <c r="P1416" s="434"/>
      <c r="Q1416" s="434"/>
      <c r="R1416" s="400">
        <v>0</v>
      </c>
      <c r="S1416" s="464">
        <v>0</v>
      </c>
      <c r="U1416" s="1248">
        <f t="shared" si="30"/>
        <v>1</v>
      </c>
      <c r="V1416" s="1304">
        <f t="shared" si="31"/>
        <v>0</v>
      </c>
    </row>
    <row r="1417" spans="1:22" ht="16.5" thickTop="1" thickBot="1">
      <c r="A1417" s="1244"/>
      <c r="B1417" s="1249" t="s">
        <v>1567</v>
      </c>
      <c r="C1417" s="1329" t="s">
        <v>1588</v>
      </c>
      <c r="D1417" s="1326" t="s">
        <v>227</v>
      </c>
      <c r="E1417" s="1249" t="s">
        <v>2759</v>
      </c>
      <c r="F1417" s="455" t="s">
        <v>2761</v>
      </c>
      <c r="G1417" s="456" t="s">
        <v>157</v>
      </c>
      <c r="H1417" s="889">
        <v>3</v>
      </c>
      <c r="I1417" s="891"/>
      <c r="J1417" s="601">
        <v>91.11</v>
      </c>
      <c r="K1417" s="602">
        <v>0.25806451612903225</v>
      </c>
      <c r="L1417" s="981">
        <v>5</v>
      </c>
      <c r="M1417" s="1249" t="s">
        <v>323</v>
      </c>
      <c r="N1417" s="604" t="s">
        <v>227</v>
      </c>
      <c r="O1417" s="465"/>
      <c r="P1417" s="435"/>
      <c r="Q1417" s="435"/>
      <c r="R1417" s="401">
        <v>0</v>
      </c>
      <c r="S1417" s="466">
        <v>0</v>
      </c>
      <c r="U1417" s="1248">
        <f t="shared" si="30"/>
        <v>0</v>
      </c>
      <c r="V1417" s="1304">
        <f t="shared" si="31"/>
        <v>1</v>
      </c>
    </row>
    <row r="1418" spans="1:22" ht="16.5" thickTop="1" thickBot="1">
      <c r="A1418" s="1244"/>
      <c r="B1418" s="1245" t="s">
        <v>1567</v>
      </c>
      <c r="C1418" s="1328" t="s">
        <v>1588</v>
      </c>
      <c r="D1418" s="1327" t="s">
        <v>227</v>
      </c>
      <c r="E1418" s="1245" t="s">
        <v>3397</v>
      </c>
      <c r="F1418" s="457" t="s">
        <v>3398</v>
      </c>
      <c r="G1418" s="458" t="s">
        <v>156</v>
      </c>
      <c r="H1418" s="888">
        <v>1</v>
      </c>
      <c r="I1418" s="890">
        <v>75.149000000000001</v>
      </c>
      <c r="J1418" s="899">
        <v>75.149000000000001</v>
      </c>
      <c r="K1418" s="603">
        <v>0.8</v>
      </c>
      <c r="L1418" s="980">
        <v>3</v>
      </c>
      <c r="M1418" s="1245" t="s">
        <v>323</v>
      </c>
      <c r="N1418" s="604" t="s">
        <v>227</v>
      </c>
      <c r="O1418" s="463">
        <v>2</v>
      </c>
      <c r="P1418" s="434">
        <v>63.436999999999998</v>
      </c>
      <c r="Q1418" s="434">
        <v>2</v>
      </c>
      <c r="R1418" s="400">
        <v>1</v>
      </c>
      <c r="S1418" s="464">
        <v>0.5</v>
      </c>
      <c r="U1418" s="1248">
        <f t="shared" si="30"/>
        <v>0</v>
      </c>
      <c r="V1418" s="1304">
        <f t="shared" si="31"/>
        <v>1</v>
      </c>
    </row>
    <row r="1419" spans="1:22" ht="16.5" thickTop="1" thickBot="1">
      <c r="A1419" s="1244"/>
      <c r="B1419" s="1249" t="s">
        <v>1567</v>
      </c>
      <c r="C1419" s="1329" t="s">
        <v>1588</v>
      </c>
      <c r="D1419" s="1326" t="s">
        <v>227</v>
      </c>
      <c r="E1419" s="1249" t="s">
        <v>3941</v>
      </c>
      <c r="F1419" s="455" t="s">
        <v>328</v>
      </c>
      <c r="G1419" s="456" t="s">
        <v>155</v>
      </c>
      <c r="H1419" s="889"/>
      <c r="I1419" s="891"/>
      <c r="J1419" s="601"/>
      <c r="K1419" s="602">
        <v>0</v>
      </c>
      <c r="L1419" s="981">
        <v>3</v>
      </c>
      <c r="M1419" s="1249" t="s">
        <v>366</v>
      </c>
      <c r="N1419" s="604" t="s">
        <v>227</v>
      </c>
      <c r="O1419" s="465"/>
      <c r="P1419" s="435"/>
      <c r="Q1419" s="435"/>
      <c r="R1419" s="401">
        <v>0</v>
      </c>
      <c r="S1419" s="466">
        <v>0</v>
      </c>
      <c r="U1419" s="1248">
        <f t="shared" si="30"/>
        <v>1</v>
      </c>
      <c r="V1419" s="1304">
        <f t="shared" si="31"/>
        <v>0</v>
      </c>
    </row>
    <row r="1420" spans="1:22" ht="16.5" thickTop="1" thickBot="1">
      <c r="A1420" s="1244"/>
      <c r="B1420" s="1245" t="s">
        <v>1567</v>
      </c>
      <c r="C1420" s="1328" t="s">
        <v>1954</v>
      </c>
      <c r="D1420" s="1327" t="s">
        <v>227</v>
      </c>
      <c r="E1420" s="1245" t="s">
        <v>1705</v>
      </c>
      <c r="F1420" s="457" t="s">
        <v>1707</v>
      </c>
      <c r="G1420" s="458" t="s">
        <v>157</v>
      </c>
      <c r="H1420" s="888">
        <v>12</v>
      </c>
      <c r="I1420" s="890">
        <v>118.346</v>
      </c>
      <c r="J1420" s="899">
        <v>179.49700000000001</v>
      </c>
      <c r="K1420" s="603">
        <v>0.5</v>
      </c>
      <c r="L1420" s="980">
        <v>3</v>
      </c>
      <c r="M1420" s="1245" t="s">
        <v>322</v>
      </c>
      <c r="N1420" s="604" t="s">
        <v>227</v>
      </c>
      <c r="O1420" s="463">
        <v>1</v>
      </c>
      <c r="P1420" s="434">
        <v>14.513999999999999</v>
      </c>
      <c r="Q1420" s="434">
        <v>1</v>
      </c>
      <c r="R1420" s="400">
        <v>1</v>
      </c>
      <c r="S1420" s="464">
        <v>0.4</v>
      </c>
      <c r="U1420" s="1248">
        <f t="shared" si="30"/>
        <v>0</v>
      </c>
      <c r="V1420" s="1304">
        <f t="shared" si="31"/>
        <v>1</v>
      </c>
    </row>
    <row r="1421" spans="1:22" ht="16.5" thickTop="1" thickBot="1">
      <c r="A1421" s="1244"/>
      <c r="B1421" s="1249" t="s">
        <v>1567</v>
      </c>
      <c r="C1421" s="1329" t="s">
        <v>1954</v>
      </c>
      <c r="D1421" s="1326" t="s">
        <v>227</v>
      </c>
      <c r="E1421" s="1249" t="s">
        <v>1752</v>
      </c>
      <c r="F1421" s="455" t="s">
        <v>1392</v>
      </c>
      <c r="G1421" s="456" t="s">
        <v>157</v>
      </c>
      <c r="H1421" s="889">
        <v>12</v>
      </c>
      <c r="I1421" s="891">
        <v>167.79300000000001</v>
      </c>
      <c r="J1421" s="601">
        <v>906.46799999999996</v>
      </c>
      <c r="K1421" s="602">
        <v>0.63636363636363635</v>
      </c>
      <c r="L1421" s="981">
        <v>5</v>
      </c>
      <c r="M1421" s="1249" t="s">
        <v>323</v>
      </c>
      <c r="N1421" s="604" t="s">
        <v>227</v>
      </c>
      <c r="O1421" s="465"/>
      <c r="P1421" s="435">
        <v>35.508000000000003</v>
      </c>
      <c r="Q1421" s="435">
        <v>3</v>
      </c>
      <c r="R1421" s="401">
        <v>2</v>
      </c>
      <c r="S1421" s="466">
        <v>0.36363636363636365</v>
      </c>
      <c r="U1421" s="1248">
        <f t="shared" si="30"/>
        <v>0</v>
      </c>
      <c r="V1421" s="1304">
        <f t="shared" si="31"/>
        <v>1</v>
      </c>
    </row>
    <row r="1422" spans="1:22" ht="16.5" thickTop="1" thickBot="1">
      <c r="A1422" s="1244"/>
      <c r="B1422" s="1245" t="s">
        <v>1567</v>
      </c>
      <c r="C1422" s="1328" t="s">
        <v>1954</v>
      </c>
      <c r="D1422" s="1327" t="s">
        <v>227</v>
      </c>
      <c r="E1422" s="1245" t="s">
        <v>1954</v>
      </c>
      <c r="F1422" s="457" t="s">
        <v>1956</v>
      </c>
      <c r="G1422" s="458" t="s">
        <v>739</v>
      </c>
      <c r="H1422" s="888">
        <v>11</v>
      </c>
      <c r="I1422" s="890">
        <v>471.47899999999998</v>
      </c>
      <c r="J1422" s="899">
        <v>617.03300000000002</v>
      </c>
      <c r="K1422" s="603">
        <v>1.0344827586206897</v>
      </c>
      <c r="L1422" s="980">
        <v>3</v>
      </c>
      <c r="M1422" s="1245" t="s">
        <v>323</v>
      </c>
      <c r="N1422" s="604" t="s">
        <v>227</v>
      </c>
      <c r="O1422" s="463">
        <v>1</v>
      </c>
      <c r="P1422" s="434">
        <v>77.852999999999994</v>
      </c>
      <c r="Q1422" s="434">
        <v>4</v>
      </c>
      <c r="R1422" s="400">
        <v>2</v>
      </c>
      <c r="S1422" s="464">
        <v>0.8</v>
      </c>
      <c r="U1422" s="1248">
        <f t="shared" si="30"/>
        <v>0</v>
      </c>
      <c r="V1422" s="1304">
        <f t="shared" si="31"/>
        <v>1</v>
      </c>
    </row>
    <row r="1423" spans="1:22" ht="16.5" thickTop="1" thickBot="1">
      <c r="A1423" s="1244"/>
      <c r="B1423" s="1249" t="s">
        <v>1567</v>
      </c>
      <c r="C1423" s="1329" t="s">
        <v>1954</v>
      </c>
      <c r="D1423" s="1326" t="s">
        <v>227</v>
      </c>
      <c r="E1423" s="1249" t="s">
        <v>2031</v>
      </c>
      <c r="F1423" s="455" t="s">
        <v>1030</v>
      </c>
      <c r="G1423" s="456" t="s">
        <v>157</v>
      </c>
      <c r="H1423" s="889">
        <v>11</v>
      </c>
      <c r="I1423" s="891">
        <v>84.105999999999995</v>
      </c>
      <c r="J1423" s="601">
        <v>288.887</v>
      </c>
      <c r="K1423" s="602">
        <v>0.52380952380952384</v>
      </c>
      <c r="L1423" s="981">
        <v>5</v>
      </c>
      <c r="M1423" s="1249" t="s">
        <v>321</v>
      </c>
      <c r="N1423" s="604" t="s">
        <v>227</v>
      </c>
      <c r="O1423" s="465"/>
      <c r="P1423" s="435">
        <v>11.666</v>
      </c>
      <c r="Q1423" s="435">
        <v>1</v>
      </c>
      <c r="R1423" s="401">
        <v>1</v>
      </c>
      <c r="S1423" s="466">
        <v>0.2</v>
      </c>
      <c r="U1423" s="1248">
        <f t="shared" si="30"/>
        <v>0</v>
      </c>
      <c r="V1423" s="1304">
        <f t="shared" si="31"/>
        <v>1</v>
      </c>
    </row>
    <row r="1424" spans="1:22" ht="16.5" thickTop="1" thickBot="1">
      <c r="A1424" s="1244"/>
      <c r="B1424" s="1245" t="s">
        <v>1567</v>
      </c>
      <c r="C1424" s="1328" t="s">
        <v>1954</v>
      </c>
      <c r="D1424" s="1327" t="s">
        <v>227</v>
      </c>
      <c r="E1424" s="1245" t="s">
        <v>2032</v>
      </c>
      <c r="F1424" s="457" t="s">
        <v>2033</v>
      </c>
      <c r="G1424" s="458" t="s">
        <v>156</v>
      </c>
      <c r="H1424" s="888">
        <v>10</v>
      </c>
      <c r="I1424" s="890">
        <v>120.59</v>
      </c>
      <c r="J1424" s="899">
        <v>339.30700000000002</v>
      </c>
      <c r="K1424" s="603">
        <v>0.5977011494252874</v>
      </c>
      <c r="L1424" s="980">
        <v>11</v>
      </c>
      <c r="M1424" s="1245" t="s">
        <v>323</v>
      </c>
      <c r="N1424" s="604" t="s">
        <v>227</v>
      </c>
      <c r="O1424" s="463"/>
      <c r="P1424" s="434">
        <v>13.773</v>
      </c>
      <c r="Q1424" s="434">
        <v>2</v>
      </c>
      <c r="R1424" s="400">
        <v>2</v>
      </c>
      <c r="S1424" s="464">
        <v>0.18181818181818182</v>
      </c>
      <c r="U1424" s="1248">
        <f t="shared" si="30"/>
        <v>0</v>
      </c>
      <c r="V1424" s="1304">
        <f t="shared" si="31"/>
        <v>1</v>
      </c>
    </row>
    <row r="1425" spans="1:22" ht="16.5" thickTop="1" thickBot="1">
      <c r="A1425" s="1244"/>
      <c r="B1425" s="1249" t="s">
        <v>1567</v>
      </c>
      <c r="C1425" s="1329" t="s">
        <v>1954</v>
      </c>
      <c r="D1425" s="1326" t="s">
        <v>227</v>
      </c>
      <c r="E1425" s="1249" t="s">
        <v>2029</v>
      </c>
      <c r="F1425" s="455" t="s">
        <v>2030</v>
      </c>
      <c r="G1425" s="456" t="s">
        <v>156</v>
      </c>
      <c r="H1425" s="889">
        <v>10</v>
      </c>
      <c r="I1425" s="891">
        <v>127.39</v>
      </c>
      <c r="J1425" s="601">
        <v>144.363</v>
      </c>
      <c r="K1425" s="602">
        <v>0.38709677419354838</v>
      </c>
      <c r="L1425" s="981">
        <v>3</v>
      </c>
      <c r="M1425" s="1249" t="s">
        <v>322</v>
      </c>
      <c r="N1425" s="604" t="s">
        <v>227</v>
      </c>
      <c r="O1425" s="465"/>
      <c r="P1425" s="435"/>
      <c r="Q1425" s="435"/>
      <c r="R1425" s="401">
        <v>0</v>
      </c>
      <c r="S1425" s="466">
        <v>0</v>
      </c>
      <c r="U1425" s="1248">
        <f t="shared" si="30"/>
        <v>0</v>
      </c>
      <c r="V1425" s="1304">
        <f t="shared" si="31"/>
        <v>1</v>
      </c>
    </row>
    <row r="1426" spans="1:22" ht="16.5" thickTop="1" thickBot="1">
      <c r="A1426" s="1244"/>
      <c r="B1426" s="1245" t="s">
        <v>1567</v>
      </c>
      <c r="C1426" s="1328" t="s">
        <v>1954</v>
      </c>
      <c r="D1426" s="1327" t="s">
        <v>227</v>
      </c>
      <c r="E1426" s="1245" t="s">
        <v>2186</v>
      </c>
      <c r="F1426" s="457" t="s">
        <v>2187</v>
      </c>
      <c r="G1426" s="458" t="s">
        <v>156</v>
      </c>
      <c r="H1426" s="888">
        <v>9</v>
      </c>
      <c r="I1426" s="890">
        <v>53.09</v>
      </c>
      <c r="J1426" s="899">
        <v>303.73500000000001</v>
      </c>
      <c r="K1426" s="603">
        <v>0.46601941747572817</v>
      </c>
      <c r="L1426" s="980">
        <v>7</v>
      </c>
      <c r="M1426" s="1245" t="s">
        <v>323</v>
      </c>
      <c r="N1426" s="604" t="s">
        <v>227</v>
      </c>
      <c r="O1426" s="463"/>
      <c r="P1426" s="434">
        <v>93.094999999999999</v>
      </c>
      <c r="Q1426" s="434">
        <v>7</v>
      </c>
      <c r="R1426" s="400">
        <v>3</v>
      </c>
      <c r="S1426" s="464">
        <v>0.42857142857142855</v>
      </c>
      <c r="U1426" s="1248">
        <f t="shared" si="30"/>
        <v>0</v>
      </c>
      <c r="V1426" s="1304">
        <f t="shared" si="31"/>
        <v>1</v>
      </c>
    </row>
    <row r="1427" spans="1:22" ht="16.5" thickTop="1" thickBot="1">
      <c r="A1427" s="1244"/>
      <c r="B1427" s="1249" t="s">
        <v>1567</v>
      </c>
      <c r="C1427" s="1329" t="s">
        <v>1954</v>
      </c>
      <c r="D1427" s="1326" t="s">
        <v>227</v>
      </c>
      <c r="E1427" s="1249" t="s">
        <v>2294</v>
      </c>
      <c r="F1427" s="455" t="s">
        <v>2295</v>
      </c>
      <c r="G1427" s="456" t="s">
        <v>156</v>
      </c>
      <c r="H1427" s="889">
        <v>3</v>
      </c>
      <c r="I1427" s="891">
        <v>170.47800000000001</v>
      </c>
      <c r="J1427" s="601">
        <v>298.80399999999997</v>
      </c>
      <c r="K1427" s="602">
        <v>0.375</v>
      </c>
      <c r="L1427" s="981">
        <v>7</v>
      </c>
      <c r="M1427" s="1249" t="s">
        <v>323</v>
      </c>
      <c r="N1427" s="604" t="s">
        <v>227</v>
      </c>
      <c r="O1427" s="465"/>
      <c r="P1427" s="435">
        <v>49.597999999999999</v>
      </c>
      <c r="Q1427" s="435">
        <v>2</v>
      </c>
      <c r="R1427" s="401">
        <v>2</v>
      </c>
      <c r="S1427" s="466">
        <v>0.2857142857142857</v>
      </c>
      <c r="U1427" s="1248">
        <f t="shared" si="30"/>
        <v>0</v>
      </c>
      <c r="V1427" s="1304">
        <f t="shared" si="31"/>
        <v>1</v>
      </c>
    </row>
    <row r="1428" spans="1:22" ht="16.5" thickTop="1" thickBot="1">
      <c r="A1428" s="1244"/>
      <c r="B1428" s="1245" t="s">
        <v>1567</v>
      </c>
      <c r="C1428" s="1328" t="s">
        <v>1954</v>
      </c>
      <c r="D1428" s="1327" t="s">
        <v>227</v>
      </c>
      <c r="E1428" s="1245" t="s">
        <v>2296</v>
      </c>
      <c r="F1428" s="457" t="s">
        <v>2297</v>
      </c>
      <c r="G1428" s="458" t="s">
        <v>155</v>
      </c>
      <c r="H1428" s="888"/>
      <c r="I1428" s="890"/>
      <c r="J1428" s="899">
        <v>52.216000000000001</v>
      </c>
      <c r="K1428" s="603">
        <v>0.13333333333333333</v>
      </c>
      <c r="L1428" s="980">
        <v>1</v>
      </c>
      <c r="M1428" s="1245" t="s">
        <v>366</v>
      </c>
      <c r="N1428" s="604" t="s">
        <v>227</v>
      </c>
      <c r="O1428" s="463"/>
      <c r="P1428" s="434"/>
      <c r="Q1428" s="434"/>
      <c r="R1428" s="400">
        <v>0</v>
      </c>
      <c r="S1428" s="464">
        <v>0</v>
      </c>
      <c r="U1428" s="1248">
        <f t="shared" si="30"/>
        <v>1</v>
      </c>
      <c r="V1428" s="1304">
        <f t="shared" si="31"/>
        <v>0</v>
      </c>
    </row>
    <row r="1429" spans="1:22" ht="16.5" thickTop="1" thickBot="1">
      <c r="A1429" s="1244"/>
      <c r="B1429" s="1249" t="s">
        <v>1567</v>
      </c>
      <c r="C1429" s="1329" t="s">
        <v>1954</v>
      </c>
      <c r="D1429" s="1326" t="s">
        <v>227</v>
      </c>
      <c r="E1429" s="1249" t="s">
        <v>2534</v>
      </c>
      <c r="F1429" s="455" t="s">
        <v>2535</v>
      </c>
      <c r="G1429" s="456" t="s">
        <v>156</v>
      </c>
      <c r="H1429" s="889">
        <v>6</v>
      </c>
      <c r="I1429" s="891">
        <v>121.664</v>
      </c>
      <c r="J1429" s="601">
        <v>146.20599999999999</v>
      </c>
      <c r="K1429" s="602">
        <v>0.47272727272727272</v>
      </c>
      <c r="L1429" s="981">
        <v>8</v>
      </c>
      <c r="M1429" s="1249" t="s">
        <v>321</v>
      </c>
      <c r="N1429" s="604" t="s">
        <v>227</v>
      </c>
      <c r="O1429" s="465"/>
      <c r="P1429" s="435">
        <v>19.911999999999999</v>
      </c>
      <c r="Q1429" s="435">
        <v>2</v>
      </c>
      <c r="R1429" s="401">
        <v>2</v>
      </c>
      <c r="S1429" s="466">
        <v>0.25</v>
      </c>
      <c r="U1429" s="1248">
        <f t="shared" si="30"/>
        <v>0</v>
      </c>
      <c r="V1429" s="1304">
        <f t="shared" si="31"/>
        <v>1</v>
      </c>
    </row>
    <row r="1430" spans="1:22" ht="16.5" thickTop="1" thickBot="1">
      <c r="A1430" s="1244"/>
      <c r="B1430" s="1245" t="s">
        <v>1567</v>
      </c>
      <c r="C1430" s="1328" t="s">
        <v>1954</v>
      </c>
      <c r="D1430" s="1327" t="s">
        <v>227</v>
      </c>
      <c r="E1430" s="1245" t="s">
        <v>2857</v>
      </c>
      <c r="F1430" s="457" t="s">
        <v>2858</v>
      </c>
      <c r="G1430" s="458" t="s">
        <v>156</v>
      </c>
      <c r="H1430" s="888">
        <v>3</v>
      </c>
      <c r="I1430" s="890"/>
      <c r="J1430" s="899">
        <v>14.265000000000001</v>
      </c>
      <c r="K1430" s="603">
        <v>0.19047619047619047</v>
      </c>
      <c r="L1430" s="980">
        <v>5</v>
      </c>
      <c r="M1430" s="1245" t="s">
        <v>366</v>
      </c>
      <c r="N1430" s="604" t="s">
        <v>227</v>
      </c>
      <c r="O1430" s="463">
        <v>1</v>
      </c>
      <c r="P1430" s="434"/>
      <c r="Q1430" s="434"/>
      <c r="R1430" s="400">
        <v>0</v>
      </c>
      <c r="S1430" s="464">
        <v>0</v>
      </c>
      <c r="U1430" s="1248">
        <f t="shared" si="30"/>
        <v>1</v>
      </c>
      <c r="V1430" s="1304">
        <f t="shared" si="31"/>
        <v>1</v>
      </c>
    </row>
    <row r="1431" spans="1:22" ht="16.5" thickTop="1" thickBot="1">
      <c r="A1431" s="1244"/>
      <c r="B1431" s="1249" t="s">
        <v>1567</v>
      </c>
      <c r="C1431" s="1329" t="s">
        <v>1954</v>
      </c>
      <c r="D1431" s="1326" t="s">
        <v>227</v>
      </c>
      <c r="E1431" s="1249" t="s">
        <v>3081</v>
      </c>
      <c r="F1431" s="455" t="s">
        <v>3082</v>
      </c>
      <c r="G1431" s="456" t="s">
        <v>156</v>
      </c>
      <c r="H1431" s="889">
        <v>2</v>
      </c>
      <c r="I1431" s="891">
        <v>10.362</v>
      </c>
      <c r="J1431" s="601">
        <v>24.917000000000002</v>
      </c>
      <c r="K1431" s="602">
        <v>0.33333333333333331</v>
      </c>
      <c r="L1431" s="981">
        <v>4</v>
      </c>
      <c r="M1431" s="1249" t="s">
        <v>322</v>
      </c>
      <c r="N1431" s="604" t="s">
        <v>227</v>
      </c>
      <c r="O1431" s="465"/>
      <c r="P1431" s="435"/>
      <c r="Q1431" s="435"/>
      <c r="R1431" s="401">
        <v>0</v>
      </c>
      <c r="S1431" s="466">
        <v>0</v>
      </c>
      <c r="U1431" s="1248">
        <f t="shared" si="30"/>
        <v>0</v>
      </c>
      <c r="V1431" s="1304">
        <f t="shared" si="31"/>
        <v>1</v>
      </c>
    </row>
    <row r="1432" spans="1:22" ht="16.5" thickTop="1" thickBot="1">
      <c r="A1432" s="1244"/>
      <c r="B1432" s="1245" t="s">
        <v>1567</v>
      </c>
      <c r="C1432" s="1328" t="s">
        <v>1954</v>
      </c>
      <c r="D1432" s="1327" t="s">
        <v>227</v>
      </c>
      <c r="E1432" s="1245" t="s">
        <v>3942</v>
      </c>
      <c r="F1432" s="457" t="s">
        <v>3943</v>
      </c>
      <c r="G1432" s="458" t="s">
        <v>155</v>
      </c>
      <c r="H1432" s="888"/>
      <c r="I1432" s="890"/>
      <c r="J1432" s="899"/>
      <c r="K1432" s="603">
        <v>0.5</v>
      </c>
      <c r="L1432" s="980">
        <v>2</v>
      </c>
      <c r="M1432" s="1245" t="s">
        <v>366</v>
      </c>
      <c r="N1432" s="604" t="s">
        <v>227</v>
      </c>
      <c r="O1432" s="463"/>
      <c r="P1432" s="434"/>
      <c r="Q1432" s="434"/>
      <c r="R1432" s="400">
        <v>1</v>
      </c>
      <c r="S1432" s="464">
        <v>0.5</v>
      </c>
      <c r="U1432" s="1248">
        <f t="shared" si="30"/>
        <v>1</v>
      </c>
      <c r="V1432" s="1304">
        <f t="shared" si="31"/>
        <v>0</v>
      </c>
    </row>
    <row r="1433" spans="1:22" ht="16.5" thickTop="1" thickBot="1">
      <c r="A1433" s="1244"/>
      <c r="B1433" s="1249" t="s">
        <v>1567</v>
      </c>
      <c r="C1433" s="1329" t="s">
        <v>2230</v>
      </c>
      <c r="D1433" s="1326" t="s">
        <v>227</v>
      </c>
      <c r="E1433" s="1249" t="s">
        <v>2095</v>
      </c>
      <c r="F1433" s="455" t="s">
        <v>2097</v>
      </c>
      <c r="G1433" s="456" t="s">
        <v>157</v>
      </c>
      <c r="H1433" s="889">
        <v>9</v>
      </c>
      <c r="I1433" s="891">
        <v>91.816000000000003</v>
      </c>
      <c r="J1433" s="601">
        <v>125.749</v>
      </c>
      <c r="K1433" s="602">
        <v>0.55555555555555558</v>
      </c>
      <c r="L1433" s="981">
        <v>2</v>
      </c>
      <c r="M1433" s="1249" t="s">
        <v>322</v>
      </c>
      <c r="N1433" s="604" t="s">
        <v>227</v>
      </c>
      <c r="O1433" s="465"/>
      <c r="P1433" s="435">
        <v>15.345000000000001</v>
      </c>
      <c r="Q1433" s="435">
        <v>2</v>
      </c>
      <c r="R1433" s="401">
        <v>2</v>
      </c>
      <c r="S1433" s="466">
        <v>1</v>
      </c>
      <c r="U1433" s="1248">
        <f t="shared" si="30"/>
        <v>0</v>
      </c>
      <c r="V1433" s="1304">
        <f t="shared" si="31"/>
        <v>1</v>
      </c>
    </row>
    <row r="1434" spans="1:22" ht="16.5" thickTop="1" thickBot="1">
      <c r="A1434" s="1244"/>
      <c r="B1434" s="1245" t="s">
        <v>1567</v>
      </c>
      <c r="C1434" s="1328" t="s">
        <v>2230</v>
      </c>
      <c r="D1434" s="1327" t="s">
        <v>227</v>
      </c>
      <c r="E1434" s="1245" t="s">
        <v>2098</v>
      </c>
      <c r="F1434" s="457" t="s">
        <v>2099</v>
      </c>
      <c r="G1434" s="458" t="s">
        <v>156</v>
      </c>
      <c r="H1434" s="888">
        <v>9</v>
      </c>
      <c r="I1434" s="890">
        <v>110.489</v>
      </c>
      <c r="J1434" s="899">
        <v>110.489</v>
      </c>
      <c r="K1434" s="603">
        <v>0.21621621621621623</v>
      </c>
      <c r="L1434" s="980">
        <v>2</v>
      </c>
      <c r="M1434" s="1245" t="s">
        <v>366</v>
      </c>
      <c r="N1434" s="604" t="s">
        <v>227</v>
      </c>
      <c r="O1434" s="463"/>
      <c r="P1434" s="434"/>
      <c r="Q1434" s="434"/>
      <c r="R1434" s="400">
        <v>0</v>
      </c>
      <c r="S1434" s="464">
        <v>0</v>
      </c>
      <c r="U1434" s="1248">
        <f t="shared" si="30"/>
        <v>1</v>
      </c>
      <c r="V1434" s="1304">
        <f t="shared" si="31"/>
        <v>1</v>
      </c>
    </row>
    <row r="1435" spans="1:22" ht="16.5" thickTop="1" thickBot="1">
      <c r="A1435" s="1244"/>
      <c r="B1435" s="1249" t="s">
        <v>1567</v>
      </c>
      <c r="C1435" s="1329" t="s">
        <v>2230</v>
      </c>
      <c r="D1435" s="1326" t="s">
        <v>227</v>
      </c>
      <c r="E1435" s="1249" t="s">
        <v>2184</v>
      </c>
      <c r="F1435" s="455" t="s">
        <v>2185</v>
      </c>
      <c r="G1435" s="456" t="s">
        <v>156</v>
      </c>
      <c r="H1435" s="889">
        <v>9</v>
      </c>
      <c r="I1435" s="891">
        <v>249.934</v>
      </c>
      <c r="J1435" s="601">
        <v>493.64499999999998</v>
      </c>
      <c r="K1435" s="602">
        <v>0.72463768115942029</v>
      </c>
      <c r="L1435" s="981">
        <v>9</v>
      </c>
      <c r="M1435" s="1249" t="s">
        <v>323</v>
      </c>
      <c r="N1435" s="604" t="s">
        <v>227</v>
      </c>
      <c r="O1435" s="465">
        <v>2</v>
      </c>
      <c r="P1435" s="435">
        <v>68.155000000000001</v>
      </c>
      <c r="Q1435" s="435">
        <v>8</v>
      </c>
      <c r="R1435" s="401">
        <v>8</v>
      </c>
      <c r="S1435" s="466">
        <v>1</v>
      </c>
      <c r="V1435" s="1304"/>
    </row>
    <row r="1436" spans="1:22" ht="16.5" thickTop="1" thickBot="1">
      <c r="A1436" s="1244"/>
      <c r="B1436" s="1245" t="s">
        <v>1567</v>
      </c>
      <c r="C1436" s="1328" t="s">
        <v>2230</v>
      </c>
      <c r="D1436" s="1327" t="s">
        <v>227</v>
      </c>
      <c r="E1436" s="1245" t="s">
        <v>2230</v>
      </c>
      <c r="F1436" s="457" t="s">
        <v>2232</v>
      </c>
      <c r="G1436" s="458" t="s">
        <v>739</v>
      </c>
      <c r="H1436" s="888">
        <v>8</v>
      </c>
      <c r="I1436" s="890">
        <v>251.90899999999999</v>
      </c>
      <c r="J1436" s="899">
        <v>704.327</v>
      </c>
      <c r="K1436" s="603">
        <v>0.36363636363636365</v>
      </c>
      <c r="L1436" s="980">
        <v>7</v>
      </c>
      <c r="M1436" s="1245" t="s">
        <v>323</v>
      </c>
      <c r="N1436" s="604" t="s">
        <v>227</v>
      </c>
      <c r="O1436" s="463"/>
      <c r="P1436" s="434">
        <v>-21.472000000000001</v>
      </c>
      <c r="Q1436" s="434">
        <v>0</v>
      </c>
      <c r="R1436" s="400">
        <v>1</v>
      </c>
      <c r="S1436" s="464">
        <v>0.125</v>
      </c>
      <c r="V1436" s="1304"/>
    </row>
    <row r="1437" spans="1:22" ht="16.5" thickTop="1" thickBot="1">
      <c r="A1437" s="1244"/>
      <c r="B1437" s="1249" t="s">
        <v>1567</v>
      </c>
      <c r="C1437" s="1329" t="s">
        <v>2230</v>
      </c>
      <c r="D1437" s="1326" t="s">
        <v>227</v>
      </c>
      <c r="E1437" s="1249" t="s">
        <v>2418</v>
      </c>
      <c r="F1437" s="455" t="s">
        <v>2419</v>
      </c>
      <c r="G1437" s="456" t="s">
        <v>156</v>
      </c>
      <c r="H1437" s="889">
        <v>8</v>
      </c>
      <c r="I1437" s="891">
        <v>20.050999999999998</v>
      </c>
      <c r="J1437" s="601">
        <v>246.13</v>
      </c>
      <c r="K1437" s="602">
        <v>0.41558441558441561</v>
      </c>
      <c r="L1437" s="981">
        <v>5</v>
      </c>
      <c r="M1437" s="1249" t="s">
        <v>323</v>
      </c>
      <c r="N1437" s="604" t="s">
        <v>227</v>
      </c>
      <c r="O1437" s="465"/>
      <c r="P1437" s="435">
        <v>14.33</v>
      </c>
      <c r="Q1437" s="435">
        <v>2</v>
      </c>
      <c r="R1437" s="401">
        <v>2</v>
      </c>
      <c r="S1437" s="466">
        <v>0.4</v>
      </c>
      <c r="V1437" s="1304"/>
    </row>
    <row r="1438" spans="1:22" ht="16.5" thickTop="1" thickBot="1">
      <c r="A1438" s="1244"/>
      <c r="B1438" s="1245" t="s">
        <v>1567</v>
      </c>
      <c r="C1438" s="1328" t="s">
        <v>2230</v>
      </c>
      <c r="D1438" s="1327" t="s">
        <v>227</v>
      </c>
      <c r="E1438" s="1245" t="s">
        <v>2336</v>
      </c>
      <c r="F1438" s="457" t="s">
        <v>2338</v>
      </c>
      <c r="G1438" s="458" t="s">
        <v>157</v>
      </c>
      <c r="H1438" s="888">
        <v>7</v>
      </c>
      <c r="I1438" s="890">
        <v>201.9</v>
      </c>
      <c r="J1438" s="899">
        <v>1164.0530000000001</v>
      </c>
      <c r="K1438" s="603">
        <v>0.8</v>
      </c>
      <c r="L1438" s="980">
        <v>2</v>
      </c>
      <c r="M1438" s="1245" t="s">
        <v>323</v>
      </c>
      <c r="N1438" s="604" t="s">
        <v>227</v>
      </c>
      <c r="O1438" s="463"/>
      <c r="P1438" s="434">
        <v>14.37</v>
      </c>
      <c r="Q1438" s="434">
        <v>2</v>
      </c>
      <c r="R1438" s="400">
        <v>2</v>
      </c>
      <c r="S1438" s="464">
        <v>1</v>
      </c>
      <c r="V1438" s="1304"/>
    </row>
    <row r="1439" spans="1:22" ht="16.5" thickTop="1" thickBot="1">
      <c r="A1439" s="1244"/>
      <c r="B1439" s="1249" t="s">
        <v>1567</v>
      </c>
      <c r="C1439" s="1329" t="s">
        <v>2230</v>
      </c>
      <c r="D1439" s="1326" t="s">
        <v>227</v>
      </c>
      <c r="E1439" s="1249" t="s">
        <v>2420</v>
      </c>
      <c r="F1439" s="455" t="s">
        <v>2421</v>
      </c>
      <c r="G1439" s="456" t="s">
        <v>156</v>
      </c>
      <c r="H1439" s="889">
        <v>7</v>
      </c>
      <c r="I1439" s="891">
        <v>139.47300000000001</v>
      </c>
      <c r="J1439" s="601">
        <v>535.46199999999999</v>
      </c>
      <c r="K1439" s="602">
        <v>0.6216216216216216</v>
      </c>
      <c r="L1439" s="981">
        <v>8</v>
      </c>
      <c r="M1439" s="1249" t="s">
        <v>323</v>
      </c>
      <c r="N1439" s="604" t="s">
        <v>227</v>
      </c>
      <c r="O1439" s="465"/>
      <c r="P1439" s="435">
        <v>133.59</v>
      </c>
      <c r="Q1439" s="435">
        <v>13</v>
      </c>
      <c r="R1439" s="401">
        <v>7</v>
      </c>
      <c r="S1439" s="466">
        <v>0.875</v>
      </c>
      <c r="V1439" s="1304"/>
    </row>
    <row r="1440" spans="1:22" ht="16.5" thickTop="1" thickBot="1">
      <c r="A1440" s="1244"/>
      <c r="B1440" s="1245" t="s">
        <v>1567</v>
      </c>
      <c r="C1440" s="1328" t="s">
        <v>2230</v>
      </c>
      <c r="D1440" s="1327" t="s">
        <v>227</v>
      </c>
      <c r="E1440" s="1245" t="s">
        <v>2463</v>
      </c>
      <c r="F1440" s="457" t="s">
        <v>2465</v>
      </c>
      <c r="G1440" s="458" t="s">
        <v>157</v>
      </c>
      <c r="H1440" s="888">
        <v>6</v>
      </c>
      <c r="I1440" s="890">
        <v>33.517000000000003</v>
      </c>
      <c r="J1440" s="899">
        <v>53.375999999999998</v>
      </c>
      <c r="K1440" s="603">
        <v>0.3</v>
      </c>
      <c r="L1440" s="980">
        <v>4</v>
      </c>
      <c r="M1440" s="1245" t="s">
        <v>366</v>
      </c>
      <c r="N1440" s="604" t="s">
        <v>227</v>
      </c>
      <c r="O1440" s="463">
        <v>1</v>
      </c>
      <c r="P1440" s="434"/>
      <c r="Q1440" s="434"/>
      <c r="R1440" s="400">
        <v>0</v>
      </c>
      <c r="S1440" s="464">
        <v>0</v>
      </c>
      <c r="V1440" s="1304"/>
    </row>
    <row r="1441" spans="1:22" ht="16.5" thickTop="1" thickBot="1">
      <c r="A1441" s="1244"/>
      <c r="B1441" s="1249" t="s">
        <v>1567</v>
      </c>
      <c r="C1441" s="1329" t="s">
        <v>2230</v>
      </c>
      <c r="D1441" s="1326" t="s">
        <v>227</v>
      </c>
      <c r="E1441" s="1249" t="s">
        <v>2630</v>
      </c>
      <c r="F1441" s="455" t="s">
        <v>2631</v>
      </c>
      <c r="G1441" s="456" t="s">
        <v>155</v>
      </c>
      <c r="H1441" s="889"/>
      <c r="I1441" s="891"/>
      <c r="J1441" s="601">
        <v>7.5359999999999996</v>
      </c>
      <c r="K1441" s="602">
        <v>8.3333333333333329E-2</v>
      </c>
      <c r="L1441" s="981">
        <v>2</v>
      </c>
      <c r="M1441" s="1249" t="s">
        <v>366</v>
      </c>
      <c r="N1441" s="604" t="s">
        <v>227</v>
      </c>
      <c r="O1441" s="465"/>
      <c r="P1441" s="435"/>
      <c r="Q1441" s="435"/>
      <c r="R1441" s="401">
        <v>0</v>
      </c>
      <c r="S1441" s="466">
        <v>0</v>
      </c>
      <c r="V1441" s="1304"/>
    </row>
    <row r="1442" spans="1:22" ht="16.5" thickTop="1" thickBot="1">
      <c r="A1442" s="1244"/>
      <c r="B1442" s="1245" t="s">
        <v>1567</v>
      </c>
      <c r="C1442" s="1328" t="s">
        <v>2230</v>
      </c>
      <c r="D1442" s="1327" t="s">
        <v>227</v>
      </c>
      <c r="E1442" s="1245" t="s">
        <v>2859</v>
      </c>
      <c r="F1442" s="457" t="s">
        <v>2860</v>
      </c>
      <c r="G1442" s="458" t="s">
        <v>156</v>
      </c>
      <c r="H1442" s="888">
        <v>4</v>
      </c>
      <c r="I1442" s="890">
        <v>10.092000000000001</v>
      </c>
      <c r="J1442" s="899">
        <v>10.092000000000001</v>
      </c>
      <c r="K1442" s="603">
        <v>0.25</v>
      </c>
      <c r="L1442" s="980">
        <v>2</v>
      </c>
      <c r="M1442" s="1245" t="s">
        <v>366</v>
      </c>
      <c r="N1442" s="604" t="s">
        <v>227</v>
      </c>
      <c r="O1442" s="463">
        <v>1</v>
      </c>
      <c r="P1442" s="434"/>
      <c r="Q1442" s="434"/>
      <c r="R1442" s="400">
        <v>0</v>
      </c>
      <c r="S1442" s="464">
        <v>0</v>
      </c>
      <c r="V1442" s="1304"/>
    </row>
    <row r="1443" spans="1:22" ht="16.5" thickTop="1" thickBot="1">
      <c r="A1443" s="1244"/>
      <c r="B1443" s="1249" t="s">
        <v>1567</v>
      </c>
      <c r="C1443" s="1329" t="s">
        <v>2230</v>
      </c>
      <c r="D1443" s="1326" t="s">
        <v>227</v>
      </c>
      <c r="E1443" s="1249" t="s">
        <v>2861</v>
      </c>
      <c r="F1443" s="455" t="s">
        <v>2862</v>
      </c>
      <c r="G1443" s="456" t="s">
        <v>156</v>
      </c>
      <c r="H1443" s="889">
        <v>4</v>
      </c>
      <c r="I1443" s="891">
        <v>45.795000000000002</v>
      </c>
      <c r="J1443" s="601">
        <v>106.438</v>
      </c>
      <c r="K1443" s="602">
        <v>0.4</v>
      </c>
      <c r="L1443" s="981">
        <v>3</v>
      </c>
      <c r="M1443" s="1249" t="s">
        <v>323</v>
      </c>
      <c r="N1443" s="604" t="s">
        <v>227</v>
      </c>
      <c r="O1443" s="465"/>
      <c r="P1443" s="435"/>
      <c r="Q1443" s="435"/>
      <c r="R1443" s="401">
        <v>0</v>
      </c>
      <c r="S1443" s="466">
        <v>0</v>
      </c>
      <c r="V1443" s="1304"/>
    </row>
    <row r="1444" spans="1:22" ht="16.5" thickTop="1" thickBot="1">
      <c r="A1444" s="1244"/>
      <c r="B1444" s="1245" t="s">
        <v>1567</v>
      </c>
      <c r="C1444" s="1328" t="s">
        <v>2230</v>
      </c>
      <c r="D1444" s="1327" t="s">
        <v>227</v>
      </c>
      <c r="E1444" s="1245" t="s">
        <v>3083</v>
      </c>
      <c r="F1444" s="457" t="s">
        <v>3084</v>
      </c>
      <c r="G1444" s="458" t="s">
        <v>155</v>
      </c>
      <c r="H1444" s="888"/>
      <c r="I1444" s="890"/>
      <c r="J1444" s="899">
        <v>32.716000000000001</v>
      </c>
      <c r="K1444" s="603">
        <v>0.66666666666666663</v>
      </c>
      <c r="L1444" s="980">
        <v>2</v>
      </c>
      <c r="M1444" s="1245" t="s">
        <v>366</v>
      </c>
      <c r="N1444" s="604" t="s">
        <v>227</v>
      </c>
      <c r="O1444" s="463"/>
      <c r="P1444" s="434">
        <v>15.404</v>
      </c>
      <c r="Q1444" s="434">
        <v>2</v>
      </c>
      <c r="R1444" s="400">
        <v>2</v>
      </c>
      <c r="S1444" s="464">
        <v>1</v>
      </c>
      <c r="V1444" s="1304"/>
    </row>
    <row r="1445" spans="1:22" ht="16.5" thickTop="1" thickBot="1">
      <c r="A1445" s="1244"/>
      <c r="B1445" s="1249" t="s">
        <v>1567</v>
      </c>
      <c r="C1445" s="1329" t="s">
        <v>2230</v>
      </c>
      <c r="D1445" s="1326" t="s">
        <v>227</v>
      </c>
      <c r="E1445" s="1249" t="s">
        <v>3085</v>
      </c>
      <c r="F1445" s="455" t="s">
        <v>3086</v>
      </c>
      <c r="G1445" s="456" t="s">
        <v>155</v>
      </c>
      <c r="H1445" s="889"/>
      <c r="I1445" s="891"/>
      <c r="J1445" s="601">
        <v>23.399000000000001</v>
      </c>
      <c r="K1445" s="602">
        <v>0.18181818181818182</v>
      </c>
      <c r="L1445" s="981">
        <v>4</v>
      </c>
      <c r="M1445" s="1249" t="s">
        <v>366</v>
      </c>
      <c r="N1445" s="604" t="s">
        <v>227</v>
      </c>
      <c r="O1445" s="465"/>
      <c r="P1445" s="435"/>
      <c r="Q1445" s="435"/>
      <c r="R1445" s="401">
        <v>0</v>
      </c>
      <c r="S1445" s="466">
        <v>0</v>
      </c>
      <c r="V1445" s="1304"/>
    </row>
    <row r="1446" spans="1:22" ht="16.5" thickTop="1" thickBot="1">
      <c r="A1446" s="1244"/>
      <c r="B1446" s="1245" t="s">
        <v>1567</v>
      </c>
      <c r="C1446" s="1328" t="s">
        <v>2230</v>
      </c>
      <c r="D1446" s="1327" t="s">
        <v>227</v>
      </c>
      <c r="E1446" s="1245" t="s">
        <v>3399</v>
      </c>
      <c r="F1446" s="457" t="s">
        <v>3400</v>
      </c>
      <c r="G1446" s="458" t="s">
        <v>155</v>
      </c>
      <c r="H1446" s="888"/>
      <c r="I1446" s="890"/>
      <c r="J1446" s="899">
        <v>50.625999999999998</v>
      </c>
      <c r="K1446" s="603">
        <v>1</v>
      </c>
      <c r="L1446" s="980">
        <v>2</v>
      </c>
      <c r="M1446" s="1245" t="s">
        <v>366</v>
      </c>
      <c r="N1446" s="604" t="s">
        <v>227</v>
      </c>
      <c r="O1446" s="463"/>
      <c r="P1446" s="434">
        <v>17.196000000000002</v>
      </c>
      <c r="Q1446" s="434">
        <v>2</v>
      </c>
      <c r="R1446" s="400">
        <v>2</v>
      </c>
      <c r="S1446" s="464">
        <v>1</v>
      </c>
      <c r="V1446" s="1304"/>
    </row>
    <row r="1447" spans="1:22" ht="16.5" thickTop="1" thickBot="1">
      <c r="A1447" s="1244"/>
      <c r="B1447" s="1249" t="s">
        <v>1567</v>
      </c>
      <c r="C1447" s="1329" t="s">
        <v>2230</v>
      </c>
      <c r="D1447" s="1326" t="s">
        <v>227</v>
      </c>
      <c r="E1447" s="1249" t="s">
        <v>3401</v>
      </c>
      <c r="F1447" s="455" t="s">
        <v>3402</v>
      </c>
      <c r="G1447" s="456" t="s">
        <v>156</v>
      </c>
      <c r="H1447" s="889">
        <v>1</v>
      </c>
      <c r="I1447" s="891">
        <v>10.044</v>
      </c>
      <c r="J1447" s="601">
        <v>17.129000000000001</v>
      </c>
      <c r="K1447" s="602">
        <v>0.44444444444444442</v>
      </c>
      <c r="L1447" s="981">
        <v>3</v>
      </c>
      <c r="M1447" s="1249" t="s">
        <v>321</v>
      </c>
      <c r="N1447" s="604" t="s">
        <v>227</v>
      </c>
      <c r="O1447" s="465"/>
      <c r="P1447" s="435">
        <v>17.129000000000001</v>
      </c>
      <c r="Q1447" s="435">
        <v>2</v>
      </c>
      <c r="R1447" s="401">
        <v>2</v>
      </c>
      <c r="S1447" s="466">
        <v>0.66666666666666663</v>
      </c>
      <c r="V1447" s="1304"/>
    </row>
    <row r="1448" spans="1:22" ht="16.5" thickTop="1" thickBot="1">
      <c r="A1448" s="1244"/>
      <c r="B1448" s="1245" t="s">
        <v>3522</v>
      </c>
      <c r="C1448" s="1328" t="s">
        <v>3619</v>
      </c>
      <c r="D1448" s="1327" t="s">
        <v>227</v>
      </c>
      <c r="E1448" s="1245" t="s">
        <v>3619</v>
      </c>
      <c r="F1448" s="457" t="s">
        <v>3621</v>
      </c>
      <c r="G1448" s="458" t="s">
        <v>739</v>
      </c>
      <c r="H1448" s="888">
        <v>0</v>
      </c>
      <c r="I1448" s="890"/>
      <c r="J1448" s="899"/>
      <c r="K1448" s="603">
        <v>0</v>
      </c>
      <c r="L1448" s="980">
        <v>2</v>
      </c>
      <c r="M1448" s="1245" t="s">
        <v>227</v>
      </c>
      <c r="N1448" s="604" t="s">
        <v>227</v>
      </c>
      <c r="O1448" s="463">
        <v>2</v>
      </c>
      <c r="P1448" s="434"/>
      <c r="Q1448" s="434"/>
      <c r="R1448" s="400">
        <v>0</v>
      </c>
      <c r="S1448" s="464">
        <v>0</v>
      </c>
      <c r="V1448" s="1304"/>
    </row>
    <row r="1449" spans="1:22" ht="16.5" thickTop="1" thickBot="1">
      <c r="A1449" s="1244"/>
      <c r="B1449" s="1249" t="s">
        <v>3522</v>
      </c>
      <c r="C1449" s="1329" t="s">
        <v>3619</v>
      </c>
      <c r="D1449" s="1326" t="s">
        <v>227</v>
      </c>
      <c r="E1449" s="1249" t="s">
        <v>3699</v>
      </c>
      <c r="F1449" s="455" t="s">
        <v>3701</v>
      </c>
      <c r="G1449" s="456" t="s">
        <v>157</v>
      </c>
      <c r="H1449" s="889">
        <v>0</v>
      </c>
      <c r="I1449" s="891">
        <v>11.15</v>
      </c>
      <c r="J1449" s="601">
        <v>11.15</v>
      </c>
      <c r="K1449" s="602">
        <v>2</v>
      </c>
      <c r="L1449" s="981">
        <v>1</v>
      </c>
      <c r="M1449" s="1249" t="s">
        <v>227</v>
      </c>
      <c r="N1449" s="604" t="s">
        <v>227</v>
      </c>
      <c r="O1449" s="465">
        <v>1</v>
      </c>
      <c r="P1449" s="435">
        <v>11.15</v>
      </c>
      <c r="Q1449" s="435">
        <v>1</v>
      </c>
      <c r="R1449" s="401">
        <v>1</v>
      </c>
      <c r="S1449" s="466">
        <v>2</v>
      </c>
      <c r="V1449" s="1304"/>
    </row>
    <row r="1450" spans="1:22" ht="16.5" thickTop="1" thickBot="1">
      <c r="A1450" s="1244"/>
      <c r="B1450" s="1245" t="s">
        <v>3522</v>
      </c>
      <c r="C1450" s="1328" t="s">
        <v>3619</v>
      </c>
      <c r="D1450" s="1327" t="s">
        <v>227</v>
      </c>
      <c r="E1450" s="1245" t="s">
        <v>3944</v>
      </c>
      <c r="F1450" s="457" t="s">
        <v>3945</v>
      </c>
      <c r="G1450" s="458" t="s">
        <v>156</v>
      </c>
      <c r="H1450" s="888">
        <v>0</v>
      </c>
      <c r="I1450" s="890">
        <v>20.946000000000002</v>
      </c>
      <c r="J1450" s="899">
        <v>20.946000000000002</v>
      </c>
      <c r="K1450" s="603">
        <v>2</v>
      </c>
      <c r="L1450" s="980">
        <v>1</v>
      </c>
      <c r="M1450" s="1245" t="s">
        <v>227</v>
      </c>
      <c r="N1450" s="604" t="s">
        <v>227</v>
      </c>
      <c r="O1450" s="463">
        <v>1</v>
      </c>
      <c r="P1450" s="434">
        <v>20.946000000000002</v>
      </c>
      <c r="Q1450" s="434">
        <v>2</v>
      </c>
      <c r="R1450" s="400">
        <v>1</v>
      </c>
      <c r="S1450" s="464">
        <v>2</v>
      </c>
      <c r="V1450" s="1304"/>
    </row>
    <row r="1451" spans="1:22" ht="16.5" thickTop="1" thickBot="1">
      <c r="A1451" s="1244"/>
      <c r="B1451" s="1249" t="s">
        <v>3522</v>
      </c>
      <c r="C1451" s="1329" t="s">
        <v>3619</v>
      </c>
      <c r="D1451" s="1326" t="s">
        <v>227</v>
      </c>
      <c r="E1451" s="1249" t="s">
        <v>3702</v>
      </c>
      <c r="F1451" s="455" t="s">
        <v>1668</v>
      </c>
      <c r="G1451" s="456" t="s">
        <v>157</v>
      </c>
      <c r="H1451" s="889">
        <v>0</v>
      </c>
      <c r="I1451" s="891"/>
      <c r="J1451" s="601"/>
      <c r="K1451" s="602">
        <v>0</v>
      </c>
      <c r="L1451" s="981">
        <v>2</v>
      </c>
      <c r="M1451" s="1249" t="s">
        <v>227</v>
      </c>
      <c r="N1451" s="604" t="s">
        <v>227</v>
      </c>
      <c r="O1451" s="465">
        <v>2</v>
      </c>
      <c r="P1451" s="435"/>
      <c r="Q1451" s="435"/>
      <c r="R1451" s="401">
        <v>0</v>
      </c>
      <c r="S1451" s="466">
        <v>0</v>
      </c>
      <c r="V1451" s="1304"/>
    </row>
    <row r="1452" spans="1:22" ht="16.5" thickTop="1" thickBot="1">
      <c r="A1452" s="1244"/>
      <c r="B1452" s="1245" t="s">
        <v>3522</v>
      </c>
      <c r="C1452" s="1328" t="s">
        <v>3622</v>
      </c>
      <c r="D1452" s="1327" t="s">
        <v>227</v>
      </c>
      <c r="E1452" s="1245" t="s">
        <v>3622</v>
      </c>
      <c r="F1452" s="457" t="s">
        <v>3624</v>
      </c>
      <c r="G1452" s="458" t="s">
        <v>739</v>
      </c>
      <c r="H1452" s="888">
        <v>0</v>
      </c>
      <c r="I1452" s="890">
        <v>10.019</v>
      </c>
      <c r="J1452" s="899">
        <v>10.019</v>
      </c>
      <c r="K1452" s="603">
        <v>2</v>
      </c>
      <c r="L1452" s="980">
        <v>1</v>
      </c>
      <c r="M1452" s="1245" t="s">
        <v>227</v>
      </c>
      <c r="N1452" s="604" t="s">
        <v>227</v>
      </c>
      <c r="O1452" s="463">
        <v>1</v>
      </c>
      <c r="P1452" s="434">
        <v>10.019</v>
      </c>
      <c r="Q1452" s="434">
        <v>1</v>
      </c>
      <c r="R1452" s="400">
        <v>1</v>
      </c>
      <c r="S1452" s="464">
        <v>2</v>
      </c>
      <c r="V1452" s="1304"/>
    </row>
    <row r="1453" spans="1:22" ht="16.5" thickTop="1" thickBot="1">
      <c r="A1453" s="1244"/>
      <c r="B1453" s="1249" t="s">
        <v>3522</v>
      </c>
      <c r="C1453" s="1329" t="s">
        <v>3622</v>
      </c>
      <c r="D1453" s="1326" t="s">
        <v>227</v>
      </c>
      <c r="E1453" s="1249" t="s">
        <v>3946</v>
      </c>
      <c r="F1453" s="455" t="s">
        <v>3947</v>
      </c>
      <c r="G1453" s="456" t="s">
        <v>156</v>
      </c>
      <c r="H1453" s="889">
        <v>0</v>
      </c>
      <c r="I1453" s="891">
        <v>10.138</v>
      </c>
      <c r="J1453" s="601">
        <v>10.138</v>
      </c>
      <c r="K1453" s="602">
        <v>2</v>
      </c>
      <c r="L1453" s="981">
        <v>1</v>
      </c>
      <c r="M1453" s="1249" t="s">
        <v>227</v>
      </c>
      <c r="N1453" s="604" t="s">
        <v>227</v>
      </c>
      <c r="O1453" s="465">
        <v>1</v>
      </c>
      <c r="P1453" s="435">
        <v>10.138</v>
      </c>
      <c r="Q1453" s="435">
        <v>1</v>
      </c>
      <c r="R1453" s="401">
        <v>1</v>
      </c>
      <c r="S1453" s="466">
        <v>2</v>
      </c>
      <c r="V1453" s="1304"/>
    </row>
    <row r="1454" spans="1:22" ht="16.5" thickTop="1" thickBot="1">
      <c r="A1454" s="1244"/>
      <c r="B1454" s="1245" t="s">
        <v>3522</v>
      </c>
      <c r="C1454" s="1328" t="s">
        <v>3625</v>
      </c>
      <c r="D1454" s="1327" t="s">
        <v>227</v>
      </c>
      <c r="E1454" s="1245" t="s">
        <v>3625</v>
      </c>
      <c r="F1454" s="457" t="s">
        <v>3627</v>
      </c>
      <c r="G1454" s="458" t="s">
        <v>158</v>
      </c>
      <c r="H1454" s="888">
        <v>0</v>
      </c>
      <c r="I1454" s="890">
        <v>10.010999999999999</v>
      </c>
      <c r="J1454" s="899">
        <v>10.010999999999999</v>
      </c>
      <c r="K1454" s="603">
        <v>2</v>
      </c>
      <c r="L1454" s="980">
        <v>1</v>
      </c>
      <c r="M1454" s="1245" t="s">
        <v>227</v>
      </c>
      <c r="N1454" s="604" t="s">
        <v>227</v>
      </c>
      <c r="O1454" s="463">
        <v>1</v>
      </c>
      <c r="P1454" s="434">
        <v>10.010999999999999</v>
      </c>
      <c r="Q1454" s="434">
        <v>1</v>
      </c>
      <c r="R1454" s="400">
        <v>1</v>
      </c>
      <c r="S1454" s="464">
        <v>2</v>
      </c>
      <c r="V1454" s="1304"/>
    </row>
    <row r="1455" spans="1:22" ht="16.5" thickTop="1" thickBot="1">
      <c r="A1455" s="1244"/>
      <c r="B1455" s="1249" t="s">
        <v>177</v>
      </c>
      <c r="C1455" s="1329" t="s">
        <v>701</v>
      </c>
      <c r="D1455" s="1326" t="s">
        <v>227</v>
      </c>
      <c r="E1455" s="1249" t="s">
        <v>701</v>
      </c>
      <c r="F1455" s="455" t="s">
        <v>712</v>
      </c>
      <c r="G1455" s="456" t="s">
        <v>739</v>
      </c>
      <c r="H1455" s="889">
        <v>25</v>
      </c>
      <c r="I1455" s="891">
        <v>149.34</v>
      </c>
      <c r="J1455" s="601">
        <v>184.57900000000001</v>
      </c>
      <c r="K1455" s="602">
        <v>0.375</v>
      </c>
      <c r="L1455" s="981">
        <v>3</v>
      </c>
      <c r="M1455" s="1249" t="s">
        <v>366</v>
      </c>
      <c r="N1455" s="604" t="s">
        <v>227</v>
      </c>
      <c r="O1455" s="465"/>
      <c r="P1455" s="435">
        <v>35.238999999999997</v>
      </c>
      <c r="Q1455" s="435">
        <v>2</v>
      </c>
      <c r="R1455" s="401">
        <v>2</v>
      </c>
      <c r="S1455" s="466">
        <v>0.66666666666666663</v>
      </c>
      <c r="V1455" s="1304"/>
    </row>
    <row r="1456" spans="1:22" ht="16.5" thickTop="1" thickBot="1">
      <c r="A1456" s="1244"/>
      <c r="B1456" s="1245" t="s">
        <v>177</v>
      </c>
      <c r="C1456" s="1328" t="s">
        <v>701</v>
      </c>
      <c r="D1456" s="1327" t="s">
        <v>227</v>
      </c>
      <c r="E1456" s="1245" t="s">
        <v>702</v>
      </c>
      <c r="F1456" s="457" t="s">
        <v>713</v>
      </c>
      <c r="G1456" s="458" t="s">
        <v>156</v>
      </c>
      <c r="H1456" s="888">
        <v>25</v>
      </c>
      <c r="I1456" s="890">
        <v>621.70799999999997</v>
      </c>
      <c r="J1456" s="899">
        <v>709.06600000000003</v>
      </c>
      <c r="K1456" s="603">
        <v>0.4</v>
      </c>
      <c r="L1456" s="980">
        <v>2</v>
      </c>
      <c r="M1456" s="1245" t="s">
        <v>323</v>
      </c>
      <c r="N1456" s="604" t="s">
        <v>227</v>
      </c>
      <c r="O1456" s="463"/>
      <c r="P1456" s="434">
        <v>0</v>
      </c>
      <c r="Q1456" s="434"/>
      <c r="R1456" s="400">
        <v>0</v>
      </c>
      <c r="S1456" s="464">
        <v>0</v>
      </c>
      <c r="V1456" s="1304"/>
    </row>
    <row r="1457" spans="1:22" ht="16.5" thickTop="1" thickBot="1">
      <c r="A1457" s="1244"/>
      <c r="B1457" s="1249" t="s">
        <v>177</v>
      </c>
      <c r="C1457" s="1329" t="s">
        <v>701</v>
      </c>
      <c r="D1457" s="1326" t="s">
        <v>227</v>
      </c>
      <c r="E1457" s="1249" t="s">
        <v>788</v>
      </c>
      <c r="F1457" s="455" t="s">
        <v>789</v>
      </c>
      <c r="G1457" s="456" t="s">
        <v>156</v>
      </c>
      <c r="H1457" s="889">
        <v>24</v>
      </c>
      <c r="I1457" s="891">
        <v>13.711</v>
      </c>
      <c r="J1457" s="601">
        <v>17.013000000000002</v>
      </c>
      <c r="K1457" s="602">
        <v>7.407407407407407E-2</v>
      </c>
      <c r="L1457" s="981">
        <v>1</v>
      </c>
      <c r="M1457" s="1249" t="s">
        <v>366</v>
      </c>
      <c r="N1457" s="604" t="s">
        <v>227</v>
      </c>
      <c r="O1457" s="465"/>
      <c r="P1457" s="435">
        <v>0</v>
      </c>
      <c r="Q1457" s="435"/>
      <c r="R1457" s="401">
        <v>0</v>
      </c>
      <c r="S1457" s="466">
        <v>0</v>
      </c>
      <c r="V1457" s="1304"/>
    </row>
    <row r="1458" spans="1:22" ht="16.5" thickTop="1" thickBot="1">
      <c r="A1458" s="1244"/>
      <c r="B1458" s="1245" t="s">
        <v>177</v>
      </c>
      <c r="C1458" s="1328" t="s">
        <v>701</v>
      </c>
      <c r="D1458" s="1327" t="s">
        <v>227</v>
      </c>
      <c r="E1458" s="1245" t="s">
        <v>929</v>
      </c>
      <c r="F1458" s="457" t="s">
        <v>931</v>
      </c>
      <c r="G1458" s="458" t="s">
        <v>157</v>
      </c>
      <c r="H1458" s="888">
        <v>21</v>
      </c>
      <c r="I1458" s="890">
        <v>245.93899999999999</v>
      </c>
      <c r="J1458" s="899">
        <v>367.09</v>
      </c>
      <c r="K1458" s="603">
        <v>0.46376811594202899</v>
      </c>
      <c r="L1458" s="980">
        <v>6</v>
      </c>
      <c r="M1458" s="1245" t="s">
        <v>321</v>
      </c>
      <c r="N1458" s="604" t="s">
        <v>227</v>
      </c>
      <c r="O1458" s="463">
        <v>1</v>
      </c>
      <c r="P1458" s="434">
        <v>22.959</v>
      </c>
      <c r="Q1458" s="434">
        <v>2</v>
      </c>
      <c r="R1458" s="400">
        <v>2</v>
      </c>
      <c r="S1458" s="464">
        <v>0.36363636363636365</v>
      </c>
      <c r="V1458" s="1304"/>
    </row>
    <row r="1459" spans="1:22" ht="16.5" thickTop="1" thickBot="1">
      <c r="A1459" s="1244"/>
      <c r="B1459" s="1249" t="s">
        <v>177</v>
      </c>
      <c r="C1459" s="1329" t="s">
        <v>701</v>
      </c>
      <c r="D1459" s="1326" t="s">
        <v>227</v>
      </c>
      <c r="E1459" s="1249" t="s">
        <v>942</v>
      </c>
      <c r="F1459" s="455" t="s">
        <v>943</v>
      </c>
      <c r="G1459" s="456" t="s">
        <v>155</v>
      </c>
      <c r="H1459" s="889"/>
      <c r="I1459" s="891"/>
      <c r="J1459" s="601">
        <v>17.286999999999999</v>
      </c>
      <c r="K1459" s="602">
        <v>0.18181818181818182</v>
      </c>
      <c r="L1459" s="981"/>
      <c r="M1459" s="1249" t="s">
        <v>366</v>
      </c>
      <c r="N1459" s="604" t="s">
        <v>227</v>
      </c>
      <c r="O1459" s="465"/>
      <c r="P1459" s="435"/>
      <c r="Q1459" s="435"/>
      <c r="R1459" s="401">
        <v>0</v>
      </c>
      <c r="S1459" s="466">
        <v>0</v>
      </c>
      <c r="V1459" s="1304"/>
    </row>
    <row r="1460" spans="1:22" ht="16.5" thickTop="1" thickBot="1">
      <c r="A1460" s="1244"/>
      <c r="B1460" s="1245" t="s">
        <v>177</v>
      </c>
      <c r="C1460" s="1328" t="s">
        <v>701</v>
      </c>
      <c r="D1460" s="1327" t="s">
        <v>227</v>
      </c>
      <c r="E1460" s="1245" t="s">
        <v>1753</v>
      </c>
      <c r="F1460" s="457" t="s">
        <v>1754</v>
      </c>
      <c r="G1460" s="458" t="s">
        <v>156</v>
      </c>
      <c r="H1460" s="888">
        <v>13</v>
      </c>
      <c r="I1460" s="890">
        <v>150.00299999999999</v>
      </c>
      <c r="J1460" s="899">
        <v>680.13</v>
      </c>
      <c r="K1460" s="603">
        <v>0.46511627906976744</v>
      </c>
      <c r="L1460" s="980">
        <v>9</v>
      </c>
      <c r="M1460" s="1245" t="s">
        <v>323</v>
      </c>
      <c r="N1460" s="604" t="s">
        <v>227</v>
      </c>
      <c r="O1460" s="463">
        <v>3</v>
      </c>
      <c r="P1460" s="434">
        <v>84.587000000000003</v>
      </c>
      <c r="Q1460" s="434">
        <v>5</v>
      </c>
      <c r="R1460" s="400">
        <v>4</v>
      </c>
      <c r="S1460" s="464">
        <v>0.5</v>
      </c>
      <c r="V1460" s="1304"/>
    </row>
    <row r="1461" spans="1:22" ht="16.5" thickTop="1" thickBot="1">
      <c r="A1461" s="1244"/>
      <c r="B1461" s="1249" t="s">
        <v>177</v>
      </c>
      <c r="C1461" s="1329" t="s">
        <v>701</v>
      </c>
      <c r="D1461" s="1326" t="s">
        <v>227</v>
      </c>
      <c r="E1461" s="1249" t="s">
        <v>1755</v>
      </c>
      <c r="F1461" s="455" t="s">
        <v>1756</v>
      </c>
      <c r="G1461" s="456" t="s">
        <v>156</v>
      </c>
      <c r="H1461" s="889">
        <v>12</v>
      </c>
      <c r="I1461" s="891">
        <v>89.010999999999996</v>
      </c>
      <c r="J1461" s="601">
        <v>132.834</v>
      </c>
      <c r="K1461" s="602">
        <v>0.3902439024390244</v>
      </c>
      <c r="L1461" s="981">
        <v>2</v>
      </c>
      <c r="M1461" s="1249" t="s">
        <v>366</v>
      </c>
      <c r="N1461" s="604" t="s">
        <v>227</v>
      </c>
      <c r="O1461" s="465"/>
      <c r="P1461" s="435"/>
      <c r="Q1461" s="435"/>
      <c r="R1461" s="401">
        <v>0</v>
      </c>
      <c r="S1461" s="466">
        <v>0</v>
      </c>
      <c r="V1461" s="1304"/>
    </row>
    <row r="1462" spans="1:22" ht="16.5" thickTop="1" thickBot="1">
      <c r="A1462" s="1244"/>
      <c r="B1462" s="1245" t="s">
        <v>177</v>
      </c>
      <c r="C1462" s="1328" t="s">
        <v>701</v>
      </c>
      <c r="D1462" s="1327" t="s">
        <v>227</v>
      </c>
      <c r="E1462" s="1245" t="s">
        <v>3087</v>
      </c>
      <c r="F1462" s="457" t="s">
        <v>3088</v>
      </c>
      <c r="G1462" s="458" t="s">
        <v>155</v>
      </c>
      <c r="H1462" s="888"/>
      <c r="I1462" s="890"/>
      <c r="J1462" s="899"/>
      <c r="K1462" s="603">
        <v>0</v>
      </c>
      <c r="L1462" s="980"/>
      <c r="M1462" s="1245" t="s">
        <v>366</v>
      </c>
      <c r="N1462" s="604" t="s">
        <v>227</v>
      </c>
      <c r="O1462" s="463"/>
      <c r="P1462" s="434"/>
      <c r="Q1462" s="434"/>
      <c r="R1462" s="400">
        <v>0</v>
      </c>
      <c r="S1462" s="464">
        <v>0</v>
      </c>
      <c r="V1462" s="1304"/>
    </row>
    <row r="1463" spans="1:22" ht="16.5" thickTop="1" thickBot="1">
      <c r="A1463" s="1244"/>
      <c r="B1463" s="1249" t="s">
        <v>177</v>
      </c>
      <c r="C1463" s="1329" t="s">
        <v>869</v>
      </c>
      <c r="D1463" s="1326" t="s">
        <v>227</v>
      </c>
      <c r="E1463" s="1249" t="s">
        <v>869</v>
      </c>
      <c r="F1463" s="455" t="s">
        <v>812</v>
      </c>
      <c r="G1463" s="456" t="s">
        <v>739</v>
      </c>
      <c r="H1463" s="889">
        <v>22</v>
      </c>
      <c r="I1463" s="891">
        <v>663.91800000000001</v>
      </c>
      <c r="J1463" s="601">
        <v>835.22900000000004</v>
      </c>
      <c r="K1463" s="602">
        <v>0.2857142857142857</v>
      </c>
      <c r="L1463" s="981">
        <v>4</v>
      </c>
      <c r="M1463" s="1249" t="s">
        <v>323</v>
      </c>
      <c r="N1463" s="604" t="s">
        <v>227</v>
      </c>
      <c r="O1463" s="465">
        <v>1</v>
      </c>
      <c r="P1463" s="435">
        <v>0</v>
      </c>
      <c r="Q1463" s="435"/>
      <c r="R1463" s="401">
        <v>0</v>
      </c>
      <c r="S1463" s="466">
        <v>0</v>
      </c>
      <c r="V1463" s="1304"/>
    </row>
    <row r="1464" spans="1:22" ht="16.5" thickTop="1" thickBot="1">
      <c r="A1464" s="1244"/>
      <c r="B1464" s="1245" t="s">
        <v>177</v>
      </c>
      <c r="C1464" s="1328" t="s">
        <v>869</v>
      </c>
      <c r="D1464" s="1327" t="s">
        <v>227</v>
      </c>
      <c r="E1464" s="1245" t="s">
        <v>889</v>
      </c>
      <c r="F1464" s="457" t="s">
        <v>890</v>
      </c>
      <c r="G1464" s="458" t="s">
        <v>156</v>
      </c>
      <c r="H1464" s="888">
        <v>22</v>
      </c>
      <c r="I1464" s="890">
        <v>117.761</v>
      </c>
      <c r="J1464" s="899">
        <v>521.36500000000001</v>
      </c>
      <c r="K1464" s="603">
        <v>0.29007633587786258</v>
      </c>
      <c r="L1464" s="980">
        <v>4</v>
      </c>
      <c r="M1464" s="1245" t="s">
        <v>323</v>
      </c>
      <c r="N1464" s="604" t="s">
        <v>227</v>
      </c>
      <c r="O1464" s="463">
        <v>1</v>
      </c>
      <c r="P1464" s="434">
        <v>23.606999999999999</v>
      </c>
      <c r="Q1464" s="434">
        <v>1</v>
      </c>
      <c r="R1464" s="400">
        <v>1</v>
      </c>
      <c r="S1464" s="464">
        <v>0.2857142857142857</v>
      </c>
      <c r="V1464" s="1304"/>
    </row>
    <row r="1465" spans="1:22" ht="16.5" thickTop="1" thickBot="1">
      <c r="A1465" s="1244"/>
      <c r="B1465" s="1249" t="s">
        <v>177</v>
      </c>
      <c r="C1465" s="1329" t="s">
        <v>869</v>
      </c>
      <c r="D1465" s="1326" t="s">
        <v>227</v>
      </c>
      <c r="E1465" s="1249" t="s">
        <v>1363</v>
      </c>
      <c r="F1465" s="455" t="s">
        <v>1365</v>
      </c>
      <c r="G1465" s="456" t="s">
        <v>157</v>
      </c>
      <c r="H1465" s="889">
        <v>16</v>
      </c>
      <c r="I1465" s="891">
        <v>57.787999999999997</v>
      </c>
      <c r="J1465" s="601">
        <v>57.787999999999997</v>
      </c>
      <c r="K1465" s="602">
        <v>9.3023255813953487E-2</v>
      </c>
      <c r="L1465" s="981">
        <v>1</v>
      </c>
      <c r="M1465" s="1249" t="s">
        <v>366</v>
      </c>
      <c r="N1465" s="604" t="s">
        <v>227</v>
      </c>
      <c r="O1465" s="465"/>
      <c r="P1465" s="435"/>
      <c r="Q1465" s="435"/>
      <c r="R1465" s="401">
        <v>0</v>
      </c>
      <c r="S1465" s="466">
        <v>0</v>
      </c>
      <c r="V1465" s="1304"/>
    </row>
    <row r="1466" spans="1:22" ht="16.5" thickTop="1" thickBot="1">
      <c r="A1466" s="1244"/>
      <c r="B1466" s="1245" t="s">
        <v>177</v>
      </c>
      <c r="C1466" s="1328" t="s">
        <v>869</v>
      </c>
      <c r="D1466" s="1327" t="s">
        <v>227</v>
      </c>
      <c r="E1466" s="1245" t="s">
        <v>1413</v>
      </c>
      <c r="F1466" s="457" t="s">
        <v>1414</v>
      </c>
      <c r="G1466" s="458" t="s">
        <v>156</v>
      </c>
      <c r="H1466" s="888">
        <v>16</v>
      </c>
      <c r="I1466" s="890">
        <v>88.891999999999996</v>
      </c>
      <c r="J1466" s="899">
        <v>88.891999999999996</v>
      </c>
      <c r="K1466" s="603">
        <v>0.43243243243243246</v>
      </c>
      <c r="L1466" s="980">
        <v>1</v>
      </c>
      <c r="M1466" s="1245" t="s">
        <v>366</v>
      </c>
      <c r="N1466" s="604" t="s">
        <v>227</v>
      </c>
      <c r="O1466" s="463"/>
      <c r="P1466" s="434">
        <v>14.037000000000001</v>
      </c>
      <c r="Q1466" s="434">
        <v>1</v>
      </c>
      <c r="R1466" s="400">
        <v>1</v>
      </c>
      <c r="S1466" s="464">
        <v>1</v>
      </c>
      <c r="V1466" s="1304"/>
    </row>
    <row r="1467" spans="1:22" ht="16.5" thickTop="1" thickBot="1">
      <c r="A1467" s="1244"/>
      <c r="B1467" s="1249" t="s">
        <v>177</v>
      </c>
      <c r="C1467" s="1329" t="s">
        <v>869</v>
      </c>
      <c r="D1467" s="1326" t="s">
        <v>227</v>
      </c>
      <c r="E1467" s="1249" t="s">
        <v>1528</v>
      </c>
      <c r="F1467" s="455" t="s">
        <v>685</v>
      </c>
      <c r="G1467" s="456" t="s">
        <v>157</v>
      </c>
      <c r="H1467" s="889">
        <v>15</v>
      </c>
      <c r="I1467" s="891">
        <v>102.846</v>
      </c>
      <c r="J1467" s="601">
        <v>128.02000000000001</v>
      </c>
      <c r="K1467" s="602">
        <v>0.25531914893617019</v>
      </c>
      <c r="L1467" s="981">
        <v>2</v>
      </c>
      <c r="M1467" s="1249" t="s">
        <v>366</v>
      </c>
      <c r="N1467" s="604" t="s">
        <v>227</v>
      </c>
      <c r="O1467" s="465">
        <v>1</v>
      </c>
      <c r="P1467" s="435">
        <v>0</v>
      </c>
      <c r="Q1467" s="435"/>
      <c r="R1467" s="401">
        <v>0</v>
      </c>
      <c r="S1467" s="466">
        <v>0</v>
      </c>
      <c r="V1467" s="1304"/>
    </row>
    <row r="1468" spans="1:22" ht="16.5" thickTop="1" thickBot="1">
      <c r="A1468" s="1244"/>
      <c r="B1468" s="1245" t="s">
        <v>177</v>
      </c>
      <c r="C1468" s="1328" t="s">
        <v>869</v>
      </c>
      <c r="D1468" s="1327" t="s">
        <v>227</v>
      </c>
      <c r="E1468" s="1245" t="s">
        <v>1938</v>
      </c>
      <c r="F1468" s="457" t="s">
        <v>1939</v>
      </c>
      <c r="G1468" s="458" t="s">
        <v>156</v>
      </c>
      <c r="H1468" s="888">
        <v>11</v>
      </c>
      <c r="I1468" s="890">
        <v>58.911000000000001</v>
      </c>
      <c r="J1468" s="899">
        <v>318.42899999999997</v>
      </c>
      <c r="K1468" s="603">
        <v>0.2608695652173913</v>
      </c>
      <c r="L1468" s="980">
        <v>8</v>
      </c>
      <c r="M1468" s="1245" t="s">
        <v>323</v>
      </c>
      <c r="N1468" s="604" t="s">
        <v>227</v>
      </c>
      <c r="O1468" s="463">
        <v>3</v>
      </c>
      <c r="P1468" s="434">
        <v>77.897000000000006</v>
      </c>
      <c r="Q1468" s="434">
        <v>4</v>
      </c>
      <c r="R1468" s="400">
        <v>2</v>
      </c>
      <c r="S1468" s="464">
        <v>0.30769230769230771</v>
      </c>
      <c r="V1468" s="1304"/>
    </row>
    <row r="1469" spans="1:22" ht="16.5" thickTop="1" thickBot="1">
      <c r="A1469" s="1244"/>
      <c r="B1469" s="1249" t="s">
        <v>177</v>
      </c>
      <c r="C1469" s="1329" t="s">
        <v>869</v>
      </c>
      <c r="D1469" s="1326" t="s">
        <v>227</v>
      </c>
      <c r="E1469" s="1249" t="s">
        <v>1934</v>
      </c>
      <c r="F1469" s="455" t="s">
        <v>1935</v>
      </c>
      <c r="G1469" s="456" t="s">
        <v>156</v>
      </c>
      <c r="H1469" s="889">
        <v>11</v>
      </c>
      <c r="I1469" s="891">
        <v>161.571</v>
      </c>
      <c r="J1469" s="601">
        <v>267.85399999999998</v>
      </c>
      <c r="K1469" s="602">
        <v>0.2318840579710145</v>
      </c>
      <c r="L1469" s="981">
        <v>1</v>
      </c>
      <c r="M1469" s="1249" t="s">
        <v>321</v>
      </c>
      <c r="N1469" s="604" t="s">
        <v>227</v>
      </c>
      <c r="O1469" s="465"/>
      <c r="P1469" s="435"/>
      <c r="Q1469" s="435"/>
      <c r="R1469" s="401">
        <v>0</v>
      </c>
      <c r="S1469" s="466">
        <v>0</v>
      </c>
      <c r="V1469" s="1304"/>
    </row>
    <row r="1470" spans="1:22" ht="16.5" thickTop="1" thickBot="1">
      <c r="A1470" s="1244"/>
      <c r="B1470" s="1245" t="s">
        <v>177</v>
      </c>
      <c r="C1470" s="1328" t="s">
        <v>869</v>
      </c>
      <c r="D1470" s="1327" t="s">
        <v>227</v>
      </c>
      <c r="E1470" s="1245" t="s">
        <v>1892</v>
      </c>
      <c r="F1470" s="457" t="s">
        <v>1894</v>
      </c>
      <c r="G1470" s="458" t="s">
        <v>157</v>
      </c>
      <c r="H1470" s="888">
        <v>11</v>
      </c>
      <c r="I1470" s="890">
        <v>733.16200000000003</v>
      </c>
      <c r="J1470" s="899">
        <v>853.27300000000002</v>
      </c>
      <c r="K1470" s="603">
        <v>0.60317460317460314</v>
      </c>
      <c r="L1470" s="980">
        <v>6</v>
      </c>
      <c r="M1470" s="1245" t="s">
        <v>323</v>
      </c>
      <c r="N1470" s="604" t="s">
        <v>227</v>
      </c>
      <c r="O1470" s="463">
        <v>1</v>
      </c>
      <c r="P1470" s="434">
        <v>72.603999999999999</v>
      </c>
      <c r="Q1470" s="434">
        <v>5</v>
      </c>
      <c r="R1470" s="400">
        <v>4</v>
      </c>
      <c r="S1470" s="464">
        <v>0.72727272727272729</v>
      </c>
      <c r="V1470" s="1304"/>
    </row>
    <row r="1471" spans="1:22" ht="16.5" thickTop="1" thickBot="1">
      <c r="A1471" s="1244"/>
      <c r="B1471" s="1249" t="s">
        <v>177</v>
      </c>
      <c r="C1471" s="1329" t="s">
        <v>869</v>
      </c>
      <c r="D1471" s="1326" t="s">
        <v>227</v>
      </c>
      <c r="E1471" s="1249" t="s">
        <v>1936</v>
      </c>
      <c r="F1471" s="455" t="s">
        <v>1937</v>
      </c>
      <c r="G1471" s="456" t="s">
        <v>156</v>
      </c>
      <c r="H1471" s="889">
        <v>11</v>
      </c>
      <c r="I1471" s="891">
        <v>1337.066</v>
      </c>
      <c r="J1471" s="601">
        <v>2298.1170000000002</v>
      </c>
      <c r="K1471" s="602">
        <v>0.53237410071942448</v>
      </c>
      <c r="L1471" s="981">
        <v>9</v>
      </c>
      <c r="M1471" s="1249" t="s">
        <v>323</v>
      </c>
      <c r="N1471" s="604" t="s">
        <v>227</v>
      </c>
      <c r="O1471" s="465">
        <v>4</v>
      </c>
      <c r="P1471" s="435">
        <v>116.825</v>
      </c>
      <c r="Q1471" s="435">
        <v>4</v>
      </c>
      <c r="R1471" s="401">
        <v>4</v>
      </c>
      <c r="S1471" s="466">
        <v>0.5714285714285714</v>
      </c>
      <c r="U1471" s="1248">
        <f t="shared" si="30"/>
        <v>0</v>
      </c>
      <c r="V1471" s="1304">
        <f t="shared" si="31"/>
        <v>1</v>
      </c>
    </row>
    <row r="1472" spans="1:22" ht="16.5" thickTop="1" thickBot="1">
      <c r="A1472" s="1244"/>
      <c r="B1472" s="1245" t="s">
        <v>177</v>
      </c>
      <c r="C1472" s="1328" t="s">
        <v>869</v>
      </c>
      <c r="D1472" s="1327" t="s">
        <v>227</v>
      </c>
      <c r="E1472" s="1245" t="s">
        <v>2034</v>
      </c>
      <c r="F1472" s="457" t="s">
        <v>2035</v>
      </c>
      <c r="G1472" s="458" t="s">
        <v>156</v>
      </c>
      <c r="H1472" s="888">
        <v>11</v>
      </c>
      <c r="I1472" s="890">
        <v>91.347999999999999</v>
      </c>
      <c r="J1472" s="899">
        <v>531.91800000000001</v>
      </c>
      <c r="K1472" s="603">
        <v>0.36641221374045801</v>
      </c>
      <c r="L1472" s="980">
        <v>9</v>
      </c>
      <c r="M1472" s="1245" t="s">
        <v>323</v>
      </c>
      <c r="N1472" s="604" t="s">
        <v>227</v>
      </c>
      <c r="O1472" s="463"/>
      <c r="P1472" s="434"/>
      <c r="Q1472" s="434"/>
      <c r="R1472" s="400">
        <v>0</v>
      </c>
      <c r="S1472" s="464">
        <v>0</v>
      </c>
      <c r="U1472" s="1248">
        <f t="shared" si="30"/>
        <v>0</v>
      </c>
      <c r="V1472" s="1304">
        <f t="shared" si="31"/>
        <v>1</v>
      </c>
    </row>
    <row r="1473" spans="1:22" ht="16.5" thickTop="1" thickBot="1">
      <c r="A1473" s="1244"/>
      <c r="B1473" s="1249" t="s">
        <v>177</v>
      </c>
      <c r="C1473" s="1329" t="s">
        <v>869</v>
      </c>
      <c r="D1473" s="1326" t="s">
        <v>227</v>
      </c>
      <c r="E1473" s="1249" t="s">
        <v>2036</v>
      </c>
      <c r="F1473" s="455" t="s">
        <v>2037</v>
      </c>
      <c r="G1473" s="456" t="s">
        <v>156</v>
      </c>
      <c r="H1473" s="889">
        <v>10</v>
      </c>
      <c r="I1473" s="891">
        <v>104.767</v>
      </c>
      <c r="J1473" s="601">
        <v>135.01599999999999</v>
      </c>
      <c r="K1473" s="602">
        <v>0.2711864406779661</v>
      </c>
      <c r="L1473" s="981">
        <v>3</v>
      </c>
      <c r="M1473" s="1249" t="s">
        <v>366</v>
      </c>
      <c r="N1473" s="604" t="s">
        <v>227</v>
      </c>
      <c r="O1473" s="465"/>
      <c r="P1473" s="435">
        <v>30.321999999999999</v>
      </c>
      <c r="Q1473" s="435">
        <v>1</v>
      </c>
      <c r="R1473" s="401">
        <v>1</v>
      </c>
      <c r="S1473" s="466">
        <v>0.33333333333333331</v>
      </c>
      <c r="U1473" s="1248">
        <f t="shared" si="30"/>
        <v>1</v>
      </c>
      <c r="V1473" s="1304">
        <f t="shared" si="31"/>
        <v>1</v>
      </c>
    </row>
    <row r="1474" spans="1:22" ht="16.5" thickTop="1" thickBot="1">
      <c r="A1474" s="1244"/>
      <c r="B1474" s="1245" t="s">
        <v>177</v>
      </c>
      <c r="C1474" s="1328" t="s">
        <v>869</v>
      </c>
      <c r="D1474" s="1327" t="s">
        <v>227</v>
      </c>
      <c r="E1474" s="1245" t="s">
        <v>2632</v>
      </c>
      <c r="F1474" s="457" t="s">
        <v>2633</v>
      </c>
      <c r="G1474" s="458" t="s">
        <v>155</v>
      </c>
      <c r="H1474" s="888"/>
      <c r="I1474" s="890"/>
      <c r="J1474" s="899">
        <v>110.102</v>
      </c>
      <c r="K1474" s="603">
        <v>0.19565217391304349</v>
      </c>
      <c r="L1474" s="980">
        <v>8</v>
      </c>
      <c r="M1474" s="1245" t="s">
        <v>366</v>
      </c>
      <c r="N1474" s="604" t="s">
        <v>227</v>
      </c>
      <c r="O1474" s="463"/>
      <c r="P1474" s="434">
        <v>16.779</v>
      </c>
      <c r="Q1474" s="434">
        <v>1</v>
      </c>
      <c r="R1474" s="400">
        <v>1</v>
      </c>
      <c r="S1474" s="464">
        <v>0.125</v>
      </c>
      <c r="U1474" s="1248">
        <f t="shared" si="30"/>
        <v>1</v>
      </c>
      <c r="V1474" s="1304">
        <f t="shared" si="31"/>
        <v>0</v>
      </c>
    </row>
    <row r="1475" spans="1:22" ht="16.5" thickTop="1" thickBot="1">
      <c r="A1475" s="1244"/>
      <c r="B1475" s="1249" t="s">
        <v>177</v>
      </c>
      <c r="C1475" s="1329" t="s">
        <v>869</v>
      </c>
      <c r="D1475" s="1326" t="s">
        <v>227</v>
      </c>
      <c r="E1475" s="1249" t="s">
        <v>3089</v>
      </c>
      <c r="F1475" s="455" t="s">
        <v>3090</v>
      </c>
      <c r="G1475" s="456" t="s">
        <v>155</v>
      </c>
      <c r="H1475" s="889"/>
      <c r="I1475" s="891"/>
      <c r="J1475" s="601">
        <v>11.023999999999999</v>
      </c>
      <c r="K1475" s="602">
        <v>0.16666666666666666</v>
      </c>
      <c r="L1475" s="981">
        <v>2</v>
      </c>
      <c r="M1475" s="1249" t="s">
        <v>366</v>
      </c>
      <c r="N1475" s="604" t="s">
        <v>227</v>
      </c>
      <c r="O1475" s="465"/>
      <c r="P1475" s="435"/>
      <c r="Q1475" s="435"/>
      <c r="R1475" s="401">
        <v>0</v>
      </c>
      <c r="S1475" s="466">
        <v>0</v>
      </c>
      <c r="U1475" s="1248">
        <f t="shared" si="30"/>
        <v>1</v>
      </c>
      <c r="V1475" s="1304">
        <f t="shared" si="31"/>
        <v>0</v>
      </c>
    </row>
    <row r="1476" spans="1:22" ht="16.5" thickTop="1" thickBot="1">
      <c r="A1476" s="1244"/>
      <c r="B1476" s="1245" t="s">
        <v>177</v>
      </c>
      <c r="C1476" s="1328" t="s">
        <v>869</v>
      </c>
      <c r="D1476" s="1327" t="s">
        <v>227</v>
      </c>
      <c r="E1476" s="1245" t="s">
        <v>3091</v>
      </c>
      <c r="F1476" s="457" t="s">
        <v>3092</v>
      </c>
      <c r="G1476" s="458" t="s">
        <v>155</v>
      </c>
      <c r="H1476" s="888"/>
      <c r="I1476" s="890"/>
      <c r="J1476" s="899">
        <v>36.161999999999999</v>
      </c>
      <c r="K1476" s="603">
        <v>0.23529411764705882</v>
      </c>
      <c r="L1476" s="980">
        <v>3</v>
      </c>
      <c r="M1476" s="1245" t="s">
        <v>366</v>
      </c>
      <c r="N1476" s="604" t="s">
        <v>227</v>
      </c>
      <c r="O1476" s="463"/>
      <c r="P1476" s="434"/>
      <c r="Q1476" s="434"/>
      <c r="R1476" s="400">
        <v>0</v>
      </c>
      <c r="S1476" s="464">
        <v>0</v>
      </c>
      <c r="U1476" s="1248">
        <f t="shared" si="30"/>
        <v>1</v>
      </c>
      <c r="V1476" s="1304">
        <f t="shared" si="31"/>
        <v>0</v>
      </c>
    </row>
    <row r="1477" spans="1:22" ht="16.5" thickTop="1" thickBot="1">
      <c r="A1477" s="1244"/>
      <c r="B1477" s="1249" t="s">
        <v>177</v>
      </c>
      <c r="C1477" s="1329" t="s">
        <v>869</v>
      </c>
      <c r="D1477" s="1326" t="s">
        <v>227</v>
      </c>
      <c r="E1477" s="1249" t="s">
        <v>3403</v>
      </c>
      <c r="F1477" s="455" t="s">
        <v>3404</v>
      </c>
      <c r="G1477" s="456" t="s">
        <v>156</v>
      </c>
      <c r="H1477" s="889">
        <v>2</v>
      </c>
      <c r="I1477" s="891">
        <v>9.5280000000000005</v>
      </c>
      <c r="J1477" s="601">
        <v>17.12</v>
      </c>
      <c r="K1477" s="602">
        <v>0.44444444444444442</v>
      </c>
      <c r="L1477" s="981">
        <v>4</v>
      </c>
      <c r="M1477" s="1249" t="s">
        <v>366</v>
      </c>
      <c r="N1477" s="604" t="s">
        <v>227</v>
      </c>
      <c r="O1477" s="465">
        <v>2</v>
      </c>
      <c r="P1477" s="435"/>
      <c r="Q1477" s="435"/>
      <c r="R1477" s="401">
        <v>0</v>
      </c>
      <c r="S1477" s="466">
        <v>0</v>
      </c>
      <c r="U1477" s="1248">
        <f t="shared" si="30"/>
        <v>1</v>
      </c>
      <c r="V1477" s="1304">
        <f t="shared" si="31"/>
        <v>1</v>
      </c>
    </row>
    <row r="1478" spans="1:22" ht="16.5" thickTop="1" thickBot="1">
      <c r="A1478" s="1244"/>
      <c r="B1478" s="1245" t="s">
        <v>2659</v>
      </c>
      <c r="C1478" s="1328" t="s">
        <v>227</v>
      </c>
      <c r="D1478" s="1327" t="s">
        <v>227</v>
      </c>
      <c r="E1478" s="1245" t="s">
        <v>2762</v>
      </c>
      <c r="F1478" s="457" t="s">
        <v>2764</v>
      </c>
      <c r="G1478" s="458" t="s">
        <v>157</v>
      </c>
      <c r="H1478" s="888">
        <v>3</v>
      </c>
      <c r="I1478" s="890">
        <v>62.984000000000002</v>
      </c>
      <c r="J1478" s="899">
        <v>230.738</v>
      </c>
      <c r="K1478" s="603">
        <v>1.0666666666666667</v>
      </c>
      <c r="L1478" s="980">
        <v>2</v>
      </c>
      <c r="M1478" s="1245" t="s">
        <v>323</v>
      </c>
      <c r="N1478" s="604" t="s">
        <v>227</v>
      </c>
      <c r="O1478" s="463"/>
      <c r="P1478" s="434">
        <v>21.670999999999999</v>
      </c>
      <c r="Q1478" s="434">
        <v>2</v>
      </c>
      <c r="R1478" s="400">
        <v>2</v>
      </c>
      <c r="S1478" s="464">
        <v>1</v>
      </c>
      <c r="U1478" s="1248">
        <f t="shared" si="30"/>
        <v>0</v>
      </c>
      <c r="V1478" s="1304">
        <f t="shared" si="31"/>
        <v>1</v>
      </c>
    </row>
    <row r="1479" spans="1:22" ht="16.5" thickTop="1" thickBot="1">
      <c r="A1479" s="1244"/>
      <c r="B1479" s="1249" t="s">
        <v>2659</v>
      </c>
      <c r="C1479" s="1329" t="s">
        <v>227</v>
      </c>
      <c r="D1479" s="1326" t="s">
        <v>227</v>
      </c>
      <c r="E1479" s="1249" t="s">
        <v>2863</v>
      </c>
      <c r="F1479" s="455" t="s">
        <v>2864</v>
      </c>
      <c r="G1479" s="456" t="s">
        <v>156</v>
      </c>
      <c r="H1479" s="889">
        <v>3</v>
      </c>
      <c r="I1479" s="891">
        <v>27.189</v>
      </c>
      <c r="J1479" s="601">
        <v>41.082999999999998</v>
      </c>
      <c r="K1479" s="602">
        <v>0.34782608695652173</v>
      </c>
      <c r="L1479" s="981">
        <v>5</v>
      </c>
      <c r="M1479" s="1249" t="s">
        <v>322</v>
      </c>
      <c r="N1479" s="604" t="s">
        <v>227</v>
      </c>
      <c r="O1479" s="465">
        <v>1</v>
      </c>
      <c r="P1479" s="435"/>
      <c r="Q1479" s="435"/>
      <c r="R1479" s="401">
        <v>0</v>
      </c>
      <c r="S1479" s="466">
        <v>0</v>
      </c>
      <c r="U1479" s="1248">
        <f t="shared" si="30"/>
        <v>0</v>
      </c>
      <c r="V1479" s="1304">
        <f t="shared" si="31"/>
        <v>1</v>
      </c>
    </row>
    <row r="1480" spans="1:22" ht="16.5" thickTop="1" thickBot="1">
      <c r="A1480" s="1244"/>
      <c r="B1480" s="1245" t="s">
        <v>2659</v>
      </c>
      <c r="C1480" s="1328" t="s">
        <v>227</v>
      </c>
      <c r="D1480" s="1327" t="s">
        <v>227</v>
      </c>
      <c r="E1480" s="1245" t="s">
        <v>3093</v>
      </c>
      <c r="F1480" s="457" t="s">
        <v>3094</v>
      </c>
      <c r="G1480" s="458" t="s">
        <v>156</v>
      </c>
      <c r="H1480" s="888">
        <v>3</v>
      </c>
      <c r="I1480" s="890">
        <v>172.33799999999999</v>
      </c>
      <c r="J1480" s="899">
        <v>255.97399999999999</v>
      </c>
      <c r="K1480" s="603">
        <v>0.63157894736842102</v>
      </c>
      <c r="L1480" s="980">
        <v>4</v>
      </c>
      <c r="M1480" s="1245" t="s">
        <v>323</v>
      </c>
      <c r="N1480" s="604" t="s">
        <v>227</v>
      </c>
      <c r="O1480" s="463"/>
      <c r="P1480" s="434">
        <v>65.727000000000004</v>
      </c>
      <c r="Q1480" s="434">
        <v>2</v>
      </c>
      <c r="R1480" s="400">
        <v>1</v>
      </c>
      <c r="S1480" s="464">
        <v>0.25</v>
      </c>
      <c r="U1480" s="1248">
        <f t="shared" si="30"/>
        <v>0</v>
      </c>
      <c r="V1480" s="1304">
        <f t="shared" si="31"/>
        <v>1</v>
      </c>
    </row>
    <row r="1481" spans="1:22" ht="16.5" thickTop="1" thickBot="1">
      <c r="A1481" s="1244"/>
      <c r="B1481" s="1249" t="s">
        <v>2659</v>
      </c>
      <c r="C1481" s="1329" t="s">
        <v>227</v>
      </c>
      <c r="D1481" s="1326" t="s">
        <v>227</v>
      </c>
      <c r="E1481" s="1249" t="s">
        <v>2946</v>
      </c>
      <c r="F1481" s="455" t="s">
        <v>2948</v>
      </c>
      <c r="G1481" s="456" t="s">
        <v>157</v>
      </c>
      <c r="H1481" s="889">
        <v>2</v>
      </c>
      <c r="I1481" s="891"/>
      <c r="J1481" s="601"/>
      <c r="K1481" s="602">
        <v>0</v>
      </c>
      <c r="L1481" s="981">
        <v>1</v>
      </c>
      <c r="M1481" s="1249" t="s">
        <v>366</v>
      </c>
      <c r="N1481" s="604" t="s">
        <v>227</v>
      </c>
      <c r="O1481" s="465"/>
      <c r="P1481" s="435"/>
      <c r="Q1481" s="435"/>
      <c r="R1481" s="401">
        <v>0</v>
      </c>
      <c r="S1481" s="466">
        <v>0</v>
      </c>
      <c r="U1481" s="1248">
        <f t="shared" si="30"/>
        <v>1</v>
      </c>
      <c r="V1481" s="1304">
        <f t="shared" si="31"/>
        <v>1</v>
      </c>
    </row>
    <row r="1482" spans="1:22" ht="16.5" thickTop="1" thickBot="1">
      <c r="A1482" s="1244"/>
      <c r="B1482" s="1245" t="s">
        <v>2659</v>
      </c>
      <c r="C1482" s="1328" t="s">
        <v>227</v>
      </c>
      <c r="D1482" s="1327" t="s">
        <v>227</v>
      </c>
      <c r="E1482" s="1245" t="s">
        <v>3405</v>
      </c>
      <c r="F1482" s="457" t="s">
        <v>3406</v>
      </c>
      <c r="G1482" s="458" t="s">
        <v>156</v>
      </c>
      <c r="H1482" s="888">
        <v>2</v>
      </c>
      <c r="I1482" s="890">
        <v>7.9870000000000001</v>
      </c>
      <c r="J1482" s="899">
        <v>195.02600000000001</v>
      </c>
      <c r="K1482" s="603">
        <v>0.44444444444444442</v>
      </c>
      <c r="L1482" s="980">
        <v>5</v>
      </c>
      <c r="M1482" s="1245" t="s">
        <v>323</v>
      </c>
      <c r="N1482" s="604" t="s">
        <v>227</v>
      </c>
      <c r="O1482" s="463"/>
      <c r="P1482" s="434">
        <v>141.16499999999999</v>
      </c>
      <c r="Q1482" s="434">
        <v>7</v>
      </c>
      <c r="R1482" s="400">
        <v>2</v>
      </c>
      <c r="S1482" s="464">
        <v>0.4</v>
      </c>
      <c r="U1482" s="1248">
        <f t="shared" si="30"/>
        <v>0</v>
      </c>
      <c r="V1482" s="1304">
        <f t="shared" si="31"/>
        <v>1</v>
      </c>
    </row>
    <row r="1483" spans="1:22" ht="16.5" thickTop="1" thickBot="1">
      <c r="A1483" s="1244"/>
      <c r="B1483" s="1249" t="s">
        <v>2659</v>
      </c>
      <c r="C1483" s="1329" t="s">
        <v>227</v>
      </c>
      <c r="D1483" s="1326" t="s">
        <v>227</v>
      </c>
      <c r="E1483" s="1249" t="s">
        <v>3449</v>
      </c>
      <c r="F1483" s="455" t="s">
        <v>3450</v>
      </c>
      <c r="G1483" s="456" t="s">
        <v>157</v>
      </c>
      <c r="H1483" s="889">
        <v>1</v>
      </c>
      <c r="I1483" s="891">
        <v>130.041</v>
      </c>
      <c r="J1483" s="601">
        <v>130.041</v>
      </c>
      <c r="K1483" s="602">
        <v>0.66666666666666663</v>
      </c>
      <c r="L1483" s="981">
        <v>1</v>
      </c>
      <c r="M1483" s="1249" t="s">
        <v>323</v>
      </c>
      <c r="N1483" s="604" t="s">
        <v>227</v>
      </c>
      <c r="O1483" s="465"/>
      <c r="P1483" s="435"/>
      <c r="Q1483" s="435"/>
      <c r="R1483" s="401">
        <v>0</v>
      </c>
      <c r="S1483" s="466">
        <v>0</v>
      </c>
      <c r="U1483" s="1248">
        <f t="shared" si="30"/>
        <v>0</v>
      </c>
      <c r="V1483" s="1304">
        <f t="shared" si="31"/>
        <v>1</v>
      </c>
    </row>
    <row r="1484" spans="1:22" ht="16.5" thickTop="1" thickBot="1">
      <c r="A1484" s="1244"/>
      <c r="B1484" s="1245" t="s">
        <v>2659</v>
      </c>
      <c r="C1484" s="1328" t="s">
        <v>227</v>
      </c>
      <c r="D1484" s="1327" t="s">
        <v>227</v>
      </c>
      <c r="E1484" s="1245" t="s">
        <v>3451</v>
      </c>
      <c r="F1484" s="457" t="s">
        <v>3452</v>
      </c>
      <c r="G1484" s="458" t="s">
        <v>156</v>
      </c>
      <c r="H1484" s="888">
        <v>1</v>
      </c>
      <c r="I1484" s="890"/>
      <c r="J1484" s="899"/>
      <c r="K1484" s="603">
        <v>0</v>
      </c>
      <c r="L1484" s="980">
        <v>1</v>
      </c>
      <c r="M1484" s="1245" t="s">
        <v>366</v>
      </c>
      <c r="N1484" s="604" t="s">
        <v>227</v>
      </c>
      <c r="O1484" s="463"/>
      <c r="P1484" s="434"/>
      <c r="Q1484" s="434"/>
      <c r="R1484" s="400">
        <v>0</v>
      </c>
      <c r="S1484" s="464">
        <v>0</v>
      </c>
      <c r="U1484" s="1248">
        <f t="shared" ref="U1484:U1497" si="32">IF(M1484="U_200",1,0)</f>
        <v>1</v>
      </c>
      <c r="V1484" s="1304">
        <f t="shared" ref="V1484:V1497" si="33">IF(G1484&lt;&gt;"US",1,0)</f>
        <v>1</v>
      </c>
    </row>
    <row r="1485" spans="1:22" ht="16.5" thickTop="1" thickBot="1">
      <c r="A1485" s="1244"/>
      <c r="B1485" s="1249" t="s">
        <v>2659</v>
      </c>
      <c r="C1485" s="1329" t="s">
        <v>227</v>
      </c>
      <c r="D1485" s="1326" t="s">
        <v>227</v>
      </c>
      <c r="E1485" s="1249" t="s">
        <v>3704</v>
      </c>
      <c r="F1485" s="455" t="s">
        <v>3706</v>
      </c>
      <c r="G1485" s="456" t="s">
        <v>157</v>
      </c>
      <c r="H1485" s="889">
        <v>0</v>
      </c>
      <c r="I1485" s="891"/>
      <c r="J1485" s="601"/>
      <c r="K1485" s="602">
        <v>0</v>
      </c>
      <c r="L1485" s="981">
        <v>1</v>
      </c>
      <c r="M1485" s="1249" t="s">
        <v>227</v>
      </c>
      <c r="N1485" s="604" t="s">
        <v>227</v>
      </c>
      <c r="O1485" s="465">
        <v>1</v>
      </c>
      <c r="P1485" s="435"/>
      <c r="Q1485" s="435"/>
      <c r="R1485" s="401">
        <v>0</v>
      </c>
      <c r="S1485" s="466">
        <v>0</v>
      </c>
      <c r="U1485" s="1248">
        <f t="shared" si="32"/>
        <v>0</v>
      </c>
      <c r="V1485" s="1304">
        <f t="shared" si="33"/>
        <v>1</v>
      </c>
    </row>
    <row r="1486" spans="1:22" ht="16.5" thickTop="1" thickBot="1">
      <c r="A1486" s="1244"/>
      <c r="B1486" s="1245" t="s">
        <v>2659</v>
      </c>
      <c r="C1486" s="1328" t="s">
        <v>227</v>
      </c>
      <c r="D1486" s="1327" t="s">
        <v>227</v>
      </c>
      <c r="E1486" s="1245" t="s">
        <v>3948</v>
      </c>
      <c r="F1486" s="457" t="s">
        <v>3949</v>
      </c>
      <c r="G1486" s="458" t="s">
        <v>156</v>
      </c>
      <c r="H1486" s="888">
        <v>0</v>
      </c>
      <c r="I1486" s="890"/>
      <c r="J1486" s="899"/>
      <c r="K1486" s="603">
        <v>0</v>
      </c>
      <c r="L1486" s="980">
        <v>2</v>
      </c>
      <c r="M1486" s="1245" t="s">
        <v>227</v>
      </c>
      <c r="N1486" s="604" t="s">
        <v>227</v>
      </c>
      <c r="O1486" s="463">
        <v>2</v>
      </c>
      <c r="P1486" s="434"/>
      <c r="Q1486" s="434"/>
      <c r="R1486" s="400">
        <v>0</v>
      </c>
      <c r="S1486" s="464">
        <v>0</v>
      </c>
      <c r="U1486" s="1248">
        <f t="shared" si="32"/>
        <v>0</v>
      </c>
      <c r="V1486" s="1304">
        <f t="shared" si="33"/>
        <v>1</v>
      </c>
    </row>
    <row r="1487" spans="1:22" ht="16.5" thickTop="1" thickBot="1">
      <c r="A1487" s="1244"/>
      <c r="B1487" s="1249" t="s">
        <v>2659</v>
      </c>
      <c r="C1487" s="1329" t="s">
        <v>2731</v>
      </c>
      <c r="D1487" s="1326" t="s">
        <v>227</v>
      </c>
      <c r="E1487" s="1249" t="s">
        <v>2865</v>
      </c>
      <c r="F1487" s="455" t="s">
        <v>2866</v>
      </c>
      <c r="G1487" s="456" t="s">
        <v>156</v>
      </c>
      <c r="H1487" s="889">
        <v>4</v>
      </c>
      <c r="I1487" s="891">
        <v>104.562</v>
      </c>
      <c r="J1487" s="601">
        <v>208.10400000000001</v>
      </c>
      <c r="K1487" s="602">
        <v>0.27027027027027029</v>
      </c>
      <c r="L1487" s="981">
        <v>6</v>
      </c>
      <c r="M1487" s="1249" t="s">
        <v>323</v>
      </c>
      <c r="N1487" s="604" t="s">
        <v>227</v>
      </c>
      <c r="O1487" s="465"/>
      <c r="P1487" s="435">
        <v>20.279</v>
      </c>
      <c r="Q1487" s="435">
        <v>2</v>
      </c>
      <c r="R1487" s="401">
        <v>2</v>
      </c>
      <c r="S1487" s="466">
        <v>0.33333333333333331</v>
      </c>
      <c r="U1487" s="1248">
        <f t="shared" si="32"/>
        <v>0</v>
      </c>
      <c r="V1487" s="1304">
        <f t="shared" si="33"/>
        <v>1</v>
      </c>
    </row>
    <row r="1488" spans="1:22" ht="16.5" thickTop="1" thickBot="1">
      <c r="A1488" s="1244"/>
      <c r="B1488" s="1245" t="s">
        <v>2659</v>
      </c>
      <c r="C1488" s="1328" t="s">
        <v>2731</v>
      </c>
      <c r="D1488" s="1327" t="s">
        <v>227</v>
      </c>
      <c r="E1488" s="1245" t="s">
        <v>2731</v>
      </c>
      <c r="F1488" s="457" t="s">
        <v>2733</v>
      </c>
      <c r="G1488" s="458" t="s">
        <v>158</v>
      </c>
      <c r="H1488" s="888">
        <v>4</v>
      </c>
      <c r="I1488" s="890">
        <v>364.33600000000001</v>
      </c>
      <c r="J1488" s="899">
        <v>446.76900000000001</v>
      </c>
      <c r="K1488" s="603">
        <v>0.60869565217391308</v>
      </c>
      <c r="L1488" s="980">
        <v>5</v>
      </c>
      <c r="M1488" s="1245" t="s">
        <v>323</v>
      </c>
      <c r="N1488" s="604" t="s">
        <v>227</v>
      </c>
      <c r="O1488" s="463">
        <v>1</v>
      </c>
      <c r="P1488" s="434">
        <v>1.9490000000000001</v>
      </c>
      <c r="Q1488" s="434">
        <v>2</v>
      </c>
      <c r="R1488" s="400">
        <v>2</v>
      </c>
      <c r="S1488" s="464">
        <v>0.44444444444444442</v>
      </c>
      <c r="U1488" s="1248">
        <f t="shared" si="32"/>
        <v>0</v>
      </c>
      <c r="V1488" s="1304">
        <f t="shared" si="33"/>
        <v>1</v>
      </c>
    </row>
    <row r="1489" spans="1:22" ht="16.5" thickTop="1" thickBot="1">
      <c r="A1489" s="1244"/>
      <c r="B1489" s="1249" t="s">
        <v>2659</v>
      </c>
      <c r="C1489" s="1329" t="s">
        <v>2731</v>
      </c>
      <c r="D1489" s="1326" t="s">
        <v>227</v>
      </c>
      <c r="E1489" s="1249" t="s">
        <v>2765</v>
      </c>
      <c r="F1489" s="455" t="s">
        <v>2767</v>
      </c>
      <c r="G1489" s="456" t="s">
        <v>157</v>
      </c>
      <c r="H1489" s="889">
        <v>4</v>
      </c>
      <c r="I1489" s="891">
        <v>41.752000000000002</v>
      </c>
      <c r="J1489" s="601">
        <v>116.827</v>
      </c>
      <c r="K1489" s="602">
        <v>0.3</v>
      </c>
      <c r="L1489" s="981">
        <v>6</v>
      </c>
      <c r="M1489" s="1249" t="s">
        <v>323</v>
      </c>
      <c r="N1489" s="604" t="s">
        <v>227</v>
      </c>
      <c r="O1489" s="465"/>
      <c r="P1489" s="435">
        <v>11.38</v>
      </c>
      <c r="Q1489" s="435">
        <v>1</v>
      </c>
      <c r="R1489" s="401">
        <v>1</v>
      </c>
      <c r="S1489" s="466">
        <v>0.16666666666666666</v>
      </c>
      <c r="U1489" s="1248">
        <f t="shared" si="32"/>
        <v>0</v>
      </c>
      <c r="V1489" s="1304">
        <f t="shared" si="33"/>
        <v>1</v>
      </c>
    </row>
    <row r="1490" spans="1:22" ht="16.5" thickTop="1" thickBot="1">
      <c r="A1490" s="1244"/>
      <c r="B1490" s="1245" t="s">
        <v>2659</v>
      </c>
      <c r="C1490" s="1328" t="s">
        <v>2731</v>
      </c>
      <c r="D1490" s="1327" t="s">
        <v>227</v>
      </c>
      <c r="E1490" s="1245" t="s">
        <v>2768</v>
      </c>
      <c r="F1490" s="457" t="s">
        <v>2770</v>
      </c>
      <c r="G1490" s="458" t="s">
        <v>157</v>
      </c>
      <c r="H1490" s="888">
        <v>3</v>
      </c>
      <c r="I1490" s="890">
        <v>26.693000000000001</v>
      </c>
      <c r="J1490" s="899">
        <v>26.693000000000001</v>
      </c>
      <c r="K1490" s="603">
        <v>0.8571428571428571</v>
      </c>
      <c r="L1490" s="980">
        <v>1</v>
      </c>
      <c r="M1490" s="1245" t="s">
        <v>366</v>
      </c>
      <c r="N1490" s="604" t="s">
        <v>227</v>
      </c>
      <c r="O1490" s="463"/>
      <c r="P1490" s="434">
        <v>8.2370000000000001</v>
      </c>
      <c r="Q1490" s="434">
        <v>1</v>
      </c>
      <c r="R1490" s="400">
        <v>1</v>
      </c>
      <c r="S1490" s="464">
        <v>1</v>
      </c>
      <c r="U1490" s="1248">
        <f t="shared" si="32"/>
        <v>1</v>
      </c>
      <c r="V1490" s="1304">
        <f t="shared" si="33"/>
        <v>1</v>
      </c>
    </row>
    <row r="1491" spans="1:22" ht="16.5" thickTop="1" thickBot="1">
      <c r="A1491" s="1244"/>
      <c r="B1491" s="1249" t="s">
        <v>2659</v>
      </c>
      <c r="C1491" s="1329" t="s">
        <v>2731</v>
      </c>
      <c r="D1491" s="1326" t="s">
        <v>227</v>
      </c>
      <c r="E1491" s="1249" t="s">
        <v>3095</v>
      </c>
      <c r="F1491" s="455" t="s">
        <v>3096</v>
      </c>
      <c r="G1491" s="456" t="s">
        <v>156</v>
      </c>
      <c r="H1491" s="889">
        <v>2</v>
      </c>
      <c r="I1491" s="891"/>
      <c r="J1491" s="601"/>
      <c r="K1491" s="602">
        <v>0</v>
      </c>
      <c r="L1491" s="981">
        <v>1</v>
      </c>
      <c r="M1491" s="1249" t="s">
        <v>366</v>
      </c>
      <c r="N1491" s="604" t="s">
        <v>227</v>
      </c>
      <c r="O1491" s="465"/>
      <c r="P1491" s="435"/>
      <c r="Q1491" s="435"/>
      <c r="R1491" s="401">
        <v>0</v>
      </c>
      <c r="S1491" s="466">
        <v>0</v>
      </c>
      <c r="U1491" s="1248">
        <f t="shared" si="32"/>
        <v>1</v>
      </c>
      <c r="V1491" s="1304">
        <f t="shared" si="33"/>
        <v>1</v>
      </c>
    </row>
    <row r="1492" spans="1:22" ht="16.5" thickTop="1" thickBot="1">
      <c r="A1492" s="1244"/>
      <c r="B1492" s="1245" t="s">
        <v>2659</v>
      </c>
      <c r="C1492" s="1328" t="s">
        <v>2731</v>
      </c>
      <c r="D1492" s="1327" t="s">
        <v>227</v>
      </c>
      <c r="E1492" s="1245" t="s">
        <v>3097</v>
      </c>
      <c r="F1492" s="457" t="s">
        <v>3098</v>
      </c>
      <c r="G1492" s="458" t="s">
        <v>156</v>
      </c>
      <c r="H1492" s="888">
        <v>2</v>
      </c>
      <c r="I1492" s="890">
        <v>57.003</v>
      </c>
      <c r="J1492" s="899">
        <v>57.003</v>
      </c>
      <c r="K1492" s="603">
        <v>0.33333333333333331</v>
      </c>
      <c r="L1492" s="980">
        <v>4</v>
      </c>
      <c r="M1492" s="1245" t="s">
        <v>323</v>
      </c>
      <c r="N1492" s="604" t="s">
        <v>227</v>
      </c>
      <c r="O1492" s="463">
        <v>1</v>
      </c>
      <c r="P1492" s="434">
        <v>20.260999999999999</v>
      </c>
      <c r="Q1492" s="434">
        <v>2</v>
      </c>
      <c r="R1492" s="400">
        <v>1</v>
      </c>
      <c r="S1492" s="464">
        <v>0.2857142857142857</v>
      </c>
      <c r="U1492" s="1248">
        <f t="shared" si="32"/>
        <v>0</v>
      </c>
      <c r="V1492" s="1304">
        <f t="shared" si="33"/>
        <v>1</v>
      </c>
    </row>
    <row r="1493" spans="1:22" ht="16.5" thickTop="1" thickBot="1">
      <c r="A1493" s="1244"/>
      <c r="B1493" s="1249" t="s">
        <v>2659</v>
      </c>
      <c r="C1493" s="1329" t="s">
        <v>2731</v>
      </c>
      <c r="D1493" s="1326" t="s">
        <v>227</v>
      </c>
      <c r="E1493" s="1249" t="s">
        <v>3950</v>
      </c>
      <c r="F1493" s="455" t="s">
        <v>3951</v>
      </c>
      <c r="G1493" s="456" t="s">
        <v>156</v>
      </c>
      <c r="H1493" s="889">
        <v>0</v>
      </c>
      <c r="I1493" s="891">
        <v>57.713000000000001</v>
      </c>
      <c r="J1493" s="601">
        <v>168.00399999999999</v>
      </c>
      <c r="K1493" s="602">
        <v>1</v>
      </c>
      <c r="L1493" s="981">
        <v>5</v>
      </c>
      <c r="M1493" s="1249" t="s">
        <v>227</v>
      </c>
      <c r="N1493" s="604" t="s">
        <v>227</v>
      </c>
      <c r="O1493" s="465">
        <v>4</v>
      </c>
      <c r="P1493" s="435">
        <v>168.00399999999999</v>
      </c>
      <c r="Q1493" s="435">
        <v>11</v>
      </c>
      <c r="R1493" s="401">
        <v>3</v>
      </c>
      <c r="S1493" s="466">
        <v>1</v>
      </c>
      <c r="U1493" s="1248">
        <f t="shared" si="32"/>
        <v>0</v>
      </c>
      <c r="V1493" s="1304">
        <f t="shared" si="33"/>
        <v>1</v>
      </c>
    </row>
    <row r="1494" spans="1:22" ht="16.5" thickTop="1" thickBot="1">
      <c r="A1494" s="1244"/>
      <c r="B1494" s="1245" t="s">
        <v>3524</v>
      </c>
      <c r="C1494" s="1328" t="s">
        <v>3628</v>
      </c>
      <c r="D1494" s="1327" t="s">
        <v>227</v>
      </c>
      <c r="E1494" s="1245" t="s">
        <v>3628</v>
      </c>
      <c r="F1494" s="457" t="s">
        <v>3630</v>
      </c>
      <c r="G1494" s="458" t="s">
        <v>739</v>
      </c>
      <c r="H1494" s="888">
        <v>0</v>
      </c>
      <c r="I1494" s="890"/>
      <c r="J1494" s="899"/>
      <c r="K1494" s="603">
        <v>0</v>
      </c>
      <c r="L1494" s="980">
        <v>1</v>
      </c>
      <c r="M1494" s="1245" t="s">
        <v>227</v>
      </c>
      <c r="N1494" s="604" t="s">
        <v>227</v>
      </c>
      <c r="O1494" s="463">
        <v>1</v>
      </c>
      <c r="P1494" s="434"/>
      <c r="Q1494" s="434"/>
      <c r="R1494" s="400">
        <v>0</v>
      </c>
      <c r="S1494" s="464">
        <v>0</v>
      </c>
      <c r="U1494" s="1248">
        <f t="shared" si="32"/>
        <v>0</v>
      </c>
      <c r="V1494" s="1304">
        <f t="shared" si="33"/>
        <v>1</v>
      </c>
    </row>
    <row r="1495" spans="1:22" ht="16.5" thickTop="1" thickBot="1">
      <c r="A1495" s="1244"/>
      <c r="B1495" s="1249" t="s">
        <v>3524</v>
      </c>
      <c r="C1495" s="1329" t="s">
        <v>3628</v>
      </c>
      <c r="D1495" s="1326" t="s">
        <v>227</v>
      </c>
      <c r="E1495" s="1249" t="s">
        <v>3952</v>
      </c>
      <c r="F1495" s="455" t="s">
        <v>2986</v>
      </c>
      <c r="G1495" s="456" t="s">
        <v>156</v>
      </c>
      <c r="H1495" s="889">
        <v>0</v>
      </c>
      <c r="I1495" s="891"/>
      <c r="J1495" s="601"/>
      <c r="K1495" s="602">
        <v>0</v>
      </c>
      <c r="L1495" s="981">
        <v>1</v>
      </c>
      <c r="M1495" s="1249" t="s">
        <v>227</v>
      </c>
      <c r="N1495" s="604" t="s">
        <v>227</v>
      </c>
      <c r="O1495" s="465">
        <v>1</v>
      </c>
      <c r="P1495" s="435"/>
      <c r="Q1495" s="435"/>
      <c r="R1495" s="401">
        <v>0</v>
      </c>
      <c r="S1495" s="466">
        <v>0</v>
      </c>
      <c r="U1495" s="1248">
        <f t="shared" si="32"/>
        <v>0</v>
      </c>
      <c r="V1495" s="1304">
        <f t="shared" si="33"/>
        <v>1</v>
      </c>
    </row>
    <row r="1496" spans="1:22" ht="16.5" thickTop="1" thickBot="1">
      <c r="A1496" s="1244"/>
      <c r="B1496" s="1245" t="s">
        <v>3524</v>
      </c>
      <c r="C1496" s="1328" t="s">
        <v>3628</v>
      </c>
      <c r="D1496" s="1327" t="s">
        <v>227</v>
      </c>
      <c r="E1496" s="1245" t="s">
        <v>3953</v>
      </c>
      <c r="F1496" s="457" t="s">
        <v>3954</v>
      </c>
      <c r="G1496" s="458" t="s">
        <v>156</v>
      </c>
      <c r="H1496" s="888">
        <v>0</v>
      </c>
      <c r="I1496" s="890"/>
      <c r="J1496" s="899"/>
      <c r="K1496" s="603">
        <v>0</v>
      </c>
      <c r="L1496" s="980">
        <v>1</v>
      </c>
      <c r="M1496" s="1245" t="s">
        <v>227</v>
      </c>
      <c r="N1496" s="604" t="s">
        <v>227</v>
      </c>
      <c r="O1496" s="463">
        <v>1</v>
      </c>
      <c r="P1496" s="434"/>
      <c r="Q1496" s="434"/>
      <c r="R1496" s="400">
        <v>0</v>
      </c>
      <c r="S1496" s="464">
        <v>0</v>
      </c>
      <c r="U1496" s="1248">
        <f t="shared" si="32"/>
        <v>0</v>
      </c>
      <c r="V1496" s="1304">
        <f t="shared" si="33"/>
        <v>1</v>
      </c>
    </row>
    <row r="1497" spans="1:22" ht="16.5" thickTop="1" thickBot="1">
      <c r="A1497" s="1244"/>
      <c r="B1497" s="1249" t="s">
        <v>3524</v>
      </c>
      <c r="C1497" s="1329" t="s">
        <v>3628</v>
      </c>
      <c r="D1497" s="1326" t="s">
        <v>227</v>
      </c>
      <c r="E1497" s="1249" t="s">
        <v>3707</v>
      </c>
      <c r="F1497" s="455" t="s">
        <v>3709</v>
      </c>
      <c r="G1497" s="456" t="s">
        <v>157</v>
      </c>
      <c r="H1497" s="889">
        <v>0</v>
      </c>
      <c r="I1497" s="891">
        <v>75.093000000000004</v>
      </c>
      <c r="J1497" s="601">
        <v>75.093000000000004</v>
      </c>
      <c r="K1497" s="602">
        <v>0.66666666666666663</v>
      </c>
      <c r="L1497" s="981">
        <v>3</v>
      </c>
      <c r="M1497" s="1249" t="s">
        <v>227</v>
      </c>
      <c r="N1497" s="604" t="s">
        <v>227</v>
      </c>
      <c r="O1497" s="465">
        <v>3</v>
      </c>
      <c r="P1497" s="435">
        <v>75.093000000000004</v>
      </c>
      <c r="Q1497" s="435">
        <v>3</v>
      </c>
      <c r="R1497" s="401">
        <v>1</v>
      </c>
      <c r="S1497" s="466">
        <v>0.66666666666666663</v>
      </c>
      <c r="U1497" s="1248">
        <f t="shared" si="32"/>
        <v>0</v>
      </c>
      <c r="V1497" s="1304">
        <f t="shared" si="33"/>
        <v>1</v>
      </c>
    </row>
    <row r="1498" spans="1:22" ht="16.5" thickTop="1" thickBot="1">
      <c r="B1498" s="1249" t="s">
        <v>3524</v>
      </c>
      <c r="C1498" s="1329" t="s">
        <v>3628</v>
      </c>
      <c r="D1498" s="1326" t="s">
        <v>227</v>
      </c>
      <c r="E1498" s="1249" t="s">
        <v>3710</v>
      </c>
      <c r="F1498" s="455" t="s">
        <v>3712</v>
      </c>
      <c r="G1498" s="456" t="s">
        <v>157</v>
      </c>
      <c r="H1498" s="889">
        <v>0</v>
      </c>
      <c r="I1498" s="891"/>
      <c r="J1498" s="601"/>
      <c r="K1498" s="602">
        <v>0</v>
      </c>
      <c r="L1498" s="981">
        <v>3</v>
      </c>
      <c r="M1498" s="1249" t="s">
        <v>227</v>
      </c>
      <c r="N1498" s="604" t="s">
        <v>227</v>
      </c>
      <c r="O1498" s="465">
        <v>3</v>
      </c>
      <c r="P1498" s="435"/>
      <c r="Q1498" s="435"/>
      <c r="R1498" s="401">
        <v>0</v>
      </c>
      <c r="S1498" s="466">
        <v>0</v>
      </c>
    </row>
    <row r="1499" spans="1:22" ht="16.5" thickTop="1" thickBot="1">
      <c r="B1499" s="1249" t="s">
        <v>3524</v>
      </c>
      <c r="C1499" s="1329" t="s">
        <v>3628</v>
      </c>
      <c r="D1499" s="1326" t="s">
        <v>227</v>
      </c>
      <c r="E1499" s="1249" t="s">
        <v>3955</v>
      </c>
      <c r="F1499" s="455" t="s">
        <v>3956</v>
      </c>
      <c r="G1499" s="456" t="s">
        <v>156</v>
      </c>
      <c r="H1499" s="889">
        <v>0</v>
      </c>
      <c r="I1499" s="891"/>
      <c r="J1499" s="601"/>
      <c r="K1499" s="602">
        <v>0</v>
      </c>
      <c r="L1499" s="981">
        <v>1</v>
      </c>
      <c r="M1499" s="1249" t="s">
        <v>227</v>
      </c>
      <c r="N1499" s="604" t="s">
        <v>227</v>
      </c>
      <c r="O1499" s="465">
        <v>1</v>
      </c>
      <c r="P1499" s="435"/>
      <c r="Q1499" s="435"/>
      <c r="R1499" s="401">
        <v>0</v>
      </c>
      <c r="S1499" s="466">
        <v>0</v>
      </c>
    </row>
    <row r="1500" spans="1:22" ht="16.5" thickTop="1" thickBot="1">
      <c r="B1500" s="1249" t="s">
        <v>3524</v>
      </c>
      <c r="C1500" s="1329" t="s">
        <v>3628</v>
      </c>
      <c r="D1500" s="1326" t="s">
        <v>227</v>
      </c>
      <c r="E1500" s="1249" t="s">
        <v>3957</v>
      </c>
      <c r="F1500" s="455" t="s">
        <v>3958</v>
      </c>
      <c r="G1500" s="456" t="s">
        <v>156</v>
      </c>
      <c r="H1500" s="889"/>
      <c r="I1500" s="891"/>
      <c r="J1500" s="601"/>
      <c r="K1500" s="602">
        <v>0</v>
      </c>
      <c r="L1500" s="981">
        <v>2</v>
      </c>
      <c r="M1500" s="1249" t="s">
        <v>366</v>
      </c>
      <c r="N1500" s="604" t="s">
        <v>227</v>
      </c>
      <c r="O1500" s="465">
        <v>2</v>
      </c>
      <c r="P1500" s="435"/>
      <c r="Q1500" s="435"/>
      <c r="R1500" s="401">
        <v>0</v>
      </c>
      <c r="S1500" s="466">
        <v>0</v>
      </c>
    </row>
    <row r="1501" spans="1:22" ht="16.5" thickTop="1" thickBot="1">
      <c r="B1501" s="1249" t="s">
        <v>3524</v>
      </c>
      <c r="C1501" s="1329" t="s">
        <v>3628</v>
      </c>
      <c r="D1501" s="1326" t="s">
        <v>227</v>
      </c>
      <c r="E1501" s="1249" t="s">
        <v>3959</v>
      </c>
      <c r="F1501" s="455" t="s">
        <v>3960</v>
      </c>
      <c r="G1501" s="456" t="s">
        <v>156</v>
      </c>
      <c r="H1501" s="889"/>
      <c r="I1501" s="891"/>
      <c r="J1501" s="601"/>
      <c r="K1501" s="602">
        <v>0</v>
      </c>
      <c r="L1501" s="981">
        <v>3</v>
      </c>
      <c r="M1501" s="1249" t="s">
        <v>366</v>
      </c>
      <c r="N1501" s="604" t="s">
        <v>227</v>
      </c>
      <c r="O1501" s="465">
        <v>3</v>
      </c>
      <c r="P1501" s="435"/>
      <c r="Q1501" s="435"/>
      <c r="R1501" s="401">
        <v>0</v>
      </c>
      <c r="S1501" s="466">
        <v>0</v>
      </c>
    </row>
    <row r="1502" spans="1:22" ht="16.5" thickTop="1" thickBot="1">
      <c r="B1502" s="1249" t="s">
        <v>1568</v>
      </c>
      <c r="C1502" s="1329" t="s">
        <v>227</v>
      </c>
      <c r="D1502" s="1326" t="s">
        <v>227</v>
      </c>
      <c r="E1502" s="1249" t="s">
        <v>1942</v>
      </c>
      <c r="F1502" s="455" t="s">
        <v>1943</v>
      </c>
      <c r="G1502" s="456" t="s">
        <v>156</v>
      </c>
      <c r="H1502" s="889">
        <v>11</v>
      </c>
      <c r="I1502" s="891">
        <v>230.97399999999999</v>
      </c>
      <c r="J1502" s="601">
        <v>782.18600000000004</v>
      </c>
      <c r="K1502" s="602">
        <v>0.48780487804878048</v>
      </c>
      <c r="L1502" s="981">
        <v>11</v>
      </c>
      <c r="M1502" s="1249" t="s">
        <v>323</v>
      </c>
      <c r="N1502" s="604" t="s">
        <v>227</v>
      </c>
      <c r="O1502" s="465">
        <v>1</v>
      </c>
      <c r="P1502" s="435">
        <v>319.52199999999999</v>
      </c>
      <c r="Q1502" s="435">
        <v>17</v>
      </c>
      <c r="R1502" s="401">
        <v>4</v>
      </c>
      <c r="S1502" s="466">
        <v>0.38095238095238093</v>
      </c>
    </row>
    <row r="1503" spans="1:22" ht="16.5" thickTop="1" thickBot="1">
      <c r="B1503" s="1249" t="s">
        <v>1568</v>
      </c>
      <c r="C1503" s="1329" t="s">
        <v>227</v>
      </c>
      <c r="D1503" s="1326" t="s">
        <v>227</v>
      </c>
      <c r="E1503" s="1249" t="s">
        <v>3099</v>
      </c>
      <c r="F1503" s="455" t="s">
        <v>3100</v>
      </c>
      <c r="G1503" s="456" t="s">
        <v>155</v>
      </c>
      <c r="H1503" s="889"/>
      <c r="I1503" s="891"/>
      <c r="J1503" s="601">
        <v>24.347000000000001</v>
      </c>
      <c r="K1503" s="602">
        <v>0.21052631578947367</v>
      </c>
      <c r="L1503" s="981">
        <v>5</v>
      </c>
      <c r="M1503" s="1249" t="s">
        <v>366</v>
      </c>
      <c r="N1503" s="604" t="s">
        <v>227</v>
      </c>
      <c r="O1503" s="465">
        <v>1</v>
      </c>
      <c r="P1503" s="435">
        <v>16.545999999999999</v>
      </c>
      <c r="Q1503" s="435">
        <v>1</v>
      </c>
      <c r="R1503" s="401">
        <v>1</v>
      </c>
      <c r="S1503" s="466">
        <v>0.22222222222222221</v>
      </c>
    </row>
    <row r="1504" spans="1:22" ht="16.5" thickTop="1" thickBot="1">
      <c r="B1504" s="1249" t="s">
        <v>1568</v>
      </c>
      <c r="C1504" s="1329" t="s">
        <v>956</v>
      </c>
      <c r="D1504" s="1326" t="s">
        <v>227</v>
      </c>
      <c r="E1504" s="1249" t="s">
        <v>956</v>
      </c>
      <c r="F1504" s="455" t="s">
        <v>958</v>
      </c>
      <c r="G1504" s="456" t="s">
        <v>739</v>
      </c>
      <c r="H1504" s="889">
        <v>19</v>
      </c>
      <c r="I1504" s="891">
        <v>77.975999999999999</v>
      </c>
      <c r="J1504" s="601">
        <v>521.84400000000005</v>
      </c>
      <c r="K1504" s="602">
        <v>0.27368421052631581</v>
      </c>
      <c r="L1504" s="981">
        <v>21</v>
      </c>
      <c r="M1504" s="1249" t="s">
        <v>323</v>
      </c>
      <c r="N1504" s="604" t="s">
        <v>227</v>
      </c>
      <c r="O1504" s="465">
        <v>6</v>
      </c>
      <c r="P1504" s="435">
        <v>116.65</v>
      </c>
      <c r="Q1504" s="435">
        <v>10</v>
      </c>
      <c r="R1504" s="401">
        <v>8</v>
      </c>
      <c r="S1504" s="466">
        <v>0.44444444444444442</v>
      </c>
    </row>
    <row r="1505" spans="2:19" ht="16.5" thickTop="1" thickBot="1">
      <c r="B1505" s="1249" t="s">
        <v>1568</v>
      </c>
      <c r="C1505" s="1329" t="s">
        <v>956</v>
      </c>
      <c r="D1505" s="1326" t="s">
        <v>227</v>
      </c>
      <c r="E1505" s="1249" t="s">
        <v>1529</v>
      </c>
      <c r="F1505" s="455" t="s">
        <v>1530</v>
      </c>
      <c r="G1505" s="456" t="s">
        <v>157</v>
      </c>
      <c r="H1505" s="889">
        <v>14</v>
      </c>
      <c r="I1505" s="891">
        <v>10.992000000000001</v>
      </c>
      <c r="J1505" s="601">
        <v>71.394999999999996</v>
      </c>
      <c r="K1505" s="602">
        <v>5.5555555555555552E-2</v>
      </c>
      <c r="L1505" s="981">
        <v>7</v>
      </c>
      <c r="M1505" s="1249" t="s">
        <v>366</v>
      </c>
      <c r="N1505" s="604" t="s">
        <v>227</v>
      </c>
      <c r="O1505" s="465"/>
      <c r="P1505" s="435">
        <v>0</v>
      </c>
      <c r="Q1505" s="435"/>
      <c r="R1505" s="401">
        <v>0</v>
      </c>
      <c r="S1505" s="466">
        <v>0</v>
      </c>
    </row>
    <row r="1506" spans="2:19" ht="16.5" thickTop="1" thickBot="1">
      <c r="B1506" s="1249" t="s">
        <v>1568</v>
      </c>
      <c r="C1506" s="1329" t="s">
        <v>956</v>
      </c>
      <c r="D1506" s="1326" t="s">
        <v>227</v>
      </c>
      <c r="E1506" s="1249" t="s">
        <v>1531</v>
      </c>
      <c r="F1506" s="455" t="s">
        <v>1532</v>
      </c>
      <c r="G1506" s="456" t="s">
        <v>156</v>
      </c>
      <c r="H1506" s="889">
        <v>14</v>
      </c>
      <c r="I1506" s="891">
        <v>111.547</v>
      </c>
      <c r="J1506" s="601">
        <v>633.87800000000004</v>
      </c>
      <c r="K1506" s="602">
        <v>0.36065573770491804</v>
      </c>
      <c r="L1506" s="981">
        <v>7</v>
      </c>
      <c r="M1506" s="1249" t="s">
        <v>323</v>
      </c>
      <c r="N1506" s="604" t="s">
        <v>227</v>
      </c>
      <c r="O1506" s="465">
        <v>1</v>
      </c>
      <c r="P1506" s="435">
        <v>21.74</v>
      </c>
      <c r="Q1506" s="435">
        <v>2</v>
      </c>
      <c r="R1506" s="401">
        <v>2</v>
      </c>
      <c r="S1506" s="466">
        <v>0.30769230769230771</v>
      </c>
    </row>
    <row r="1507" spans="2:19" ht="16.5" thickTop="1" thickBot="1">
      <c r="B1507" s="1249" t="s">
        <v>1568</v>
      </c>
      <c r="C1507" s="1329" t="s">
        <v>956</v>
      </c>
      <c r="D1507" s="1326" t="s">
        <v>227</v>
      </c>
      <c r="E1507" s="1249" t="s">
        <v>1533</v>
      </c>
      <c r="F1507" s="455" t="s">
        <v>1534</v>
      </c>
      <c r="G1507" s="456" t="s">
        <v>157</v>
      </c>
      <c r="H1507" s="889">
        <v>14</v>
      </c>
      <c r="I1507" s="891">
        <v>61.648000000000003</v>
      </c>
      <c r="J1507" s="601">
        <v>159.86099999999999</v>
      </c>
      <c r="K1507" s="602">
        <v>0.31858407079646017</v>
      </c>
      <c r="L1507" s="981">
        <v>6</v>
      </c>
      <c r="M1507" s="1249" t="s">
        <v>366</v>
      </c>
      <c r="N1507" s="604" t="s">
        <v>227</v>
      </c>
      <c r="O1507" s="465">
        <v>1</v>
      </c>
      <c r="P1507" s="435">
        <v>0</v>
      </c>
      <c r="Q1507" s="435"/>
      <c r="R1507" s="401">
        <v>0</v>
      </c>
      <c r="S1507" s="466">
        <v>0</v>
      </c>
    </row>
    <row r="1508" spans="2:19" ht="16.5" thickTop="1" thickBot="1">
      <c r="B1508" s="1249" t="s">
        <v>1568</v>
      </c>
      <c r="C1508" s="1329" t="s">
        <v>956</v>
      </c>
      <c r="D1508" s="1326" t="s">
        <v>227</v>
      </c>
      <c r="E1508" s="1249" t="s">
        <v>1940</v>
      </c>
      <c r="F1508" s="455" t="s">
        <v>1941</v>
      </c>
      <c r="G1508" s="456" t="s">
        <v>156</v>
      </c>
      <c r="H1508" s="889">
        <v>11</v>
      </c>
      <c r="I1508" s="891">
        <v>27.672999999999998</v>
      </c>
      <c r="J1508" s="601">
        <v>440.46600000000001</v>
      </c>
      <c r="K1508" s="602">
        <v>0.40875912408759124</v>
      </c>
      <c r="L1508" s="981">
        <v>11</v>
      </c>
      <c r="M1508" s="1249" t="s">
        <v>323</v>
      </c>
      <c r="N1508" s="604" t="s">
        <v>227</v>
      </c>
      <c r="O1508" s="465"/>
      <c r="P1508" s="435">
        <v>11.593</v>
      </c>
      <c r="Q1508" s="435">
        <v>1</v>
      </c>
      <c r="R1508" s="401">
        <v>1</v>
      </c>
      <c r="S1508" s="466">
        <v>9.0909090909090912E-2</v>
      </c>
    </row>
    <row r="1509" spans="2:19" ht="16.5" thickTop="1" thickBot="1">
      <c r="B1509" s="1249" t="s">
        <v>1568</v>
      </c>
      <c r="C1509" s="1329" t="s">
        <v>956</v>
      </c>
      <c r="D1509" s="1326" t="s">
        <v>227</v>
      </c>
      <c r="E1509" s="1249" t="s">
        <v>2690</v>
      </c>
      <c r="F1509" s="455" t="s">
        <v>2691</v>
      </c>
      <c r="G1509" s="456" t="s">
        <v>156</v>
      </c>
      <c r="H1509" s="889">
        <v>5</v>
      </c>
      <c r="I1509" s="891"/>
      <c r="J1509" s="601">
        <v>61.091000000000001</v>
      </c>
      <c r="K1509" s="602">
        <v>0.24390243902439024</v>
      </c>
      <c r="L1509" s="981">
        <v>5</v>
      </c>
      <c r="M1509" s="1249" t="s">
        <v>322</v>
      </c>
      <c r="N1509" s="604" t="s">
        <v>227</v>
      </c>
      <c r="O1509" s="465"/>
      <c r="P1509" s="435">
        <v>7.4290000000000003</v>
      </c>
      <c r="Q1509" s="435">
        <v>1</v>
      </c>
      <c r="R1509" s="401">
        <v>1</v>
      </c>
      <c r="S1509" s="466">
        <v>0.2</v>
      </c>
    </row>
    <row r="1510" spans="2:19" ht="16.5" thickTop="1" thickBot="1">
      <c r="B1510" s="1249" t="s">
        <v>1568</v>
      </c>
      <c r="C1510" s="1329" t="s">
        <v>956</v>
      </c>
      <c r="D1510" s="1326" t="s">
        <v>227</v>
      </c>
      <c r="E1510" s="1249" t="s">
        <v>2666</v>
      </c>
      <c r="F1510" s="455" t="s">
        <v>2668</v>
      </c>
      <c r="G1510" s="456" t="s">
        <v>157</v>
      </c>
      <c r="H1510" s="889">
        <v>4</v>
      </c>
      <c r="I1510" s="891">
        <v>8.0679999999999996</v>
      </c>
      <c r="J1510" s="601">
        <v>15.805999999999999</v>
      </c>
      <c r="K1510" s="602">
        <v>0.25</v>
      </c>
      <c r="L1510" s="981">
        <v>2</v>
      </c>
      <c r="M1510" s="1249" t="s">
        <v>366</v>
      </c>
      <c r="N1510" s="604" t="s">
        <v>227</v>
      </c>
      <c r="O1510" s="465"/>
      <c r="P1510" s="435"/>
      <c r="Q1510" s="435"/>
      <c r="R1510" s="401">
        <v>0</v>
      </c>
      <c r="S1510" s="466">
        <v>0</v>
      </c>
    </row>
    <row r="1511" spans="2:19" ht="16.5" thickTop="1" thickBot="1">
      <c r="B1511" s="1249" t="s">
        <v>1568</v>
      </c>
      <c r="C1511" s="1329" t="s">
        <v>956</v>
      </c>
      <c r="D1511" s="1326" t="s">
        <v>227</v>
      </c>
      <c r="E1511" s="1249" t="s">
        <v>3407</v>
      </c>
      <c r="F1511" s="455" t="s">
        <v>3408</v>
      </c>
      <c r="G1511" s="456" t="s">
        <v>156</v>
      </c>
      <c r="H1511" s="889">
        <v>2</v>
      </c>
      <c r="I1511" s="891"/>
      <c r="J1511" s="601">
        <v>0</v>
      </c>
      <c r="K1511" s="602">
        <v>0.22222222222222221</v>
      </c>
      <c r="L1511" s="981">
        <v>3</v>
      </c>
      <c r="M1511" s="1249" t="s">
        <v>366</v>
      </c>
      <c r="N1511" s="604" t="s">
        <v>227</v>
      </c>
      <c r="O1511" s="465"/>
      <c r="P1511" s="435">
        <v>-15.084</v>
      </c>
      <c r="Q1511" s="435">
        <v>-1</v>
      </c>
      <c r="R1511" s="401">
        <v>0</v>
      </c>
      <c r="S1511" s="466">
        <v>0</v>
      </c>
    </row>
    <row r="1512" spans="2:19" ht="16.5" thickTop="1" thickBot="1">
      <c r="B1512" s="1249" t="s">
        <v>1568</v>
      </c>
      <c r="C1512" s="1329" t="s">
        <v>956</v>
      </c>
      <c r="D1512" s="1326" t="s">
        <v>227</v>
      </c>
      <c r="E1512" s="1249" t="s">
        <v>3409</v>
      </c>
      <c r="F1512" s="455" t="s">
        <v>3410</v>
      </c>
      <c r="G1512" s="456" t="s">
        <v>156</v>
      </c>
      <c r="H1512" s="889">
        <v>1</v>
      </c>
      <c r="I1512" s="891">
        <v>91.605999999999995</v>
      </c>
      <c r="J1512" s="601">
        <v>142.88200000000001</v>
      </c>
      <c r="K1512" s="602">
        <v>0.8</v>
      </c>
      <c r="L1512" s="981">
        <v>7</v>
      </c>
      <c r="M1512" s="1249" t="s">
        <v>323</v>
      </c>
      <c r="N1512" s="604" t="s">
        <v>227</v>
      </c>
      <c r="O1512" s="465">
        <v>3</v>
      </c>
      <c r="P1512" s="435">
        <v>89.662000000000006</v>
      </c>
      <c r="Q1512" s="435">
        <v>7</v>
      </c>
      <c r="R1512" s="401">
        <v>3</v>
      </c>
      <c r="S1512" s="466">
        <v>0.54545454545454541</v>
      </c>
    </row>
    <row r="1513" spans="2:19" ht="16.5" thickTop="1" thickBot="1">
      <c r="B1513" s="1249" t="s">
        <v>1568</v>
      </c>
      <c r="C1513" s="1329" t="s">
        <v>959</v>
      </c>
      <c r="D1513" s="1326" t="s">
        <v>227</v>
      </c>
      <c r="E1513" s="1249" t="s">
        <v>959</v>
      </c>
      <c r="F1513" s="455" t="s">
        <v>961</v>
      </c>
      <c r="G1513" s="456" t="s">
        <v>158</v>
      </c>
      <c r="H1513" s="889">
        <v>19</v>
      </c>
      <c r="I1513" s="891">
        <v>79.903000000000006</v>
      </c>
      <c r="J1513" s="601">
        <v>189.07</v>
      </c>
      <c r="K1513" s="602">
        <v>0.15094339622641509</v>
      </c>
      <c r="L1513" s="981">
        <v>8</v>
      </c>
      <c r="M1513" s="1249" t="s">
        <v>366</v>
      </c>
      <c r="N1513" s="604" t="s">
        <v>227</v>
      </c>
      <c r="O1513" s="465"/>
      <c r="P1513" s="435">
        <v>0</v>
      </c>
      <c r="Q1513" s="435"/>
      <c r="R1513" s="401">
        <v>0</v>
      </c>
      <c r="S1513" s="466">
        <v>0</v>
      </c>
    </row>
    <row r="1514" spans="2:19" ht="16.5" thickTop="1" thickBot="1">
      <c r="B1514" s="1249" t="s">
        <v>1568</v>
      </c>
      <c r="C1514" s="1329" t="s">
        <v>959</v>
      </c>
      <c r="D1514" s="1326" t="s">
        <v>227</v>
      </c>
      <c r="E1514" s="1249" t="s">
        <v>1044</v>
      </c>
      <c r="F1514" s="455" t="s">
        <v>328</v>
      </c>
      <c r="G1514" s="456" t="s">
        <v>157</v>
      </c>
      <c r="H1514" s="889">
        <v>19</v>
      </c>
      <c r="I1514" s="891">
        <v>48.127000000000002</v>
      </c>
      <c r="J1514" s="601">
        <v>1157.3889999999999</v>
      </c>
      <c r="K1514" s="602">
        <v>0.43421052631578949</v>
      </c>
      <c r="L1514" s="981">
        <v>12</v>
      </c>
      <c r="M1514" s="1249" t="s">
        <v>323</v>
      </c>
      <c r="N1514" s="604" t="s">
        <v>227</v>
      </c>
      <c r="O1514" s="465">
        <v>1</v>
      </c>
      <c r="P1514" s="435">
        <v>85.49</v>
      </c>
      <c r="Q1514" s="435">
        <v>8</v>
      </c>
      <c r="R1514" s="401">
        <v>2</v>
      </c>
      <c r="S1514" s="466">
        <v>0.17391304347826086</v>
      </c>
    </row>
    <row r="1515" spans="2:19" ht="16.5" thickTop="1" thickBot="1">
      <c r="B1515" s="1249" t="s">
        <v>1568</v>
      </c>
      <c r="C1515" s="1329" t="s">
        <v>959</v>
      </c>
      <c r="D1515" s="1326" t="s">
        <v>227</v>
      </c>
      <c r="E1515" s="1249" t="s">
        <v>1260</v>
      </c>
      <c r="F1515" s="455" t="s">
        <v>1261</v>
      </c>
      <c r="G1515" s="456" t="s">
        <v>156</v>
      </c>
      <c r="H1515" s="889">
        <v>17</v>
      </c>
      <c r="I1515" s="891">
        <v>230.155</v>
      </c>
      <c r="J1515" s="601">
        <v>387.75099999999998</v>
      </c>
      <c r="K1515" s="602">
        <v>0.42</v>
      </c>
      <c r="L1515" s="981">
        <v>3</v>
      </c>
      <c r="M1515" s="1249" t="s">
        <v>321</v>
      </c>
      <c r="N1515" s="604" t="s">
        <v>227</v>
      </c>
      <c r="O1515" s="465">
        <v>1</v>
      </c>
      <c r="P1515" s="435">
        <v>15.874000000000001</v>
      </c>
      <c r="Q1515" s="435">
        <v>1</v>
      </c>
      <c r="R1515" s="401">
        <v>1</v>
      </c>
      <c r="S1515" s="466">
        <v>0.4</v>
      </c>
    </row>
    <row r="1516" spans="2:19" ht="16.5" thickTop="1" thickBot="1">
      <c r="B1516" s="1249" t="s">
        <v>1568</v>
      </c>
      <c r="C1516" s="1329" t="s">
        <v>959</v>
      </c>
      <c r="D1516" s="1326" t="s">
        <v>227</v>
      </c>
      <c r="E1516" s="1249" t="s">
        <v>1411</v>
      </c>
      <c r="F1516" s="455" t="s">
        <v>1412</v>
      </c>
      <c r="G1516" s="456" t="s">
        <v>156</v>
      </c>
      <c r="H1516" s="889">
        <v>15</v>
      </c>
      <c r="I1516" s="891">
        <v>30.608000000000001</v>
      </c>
      <c r="J1516" s="601">
        <v>1048.4110000000001</v>
      </c>
      <c r="K1516" s="602">
        <v>0.41148325358851673</v>
      </c>
      <c r="L1516" s="981">
        <v>11</v>
      </c>
      <c r="M1516" s="1249" t="s">
        <v>323</v>
      </c>
      <c r="N1516" s="604" t="s">
        <v>227</v>
      </c>
      <c r="O1516" s="465"/>
      <c r="P1516" s="435">
        <v>45.2</v>
      </c>
      <c r="Q1516" s="435">
        <v>4</v>
      </c>
      <c r="R1516" s="401">
        <v>3</v>
      </c>
      <c r="S1516" s="466">
        <v>0.27272727272727271</v>
      </c>
    </row>
    <row r="1517" spans="2:19" ht="16.5" thickTop="1" thickBot="1">
      <c r="B1517" s="1249" t="s">
        <v>1568</v>
      </c>
      <c r="C1517" s="1329" t="s">
        <v>959</v>
      </c>
      <c r="D1517" s="1326" t="s">
        <v>227</v>
      </c>
      <c r="E1517" s="1249" t="s">
        <v>2188</v>
      </c>
      <c r="F1517" s="455" t="s">
        <v>2189</v>
      </c>
      <c r="G1517" s="456" t="s">
        <v>156</v>
      </c>
      <c r="H1517" s="889">
        <v>10</v>
      </c>
      <c r="I1517" s="891">
        <v>597.54700000000003</v>
      </c>
      <c r="J1517" s="601">
        <v>1028.143</v>
      </c>
      <c r="K1517" s="602">
        <v>0.53254437869822491</v>
      </c>
      <c r="L1517" s="981">
        <v>18</v>
      </c>
      <c r="M1517" s="1249" t="s">
        <v>323</v>
      </c>
      <c r="N1517" s="604" t="s">
        <v>227</v>
      </c>
      <c r="O1517" s="465">
        <v>1</v>
      </c>
      <c r="P1517" s="435">
        <v>225.32499999999999</v>
      </c>
      <c r="Q1517" s="435">
        <v>17</v>
      </c>
      <c r="R1517" s="401">
        <v>6</v>
      </c>
      <c r="S1517" s="466">
        <v>0.34285714285714286</v>
      </c>
    </row>
    <row r="1518" spans="2:19" ht="16.5" thickTop="1" thickBot="1">
      <c r="B1518" s="1249" t="s">
        <v>1568</v>
      </c>
      <c r="C1518" s="1329" t="s">
        <v>959</v>
      </c>
      <c r="D1518" s="1326" t="s">
        <v>227</v>
      </c>
      <c r="E1518" s="1249" t="s">
        <v>2634</v>
      </c>
      <c r="F1518" s="455" t="s">
        <v>2635</v>
      </c>
      <c r="G1518" s="456" t="s">
        <v>155</v>
      </c>
      <c r="H1518" s="889"/>
      <c r="I1518" s="891"/>
      <c r="J1518" s="601">
        <v>86.525000000000006</v>
      </c>
      <c r="K1518" s="602">
        <v>0.27777777777777779</v>
      </c>
      <c r="L1518" s="981">
        <v>3</v>
      </c>
      <c r="M1518" s="1249" t="s">
        <v>366</v>
      </c>
      <c r="N1518" s="604" t="s">
        <v>227</v>
      </c>
      <c r="O1518" s="465"/>
      <c r="P1518" s="435">
        <v>10.103</v>
      </c>
      <c r="Q1518" s="435">
        <v>1</v>
      </c>
      <c r="R1518" s="401">
        <v>1</v>
      </c>
      <c r="S1518" s="466">
        <v>0.33333333333333331</v>
      </c>
    </row>
    <row r="1519" spans="2:19" ht="16.5" thickTop="1" thickBot="1">
      <c r="B1519" s="1249" t="s">
        <v>1568</v>
      </c>
      <c r="C1519" s="1329" t="s">
        <v>959</v>
      </c>
      <c r="D1519" s="1326" t="s">
        <v>227</v>
      </c>
      <c r="E1519" s="1249" t="s">
        <v>2949</v>
      </c>
      <c r="F1519" s="455" t="s">
        <v>2951</v>
      </c>
      <c r="G1519" s="456" t="s">
        <v>157</v>
      </c>
      <c r="H1519" s="889">
        <v>2</v>
      </c>
      <c r="I1519" s="891">
        <v>15.688000000000001</v>
      </c>
      <c r="J1519" s="601">
        <v>31.100999999999999</v>
      </c>
      <c r="K1519" s="602">
        <v>0.54545454545454541</v>
      </c>
      <c r="L1519" s="981">
        <v>3</v>
      </c>
      <c r="M1519" s="1249" t="s">
        <v>321</v>
      </c>
      <c r="N1519" s="604" t="s">
        <v>227</v>
      </c>
      <c r="O1519" s="465">
        <v>1</v>
      </c>
      <c r="P1519" s="435">
        <v>23.055</v>
      </c>
      <c r="Q1519" s="435">
        <v>2</v>
      </c>
      <c r="R1519" s="401">
        <v>2</v>
      </c>
      <c r="S1519" s="466">
        <v>0.8</v>
      </c>
    </row>
    <row r="1520" spans="2:19" ht="16.5" thickTop="1" thickBot="1">
      <c r="B1520" s="1249" t="s">
        <v>1568</v>
      </c>
      <c r="C1520" s="1329" t="s">
        <v>959</v>
      </c>
      <c r="D1520" s="1326" t="s">
        <v>227</v>
      </c>
      <c r="E1520" s="1249" t="s">
        <v>3101</v>
      </c>
      <c r="F1520" s="455" t="s">
        <v>3102</v>
      </c>
      <c r="G1520" s="456" t="s">
        <v>156</v>
      </c>
      <c r="H1520" s="889">
        <v>2</v>
      </c>
      <c r="I1520" s="891">
        <v>10.132999999999999</v>
      </c>
      <c r="J1520" s="601">
        <v>10.132999999999999</v>
      </c>
      <c r="K1520" s="602">
        <v>0.14285714285714285</v>
      </c>
      <c r="L1520" s="981">
        <v>4</v>
      </c>
      <c r="M1520" s="1249" t="s">
        <v>366</v>
      </c>
      <c r="N1520" s="604" t="s">
        <v>227</v>
      </c>
      <c r="O1520" s="465">
        <v>1</v>
      </c>
      <c r="P1520" s="435"/>
      <c r="Q1520" s="435"/>
      <c r="R1520" s="401">
        <v>0</v>
      </c>
      <c r="S1520" s="466">
        <v>0</v>
      </c>
    </row>
    <row r="1521" spans="2:19" ht="16.5" thickTop="1" thickBot="1">
      <c r="B1521" s="1249" t="s">
        <v>1568</v>
      </c>
      <c r="C1521" s="1329" t="s">
        <v>959</v>
      </c>
      <c r="D1521" s="1326" t="s">
        <v>227</v>
      </c>
      <c r="E1521" s="1249" t="s">
        <v>3411</v>
      </c>
      <c r="F1521" s="455" t="s">
        <v>2352</v>
      </c>
      <c r="G1521" s="456" t="s">
        <v>156</v>
      </c>
      <c r="H1521" s="889">
        <v>1</v>
      </c>
      <c r="I1521" s="891"/>
      <c r="J1521" s="601">
        <v>25.478999999999999</v>
      </c>
      <c r="K1521" s="602">
        <v>0.5</v>
      </c>
      <c r="L1521" s="981">
        <v>4</v>
      </c>
      <c r="M1521" s="1249" t="s">
        <v>323</v>
      </c>
      <c r="N1521" s="604" t="s">
        <v>227</v>
      </c>
      <c r="O1521" s="465">
        <v>2</v>
      </c>
      <c r="P1521" s="435">
        <v>25.478999999999999</v>
      </c>
      <c r="Q1521" s="435">
        <v>2</v>
      </c>
      <c r="R1521" s="401">
        <v>2</v>
      </c>
      <c r="S1521" s="466">
        <v>0.66666666666666663</v>
      </c>
    </row>
    <row r="1522" spans="2:19" ht="16.5" thickTop="1" thickBot="1">
      <c r="B1522" s="1249" t="s">
        <v>1568</v>
      </c>
      <c r="C1522" s="1329" t="s">
        <v>1865</v>
      </c>
      <c r="D1522" s="1326" t="s">
        <v>227</v>
      </c>
      <c r="E1522" s="1249" t="s">
        <v>1865</v>
      </c>
      <c r="F1522" s="455" t="s">
        <v>744</v>
      </c>
      <c r="G1522" s="456" t="s">
        <v>739</v>
      </c>
      <c r="H1522" s="889">
        <v>11</v>
      </c>
      <c r="I1522" s="891">
        <v>46.613999999999997</v>
      </c>
      <c r="J1522" s="601">
        <v>94.210999999999999</v>
      </c>
      <c r="K1522" s="602">
        <v>0.18181818181818182</v>
      </c>
      <c r="L1522" s="981">
        <v>2</v>
      </c>
      <c r="M1522" s="1249" t="s">
        <v>366</v>
      </c>
      <c r="N1522" s="604" t="s">
        <v>227</v>
      </c>
      <c r="O1522" s="465"/>
      <c r="P1522" s="435"/>
      <c r="Q1522" s="435"/>
      <c r="R1522" s="401">
        <v>0</v>
      </c>
      <c r="S1522" s="466">
        <v>0</v>
      </c>
    </row>
    <row r="1523" spans="2:19" ht="16.5" thickTop="1" thickBot="1">
      <c r="B1523" s="1249" t="s">
        <v>1568</v>
      </c>
      <c r="C1523" s="1329" t="s">
        <v>1865</v>
      </c>
      <c r="D1523" s="1326" t="s">
        <v>227</v>
      </c>
      <c r="E1523" s="1249" t="s">
        <v>1895</v>
      </c>
      <c r="F1523" s="455" t="s">
        <v>1897</v>
      </c>
      <c r="G1523" s="456" t="s">
        <v>157</v>
      </c>
      <c r="H1523" s="889">
        <v>11</v>
      </c>
      <c r="I1523" s="891">
        <v>23.135999999999999</v>
      </c>
      <c r="J1523" s="601">
        <v>76.558999999999997</v>
      </c>
      <c r="K1523" s="602">
        <v>0.11764705882352941</v>
      </c>
      <c r="L1523" s="981">
        <v>3</v>
      </c>
      <c r="M1523" s="1249" t="s">
        <v>366</v>
      </c>
      <c r="N1523" s="604" t="s">
        <v>227</v>
      </c>
      <c r="O1523" s="465"/>
      <c r="P1523" s="435"/>
      <c r="Q1523" s="435"/>
      <c r="R1523" s="401">
        <v>0</v>
      </c>
      <c r="S1523" s="466">
        <v>0</v>
      </c>
    </row>
    <row r="1524" spans="2:19" ht="16.5" thickTop="1" thickBot="1">
      <c r="B1524" s="1249" t="s">
        <v>1568</v>
      </c>
      <c r="C1524" s="1329" t="s">
        <v>1865</v>
      </c>
      <c r="D1524" s="1326" t="s">
        <v>227</v>
      </c>
      <c r="E1524" s="1249" t="s">
        <v>1944</v>
      </c>
      <c r="F1524" s="455" t="s">
        <v>881</v>
      </c>
      <c r="G1524" s="456" t="s">
        <v>156</v>
      </c>
      <c r="H1524" s="889">
        <v>11</v>
      </c>
      <c r="I1524" s="891">
        <v>136.74299999999999</v>
      </c>
      <c r="J1524" s="601">
        <v>243.27199999999999</v>
      </c>
      <c r="K1524" s="602">
        <v>0.20930232558139536</v>
      </c>
      <c r="L1524" s="981">
        <v>2</v>
      </c>
      <c r="M1524" s="1249" t="s">
        <v>321</v>
      </c>
      <c r="N1524" s="604" t="s">
        <v>227</v>
      </c>
      <c r="O1524" s="465"/>
      <c r="P1524" s="435">
        <v>50.585000000000001</v>
      </c>
      <c r="Q1524" s="435">
        <v>4</v>
      </c>
      <c r="R1524" s="401">
        <v>1</v>
      </c>
      <c r="S1524" s="466">
        <v>0.5</v>
      </c>
    </row>
    <row r="1525" spans="2:19" ht="16.5" thickTop="1" thickBot="1">
      <c r="B1525" s="1249" t="s">
        <v>1568</v>
      </c>
      <c r="C1525" s="1329" t="s">
        <v>1865</v>
      </c>
      <c r="D1525" s="1326" t="s">
        <v>227</v>
      </c>
      <c r="E1525" s="1249" t="s">
        <v>2038</v>
      </c>
      <c r="F1525" s="455" t="s">
        <v>2039</v>
      </c>
      <c r="G1525" s="456" t="s">
        <v>156</v>
      </c>
      <c r="H1525" s="889">
        <v>10</v>
      </c>
      <c r="I1525" s="891">
        <v>72.024000000000001</v>
      </c>
      <c r="J1525" s="601">
        <v>302.31400000000002</v>
      </c>
      <c r="K1525" s="602">
        <v>0.4</v>
      </c>
      <c r="L1525" s="981">
        <v>3</v>
      </c>
      <c r="M1525" s="1249" t="s">
        <v>323</v>
      </c>
      <c r="N1525" s="604" t="s">
        <v>227</v>
      </c>
      <c r="O1525" s="465"/>
      <c r="P1525" s="435"/>
      <c r="Q1525" s="435"/>
      <c r="R1525" s="401">
        <v>0</v>
      </c>
      <c r="S1525" s="466">
        <v>0</v>
      </c>
    </row>
    <row r="1526" spans="2:19" ht="16.5" thickTop="1" thickBot="1">
      <c r="B1526" s="1249" t="s">
        <v>1568</v>
      </c>
      <c r="C1526" s="1329" t="s">
        <v>1865</v>
      </c>
      <c r="D1526" s="1326" t="s">
        <v>227</v>
      </c>
      <c r="E1526" s="1249" t="s">
        <v>3713</v>
      </c>
      <c r="F1526" s="455" t="s">
        <v>2310</v>
      </c>
      <c r="G1526" s="456" t="s">
        <v>157</v>
      </c>
      <c r="H1526" s="889">
        <v>0</v>
      </c>
      <c r="I1526" s="891">
        <v>15.397</v>
      </c>
      <c r="J1526" s="601">
        <v>15.397</v>
      </c>
      <c r="K1526" s="602">
        <v>2</v>
      </c>
      <c r="L1526" s="981">
        <v>1</v>
      </c>
      <c r="M1526" s="1249" t="s">
        <v>227</v>
      </c>
      <c r="N1526" s="604" t="s">
        <v>227</v>
      </c>
      <c r="O1526" s="465">
        <v>1</v>
      </c>
      <c r="P1526" s="435">
        <v>15.397</v>
      </c>
      <c r="Q1526" s="435">
        <v>1</v>
      </c>
      <c r="R1526" s="401">
        <v>1</v>
      </c>
      <c r="S1526" s="466">
        <v>2</v>
      </c>
    </row>
    <row r="1527" spans="2:19" ht="16.5" thickTop="1" thickBot="1">
      <c r="B1527" s="1249" t="s">
        <v>1568</v>
      </c>
      <c r="C1527" s="1329" t="s">
        <v>1865</v>
      </c>
      <c r="D1527" s="1326" t="s">
        <v>227</v>
      </c>
      <c r="E1527" s="1249" t="s">
        <v>3961</v>
      </c>
      <c r="F1527" s="455" t="s">
        <v>3962</v>
      </c>
      <c r="G1527" s="456" t="s">
        <v>156</v>
      </c>
      <c r="H1527" s="889">
        <v>0</v>
      </c>
      <c r="I1527" s="891"/>
      <c r="J1527" s="601">
        <v>10.028</v>
      </c>
      <c r="K1527" s="602">
        <v>0.66666666666666663</v>
      </c>
      <c r="L1527" s="981">
        <v>3</v>
      </c>
      <c r="M1527" s="1249" t="s">
        <v>227</v>
      </c>
      <c r="N1527" s="604" t="s">
        <v>227</v>
      </c>
      <c r="O1527" s="465">
        <v>3</v>
      </c>
      <c r="P1527" s="435">
        <v>10.028</v>
      </c>
      <c r="Q1527" s="435">
        <v>1</v>
      </c>
      <c r="R1527" s="401">
        <v>1</v>
      </c>
      <c r="S1527" s="466">
        <v>0.66666666666666663</v>
      </c>
    </row>
    <row r="1528" spans="2:19" ht="16.5" thickTop="1" thickBot="1">
      <c r="B1528" s="1249" t="s">
        <v>1568</v>
      </c>
      <c r="C1528" s="1329" t="s">
        <v>1865</v>
      </c>
      <c r="D1528" s="1326" t="s">
        <v>227</v>
      </c>
      <c r="E1528" s="1249" t="s">
        <v>3963</v>
      </c>
      <c r="F1528" s="455" t="s">
        <v>3964</v>
      </c>
      <c r="G1528" s="456" t="s">
        <v>156</v>
      </c>
      <c r="H1528" s="889"/>
      <c r="I1528" s="891"/>
      <c r="J1528" s="601"/>
      <c r="K1528" s="602">
        <v>0</v>
      </c>
      <c r="L1528" s="981">
        <v>1</v>
      </c>
      <c r="M1528" s="1249" t="s">
        <v>366</v>
      </c>
      <c r="N1528" s="604" t="s">
        <v>227</v>
      </c>
      <c r="O1528" s="465">
        <v>1</v>
      </c>
      <c r="P1528" s="435"/>
      <c r="Q1528" s="435"/>
      <c r="R1528" s="401">
        <v>0</v>
      </c>
      <c r="S1528" s="466">
        <v>0</v>
      </c>
    </row>
    <row r="1529" spans="2:19" ht="16.5" thickTop="1" thickBot="1">
      <c r="B1529" s="1249" t="s">
        <v>1568</v>
      </c>
      <c r="C1529" s="1329" t="s">
        <v>2066</v>
      </c>
      <c r="D1529" s="1326" t="s">
        <v>227</v>
      </c>
      <c r="E1529" s="1249" t="s">
        <v>2066</v>
      </c>
      <c r="F1529" s="455" t="s">
        <v>2068</v>
      </c>
      <c r="G1529" s="456" t="s">
        <v>739</v>
      </c>
      <c r="H1529" s="889">
        <v>9</v>
      </c>
      <c r="I1529" s="891">
        <v>47.476999999999997</v>
      </c>
      <c r="J1529" s="601">
        <v>256.82900000000001</v>
      </c>
      <c r="K1529" s="602">
        <v>0.43037974683544306</v>
      </c>
      <c r="L1529" s="981">
        <v>8</v>
      </c>
      <c r="M1529" s="1249" t="s">
        <v>323</v>
      </c>
      <c r="N1529" s="604" t="s">
        <v>227</v>
      </c>
      <c r="O1529" s="465">
        <v>2</v>
      </c>
      <c r="P1529" s="435">
        <v>106.289</v>
      </c>
      <c r="Q1529" s="435">
        <v>9</v>
      </c>
      <c r="R1529" s="401">
        <v>4</v>
      </c>
      <c r="S1529" s="466">
        <v>0.5714285714285714</v>
      </c>
    </row>
    <row r="1530" spans="2:19" ht="16.5" thickTop="1" thickBot="1">
      <c r="B1530" s="1249" t="s">
        <v>1568</v>
      </c>
      <c r="C1530" s="1329" t="s">
        <v>2066</v>
      </c>
      <c r="D1530" s="1326" t="s">
        <v>227</v>
      </c>
      <c r="E1530" s="1249" t="s">
        <v>2100</v>
      </c>
      <c r="F1530" s="455" t="s">
        <v>2102</v>
      </c>
      <c r="G1530" s="456" t="s">
        <v>157</v>
      </c>
      <c r="H1530" s="889">
        <v>9</v>
      </c>
      <c r="I1530" s="891"/>
      <c r="J1530" s="601">
        <v>105.006</v>
      </c>
      <c r="K1530" s="602">
        <v>0.16438356164383561</v>
      </c>
      <c r="L1530" s="981">
        <v>3</v>
      </c>
      <c r="M1530" s="1249" t="s">
        <v>366</v>
      </c>
      <c r="N1530" s="604" t="s">
        <v>227</v>
      </c>
      <c r="O1530" s="465"/>
      <c r="P1530" s="435"/>
      <c r="Q1530" s="435"/>
      <c r="R1530" s="401">
        <v>0</v>
      </c>
      <c r="S1530" s="466">
        <v>0</v>
      </c>
    </row>
    <row r="1531" spans="2:19" ht="16.5" thickTop="1" thickBot="1">
      <c r="B1531" s="1249" t="s">
        <v>1568</v>
      </c>
      <c r="C1531" s="1329" t="s">
        <v>2066</v>
      </c>
      <c r="D1531" s="1326" t="s">
        <v>227</v>
      </c>
      <c r="E1531" s="1249" t="s">
        <v>2103</v>
      </c>
      <c r="F1531" s="455" t="s">
        <v>2105</v>
      </c>
      <c r="G1531" s="456" t="s">
        <v>157</v>
      </c>
      <c r="H1531" s="889">
        <v>9</v>
      </c>
      <c r="I1531" s="891">
        <v>187.37899999999999</v>
      </c>
      <c r="J1531" s="601">
        <v>232.755</v>
      </c>
      <c r="K1531" s="602">
        <v>0.42553191489361702</v>
      </c>
      <c r="L1531" s="981">
        <v>5</v>
      </c>
      <c r="M1531" s="1249" t="s">
        <v>321</v>
      </c>
      <c r="N1531" s="604" t="s">
        <v>227</v>
      </c>
      <c r="O1531" s="465">
        <v>2</v>
      </c>
      <c r="P1531" s="435">
        <v>93.551000000000002</v>
      </c>
      <c r="Q1531" s="435">
        <v>7</v>
      </c>
      <c r="R1531" s="401">
        <v>1</v>
      </c>
      <c r="S1531" s="466">
        <v>0.25</v>
      </c>
    </row>
    <row r="1532" spans="2:19" ht="16.5" thickTop="1" thickBot="1">
      <c r="B1532" s="1249" t="s">
        <v>1568</v>
      </c>
      <c r="C1532" s="1329" t="s">
        <v>2066</v>
      </c>
      <c r="D1532" s="1326" t="s">
        <v>227</v>
      </c>
      <c r="E1532" s="1249" t="s">
        <v>2106</v>
      </c>
      <c r="F1532" s="455" t="s">
        <v>2108</v>
      </c>
      <c r="G1532" s="456" t="s">
        <v>157</v>
      </c>
      <c r="H1532" s="889">
        <v>9</v>
      </c>
      <c r="I1532" s="891">
        <v>30.907</v>
      </c>
      <c r="J1532" s="601">
        <v>201.48400000000001</v>
      </c>
      <c r="K1532" s="602">
        <v>0.34782608695652173</v>
      </c>
      <c r="L1532" s="981">
        <v>8</v>
      </c>
      <c r="M1532" s="1249" t="s">
        <v>321</v>
      </c>
      <c r="N1532" s="604" t="s">
        <v>227</v>
      </c>
      <c r="O1532" s="465"/>
      <c r="P1532" s="435">
        <v>20.471</v>
      </c>
      <c r="Q1532" s="435">
        <v>2</v>
      </c>
      <c r="R1532" s="401">
        <v>2</v>
      </c>
      <c r="S1532" s="466">
        <v>0.25</v>
      </c>
    </row>
    <row r="1533" spans="2:19" ht="16.5" thickTop="1" thickBot="1">
      <c r="B1533" s="1249" t="s">
        <v>1568</v>
      </c>
      <c r="C1533" s="1329" t="s">
        <v>2066</v>
      </c>
      <c r="D1533" s="1326" t="s">
        <v>227</v>
      </c>
      <c r="E1533" s="1249" t="s">
        <v>2190</v>
      </c>
      <c r="F1533" s="455" t="s">
        <v>2191</v>
      </c>
      <c r="G1533" s="456" t="s">
        <v>156</v>
      </c>
      <c r="H1533" s="889">
        <v>9</v>
      </c>
      <c r="I1533" s="891">
        <v>49.334000000000003</v>
      </c>
      <c r="J1533" s="601">
        <v>483.98599999999999</v>
      </c>
      <c r="K1533" s="602">
        <v>0.48484848484848486</v>
      </c>
      <c r="L1533" s="981">
        <v>6</v>
      </c>
      <c r="M1533" s="1249" t="s">
        <v>323</v>
      </c>
      <c r="N1533" s="604" t="s">
        <v>227</v>
      </c>
      <c r="O1533" s="465">
        <v>1</v>
      </c>
      <c r="P1533" s="435">
        <v>109.35899999999999</v>
      </c>
      <c r="Q1533" s="435">
        <v>8</v>
      </c>
      <c r="R1533" s="401">
        <v>6</v>
      </c>
      <c r="S1533" s="466">
        <v>1.0909090909090908</v>
      </c>
    </row>
    <row r="1534" spans="2:19" ht="16.5" thickTop="1" thickBot="1">
      <c r="B1534" s="1249" t="s">
        <v>1568</v>
      </c>
      <c r="C1534" s="1329" t="s">
        <v>2066</v>
      </c>
      <c r="D1534" s="1326" t="s">
        <v>227</v>
      </c>
      <c r="E1534" s="1249" t="s">
        <v>2192</v>
      </c>
      <c r="F1534" s="455" t="s">
        <v>2193</v>
      </c>
      <c r="G1534" s="456" t="s">
        <v>156</v>
      </c>
      <c r="H1534" s="889">
        <v>9</v>
      </c>
      <c r="I1534" s="891">
        <v>276.41199999999998</v>
      </c>
      <c r="J1534" s="601">
        <v>809.70500000000004</v>
      </c>
      <c r="K1534" s="602">
        <v>0.66666666666666663</v>
      </c>
      <c r="L1534" s="981">
        <v>10</v>
      </c>
      <c r="M1534" s="1249" t="s">
        <v>323</v>
      </c>
      <c r="N1534" s="604" t="s">
        <v>227</v>
      </c>
      <c r="O1534" s="465">
        <v>5</v>
      </c>
      <c r="P1534" s="435">
        <v>54.344999999999999</v>
      </c>
      <c r="Q1534" s="435">
        <v>7</v>
      </c>
      <c r="R1534" s="401">
        <v>7</v>
      </c>
      <c r="S1534" s="466">
        <v>0.93333333333333335</v>
      </c>
    </row>
    <row r="1535" spans="2:19" ht="16.5" thickTop="1" thickBot="1">
      <c r="B1535" s="1249" t="s">
        <v>1568</v>
      </c>
      <c r="C1535" s="1329" t="s">
        <v>2066</v>
      </c>
      <c r="D1535" s="1326" t="s">
        <v>227</v>
      </c>
      <c r="E1535" s="1249" t="s">
        <v>2194</v>
      </c>
      <c r="F1535" s="455" t="s">
        <v>2195</v>
      </c>
      <c r="G1535" s="456" t="s">
        <v>156</v>
      </c>
      <c r="H1535" s="889">
        <v>9</v>
      </c>
      <c r="I1535" s="891">
        <v>116.92700000000001</v>
      </c>
      <c r="J1535" s="601">
        <v>493.32</v>
      </c>
      <c r="K1535" s="602">
        <v>0.53191489361702127</v>
      </c>
      <c r="L1535" s="981">
        <v>6</v>
      </c>
      <c r="M1535" s="1249" t="s">
        <v>323</v>
      </c>
      <c r="N1535" s="604" t="s">
        <v>227</v>
      </c>
      <c r="O1535" s="465">
        <v>2</v>
      </c>
      <c r="P1535" s="435">
        <v>91.358000000000004</v>
      </c>
      <c r="Q1535" s="435">
        <v>10</v>
      </c>
      <c r="R1535" s="401">
        <v>3</v>
      </c>
      <c r="S1535" s="466">
        <v>0.6</v>
      </c>
    </row>
    <row r="1536" spans="2:19" ht="16.5" thickTop="1" thickBot="1">
      <c r="B1536" s="1249" t="s">
        <v>1568</v>
      </c>
      <c r="C1536" s="1329" t="s">
        <v>2066</v>
      </c>
      <c r="D1536" s="1326" t="s">
        <v>227</v>
      </c>
      <c r="E1536" s="1249" t="s">
        <v>2109</v>
      </c>
      <c r="F1536" s="455" t="s">
        <v>2111</v>
      </c>
      <c r="G1536" s="456" t="s">
        <v>157</v>
      </c>
      <c r="H1536" s="889">
        <v>9</v>
      </c>
      <c r="I1536" s="891">
        <v>660.24400000000003</v>
      </c>
      <c r="J1536" s="601">
        <v>1234.2860000000001</v>
      </c>
      <c r="K1536" s="602">
        <v>0.43478260869565216</v>
      </c>
      <c r="L1536" s="981">
        <v>8</v>
      </c>
      <c r="M1536" s="1249" t="s">
        <v>323</v>
      </c>
      <c r="N1536" s="604" t="s">
        <v>227</v>
      </c>
      <c r="O1536" s="465">
        <v>2</v>
      </c>
      <c r="P1536" s="435">
        <v>186.738</v>
      </c>
      <c r="Q1536" s="435">
        <v>9</v>
      </c>
      <c r="R1536" s="401">
        <v>3</v>
      </c>
      <c r="S1536" s="466">
        <v>0.42857142857142855</v>
      </c>
    </row>
    <row r="1537" spans="2:19" ht="16.5" thickTop="1" thickBot="1">
      <c r="B1537" s="1249" t="s">
        <v>1568</v>
      </c>
      <c r="C1537" s="1329" t="s">
        <v>2066</v>
      </c>
      <c r="D1537" s="1326" t="s">
        <v>227</v>
      </c>
      <c r="E1537" s="1249" t="s">
        <v>2112</v>
      </c>
      <c r="F1537" s="455" t="s">
        <v>2114</v>
      </c>
      <c r="G1537" s="456" t="s">
        <v>157</v>
      </c>
      <c r="H1537" s="889">
        <v>9</v>
      </c>
      <c r="I1537" s="891">
        <v>126.846</v>
      </c>
      <c r="J1537" s="601">
        <v>182.80699999999999</v>
      </c>
      <c r="K1537" s="602">
        <v>0.1864406779661017</v>
      </c>
      <c r="L1537" s="981">
        <v>7</v>
      </c>
      <c r="M1537" s="1249" t="s">
        <v>322</v>
      </c>
      <c r="N1537" s="604" t="s">
        <v>227</v>
      </c>
      <c r="O1537" s="465"/>
      <c r="P1537" s="435">
        <v>8.0120000000000005</v>
      </c>
      <c r="Q1537" s="435">
        <v>1</v>
      </c>
      <c r="R1537" s="401">
        <v>1</v>
      </c>
      <c r="S1537" s="466">
        <v>0.14285714285714285</v>
      </c>
    </row>
    <row r="1538" spans="2:19" ht="16.5" thickTop="1" thickBot="1">
      <c r="B1538" s="1249" t="s">
        <v>1568</v>
      </c>
      <c r="C1538" s="1329" t="s">
        <v>2066</v>
      </c>
      <c r="D1538" s="1326" t="s">
        <v>227</v>
      </c>
      <c r="E1538" s="1249" t="s">
        <v>2196</v>
      </c>
      <c r="F1538" s="455" t="s">
        <v>2197</v>
      </c>
      <c r="G1538" s="456" t="s">
        <v>156</v>
      </c>
      <c r="H1538" s="889">
        <v>9</v>
      </c>
      <c r="I1538" s="891">
        <v>81.847999999999999</v>
      </c>
      <c r="J1538" s="601">
        <v>304.721</v>
      </c>
      <c r="K1538" s="602">
        <v>0.47058823529411764</v>
      </c>
      <c r="L1538" s="981">
        <v>8</v>
      </c>
      <c r="M1538" s="1249" t="s">
        <v>323</v>
      </c>
      <c r="N1538" s="604" t="s">
        <v>227</v>
      </c>
      <c r="O1538" s="465"/>
      <c r="P1538" s="435">
        <v>101.69799999999999</v>
      </c>
      <c r="Q1538" s="435">
        <v>9</v>
      </c>
      <c r="R1538" s="401">
        <v>5</v>
      </c>
      <c r="S1538" s="466">
        <v>0.625</v>
      </c>
    </row>
    <row r="1539" spans="2:19" ht="16.5" thickTop="1" thickBot="1">
      <c r="B1539" s="1249" t="s">
        <v>1568</v>
      </c>
      <c r="C1539" s="1329" t="s">
        <v>2066</v>
      </c>
      <c r="D1539" s="1326" t="s">
        <v>227</v>
      </c>
      <c r="E1539" s="1249" t="s">
        <v>2198</v>
      </c>
      <c r="F1539" s="455" t="s">
        <v>2199</v>
      </c>
      <c r="G1539" s="456" t="s">
        <v>156</v>
      </c>
      <c r="H1539" s="889">
        <v>9</v>
      </c>
      <c r="I1539" s="891">
        <v>34.485999999999997</v>
      </c>
      <c r="J1539" s="601">
        <v>328.834</v>
      </c>
      <c r="K1539" s="602">
        <v>0.41599999999999998</v>
      </c>
      <c r="L1539" s="981">
        <v>14</v>
      </c>
      <c r="M1539" s="1249" t="s">
        <v>323</v>
      </c>
      <c r="N1539" s="604" t="s">
        <v>227</v>
      </c>
      <c r="O1539" s="465">
        <v>3</v>
      </c>
      <c r="P1539" s="435">
        <v>87.997</v>
      </c>
      <c r="Q1539" s="435">
        <v>8</v>
      </c>
      <c r="R1539" s="401">
        <v>7</v>
      </c>
      <c r="S1539" s="466">
        <v>0.56000000000000005</v>
      </c>
    </row>
    <row r="1540" spans="2:19" ht="16.5" thickTop="1" thickBot="1">
      <c r="B1540" s="1249" t="s">
        <v>1568</v>
      </c>
      <c r="C1540" s="1329" t="s">
        <v>2066</v>
      </c>
      <c r="D1540" s="1326" t="s">
        <v>227</v>
      </c>
      <c r="E1540" s="1249" t="s">
        <v>2200</v>
      </c>
      <c r="F1540" s="455" t="s">
        <v>2201</v>
      </c>
      <c r="G1540" s="456" t="s">
        <v>156</v>
      </c>
      <c r="H1540" s="889">
        <v>9</v>
      </c>
      <c r="I1540" s="891">
        <v>54.244</v>
      </c>
      <c r="J1540" s="601">
        <v>106.39100000000001</v>
      </c>
      <c r="K1540" s="602">
        <v>0.24561403508771928</v>
      </c>
      <c r="L1540" s="981">
        <v>3</v>
      </c>
      <c r="M1540" s="1249" t="s">
        <v>366</v>
      </c>
      <c r="N1540" s="604" t="s">
        <v>227</v>
      </c>
      <c r="O1540" s="465"/>
      <c r="P1540" s="435"/>
      <c r="Q1540" s="435"/>
      <c r="R1540" s="401">
        <v>0</v>
      </c>
      <c r="S1540" s="466">
        <v>0</v>
      </c>
    </row>
    <row r="1541" spans="2:19" ht="16.5" thickTop="1" thickBot="1">
      <c r="B1541" s="1249" t="s">
        <v>1568</v>
      </c>
      <c r="C1541" s="1329" t="s">
        <v>2066</v>
      </c>
      <c r="D1541" s="1326" t="s">
        <v>227</v>
      </c>
      <c r="E1541" s="1249" t="s">
        <v>2202</v>
      </c>
      <c r="F1541" s="455" t="s">
        <v>2203</v>
      </c>
      <c r="G1541" s="456" t="s">
        <v>156</v>
      </c>
      <c r="H1541" s="889">
        <v>9</v>
      </c>
      <c r="I1541" s="891">
        <v>11.409000000000001</v>
      </c>
      <c r="J1541" s="601">
        <v>131.24</v>
      </c>
      <c r="K1541" s="602">
        <v>0.2696629213483146</v>
      </c>
      <c r="L1541" s="981">
        <v>4</v>
      </c>
      <c r="M1541" s="1249" t="s">
        <v>322</v>
      </c>
      <c r="N1541" s="604" t="s">
        <v>227</v>
      </c>
      <c r="O1541" s="465">
        <v>1</v>
      </c>
      <c r="P1541" s="435">
        <v>10.141</v>
      </c>
      <c r="Q1541" s="435">
        <v>1</v>
      </c>
      <c r="R1541" s="401">
        <v>1</v>
      </c>
      <c r="S1541" s="466">
        <v>0.2857142857142857</v>
      </c>
    </row>
    <row r="1542" spans="2:19" ht="16.5" thickTop="1" thickBot="1">
      <c r="B1542" s="1249" t="s">
        <v>1568</v>
      </c>
      <c r="C1542" s="1329" t="s">
        <v>2066</v>
      </c>
      <c r="D1542" s="1326" t="s">
        <v>227</v>
      </c>
      <c r="E1542" s="1249" t="s">
        <v>2298</v>
      </c>
      <c r="F1542" s="455" t="s">
        <v>2299</v>
      </c>
      <c r="G1542" s="456" t="s">
        <v>156</v>
      </c>
      <c r="H1542" s="889">
        <v>8</v>
      </c>
      <c r="I1542" s="891">
        <v>51.951999999999998</v>
      </c>
      <c r="J1542" s="601">
        <v>91.930999999999997</v>
      </c>
      <c r="K1542" s="602">
        <v>0.38095238095238093</v>
      </c>
      <c r="L1542" s="981">
        <v>2</v>
      </c>
      <c r="M1542" s="1249" t="s">
        <v>366</v>
      </c>
      <c r="N1542" s="604" t="s">
        <v>227</v>
      </c>
      <c r="O1542" s="465"/>
      <c r="P1542" s="435">
        <v>7.3719999999999999</v>
      </c>
      <c r="Q1542" s="435">
        <v>1</v>
      </c>
      <c r="R1542" s="401">
        <v>1</v>
      </c>
      <c r="S1542" s="466">
        <v>0.5</v>
      </c>
    </row>
    <row r="1543" spans="2:19" ht="16.5" thickTop="1" thickBot="1">
      <c r="B1543" s="1249" t="s">
        <v>1568</v>
      </c>
      <c r="C1543" s="1329" t="s">
        <v>2066</v>
      </c>
      <c r="D1543" s="1326" t="s">
        <v>227</v>
      </c>
      <c r="E1543" s="1249" t="s">
        <v>2243</v>
      </c>
      <c r="F1543" s="455" t="s">
        <v>2245</v>
      </c>
      <c r="G1543" s="456" t="s">
        <v>157</v>
      </c>
      <c r="H1543" s="889">
        <v>8</v>
      </c>
      <c r="I1543" s="891">
        <v>38.826999999999998</v>
      </c>
      <c r="J1543" s="601">
        <v>38.826999999999998</v>
      </c>
      <c r="K1543" s="602">
        <v>0.23529411764705882</v>
      </c>
      <c r="L1543" s="981">
        <v>6</v>
      </c>
      <c r="M1543" s="1249" t="s">
        <v>366</v>
      </c>
      <c r="N1543" s="604" t="s">
        <v>227</v>
      </c>
      <c r="O1543" s="465">
        <v>1</v>
      </c>
      <c r="P1543" s="435"/>
      <c r="Q1543" s="435"/>
      <c r="R1543" s="401">
        <v>1</v>
      </c>
      <c r="S1543" s="466">
        <v>0.18181818181818182</v>
      </c>
    </row>
    <row r="1544" spans="2:19" ht="16.5" thickTop="1" thickBot="1">
      <c r="B1544" s="1249" t="s">
        <v>1568</v>
      </c>
      <c r="C1544" s="1329" t="s">
        <v>2066</v>
      </c>
      <c r="D1544" s="1326" t="s">
        <v>227</v>
      </c>
      <c r="E1544" s="1249" t="s">
        <v>2300</v>
      </c>
      <c r="F1544" s="455" t="s">
        <v>2301</v>
      </c>
      <c r="G1544" s="456" t="s">
        <v>156</v>
      </c>
      <c r="H1544" s="889">
        <v>8</v>
      </c>
      <c r="I1544" s="891">
        <v>51.734000000000002</v>
      </c>
      <c r="J1544" s="601">
        <v>173.261</v>
      </c>
      <c r="K1544" s="602">
        <v>0.37037037037037035</v>
      </c>
      <c r="L1544" s="981">
        <v>7</v>
      </c>
      <c r="M1544" s="1249" t="s">
        <v>321</v>
      </c>
      <c r="N1544" s="604" t="s">
        <v>227</v>
      </c>
      <c r="O1544" s="465"/>
      <c r="P1544" s="435">
        <v>24.257000000000001</v>
      </c>
      <c r="Q1544" s="435">
        <v>3</v>
      </c>
      <c r="R1544" s="401">
        <v>3</v>
      </c>
      <c r="S1544" s="466">
        <v>0.42857142857142855</v>
      </c>
    </row>
    <row r="1545" spans="2:19" ht="16.5" thickTop="1" thickBot="1">
      <c r="B1545" s="1249" t="s">
        <v>1568</v>
      </c>
      <c r="C1545" s="1329" t="s">
        <v>2066</v>
      </c>
      <c r="D1545" s="1326" t="s">
        <v>227</v>
      </c>
      <c r="E1545" s="1249" t="s">
        <v>2302</v>
      </c>
      <c r="F1545" s="455" t="s">
        <v>1018</v>
      </c>
      <c r="G1545" s="456" t="s">
        <v>156</v>
      </c>
      <c r="H1545" s="889">
        <v>8</v>
      </c>
      <c r="I1545" s="891">
        <v>21.675999999999998</v>
      </c>
      <c r="J1545" s="601">
        <v>135.43299999999999</v>
      </c>
      <c r="K1545" s="602">
        <v>0.30555555555555558</v>
      </c>
      <c r="L1545" s="981">
        <v>4</v>
      </c>
      <c r="M1545" s="1249" t="s">
        <v>322</v>
      </c>
      <c r="N1545" s="604" t="s">
        <v>227</v>
      </c>
      <c r="O1545" s="465"/>
      <c r="P1545" s="435">
        <v>-7.0030000000000001</v>
      </c>
      <c r="Q1545" s="435">
        <v>-1</v>
      </c>
      <c r="R1545" s="401">
        <v>0</v>
      </c>
      <c r="S1545" s="466">
        <v>0</v>
      </c>
    </row>
    <row r="1546" spans="2:19" ht="16.5" thickTop="1" thickBot="1">
      <c r="B1546" s="1249" t="s">
        <v>1568</v>
      </c>
      <c r="C1546" s="1329" t="s">
        <v>2066</v>
      </c>
      <c r="D1546" s="1326" t="s">
        <v>227</v>
      </c>
      <c r="E1546" s="1249" t="s">
        <v>2422</v>
      </c>
      <c r="F1546" s="455" t="s">
        <v>2423</v>
      </c>
      <c r="G1546" s="456" t="s">
        <v>156</v>
      </c>
      <c r="H1546" s="889">
        <v>8</v>
      </c>
      <c r="I1546" s="891">
        <v>192.80500000000001</v>
      </c>
      <c r="J1546" s="601">
        <v>503.56</v>
      </c>
      <c r="K1546" s="602">
        <v>0.52873563218390807</v>
      </c>
      <c r="L1546" s="981">
        <v>9</v>
      </c>
      <c r="M1546" s="1249" t="s">
        <v>323</v>
      </c>
      <c r="N1546" s="604" t="s">
        <v>227</v>
      </c>
      <c r="O1546" s="465">
        <v>3</v>
      </c>
      <c r="P1546" s="435">
        <v>68.468000000000004</v>
      </c>
      <c r="Q1546" s="435">
        <v>7</v>
      </c>
      <c r="R1546" s="401">
        <v>6</v>
      </c>
      <c r="S1546" s="466">
        <v>0.8</v>
      </c>
    </row>
    <row r="1547" spans="2:19" ht="16.5" thickTop="1" thickBot="1">
      <c r="B1547" s="1249" t="s">
        <v>1568</v>
      </c>
      <c r="C1547" s="1329" t="s">
        <v>2066</v>
      </c>
      <c r="D1547" s="1326" t="s">
        <v>227</v>
      </c>
      <c r="E1547" s="1249" t="s">
        <v>2536</v>
      </c>
      <c r="F1547" s="455" t="s">
        <v>2537</v>
      </c>
      <c r="G1547" s="456" t="s">
        <v>156</v>
      </c>
      <c r="H1547" s="889">
        <v>6</v>
      </c>
      <c r="I1547" s="891">
        <v>64.891999999999996</v>
      </c>
      <c r="J1547" s="601">
        <v>205.875</v>
      </c>
      <c r="K1547" s="602">
        <v>0.46153846153846156</v>
      </c>
      <c r="L1547" s="981">
        <v>6</v>
      </c>
      <c r="M1547" s="1249" t="s">
        <v>323</v>
      </c>
      <c r="N1547" s="604" t="s">
        <v>227</v>
      </c>
      <c r="O1547" s="465">
        <v>2</v>
      </c>
      <c r="P1547" s="435">
        <v>78.649000000000001</v>
      </c>
      <c r="Q1547" s="435">
        <v>7</v>
      </c>
      <c r="R1547" s="401">
        <v>4</v>
      </c>
      <c r="S1547" s="466">
        <v>0.8</v>
      </c>
    </row>
    <row r="1548" spans="2:19" ht="16.5" thickTop="1" thickBot="1">
      <c r="B1548" s="1249" t="s">
        <v>1568</v>
      </c>
      <c r="C1548" s="1329" t="s">
        <v>2066</v>
      </c>
      <c r="D1548" s="1326" t="s">
        <v>227</v>
      </c>
      <c r="E1548" s="1249" t="s">
        <v>3103</v>
      </c>
      <c r="F1548" s="455" t="s">
        <v>3104</v>
      </c>
      <c r="G1548" s="456" t="s">
        <v>155</v>
      </c>
      <c r="H1548" s="889"/>
      <c r="I1548" s="891"/>
      <c r="J1548" s="601">
        <v>105.60599999999999</v>
      </c>
      <c r="K1548" s="602">
        <v>0.30769230769230771</v>
      </c>
      <c r="L1548" s="981">
        <v>6</v>
      </c>
      <c r="M1548" s="1249" t="s">
        <v>366</v>
      </c>
      <c r="N1548" s="604" t="s">
        <v>227</v>
      </c>
      <c r="O1548" s="465">
        <v>2</v>
      </c>
      <c r="P1548" s="435">
        <v>89.97</v>
      </c>
      <c r="Q1548" s="435">
        <v>10</v>
      </c>
      <c r="R1548" s="401">
        <v>2</v>
      </c>
      <c r="S1548" s="466">
        <v>0.4</v>
      </c>
    </row>
    <row r="1549" spans="2:19" ht="16.5" thickTop="1" thickBot="1">
      <c r="B1549" s="1249" t="s">
        <v>1568</v>
      </c>
      <c r="C1549" s="1329" t="s">
        <v>2066</v>
      </c>
      <c r="D1549" s="1326" t="s">
        <v>227</v>
      </c>
      <c r="E1549" s="1249" t="s">
        <v>3105</v>
      </c>
      <c r="F1549" s="455" t="s">
        <v>3106</v>
      </c>
      <c r="G1549" s="456" t="s">
        <v>155</v>
      </c>
      <c r="H1549" s="889"/>
      <c r="I1549" s="891"/>
      <c r="J1549" s="601">
        <v>11.388</v>
      </c>
      <c r="K1549" s="602">
        <v>0.26666666666666666</v>
      </c>
      <c r="L1549" s="981">
        <v>3</v>
      </c>
      <c r="M1549" s="1249" t="s">
        <v>366</v>
      </c>
      <c r="N1549" s="604" t="s">
        <v>227</v>
      </c>
      <c r="O1549" s="465"/>
      <c r="P1549" s="435">
        <v>-10</v>
      </c>
      <c r="Q1549" s="435">
        <v>-1</v>
      </c>
      <c r="R1549" s="401">
        <v>0</v>
      </c>
      <c r="S1549" s="466">
        <v>0</v>
      </c>
    </row>
    <row r="1550" spans="2:19" ht="16.5" thickTop="1" thickBot="1">
      <c r="B1550" s="1249" t="s">
        <v>1568</v>
      </c>
      <c r="C1550" s="1329" t="s">
        <v>2066</v>
      </c>
      <c r="D1550" s="1326" t="s">
        <v>227</v>
      </c>
      <c r="E1550" s="1249" t="s">
        <v>3412</v>
      </c>
      <c r="F1550" s="455" t="s">
        <v>3413</v>
      </c>
      <c r="G1550" s="456" t="s">
        <v>156</v>
      </c>
      <c r="H1550" s="889">
        <v>1</v>
      </c>
      <c r="I1550" s="891"/>
      <c r="J1550" s="601">
        <v>10.000999999999999</v>
      </c>
      <c r="K1550" s="602">
        <v>0.4</v>
      </c>
      <c r="L1550" s="981">
        <v>3</v>
      </c>
      <c r="M1550" s="1249" t="s">
        <v>322</v>
      </c>
      <c r="N1550" s="604" t="s">
        <v>227</v>
      </c>
      <c r="O1550" s="465">
        <v>2</v>
      </c>
      <c r="P1550" s="435">
        <v>10.000999999999999</v>
      </c>
      <c r="Q1550" s="435">
        <v>1</v>
      </c>
      <c r="R1550" s="401">
        <v>1</v>
      </c>
      <c r="S1550" s="466">
        <v>0.5</v>
      </c>
    </row>
    <row r="1551" spans="2:19" ht="16.5" thickTop="1" thickBot="1">
      <c r="B1551" s="1249" t="s">
        <v>1568</v>
      </c>
      <c r="C1551" s="1329" t="s">
        <v>2907</v>
      </c>
      <c r="D1551" s="1326" t="s">
        <v>227</v>
      </c>
      <c r="E1551" s="1249" t="s">
        <v>2907</v>
      </c>
      <c r="F1551" s="455" t="s">
        <v>1668</v>
      </c>
      <c r="G1551" s="456" t="s">
        <v>739</v>
      </c>
      <c r="H1551" s="889">
        <v>2</v>
      </c>
      <c r="I1551" s="891">
        <v>23.026</v>
      </c>
      <c r="J1551" s="601">
        <v>23.026</v>
      </c>
      <c r="K1551" s="602">
        <v>0.26666666666666666</v>
      </c>
      <c r="L1551" s="981">
        <v>1</v>
      </c>
      <c r="M1551" s="1249" t="s">
        <v>322</v>
      </c>
      <c r="N1551" s="604" t="s">
        <v>227</v>
      </c>
      <c r="O1551" s="465"/>
      <c r="P1551" s="435">
        <v>11.273</v>
      </c>
      <c r="Q1551" s="435">
        <v>1</v>
      </c>
      <c r="R1551" s="401">
        <v>1</v>
      </c>
      <c r="S1551" s="466">
        <v>1</v>
      </c>
    </row>
    <row r="1552" spans="2:19" ht="16.5" thickTop="1" thickBot="1">
      <c r="B1552" s="1249" t="s">
        <v>1568</v>
      </c>
      <c r="C1552" s="1329" t="s">
        <v>2907</v>
      </c>
      <c r="D1552" s="1326" t="s">
        <v>227</v>
      </c>
      <c r="E1552" s="1249" t="s">
        <v>3107</v>
      </c>
      <c r="F1552" s="455" t="s">
        <v>3108</v>
      </c>
      <c r="G1552" s="456" t="s">
        <v>156</v>
      </c>
      <c r="H1552" s="889">
        <v>2</v>
      </c>
      <c r="I1552" s="891">
        <v>16.036999999999999</v>
      </c>
      <c r="J1552" s="601">
        <v>94.733999999999995</v>
      </c>
      <c r="K1552" s="602">
        <v>0.75</v>
      </c>
      <c r="L1552" s="981">
        <v>4</v>
      </c>
      <c r="M1552" s="1249" t="s">
        <v>323</v>
      </c>
      <c r="N1552" s="604" t="s">
        <v>227</v>
      </c>
      <c r="O1552" s="465"/>
      <c r="P1552" s="435">
        <v>11.535</v>
      </c>
      <c r="Q1552" s="435">
        <v>2</v>
      </c>
      <c r="R1552" s="401">
        <v>1</v>
      </c>
      <c r="S1552" s="466">
        <v>0.25</v>
      </c>
    </row>
    <row r="1553" spans="2:19" ht="16.5" thickTop="1" thickBot="1">
      <c r="B1553" s="1249" t="s">
        <v>1568</v>
      </c>
      <c r="C1553" s="1329" t="s">
        <v>2907</v>
      </c>
      <c r="D1553" s="1326" t="s">
        <v>227</v>
      </c>
      <c r="E1553" s="1249" t="s">
        <v>3109</v>
      </c>
      <c r="F1553" s="455" t="s">
        <v>3110</v>
      </c>
      <c r="G1553" s="456" t="s">
        <v>156</v>
      </c>
      <c r="H1553" s="889">
        <v>2</v>
      </c>
      <c r="I1553" s="891">
        <v>12.393000000000001</v>
      </c>
      <c r="J1553" s="601">
        <v>88.983999999999995</v>
      </c>
      <c r="K1553" s="602">
        <v>0.51851851851851849</v>
      </c>
      <c r="L1553" s="981">
        <v>7</v>
      </c>
      <c r="M1553" s="1249" t="s">
        <v>323</v>
      </c>
      <c r="N1553" s="604" t="s">
        <v>227</v>
      </c>
      <c r="O1553" s="465">
        <v>2</v>
      </c>
      <c r="P1553" s="435">
        <v>20.242999999999999</v>
      </c>
      <c r="Q1553" s="435">
        <v>2</v>
      </c>
      <c r="R1553" s="401">
        <v>2</v>
      </c>
      <c r="S1553" s="466">
        <v>0.33333333333333331</v>
      </c>
    </row>
    <row r="1554" spans="2:19" ht="16.5" thickTop="1" thickBot="1">
      <c r="B1554" s="1249" t="s">
        <v>1568</v>
      </c>
      <c r="C1554" s="1329" t="s">
        <v>2907</v>
      </c>
      <c r="D1554" s="1326" t="s">
        <v>227</v>
      </c>
      <c r="E1554" s="1249" t="s">
        <v>3414</v>
      </c>
      <c r="F1554" s="455" t="s">
        <v>3415</v>
      </c>
      <c r="G1554" s="456" t="s">
        <v>156</v>
      </c>
      <c r="H1554" s="889">
        <v>1</v>
      </c>
      <c r="I1554" s="891">
        <v>10.054</v>
      </c>
      <c r="J1554" s="601">
        <v>258.67599999999999</v>
      </c>
      <c r="K1554" s="602">
        <v>1.1428571428571428</v>
      </c>
      <c r="L1554" s="981">
        <v>8</v>
      </c>
      <c r="M1554" s="1249" t="s">
        <v>323</v>
      </c>
      <c r="N1554" s="604" t="s">
        <v>227</v>
      </c>
      <c r="O1554" s="465">
        <v>5</v>
      </c>
      <c r="P1554" s="435">
        <v>219.364</v>
      </c>
      <c r="Q1554" s="435">
        <v>16</v>
      </c>
      <c r="R1554" s="401">
        <v>6</v>
      </c>
      <c r="S1554" s="466">
        <v>1.0909090909090908</v>
      </c>
    </row>
    <row r="1555" spans="2:19" ht="16.5" thickTop="1" thickBot="1">
      <c r="B1555" s="1249" t="s">
        <v>1568</v>
      </c>
      <c r="C1555" s="1329" t="s">
        <v>2907</v>
      </c>
      <c r="D1555" s="1326" t="s">
        <v>227</v>
      </c>
      <c r="E1555" s="1249" t="s">
        <v>3416</v>
      </c>
      <c r="F1555" s="455" t="s">
        <v>2527</v>
      </c>
      <c r="G1555" s="456" t="s">
        <v>156</v>
      </c>
      <c r="H1555" s="889">
        <v>1</v>
      </c>
      <c r="I1555" s="891">
        <v>10.744999999999999</v>
      </c>
      <c r="J1555" s="601">
        <v>10.744999999999999</v>
      </c>
      <c r="K1555" s="602">
        <v>0.25</v>
      </c>
      <c r="L1555" s="981">
        <v>3</v>
      </c>
      <c r="M1555" s="1249" t="s">
        <v>322</v>
      </c>
      <c r="N1555" s="604" t="s">
        <v>227</v>
      </c>
      <c r="O1555" s="465">
        <v>1</v>
      </c>
      <c r="P1555" s="435"/>
      <c r="Q1555" s="435"/>
      <c r="R1555" s="401">
        <v>0</v>
      </c>
      <c r="S1555" s="466">
        <v>0</v>
      </c>
    </row>
    <row r="1556" spans="2:19" ht="16.5" thickTop="1" thickBot="1">
      <c r="B1556" s="1249" t="s">
        <v>1568</v>
      </c>
      <c r="C1556" s="1329" t="s">
        <v>2907</v>
      </c>
      <c r="D1556" s="1326" t="s">
        <v>227</v>
      </c>
      <c r="E1556" s="1249" t="s">
        <v>3715</v>
      </c>
      <c r="F1556" s="455" t="s">
        <v>3717</v>
      </c>
      <c r="G1556" s="456" t="s">
        <v>157</v>
      </c>
      <c r="H1556" s="889">
        <v>1</v>
      </c>
      <c r="I1556" s="891">
        <v>7.3289999999999997</v>
      </c>
      <c r="J1556" s="601">
        <v>7.3289999999999997</v>
      </c>
      <c r="K1556" s="602">
        <v>0.66666666666666663</v>
      </c>
      <c r="L1556" s="981">
        <v>2</v>
      </c>
      <c r="M1556" s="1249" t="s">
        <v>366</v>
      </c>
      <c r="N1556" s="604" t="s">
        <v>227</v>
      </c>
      <c r="O1556" s="465">
        <v>1</v>
      </c>
      <c r="P1556" s="435">
        <v>7.3289999999999997</v>
      </c>
      <c r="Q1556" s="435">
        <v>1</v>
      </c>
      <c r="R1556" s="401">
        <v>1</v>
      </c>
      <c r="S1556" s="466">
        <v>0.66666666666666663</v>
      </c>
    </row>
    <row r="1557" spans="2:19" ht="16.5" thickTop="1" thickBot="1">
      <c r="B1557" s="1249" t="s">
        <v>1568</v>
      </c>
      <c r="C1557" s="1329" t="s">
        <v>2907</v>
      </c>
      <c r="D1557" s="1326" t="s">
        <v>227</v>
      </c>
      <c r="E1557" s="1249" t="s">
        <v>3965</v>
      </c>
      <c r="F1557" s="455" t="s">
        <v>3966</v>
      </c>
      <c r="G1557" s="456" t="s">
        <v>156</v>
      </c>
      <c r="H1557" s="889">
        <v>0</v>
      </c>
      <c r="I1557" s="891"/>
      <c r="J1557" s="601"/>
      <c r="K1557" s="602">
        <v>0</v>
      </c>
      <c r="L1557" s="981">
        <v>3</v>
      </c>
      <c r="M1557" s="1249" t="s">
        <v>227</v>
      </c>
      <c r="N1557" s="604" t="s">
        <v>227</v>
      </c>
      <c r="O1557" s="465">
        <v>1</v>
      </c>
      <c r="P1557" s="435"/>
      <c r="Q1557" s="435"/>
      <c r="R1557" s="401">
        <v>0</v>
      </c>
      <c r="S1557" s="466">
        <v>0</v>
      </c>
    </row>
    <row r="1558" spans="2:19" ht="16.5" thickTop="1" thickBot="1">
      <c r="B1558" s="1249" t="s">
        <v>3173</v>
      </c>
      <c r="C1558" s="1329" t="s">
        <v>227</v>
      </c>
      <c r="D1558" s="1326" t="s">
        <v>227</v>
      </c>
      <c r="E1558" s="1249" t="s">
        <v>217</v>
      </c>
      <c r="F1558" s="455" t="s">
        <v>218</v>
      </c>
      <c r="G1558" s="456" t="s">
        <v>156</v>
      </c>
      <c r="H1558" s="889">
        <v>39</v>
      </c>
      <c r="I1558" s="891">
        <v>10.484</v>
      </c>
      <c r="J1558" s="601">
        <v>92.070999999999998</v>
      </c>
      <c r="K1558" s="602">
        <v>0.1388888888888889</v>
      </c>
      <c r="L1558" s="981">
        <v>3</v>
      </c>
      <c r="M1558" s="1249" t="s">
        <v>366</v>
      </c>
      <c r="N1558" s="604" t="s">
        <v>227</v>
      </c>
      <c r="O1558" s="465"/>
      <c r="P1558" s="435">
        <v>2.621</v>
      </c>
      <c r="Q1558" s="435"/>
      <c r="R1558" s="401">
        <v>0</v>
      </c>
      <c r="S1558" s="466">
        <v>0</v>
      </c>
    </row>
    <row r="1559" spans="2:19" ht="16.5" thickTop="1" thickBot="1">
      <c r="B1559" s="1249" t="s">
        <v>3173</v>
      </c>
      <c r="C1559" s="1329" t="s">
        <v>227</v>
      </c>
      <c r="D1559" s="1326" t="s">
        <v>227</v>
      </c>
      <c r="E1559" s="1249" t="s">
        <v>3967</v>
      </c>
      <c r="F1559" s="455" t="s">
        <v>3968</v>
      </c>
      <c r="G1559" s="456" t="s">
        <v>156</v>
      </c>
      <c r="H1559" s="889">
        <v>0</v>
      </c>
      <c r="I1559" s="891"/>
      <c r="J1559" s="601"/>
      <c r="K1559" s="602">
        <v>0</v>
      </c>
      <c r="L1559" s="981">
        <v>3</v>
      </c>
      <c r="M1559" s="1249" t="s">
        <v>227</v>
      </c>
      <c r="N1559" s="604" t="s">
        <v>227</v>
      </c>
      <c r="O1559" s="465">
        <v>3</v>
      </c>
      <c r="P1559" s="435"/>
      <c r="Q1559" s="435"/>
      <c r="R1559" s="401">
        <v>0</v>
      </c>
      <c r="S1559" s="466">
        <v>0</v>
      </c>
    </row>
    <row r="1560" spans="2:19" ht="16.5" thickTop="1" thickBot="1">
      <c r="B1560" s="1249" t="s">
        <v>3173</v>
      </c>
      <c r="C1560" s="1329" t="s">
        <v>635</v>
      </c>
      <c r="D1560" s="1326" t="s">
        <v>227</v>
      </c>
      <c r="E1560" s="1249" t="s">
        <v>635</v>
      </c>
      <c r="F1560" s="455" t="s">
        <v>636</v>
      </c>
      <c r="G1560" s="456" t="s">
        <v>739</v>
      </c>
      <c r="H1560" s="889">
        <v>27</v>
      </c>
      <c r="I1560" s="891">
        <v>409.01499999999999</v>
      </c>
      <c r="J1560" s="601">
        <v>626.53800000000001</v>
      </c>
      <c r="K1560" s="602">
        <v>0.27777777777777779</v>
      </c>
      <c r="L1560" s="981">
        <v>8</v>
      </c>
      <c r="M1560" s="1249" t="s">
        <v>323</v>
      </c>
      <c r="N1560" s="604" t="s">
        <v>227</v>
      </c>
      <c r="O1560" s="465">
        <v>2</v>
      </c>
      <c r="P1560" s="435">
        <v>0</v>
      </c>
      <c r="Q1560" s="435"/>
      <c r="R1560" s="401">
        <v>0</v>
      </c>
      <c r="S1560" s="466">
        <v>0</v>
      </c>
    </row>
    <row r="1561" spans="2:19" ht="16.5" thickTop="1" thickBot="1">
      <c r="B1561" s="1249" t="s">
        <v>3173</v>
      </c>
      <c r="C1561" s="1329" t="s">
        <v>635</v>
      </c>
      <c r="D1561" s="1326" t="s">
        <v>227</v>
      </c>
      <c r="E1561" s="1249" t="s">
        <v>684</v>
      </c>
      <c r="F1561" s="455" t="s">
        <v>685</v>
      </c>
      <c r="G1561" s="456" t="s">
        <v>156</v>
      </c>
      <c r="H1561" s="889">
        <v>27</v>
      </c>
      <c r="I1561" s="891">
        <v>20.88</v>
      </c>
      <c r="J1561" s="601">
        <v>421.44400000000002</v>
      </c>
      <c r="K1561" s="602">
        <v>0.31034482758620691</v>
      </c>
      <c r="L1561" s="981">
        <v>11</v>
      </c>
      <c r="M1561" s="1249" t="s">
        <v>323</v>
      </c>
      <c r="N1561" s="604" t="s">
        <v>227</v>
      </c>
      <c r="O1561" s="465">
        <v>8</v>
      </c>
      <c r="P1561" s="435">
        <v>133.82900000000001</v>
      </c>
      <c r="Q1561" s="435">
        <v>8</v>
      </c>
      <c r="R1561" s="401">
        <v>7</v>
      </c>
      <c r="S1561" s="466">
        <v>0.875</v>
      </c>
    </row>
    <row r="1562" spans="2:19" ht="16.5" thickTop="1" thickBot="1">
      <c r="B1562" s="1249" t="s">
        <v>3173</v>
      </c>
      <c r="C1562" s="1329" t="s">
        <v>635</v>
      </c>
      <c r="D1562" s="1326" t="s">
        <v>227</v>
      </c>
      <c r="E1562" s="1249" t="s">
        <v>1757</v>
      </c>
      <c r="F1562" s="455" t="s">
        <v>1758</v>
      </c>
      <c r="G1562" s="456" t="s">
        <v>156</v>
      </c>
      <c r="H1562" s="889">
        <v>13</v>
      </c>
      <c r="I1562" s="891">
        <v>71.963999999999999</v>
      </c>
      <c r="J1562" s="601">
        <v>182.07</v>
      </c>
      <c r="K1562" s="602">
        <v>0.26785714285714285</v>
      </c>
      <c r="L1562" s="981">
        <v>2</v>
      </c>
      <c r="M1562" s="1249" t="s">
        <v>322</v>
      </c>
      <c r="N1562" s="604" t="s">
        <v>227</v>
      </c>
      <c r="O1562" s="465"/>
      <c r="P1562" s="435">
        <v>8.49</v>
      </c>
      <c r="Q1562" s="435">
        <v>1</v>
      </c>
      <c r="R1562" s="401">
        <v>1</v>
      </c>
      <c r="S1562" s="466">
        <v>0.5</v>
      </c>
    </row>
    <row r="1563" spans="2:19" ht="16.5" thickTop="1" thickBot="1">
      <c r="B1563" s="1249" t="s">
        <v>3173</v>
      </c>
      <c r="C1563" s="1329" t="s">
        <v>635</v>
      </c>
      <c r="D1563" s="1326" t="s">
        <v>227</v>
      </c>
      <c r="E1563" s="1249" t="s">
        <v>2538</v>
      </c>
      <c r="F1563" s="455" t="s">
        <v>2539</v>
      </c>
      <c r="G1563" s="456" t="s">
        <v>156</v>
      </c>
      <c r="H1563" s="889">
        <v>7</v>
      </c>
      <c r="I1563" s="891">
        <v>78.034000000000006</v>
      </c>
      <c r="J1563" s="601">
        <v>250.50800000000001</v>
      </c>
      <c r="K1563" s="602">
        <v>0.26315789473684209</v>
      </c>
      <c r="L1563" s="981">
        <v>4</v>
      </c>
      <c r="M1563" s="1249" t="s">
        <v>323</v>
      </c>
      <c r="N1563" s="604" t="s">
        <v>227</v>
      </c>
      <c r="O1563" s="465"/>
      <c r="P1563" s="435">
        <v>25.655999999999999</v>
      </c>
      <c r="Q1563" s="435">
        <v>2</v>
      </c>
      <c r="R1563" s="401">
        <v>1</v>
      </c>
      <c r="S1563" s="466">
        <v>0.22222222222222221</v>
      </c>
    </row>
    <row r="1564" spans="2:19" ht="16.5" thickTop="1" thickBot="1">
      <c r="B1564" s="1249" t="s">
        <v>3173</v>
      </c>
      <c r="C1564" s="1329" t="s">
        <v>676</v>
      </c>
      <c r="D1564" s="1326" t="s">
        <v>227</v>
      </c>
      <c r="E1564" s="1249" t="s">
        <v>676</v>
      </c>
      <c r="F1564" s="455" t="s">
        <v>678</v>
      </c>
      <c r="G1564" s="456" t="s">
        <v>158</v>
      </c>
      <c r="H1564" s="889">
        <v>27</v>
      </c>
      <c r="I1564" s="891">
        <v>116.712</v>
      </c>
      <c r="J1564" s="601">
        <v>1027.3689999999999</v>
      </c>
      <c r="K1564" s="602">
        <v>0.30324909747292417</v>
      </c>
      <c r="L1564" s="981">
        <v>15</v>
      </c>
      <c r="M1564" s="1249" t="s">
        <v>323</v>
      </c>
      <c r="N1564" s="604" t="s">
        <v>227</v>
      </c>
      <c r="O1564" s="465">
        <v>2</v>
      </c>
      <c r="P1564" s="435">
        <v>282.42899999999997</v>
      </c>
      <c r="Q1564" s="435">
        <v>14</v>
      </c>
      <c r="R1564" s="401">
        <v>7</v>
      </c>
      <c r="S1564" s="466">
        <v>0.5</v>
      </c>
    </row>
    <row r="1565" spans="2:19" ht="16.5" thickTop="1" thickBot="1">
      <c r="B1565" s="1249" t="s">
        <v>3173</v>
      </c>
      <c r="C1565" s="1329" t="s">
        <v>676</v>
      </c>
      <c r="D1565" s="1326" t="s">
        <v>227</v>
      </c>
      <c r="E1565" s="1249" t="s">
        <v>786</v>
      </c>
      <c r="F1565" s="455" t="s">
        <v>787</v>
      </c>
      <c r="G1565" s="456" t="s">
        <v>157</v>
      </c>
      <c r="H1565" s="889">
        <v>24</v>
      </c>
      <c r="I1565" s="891">
        <v>60.411999999999999</v>
      </c>
      <c r="J1565" s="601">
        <v>3648.3690000000001</v>
      </c>
      <c r="K1565" s="602">
        <v>0.34560906515580736</v>
      </c>
      <c r="L1565" s="981">
        <v>10</v>
      </c>
      <c r="M1565" s="1249" t="s">
        <v>323</v>
      </c>
      <c r="N1565" s="604" t="s">
        <v>227</v>
      </c>
      <c r="O1565" s="465"/>
      <c r="P1565" s="435">
        <v>-21.509</v>
      </c>
      <c r="Q1565" s="435">
        <v>0</v>
      </c>
      <c r="R1565" s="401">
        <v>1</v>
      </c>
      <c r="S1565" s="466">
        <v>7.407407407407407E-2</v>
      </c>
    </row>
    <row r="1566" spans="2:19" ht="16.5" thickTop="1" thickBot="1">
      <c r="B1566" s="1249" t="s">
        <v>3173</v>
      </c>
      <c r="C1566" s="1329" t="s">
        <v>676</v>
      </c>
      <c r="D1566" s="1326" t="s">
        <v>227</v>
      </c>
      <c r="E1566" s="1249" t="s">
        <v>1262</v>
      </c>
      <c r="F1566" s="455" t="s">
        <v>1263</v>
      </c>
      <c r="G1566" s="456" t="s">
        <v>157</v>
      </c>
      <c r="H1566" s="889">
        <v>18</v>
      </c>
      <c r="I1566" s="891">
        <v>32.322000000000003</v>
      </c>
      <c r="J1566" s="601">
        <v>237.994</v>
      </c>
      <c r="K1566" s="602">
        <v>0.14569536423841059</v>
      </c>
      <c r="L1566" s="981">
        <v>2</v>
      </c>
      <c r="M1566" s="1249" t="s">
        <v>322</v>
      </c>
      <c r="N1566" s="604" t="s">
        <v>227</v>
      </c>
      <c r="O1566" s="465"/>
      <c r="P1566" s="435">
        <v>10.879</v>
      </c>
      <c r="Q1566" s="435">
        <v>1</v>
      </c>
      <c r="R1566" s="401">
        <v>1</v>
      </c>
      <c r="S1566" s="466">
        <v>0.33333333333333331</v>
      </c>
    </row>
    <row r="1567" spans="2:19" ht="16.5" thickTop="1" thickBot="1">
      <c r="B1567" s="1249" t="s">
        <v>3173</v>
      </c>
      <c r="C1567" s="1329" t="s">
        <v>676</v>
      </c>
      <c r="D1567" s="1326" t="s">
        <v>227</v>
      </c>
      <c r="E1567" s="1249" t="s">
        <v>1340</v>
      </c>
      <c r="F1567" s="455" t="s">
        <v>1341</v>
      </c>
      <c r="G1567" s="456" t="s">
        <v>156</v>
      </c>
      <c r="H1567" s="889">
        <v>17</v>
      </c>
      <c r="I1567" s="891">
        <v>161.35</v>
      </c>
      <c r="J1567" s="601">
        <v>913.40200000000004</v>
      </c>
      <c r="K1567" s="602">
        <v>0.26229508196721313</v>
      </c>
      <c r="L1567" s="981">
        <v>4</v>
      </c>
      <c r="M1567" s="1249" t="s">
        <v>323</v>
      </c>
      <c r="N1567" s="604" t="s">
        <v>227</v>
      </c>
      <c r="O1567" s="465"/>
      <c r="P1567" s="435">
        <v>0</v>
      </c>
      <c r="Q1567" s="435"/>
      <c r="R1567" s="401">
        <v>0</v>
      </c>
      <c r="S1567" s="466">
        <v>0</v>
      </c>
    </row>
    <row r="1568" spans="2:19" ht="16.5" thickTop="1" thickBot="1">
      <c r="B1568" s="1249" t="s">
        <v>3173</v>
      </c>
      <c r="C1568" s="1329" t="s">
        <v>676</v>
      </c>
      <c r="D1568" s="1326" t="s">
        <v>227</v>
      </c>
      <c r="E1568" s="1249" t="s">
        <v>2540</v>
      </c>
      <c r="F1568" s="455" t="s">
        <v>2541</v>
      </c>
      <c r="G1568" s="456" t="s">
        <v>155</v>
      </c>
      <c r="H1568" s="889"/>
      <c r="I1568" s="891"/>
      <c r="J1568" s="601">
        <v>22.323</v>
      </c>
      <c r="K1568" s="602">
        <v>7.5471698113207544E-2</v>
      </c>
      <c r="L1568" s="981">
        <v>2</v>
      </c>
      <c r="M1568" s="1249" t="s">
        <v>366</v>
      </c>
      <c r="N1568" s="604" t="s">
        <v>227</v>
      </c>
      <c r="O1568" s="465"/>
      <c r="P1568" s="435"/>
      <c r="Q1568" s="435"/>
      <c r="R1568" s="401">
        <v>0</v>
      </c>
      <c r="S1568" s="466">
        <v>0</v>
      </c>
    </row>
    <row r="1569" spans="2:19" ht="16.5" thickTop="1" thickBot="1">
      <c r="B1569" s="1249" t="s">
        <v>3173</v>
      </c>
      <c r="C1569" s="1329" t="s">
        <v>676</v>
      </c>
      <c r="D1569" s="1326" t="s">
        <v>227</v>
      </c>
      <c r="E1569" s="1249" t="s">
        <v>2692</v>
      </c>
      <c r="F1569" s="455" t="s">
        <v>1343</v>
      </c>
      <c r="G1569" s="456" t="s">
        <v>155</v>
      </c>
      <c r="H1569" s="889"/>
      <c r="I1569" s="891"/>
      <c r="J1569" s="601">
        <v>35.543999999999997</v>
      </c>
      <c r="K1569" s="602">
        <v>0.13793103448275862</v>
      </c>
      <c r="L1569" s="981">
        <v>2</v>
      </c>
      <c r="M1569" s="1249" t="s">
        <v>366</v>
      </c>
      <c r="N1569" s="604" t="s">
        <v>227</v>
      </c>
      <c r="O1569" s="465"/>
      <c r="P1569" s="435"/>
      <c r="Q1569" s="435"/>
      <c r="R1569" s="401">
        <v>0</v>
      </c>
      <c r="S1569" s="466">
        <v>0</v>
      </c>
    </row>
    <row r="1570" spans="2:19" ht="16.5" thickTop="1" thickBot="1">
      <c r="B1570" s="1249" t="s">
        <v>3173</v>
      </c>
      <c r="C1570" s="1329" t="s">
        <v>676</v>
      </c>
      <c r="D1570" s="1326" t="s">
        <v>227</v>
      </c>
      <c r="E1570" s="1249" t="s">
        <v>2693</v>
      </c>
      <c r="F1570" s="455" t="s">
        <v>2694</v>
      </c>
      <c r="G1570" s="456" t="s">
        <v>155</v>
      </c>
      <c r="H1570" s="889"/>
      <c r="I1570" s="891"/>
      <c r="J1570" s="601">
        <v>46.000999999999998</v>
      </c>
      <c r="K1570" s="602">
        <v>0.33333333333333331</v>
      </c>
      <c r="L1570" s="981">
        <v>2</v>
      </c>
      <c r="M1570" s="1249" t="s">
        <v>366</v>
      </c>
      <c r="N1570" s="604" t="s">
        <v>227</v>
      </c>
      <c r="O1570" s="465"/>
      <c r="P1570" s="435">
        <v>25.603000000000002</v>
      </c>
      <c r="Q1570" s="435">
        <v>2</v>
      </c>
      <c r="R1570" s="401">
        <v>2</v>
      </c>
      <c r="S1570" s="466">
        <v>0.8</v>
      </c>
    </row>
    <row r="1571" spans="2:19" ht="16.5" thickTop="1" thickBot="1">
      <c r="B1571" s="1249" t="s">
        <v>3173</v>
      </c>
      <c r="C1571" s="1329" t="s">
        <v>676</v>
      </c>
      <c r="D1571" s="1326" t="s">
        <v>227</v>
      </c>
      <c r="E1571" s="1249" t="s">
        <v>3111</v>
      </c>
      <c r="F1571" s="455" t="s">
        <v>3112</v>
      </c>
      <c r="G1571" s="456" t="s">
        <v>155</v>
      </c>
      <c r="H1571" s="889"/>
      <c r="I1571" s="891"/>
      <c r="J1571" s="601">
        <v>99.182000000000002</v>
      </c>
      <c r="K1571" s="602">
        <v>0.78260869565217395</v>
      </c>
      <c r="L1571" s="981">
        <v>9</v>
      </c>
      <c r="M1571" s="1249" t="s">
        <v>366</v>
      </c>
      <c r="N1571" s="604" t="s">
        <v>227</v>
      </c>
      <c r="O1571" s="465">
        <v>5</v>
      </c>
      <c r="P1571" s="435">
        <v>75.968000000000004</v>
      </c>
      <c r="Q1571" s="435">
        <v>9</v>
      </c>
      <c r="R1571" s="401">
        <v>7</v>
      </c>
      <c r="S1571" s="466">
        <v>1.0769230769230769</v>
      </c>
    </row>
    <row r="1572" spans="2:19" ht="16.5" thickTop="1" thickBot="1">
      <c r="B1572" s="1249" t="s">
        <v>3173</v>
      </c>
      <c r="C1572" s="1329" t="s">
        <v>703</v>
      </c>
      <c r="D1572" s="1326" t="s">
        <v>227</v>
      </c>
      <c r="E1572" s="1249" t="s">
        <v>703</v>
      </c>
      <c r="F1572" s="455" t="s">
        <v>714</v>
      </c>
      <c r="G1572" s="456" t="s">
        <v>739</v>
      </c>
      <c r="H1572" s="889">
        <v>25</v>
      </c>
      <c r="I1572" s="891">
        <v>87.825000000000003</v>
      </c>
      <c r="J1572" s="601">
        <v>117.95099999999999</v>
      </c>
      <c r="K1572" s="602">
        <v>0.11666666666666667</v>
      </c>
      <c r="L1572" s="981">
        <v>3</v>
      </c>
      <c r="M1572" s="1249" t="s">
        <v>366</v>
      </c>
      <c r="N1572" s="604" t="s">
        <v>227</v>
      </c>
      <c r="O1572" s="465"/>
      <c r="P1572" s="435">
        <v>0</v>
      </c>
      <c r="Q1572" s="435"/>
      <c r="R1572" s="401">
        <v>0</v>
      </c>
      <c r="S1572" s="466">
        <v>0</v>
      </c>
    </row>
    <row r="1573" spans="2:19" ht="16.5" thickTop="1" thickBot="1">
      <c r="B1573" s="1249" t="s">
        <v>3173</v>
      </c>
      <c r="C1573" s="1329" t="s">
        <v>703</v>
      </c>
      <c r="D1573" s="1326" t="s">
        <v>227</v>
      </c>
      <c r="E1573" s="1249" t="s">
        <v>891</v>
      </c>
      <c r="F1573" s="455" t="s">
        <v>892</v>
      </c>
      <c r="G1573" s="456" t="s">
        <v>157</v>
      </c>
      <c r="H1573" s="889">
        <v>21</v>
      </c>
      <c r="I1573" s="891">
        <v>57.555</v>
      </c>
      <c r="J1573" s="601">
        <v>831.80700000000002</v>
      </c>
      <c r="K1573" s="602">
        <v>0.33333333333333331</v>
      </c>
      <c r="L1573" s="981">
        <v>13</v>
      </c>
      <c r="M1573" s="1249" t="s">
        <v>323</v>
      </c>
      <c r="N1573" s="604" t="s">
        <v>227</v>
      </c>
      <c r="O1573" s="465">
        <v>6</v>
      </c>
      <c r="P1573" s="435">
        <v>313.33499999999998</v>
      </c>
      <c r="Q1573" s="435">
        <v>19</v>
      </c>
      <c r="R1573" s="401">
        <v>8</v>
      </c>
      <c r="S1573" s="466">
        <v>0.76190476190476186</v>
      </c>
    </row>
    <row r="1574" spans="2:19" ht="16.5" thickTop="1" thickBot="1">
      <c r="B1574" s="1249" t="s">
        <v>3173</v>
      </c>
      <c r="C1574" s="1329" t="s">
        <v>703</v>
      </c>
      <c r="D1574" s="1326" t="s">
        <v>227</v>
      </c>
      <c r="E1574" s="1249" t="s">
        <v>972</v>
      </c>
      <c r="F1574" s="455" t="s">
        <v>974</v>
      </c>
      <c r="G1574" s="456" t="s">
        <v>157</v>
      </c>
      <c r="H1574" s="889">
        <v>20</v>
      </c>
      <c r="I1574" s="891">
        <v>244.74700000000001</v>
      </c>
      <c r="J1574" s="601">
        <v>355.77699999999999</v>
      </c>
      <c r="K1574" s="602">
        <v>0.25454545454545452</v>
      </c>
      <c r="L1574" s="981">
        <v>11</v>
      </c>
      <c r="M1574" s="1249" t="s">
        <v>321</v>
      </c>
      <c r="N1574" s="604" t="s">
        <v>227</v>
      </c>
      <c r="O1574" s="465">
        <v>2</v>
      </c>
      <c r="P1574" s="435">
        <v>75.317999999999998</v>
      </c>
      <c r="Q1574" s="435">
        <v>3</v>
      </c>
      <c r="R1574" s="401">
        <v>1</v>
      </c>
      <c r="S1574" s="466">
        <v>0.1</v>
      </c>
    </row>
    <row r="1575" spans="2:19" ht="16.5" thickTop="1" thickBot="1">
      <c r="B1575" s="1249" t="s">
        <v>3173</v>
      </c>
      <c r="C1575" s="1329" t="s">
        <v>703</v>
      </c>
      <c r="D1575" s="1326" t="s">
        <v>227</v>
      </c>
      <c r="E1575" s="1249" t="s">
        <v>1535</v>
      </c>
      <c r="F1575" s="455" t="s">
        <v>1060</v>
      </c>
      <c r="G1575" s="456" t="s">
        <v>157</v>
      </c>
      <c r="H1575" s="889">
        <v>15</v>
      </c>
      <c r="I1575" s="891">
        <v>66.281999999999996</v>
      </c>
      <c r="J1575" s="601">
        <v>1846.951</v>
      </c>
      <c r="K1575" s="602">
        <v>0.50806451612903225</v>
      </c>
      <c r="L1575" s="981">
        <v>18</v>
      </c>
      <c r="M1575" s="1249" t="s">
        <v>323</v>
      </c>
      <c r="N1575" s="604" t="s">
        <v>227</v>
      </c>
      <c r="O1575" s="465">
        <v>4</v>
      </c>
      <c r="P1575" s="435">
        <v>435.67500000000001</v>
      </c>
      <c r="Q1575" s="435">
        <v>30</v>
      </c>
      <c r="R1575" s="401">
        <v>10</v>
      </c>
      <c r="S1575" s="466">
        <v>0.60606060606060608</v>
      </c>
    </row>
    <row r="1576" spans="2:19" ht="16.5" thickTop="1" thickBot="1">
      <c r="B1576" s="1249" t="s">
        <v>3173</v>
      </c>
      <c r="C1576" s="1329" t="s">
        <v>703</v>
      </c>
      <c r="D1576" s="1326" t="s">
        <v>227</v>
      </c>
      <c r="E1576" s="1249" t="s">
        <v>1957</v>
      </c>
      <c r="F1576" s="455" t="s">
        <v>1959</v>
      </c>
      <c r="G1576" s="456" t="s">
        <v>157</v>
      </c>
      <c r="H1576" s="889">
        <v>10</v>
      </c>
      <c r="I1576" s="891">
        <v>11.753</v>
      </c>
      <c r="J1576" s="601">
        <v>26.710999999999999</v>
      </c>
      <c r="K1576" s="602">
        <v>0.12244897959183673</v>
      </c>
      <c r="L1576" s="981">
        <v>1</v>
      </c>
      <c r="M1576" s="1249" t="s">
        <v>366</v>
      </c>
      <c r="N1576" s="604" t="s">
        <v>227</v>
      </c>
      <c r="O1576" s="465"/>
      <c r="P1576" s="435"/>
      <c r="Q1576" s="435"/>
      <c r="R1576" s="401">
        <v>0</v>
      </c>
      <c r="S1576" s="466">
        <v>0</v>
      </c>
    </row>
    <row r="1577" spans="2:19" ht="16.5" thickTop="1" thickBot="1">
      <c r="B1577" s="1249" t="s">
        <v>3173</v>
      </c>
      <c r="C1577" s="1329" t="s">
        <v>703</v>
      </c>
      <c r="D1577" s="1326" t="s">
        <v>227</v>
      </c>
      <c r="E1577" s="1249" t="s">
        <v>1981</v>
      </c>
      <c r="F1577" s="455" t="s">
        <v>1982</v>
      </c>
      <c r="G1577" s="456" t="s">
        <v>156</v>
      </c>
      <c r="H1577" s="889">
        <v>10</v>
      </c>
      <c r="I1577" s="891">
        <v>92.584000000000003</v>
      </c>
      <c r="J1577" s="601">
        <v>92.584000000000003</v>
      </c>
      <c r="K1577" s="602">
        <v>0.2857142857142857</v>
      </c>
      <c r="L1577" s="981">
        <v>1</v>
      </c>
      <c r="M1577" s="1249" t="s">
        <v>366</v>
      </c>
      <c r="N1577" s="604" t="s">
        <v>227</v>
      </c>
      <c r="O1577" s="465"/>
      <c r="P1577" s="435"/>
      <c r="Q1577" s="435"/>
      <c r="R1577" s="401">
        <v>0</v>
      </c>
      <c r="S1577" s="466">
        <v>0</v>
      </c>
    </row>
    <row r="1578" spans="2:19" ht="16.5" thickTop="1" thickBot="1">
      <c r="B1578" s="1249" t="s">
        <v>3173</v>
      </c>
      <c r="C1578" s="1329" t="s">
        <v>703</v>
      </c>
      <c r="D1578" s="1326" t="s">
        <v>227</v>
      </c>
      <c r="E1578" s="1249" t="s">
        <v>2040</v>
      </c>
      <c r="F1578" s="455" t="s">
        <v>250</v>
      </c>
      <c r="G1578" s="456" t="s">
        <v>156</v>
      </c>
      <c r="H1578" s="889">
        <v>10</v>
      </c>
      <c r="I1578" s="891">
        <v>74.745000000000005</v>
      </c>
      <c r="J1578" s="601">
        <v>414.77100000000002</v>
      </c>
      <c r="K1578" s="602">
        <v>0.36363636363636365</v>
      </c>
      <c r="L1578" s="981">
        <v>11</v>
      </c>
      <c r="M1578" s="1249" t="s">
        <v>323</v>
      </c>
      <c r="N1578" s="604" t="s">
        <v>227</v>
      </c>
      <c r="O1578" s="465">
        <v>1</v>
      </c>
      <c r="P1578" s="435">
        <v>29.582000000000001</v>
      </c>
      <c r="Q1578" s="435">
        <v>3</v>
      </c>
      <c r="R1578" s="401">
        <v>3</v>
      </c>
      <c r="S1578" s="466">
        <v>0.27272727272727271</v>
      </c>
    </row>
    <row r="1579" spans="2:19" ht="16.5" thickTop="1" thickBot="1">
      <c r="B1579" s="1249" t="s">
        <v>3173</v>
      </c>
      <c r="C1579" s="1329" t="s">
        <v>703</v>
      </c>
      <c r="D1579" s="1326" t="s">
        <v>227</v>
      </c>
      <c r="E1579" s="1249" t="s">
        <v>2041</v>
      </c>
      <c r="F1579" s="455" t="s">
        <v>2042</v>
      </c>
      <c r="G1579" s="456" t="s">
        <v>156</v>
      </c>
      <c r="H1579" s="889">
        <v>10</v>
      </c>
      <c r="I1579" s="891">
        <v>63.7</v>
      </c>
      <c r="J1579" s="601">
        <v>134.56100000000001</v>
      </c>
      <c r="K1579" s="602">
        <v>0.14545454545454545</v>
      </c>
      <c r="L1579" s="981">
        <v>2</v>
      </c>
      <c r="M1579" s="1249" t="s">
        <v>366</v>
      </c>
      <c r="N1579" s="604" t="s">
        <v>227</v>
      </c>
      <c r="O1579" s="465"/>
      <c r="P1579" s="435"/>
      <c r="Q1579" s="435"/>
      <c r="R1579" s="401">
        <v>0</v>
      </c>
      <c r="S1579" s="466">
        <v>0</v>
      </c>
    </row>
    <row r="1580" spans="2:19" ht="16.5" thickTop="1" thickBot="1">
      <c r="B1580" s="1249" t="s">
        <v>3173</v>
      </c>
      <c r="C1580" s="1329" t="s">
        <v>703</v>
      </c>
      <c r="D1580" s="1326" t="s">
        <v>227</v>
      </c>
      <c r="E1580" s="1249" t="s">
        <v>2542</v>
      </c>
      <c r="F1580" s="455" t="s">
        <v>838</v>
      </c>
      <c r="G1580" s="456" t="s">
        <v>156</v>
      </c>
      <c r="H1580" s="889">
        <v>7</v>
      </c>
      <c r="I1580" s="891">
        <v>189.28</v>
      </c>
      <c r="J1580" s="601">
        <v>146.41499999999999</v>
      </c>
      <c r="K1580" s="602">
        <v>0.28125</v>
      </c>
      <c r="L1580" s="981">
        <v>7</v>
      </c>
      <c r="M1580" s="1249" t="s">
        <v>321</v>
      </c>
      <c r="N1580" s="604" t="s">
        <v>227</v>
      </c>
      <c r="O1580" s="465"/>
      <c r="P1580" s="435"/>
      <c r="Q1580" s="435"/>
      <c r="R1580" s="401">
        <v>0</v>
      </c>
      <c r="S1580" s="466">
        <v>0</v>
      </c>
    </row>
    <row r="1581" spans="2:19" ht="16.5" thickTop="1" thickBot="1">
      <c r="B1581" s="1249" t="s">
        <v>3173</v>
      </c>
      <c r="C1581" s="1329" t="s">
        <v>703</v>
      </c>
      <c r="D1581" s="1326" t="s">
        <v>227</v>
      </c>
      <c r="E1581" s="1249" t="s">
        <v>2636</v>
      </c>
      <c r="F1581" s="455" t="s">
        <v>2637</v>
      </c>
      <c r="G1581" s="456" t="s">
        <v>155</v>
      </c>
      <c r="H1581" s="889"/>
      <c r="I1581" s="891"/>
      <c r="J1581" s="601">
        <v>48.796999999999997</v>
      </c>
      <c r="K1581" s="602">
        <v>0.33333333333333331</v>
      </c>
      <c r="L1581" s="981">
        <v>2</v>
      </c>
      <c r="M1581" s="1249" t="s">
        <v>366</v>
      </c>
      <c r="N1581" s="604" t="s">
        <v>227</v>
      </c>
      <c r="O1581" s="465"/>
      <c r="P1581" s="435"/>
      <c r="Q1581" s="435"/>
      <c r="R1581" s="401">
        <v>0</v>
      </c>
      <c r="S1581" s="466">
        <v>0</v>
      </c>
    </row>
    <row r="1582" spans="2:19" ht="16.5" thickTop="1" thickBot="1">
      <c r="B1582" s="1249" t="s">
        <v>3173</v>
      </c>
      <c r="C1582" s="1329" t="s">
        <v>703</v>
      </c>
      <c r="D1582" s="1326" t="s">
        <v>227</v>
      </c>
      <c r="E1582" s="1249" t="s">
        <v>2695</v>
      </c>
      <c r="F1582" s="455" t="s">
        <v>2696</v>
      </c>
      <c r="G1582" s="456" t="s">
        <v>156</v>
      </c>
      <c r="H1582" s="889">
        <v>5</v>
      </c>
      <c r="I1582" s="891">
        <v>10.114000000000001</v>
      </c>
      <c r="J1582" s="601">
        <v>46.85</v>
      </c>
      <c r="K1582" s="602">
        <v>0.22857142857142856</v>
      </c>
      <c r="L1582" s="981">
        <v>6</v>
      </c>
      <c r="M1582" s="1249" t="s">
        <v>366</v>
      </c>
      <c r="N1582" s="604" t="s">
        <v>227</v>
      </c>
      <c r="O1582" s="465">
        <v>2</v>
      </c>
      <c r="P1582" s="435"/>
      <c r="Q1582" s="435"/>
      <c r="R1582" s="401">
        <v>0</v>
      </c>
      <c r="S1582" s="466">
        <v>0</v>
      </c>
    </row>
    <row r="1583" spans="2:19" ht="16.5" thickTop="1" thickBot="1">
      <c r="B1583" s="1249" t="s">
        <v>3173</v>
      </c>
      <c r="C1583" s="1329" t="s">
        <v>703</v>
      </c>
      <c r="D1583" s="1326" t="s">
        <v>227</v>
      </c>
      <c r="E1583" s="1249" t="s">
        <v>3969</v>
      </c>
      <c r="F1583" s="455" t="s">
        <v>3970</v>
      </c>
      <c r="G1583" s="456" t="s">
        <v>155</v>
      </c>
      <c r="H1583" s="889"/>
      <c r="I1583" s="891"/>
      <c r="J1583" s="601">
        <v>38.673000000000002</v>
      </c>
      <c r="K1583" s="602">
        <v>0.5</v>
      </c>
      <c r="L1583" s="981">
        <v>2</v>
      </c>
      <c r="M1583" s="1249" t="s">
        <v>366</v>
      </c>
      <c r="N1583" s="604" t="s">
        <v>227</v>
      </c>
      <c r="O1583" s="465"/>
      <c r="P1583" s="435">
        <v>38.673000000000002</v>
      </c>
      <c r="Q1583" s="435">
        <v>2</v>
      </c>
      <c r="R1583" s="401">
        <v>1</v>
      </c>
      <c r="S1583" s="466">
        <v>0.5</v>
      </c>
    </row>
    <row r="1584" spans="2:19" ht="16.5" thickTop="1" thickBot="1">
      <c r="B1584" s="1249" t="s">
        <v>3173</v>
      </c>
      <c r="C1584" s="1329" t="s">
        <v>704</v>
      </c>
      <c r="D1584" s="1326" t="s">
        <v>227</v>
      </c>
      <c r="E1584" s="1249" t="s">
        <v>704</v>
      </c>
      <c r="F1584" s="455" t="s">
        <v>715</v>
      </c>
      <c r="G1584" s="456" t="s">
        <v>158</v>
      </c>
      <c r="H1584" s="889">
        <v>25</v>
      </c>
      <c r="I1584" s="891">
        <v>66.626999999999995</v>
      </c>
      <c r="J1584" s="601">
        <v>976.78700000000003</v>
      </c>
      <c r="K1584" s="602">
        <v>0.38181818181818183</v>
      </c>
      <c r="L1584" s="981">
        <v>14</v>
      </c>
      <c r="M1584" s="1249" t="s">
        <v>323</v>
      </c>
      <c r="N1584" s="604" t="s">
        <v>227</v>
      </c>
      <c r="O1584" s="465">
        <v>5</v>
      </c>
      <c r="P1584" s="435">
        <v>158.92099999999999</v>
      </c>
      <c r="Q1584" s="435">
        <v>13</v>
      </c>
      <c r="R1584" s="401">
        <v>8</v>
      </c>
      <c r="S1584" s="466">
        <v>0.64</v>
      </c>
    </row>
    <row r="1585" spans="2:19" ht="16.5" thickTop="1" thickBot="1">
      <c r="B1585" s="1249" t="s">
        <v>3173</v>
      </c>
      <c r="C1585" s="1329" t="s">
        <v>704</v>
      </c>
      <c r="D1585" s="1326" t="s">
        <v>227</v>
      </c>
      <c r="E1585" s="1249" t="s">
        <v>858</v>
      </c>
      <c r="F1585" s="455" t="s">
        <v>859</v>
      </c>
      <c r="G1585" s="456" t="s">
        <v>156</v>
      </c>
      <c r="H1585" s="889">
        <v>22</v>
      </c>
      <c r="I1585" s="891">
        <v>106.98099999999999</v>
      </c>
      <c r="J1585" s="601">
        <v>315.20499999999998</v>
      </c>
      <c r="K1585" s="602">
        <v>0.26950354609929078</v>
      </c>
      <c r="L1585" s="981">
        <v>4</v>
      </c>
      <c r="M1585" s="1249" t="s">
        <v>321</v>
      </c>
      <c r="N1585" s="604" t="s">
        <v>227</v>
      </c>
      <c r="O1585" s="465">
        <v>1</v>
      </c>
      <c r="P1585" s="435">
        <v>95.268000000000001</v>
      </c>
      <c r="Q1585" s="435">
        <v>8</v>
      </c>
      <c r="R1585" s="401">
        <v>4</v>
      </c>
      <c r="S1585" s="466">
        <v>1</v>
      </c>
    </row>
    <row r="1586" spans="2:19" ht="16.5" thickTop="1" thickBot="1">
      <c r="B1586" s="1249" t="s">
        <v>3173</v>
      </c>
      <c r="C1586" s="1329" t="s">
        <v>704</v>
      </c>
      <c r="D1586" s="1326" t="s">
        <v>227</v>
      </c>
      <c r="E1586" s="1249" t="s">
        <v>1663</v>
      </c>
      <c r="F1586" s="455" t="s">
        <v>1664</v>
      </c>
      <c r="G1586" s="456" t="s">
        <v>156</v>
      </c>
      <c r="H1586" s="889">
        <v>14</v>
      </c>
      <c r="I1586" s="891">
        <v>168.57599999999999</v>
      </c>
      <c r="J1586" s="601">
        <v>466.06400000000002</v>
      </c>
      <c r="K1586" s="602">
        <v>0.28877005347593582</v>
      </c>
      <c r="L1586" s="981">
        <v>8</v>
      </c>
      <c r="M1586" s="1249" t="s">
        <v>323</v>
      </c>
      <c r="N1586" s="604" t="s">
        <v>227</v>
      </c>
      <c r="O1586" s="465">
        <v>1</v>
      </c>
      <c r="P1586" s="435">
        <v>10.044</v>
      </c>
      <c r="Q1586" s="435">
        <v>1</v>
      </c>
      <c r="R1586" s="401">
        <v>1</v>
      </c>
      <c r="S1586" s="466">
        <v>0.125</v>
      </c>
    </row>
    <row r="1587" spans="2:19" ht="16.5" thickTop="1" thickBot="1">
      <c r="B1587" s="1249" t="s">
        <v>3173</v>
      </c>
      <c r="C1587" s="1329" t="s">
        <v>704</v>
      </c>
      <c r="D1587" s="1326" t="s">
        <v>227</v>
      </c>
      <c r="E1587" s="1249" t="s">
        <v>2424</v>
      </c>
      <c r="F1587" s="455" t="s">
        <v>2425</v>
      </c>
      <c r="G1587" s="456" t="s">
        <v>156</v>
      </c>
      <c r="H1587" s="889">
        <v>8</v>
      </c>
      <c r="I1587" s="891">
        <v>42.32</v>
      </c>
      <c r="J1587" s="601">
        <v>697.43799999999999</v>
      </c>
      <c r="K1587" s="602">
        <v>0.28846153846153844</v>
      </c>
      <c r="L1587" s="981">
        <v>9</v>
      </c>
      <c r="M1587" s="1249" t="s">
        <v>323</v>
      </c>
      <c r="N1587" s="604" t="s">
        <v>227</v>
      </c>
      <c r="O1587" s="465"/>
      <c r="P1587" s="435">
        <v>54.179000000000002</v>
      </c>
      <c r="Q1587" s="435">
        <v>3</v>
      </c>
      <c r="R1587" s="401">
        <v>2</v>
      </c>
      <c r="S1587" s="466">
        <v>0.21052631578947367</v>
      </c>
    </row>
    <row r="1588" spans="2:19" ht="16.5" thickTop="1" thickBot="1">
      <c r="B1588" s="1249" t="s">
        <v>3173</v>
      </c>
      <c r="C1588" s="1329" t="s">
        <v>704</v>
      </c>
      <c r="D1588" s="1326" t="s">
        <v>227</v>
      </c>
      <c r="E1588" s="1249" t="s">
        <v>2466</v>
      </c>
      <c r="F1588" s="455" t="s">
        <v>2468</v>
      </c>
      <c r="G1588" s="456" t="s">
        <v>157</v>
      </c>
      <c r="H1588" s="889">
        <v>7</v>
      </c>
      <c r="I1588" s="891">
        <v>161.37899999999999</v>
      </c>
      <c r="J1588" s="601">
        <v>172.15899999999999</v>
      </c>
      <c r="K1588" s="602">
        <v>0.5</v>
      </c>
      <c r="L1588" s="981">
        <v>2</v>
      </c>
      <c r="M1588" s="1249" t="s">
        <v>321</v>
      </c>
      <c r="N1588" s="604" t="s">
        <v>227</v>
      </c>
      <c r="O1588" s="465"/>
      <c r="P1588" s="435">
        <v>55.515999999999998</v>
      </c>
      <c r="Q1588" s="435">
        <v>4</v>
      </c>
      <c r="R1588" s="401">
        <v>1</v>
      </c>
      <c r="S1588" s="466">
        <v>0.5</v>
      </c>
    </row>
    <row r="1589" spans="2:19" ht="16.5" thickTop="1" thickBot="1">
      <c r="B1589" s="1249" t="s">
        <v>3173</v>
      </c>
      <c r="C1589" s="1329" t="s">
        <v>704</v>
      </c>
      <c r="D1589" s="1326" t="s">
        <v>227</v>
      </c>
      <c r="E1589" s="1249" t="s">
        <v>2638</v>
      </c>
      <c r="F1589" s="455" t="s">
        <v>2260</v>
      </c>
      <c r="G1589" s="456" t="s">
        <v>155</v>
      </c>
      <c r="H1589" s="889"/>
      <c r="I1589" s="891"/>
      <c r="J1589" s="601">
        <v>21.863</v>
      </c>
      <c r="K1589" s="602">
        <v>5.7142857142857141E-2</v>
      </c>
      <c r="L1589" s="981">
        <v>2</v>
      </c>
      <c r="M1589" s="1249" t="s">
        <v>366</v>
      </c>
      <c r="N1589" s="604" t="s">
        <v>227</v>
      </c>
      <c r="O1589" s="465"/>
      <c r="P1589" s="435">
        <v>0</v>
      </c>
      <c r="Q1589" s="435"/>
      <c r="R1589" s="401">
        <v>0</v>
      </c>
      <c r="S1589" s="466">
        <v>0</v>
      </c>
    </row>
    <row r="1590" spans="2:19" ht="16.5" thickTop="1" thickBot="1">
      <c r="B1590" s="1249" t="s">
        <v>3173</v>
      </c>
      <c r="C1590" s="1329" t="s">
        <v>704</v>
      </c>
      <c r="D1590" s="1326" t="s">
        <v>227</v>
      </c>
      <c r="E1590" s="1249" t="s">
        <v>2639</v>
      </c>
      <c r="F1590" s="455" t="s">
        <v>2640</v>
      </c>
      <c r="G1590" s="456" t="s">
        <v>156</v>
      </c>
      <c r="H1590" s="889">
        <v>5</v>
      </c>
      <c r="I1590" s="891">
        <v>22.654</v>
      </c>
      <c r="J1590" s="601">
        <v>37.795000000000002</v>
      </c>
      <c r="K1590" s="602">
        <v>0.21428571428571427</v>
      </c>
      <c r="L1590" s="981">
        <v>2</v>
      </c>
      <c r="M1590" s="1249" t="s">
        <v>366</v>
      </c>
      <c r="N1590" s="604" t="s">
        <v>227</v>
      </c>
      <c r="O1590" s="465"/>
      <c r="P1590" s="435"/>
      <c r="Q1590" s="435"/>
      <c r="R1590" s="401">
        <v>0</v>
      </c>
      <c r="S1590" s="466">
        <v>0</v>
      </c>
    </row>
    <row r="1591" spans="2:19" ht="16.5" thickTop="1" thickBot="1">
      <c r="B1591" s="1249" t="s">
        <v>3173</v>
      </c>
      <c r="C1591" s="1329" t="s">
        <v>704</v>
      </c>
      <c r="D1591" s="1326" t="s">
        <v>227</v>
      </c>
      <c r="E1591" s="1249" t="s">
        <v>2697</v>
      </c>
      <c r="F1591" s="455" t="s">
        <v>2698</v>
      </c>
      <c r="G1591" s="456" t="s">
        <v>155</v>
      </c>
      <c r="H1591" s="889"/>
      <c r="I1591" s="891"/>
      <c r="J1591" s="601">
        <v>121.724</v>
      </c>
      <c r="K1591" s="602">
        <v>0.30188679245283018</v>
      </c>
      <c r="L1591" s="981">
        <v>9</v>
      </c>
      <c r="M1591" s="1249" t="s">
        <v>366</v>
      </c>
      <c r="N1591" s="604" t="s">
        <v>227</v>
      </c>
      <c r="O1591" s="465">
        <v>2</v>
      </c>
      <c r="P1591" s="435">
        <v>7.0590000000000002</v>
      </c>
      <c r="Q1591" s="435">
        <v>1</v>
      </c>
      <c r="R1591" s="401">
        <v>1</v>
      </c>
      <c r="S1591" s="466">
        <v>0.11764705882352941</v>
      </c>
    </row>
    <row r="1592" spans="2:19" ht="16.5" thickTop="1" thickBot="1">
      <c r="B1592" s="1249" t="s">
        <v>3173</v>
      </c>
      <c r="C1592" s="1329" t="s">
        <v>704</v>
      </c>
      <c r="D1592" s="1326" t="s">
        <v>227</v>
      </c>
      <c r="E1592" s="1249" t="s">
        <v>3113</v>
      </c>
      <c r="F1592" s="455" t="s">
        <v>3114</v>
      </c>
      <c r="G1592" s="456" t="s">
        <v>156</v>
      </c>
      <c r="H1592" s="889">
        <v>2</v>
      </c>
      <c r="I1592" s="891"/>
      <c r="J1592" s="601">
        <v>23.173999999999999</v>
      </c>
      <c r="K1592" s="602">
        <v>0.30769230769230771</v>
      </c>
      <c r="L1592" s="981">
        <v>3</v>
      </c>
      <c r="M1592" s="1249" t="s">
        <v>322</v>
      </c>
      <c r="N1592" s="604" t="s">
        <v>227</v>
      </c>
      <c r="O1592" s="465"/>
      <c r="P1592" s="435"/>
      <c r="Q1592" s="435"/>
      <c r="R1592" s="401">
        <v>0</v>
      </c>
      <c r="S1592" s="466">
        <v>0</v>
      </c>
    </row>
    <row r="1593" spans="2:19" ht="16.5" thickTop="1" thickBot="1">
      <c r="B1593" s="1249" t="s">
        <v>3173</v>
      </c>
      <c r="C1593" s="1329" t="s">
        <v>2909</v>
      </c>
      <c r="D1593" s="1326" t="s">
        <v>227</v>
      </c>
      <c r="E1593" s="1249" t="s">
        <v>2909</v>
      </c>
      <c r="F1593" s="455" t="s">
        <v>2911</v>
      </c>
      <c r="G1593" s="456" t="s">
        <v>739</v>
      </c>
      <c r="H1593" s="889">
        <v>3</v>
      </c>
      <c r="I1593" s="891"/>
      <c r="J1593" s="601">
        <v>133.982</v>
      </c>
      <c r="K1593" s="602">
        <v>0.42553191489361702</v>
      </c>
      <c r="L1593" s="981">
        <v>16</v>
      </c>
      <c r="M1593" s="1249" t="s">
        <v>323</v>
      </c>
      <c r="N1593" s="604" t="s">
        <v>227</v>
      </c>
      <c r="O1593" s="465">
        <v>5</v>
      </c>
      <c r="P1593" s="435">
        <v>62.920999999999999</v>
      </c>
      <c r="Q1593" s="435">
        <v>6</v>
      </c>
      <c r="R1593" s="401">
        <v>5</v>
      </c>
      <c r="S1593" s="466">
        <v>0.37037037037037035</v>
      </c>
    </row>
    <row r="1594" spans="2:19" ht="16.5" thickTop="1" thickBot="1">
      <c r="B1594" s="1249" t="s">
        <v>3173</v>
      </c>
      <c r="C1594" s="1329" t="s">
        <v>2909</v>
      </c>
      <c r="D1594" s="1326" t="s">
        <v>227</v>
      </c>
      <c r="E1594" s="1249" t="s">
        <v>3115</v>
      </c>
      <c r="F1594" s="455" t="s">
        <v>3116</v>
      </c>
      <c r="G1594" s="456" t="s">
        <v>156</v>
      </c>
      <c r="H1594" s="889">
        <v>3</v>
      </c>
      <c r="I1594" s="891">
        <v>61.469000000000001</v>
      </c>
      <c r="J1594" s="601">
        <v>61.469000000000001</v>
      </c>
      <c r="K1594" s="602">
        <v>0.30769230769230771</v>
      </c>
      <c r="L1594" s="981">
        <v>3</v>
      </c>
      <c r="M1594" s="1249" t="s">
        <v>321</v>
      </c>
      <c r="N1594" s="604" t="s">
        <v>227</v>
      </c>
      <c r="O1594" s="465"/>
      <c r="P1594" s="435">
        <v>22.664999999999999</v>
      </c>
      <c r="Q1594" s="435">
        <v>2</v>
      </c>
      <c r="R1594" s="401">
        <v>1</v>
      </c>
      <c r="S1594" s="466">
        <v>0.33333333333333331</v>
      </c>
    </row>
    <row r="1595" spans="2:19" ht="16.5" thickTop="1" thickBot="1">
      <c r="B1595" s="1249" t="s">
        <v>3173</v>
      </c>
      <c r="C1595" s="1329" t="s">
        <v>2909</v>
      </c>
      <c r="D1595" s="1326" t="s">
        <v>227</v>
      </c>
      <c r="E1595" s="1249" t="s">
        <v>3417</v>
      </c>
      <c r="F1595" s="455" t="s">
        <v>3418</v>
      </c>
      <c r="G1595" s="456" t="s">
        <v>156</v>
      </c>
      <c r="H1595" s="889">
        <v>2</v>
      </c>
      <c r="I1595" s="891"/>
      <c r="J1595" s="601"/>
      <c r="K1595" s="602">
        <v>0</v>
      </c>
      <c r="L1595" s="981">
        <v>1</v>
      </c>
      <c r="M1595" s="1249" t="s">
        <v>366</v>
      </c>
      <c r="N1595" s="604" t="s">
        <v>227</v>
      </c>
      <c r="O1595" s="465"/>
      <c r="P1595" s="435"/>
      <c r="Q1595" s="435"/>
      <c r="R1595" s="401">
        <v>0</v>
      </c>
      <c r="S1595" s="466">
        <v>0</v>
      </c>
    </row>
    <row r="1596" spans="2:19" ht="16.5" thickTop="1" thickBot="1">
      <c r="B1596" s="1249" t="s">
        <v>3173</v>
      </c>
      <c r="C1596" s="1329" t="s">
        <v>2909</v>
      </c>
      <c r="D1596" s="1326" t="s">
        <v>227</v>
      </c>
      <c r="E1596" s="1249" t="s">
        <v>3419</v>
      </c>
      <c r="F1596" s="455" t="s">
        <v>3420</v>
      </c>
      <c r="G1596" s="456" t="s">
        <v>157</v>
      </c>
      <c r="H1596" s="889">
        <v>1</v>
      </c>
      <c r="I1596" s="891">
        <v>20.303999999999998</v>
      </c>
      <c r="J1596" s="601">
        <v>27.359000000000002</v>
      </c>
      <c r="K1596" s="602">
        <v>0.2857142857142857</v>
      </c>
      <c r="L1596" s="981">
        <v>5</v>
      </c>
      <c r="M1596" s="1249" t="s">
        <v>323</v>
      </c>
      <c r="N1596" s="604" t="s">
        <v>227</v>
      </c>
      <c r="O1596" s="465">
        <v>1</v>
      </c>
      <c r="P1596" s="435">
        <v>27.359000000000002</v>
      </c>
      <c r="Q1596" s="435">
        <v>2</v>
      </c>
      <c r="R1596" s="401">
        <v>2</v>
      </c>
      <c r="S1596" s="466">
        <v>0.44444444444444442</v>
      </c>
    </row>
    <row r="1597" spans="2:19" ht="16.5" thickTop="1" thickBot="1">
      <c r="B1597" s="1249" t="s">
        <v>3173</v>
      </c>
      <c r="C1597" s="1329" t="s">
        <v>2909</v>
      </c>
      <c r="D1597" s="1326" t="s">
        <v>227</v>
      </c>
      <c r="E1597" s="1249" t="s">
        <v>3971</v>
      </c>
      <c r="F1597" s="455" t="s">
        <v>3972</v>
      </c>
      <c r="G1597" s="456" t="s">
        <v>156</v>
      </c>
      <c r="H1597" s="889">
        <v>0</v>
      </c>
      <c r="I1597" s="891">
        <v>11.692</v>
      </c>
      <c r="J1597" s="601">
        <v>211.49600000000001</v>
      </c>
      <c r="K1597" s="602">
        <v>1.6</v>
      </c>
      <c r="L1597" s="981">
        <v>5</v>
      </c>
      <c r="M1597" s="1249" t="s">
        <v>227</v>
      </c>
      <c r="N1597" s="604" t="s">
        <v>227</v>
      </c>
      <c r="O1597" s="465">
        <v>5</v>
      </c>
      <c r="P1597" s="435">
        <v>211.49600000000001</v>
      </c>
      <c r="Q1597" s="435">
        <v>14</v>
      </c>
      <c r="R1597" s="401">
        <v>4</v>
      </c>
      <c r="S1597" s="466">
        <v>1.6</v>
      </c>
    </row>
    <row r="1598" spans="2:19" ht="16.5" thickTop="1" thickBot="1">
      <c r="B1598" s="1249" t="s">
        <v>3174</v>
      </c>
      <c r="C1598" s="1329" t="s">
        <v>227</v>
      </c>
      <c r="D1598" s="1326" t="s">
        <v>227</v>
      </c>
      <c r="E1598" s="1249" t="s">
        <v>700</v>
      </c>
      <c r="F1598" s="455" t="s">
        <v>711</v>
      </c>
      <c r="G1598" s="456" t="s">
        <v>157</v>
      </c>
      <c r="H1598" s="889">
        <v>26</v>
      </c>
      <c r="I1598" s="891"/>
      <c r="J1598" s="601">
        <v>0</v>
      </c>
      <c r="K1598" s="602">
        <v>0</v>
      </c>
      <c r="L1598" s="981">
        <v>1</v>
      </c>
      <c r="M1598" s="1249" t="s">
        <v>366</v>
      </c>
      <c r="N1598" s="604" t="s">
        <v>227</v>
      </c>
      <c r="O1598" s="465"/>
      <c r="P1598" s="435"/>
      <c r="Q1598" s="435"/>
      <c r="R1598" s="401">
        <v>0</v>
      </c>
      <c r="S1598" s="466">
        <v>0</v>
      </c>
    </row>
    <row r="1599" spans="2:19" ht="16.5" thickTop="1" thickBot="1">
      <c r="B1599" s="1249" t="s">
        <v>3174</v>
      </c>
      <c r="C1599" s="1329" t="s">
        <v>227</v>
      </c>
      <c r="D1599" s="1326" t="s">
        <v>227</v>
      </c>
      <c r="E1599" s="1249" t="s">
        <v>1080</v>
      </c>
      <c r="F1599" s="455" t="s">
        <v>836</v>
      </c>
      <c r="G1599" s="456" t="s">
        <v>155</v>
      </c>
      <c r="H1599" s="889"/>
      <c r="I1599" s="891"/>
      <c r="J1599" s="601"/>
      <c r="K1599" s="602">
        <v>0</v>
      </c>
      <c r="L1599" s="981"/>
      <c r="M1599" s="1249" t="s">
        <v>366</v>
      </c>
      <c r="N1599" s="604" t="s">
        <v>227</v>
      </c>
      <c r="O1599" s="465"/>
      <c r="P1599" s="435"/>
      <c r="Q1599" s="435"/>
      <c r="R1599" s="401">
        <v>0</v>
      </c>
      <c r="S1599" s="466">
        <v>0</v>
      </c>
    </row>
    <row r="1600" spans="2:19" ht="16.5" thickTop="1" thickBot="1">
      <c r="B1600" s="1249" t="s">
        <v>3174</v>
      </c>
      <c r="C1600" s="1329" t="s">
        <v>227</v>
      </c>
      <c r="D1600" s="1326" t="s">
        <v>227</v>
      </c>
      <c r="E1600" s="1249" t="s">
        <v>1081</v>
      </c>
      <c r="F1600" s="455" t="s">
        <v>1082</v>
      </c>
      <c r="G1600" s="456" t="s">
        <v>156</v>
      </c>
      <c r="H1600" s="889">
        <v>18</v>
      </c>
      <c r="I1600" s="891"/>
      <c r="J1600" s="601"/>
      <c r="K1600" s="602">
        <v>0</v>
      </c>
      <c r="L1600" s="981">
        <v>1</v>
      </c>
      <c r="M1600" s="1249" t="s">
        <v>366</v>
      </c>
      <c r="N1600" s="604" t="s">
        <v>227</v>
      </c>
      <c r="O1600" s="465"/>
      <c r="P1600" s="435"/>
      <c r="Q1600" s="435"/>
      <c r="R1600" s="401">
        <v>0</v>
      </c>
      <c r="S1600" s="466">
        <v>0</v>
      </c>
    </row>
    <row r="1601" spans="2:19" ht="16.5" thickTop="1" thickBot="1">
      <c r="B1601" s="1249" t="s">
        <v>3174</v>
      </c>
      <c r="C1601" s="1329" t="s">
        <v>1445</v>
      </c>
      <c r="D1601" s="1326" t="s">
        <v>227</v>
      </c>
      <c r="E1601" s="1249" t="s">
        <v>1445</v>
      </c>
      <c r="F1601" s="455" t="s">
        <v>1447</v>
      </c>
      <c r="G1601" s="456" t="s">
        <v>158</v>
      </c>
      <c r="H1601" s="889">
        <v>14</v>
      </c>
      <c r="I1601" s="891">
        <v>60.66</v>
      </c>
      <c r="J1601" s="601">
        <v>408.58300000000003</v>
      </c>
      <c r="K1601" s="602">
        <v>0.27385892116182575</v>
      </c>
      <c r="L1601" s="981">
        <v>21</v>
      </c>
      <c r="M1601" s="1249" t="s">
        <v>323</v>
      </c>
      <c r="N1601" s="604" t="s">
        <v>227</v>
      </c>
      <c r="O1601" s="465">
        <v>13</v>
      </c>
      <c r="P1601" s="435">
        <v>68.787999999999997</v>
      </c>
      <c r="Q1601" s="435">
        <v>7</v>
      </c>
      <c r="R1601" s="401">
        <v>7</v>
      </c>
      <c r="S1601" s="466">
        <v>0.48275862068965519</v>
      </c>
    </row>
    <row r="1602" spans="2:19" ht="16.5" thickTop="1" thickBot="1">
      <c r="B1602" s="1249" t="s">
        <v>3174</v>
      </c>
      <c r="C1602" s="1329" t="s">
        <v>1445</v>
      </c>
      <c r="D1602" s="1326" t="s">
        <v>227</v>
      </c>
      <c r="E1602" s="1249" t="s">
        <v>1246</v>
      </c>
      <c r="F1602" s="455" t="s">
        <v>1247</v>
      </c>
      <c r="G1602" s="456" t="s">
        <v>156</v>
      </c>
      <c r="H1602" s="889">
        <v>17</v>
      </c>
      <c r="I1602" s="891">
        <v>39.506</v>
      </c>
      <c r="J1602" s="601">
        <v>324.06</v>
      </c>
      <c r="K1602" s="602">
        <v>0.29230769230769232</v>
      </c>
      <c r="L1602" s="981">
        <v>6</v>
      </c>
      <c r="M1602" s="1249" t="s">
        <v>321</v>
      </c>
      <c r="N1602" s="604" t="s">
        <v>227</v>
      </c>
      <c r="O1602" s="465"/>
      <c r="P1602" s="435">
        <v>0</v>
      </c>
      <c r="Q1602" s="435"/>
      <c r="R1602" s="401">
        <v>0</v>
      </c>
      <c r="S1602" s="466">
        <v>0</v>
      </c>
    </row>
    <row r="1603" spans="2:19" ht="16.5" thickTop="1" thickBot="1">
      <c r="B1603" s="1249" t="s">
        <v>3174</v>
      </c>
      <c r="C1603" s="1329" t="s">
        <v>1445</v>
      </c>
      <c r="D1603" s="1326" t="s">
        <v>227</v>
      </c>
      <c r="E1603" s="1249" t="s">
        <v>1337</v>
      </c>
      <c r="F1603" s="455" t="s">
        <v>762</v>
      </c>
      <c r="G1603" s="456" t="s">
        <v>156</v>
      </c>
      <c r="H1603" s="889">
        <v>17</v>
      </c>
      <c r="I1603" s="891">
        <v>20.962</v>
      </c>
      <c r="J1603" s="601">
        <v>131.553</v>
      </c>
      <c r="K1603" s="602">
        <v>0.21487603305785125</v>
      </c>
      <c r="L1603" s="981">
        <v>1</v>
      </c>
      <c r="M1603" s="1249" t="s">
        <v>366</v>
      </c>
      <c r="N1603" s="604" t="s">
        <v>227</v>
      </c>
      <c r="O1603" s="465"/>
      <c r="P1603" s="435">
        <v>0</v>
      </c>
      <c r="Q1603" s="435"/>
      <c r="R1603" s="401">
        <v>0</v>
      </c>
      <c r="S1603" s="466">
        <v>0</v>
      </c>
    </row>
    <row r="1604" spans="2:19" ht="16.5" thickTop="1" thickBot="1">
      <c r="B1604" s="1249" t="s">
        <v>3174</v>
      </c>
      <c r="C1604" s="1329" t="s">
        <v>1445</v>
      </c>
      <c r="D1604" s="1326" t="s">
        <v>227</v>
      </c>
      <c r="E1604" s="1249" t="s">
        <v>2240</v>
      </c>
      <c r="F1604" s="455" t="s">
        <v>1018</v>
      </c>
      <c r="G1604" s="456" t="s">
        <v>157</v>
      </c>
      <c r="H1604" s="889">
        <v>8</v>
      </c>
      <c r="I1604" s="891">
        <v>116.33199999999999</v>
      </c>
      <c r="J1604" s="601">
        <v>365.976</v>
      </c>
      <c r="K1604" s="602">
        <v>0.55172413793103448</v>
      </c>
      <c r="L1604" s="981">
        <v>10</v>
      </c>
      <c r="M1604" s="1249" t="s">
        <v>323</v>
      </c>
      <c r="N1604" s="604" t="s">
        <v>227</v>
      </c>
      <c r="O1604" s="465">
        <v>5</v>
      </c>
      <c r="P1604" s="435">
        <v>49.082000000000001</v>
      </c>
      <c r="Q1604" s="435">
        <v>5</v>
      </c>
      <c r="R1604" s="401">
        <v>5</v>
      </c>
      <c r="S1604" s="466">
        <v>0.66666666666666663</v>
      </c>
    </row>
    <row r="1605" spans="2:19" ht="16.5" thickTop="1" thickBot="1">
      <c r="B1605" s="1249" t="s">
        <v>3174</v>
      </c>
      <c r="C1605" s="1329" t="s">
        <v>1445</v>
      </c>
      <c r="D1605" s="1326" t="s">
        <v>227</v>
      </c>
      <c r="E1605" s="1249" t="s">
        <v>2283</v>
      </c>
      <c r="F1605" s="455" t="s">
        <v>2284</v>
      </c>
      <c r="G1605" s="456" t="s">
        <v>156</v>
      </c>
      <c r="H1605" s="889">
        <v>8</v>
      </c>
      <c r="I1605" s="891">
        <v>12.952999999999999</v>
      </c>
      <c r="J1605" s="601">
        <v>274.80099999999999</v>
      </c>
      <c r="K1605" s="602">
        <v>0.40677966101694918</v>
      </c>
      <c r="L1605" s="981">
        <v>4</v>
      </c>
      <c r="M1605" s="1249" t="s">
        <v>323</v>
      </c>
      <c r="N1605" s="604" t="s">
        <v>227</v>
      </c>
      <c r="O1605" s="465"/>
      <c r="P1605" s="435">
        <v>49.194000000000003</v>
      </c>
      <c r="Q1605" s="435">
        <v>4</v>
      </c>
      <c r="R1605" s="401">
        <v>1</v>
      </c>
      <c r="S1605" s="466">
        <v>0.25</v>
      </c>
    </row>
    <row r="1606" spans="2:19" ht="16.5" thickTop="1" thickBot="1">
      <c r="B1606" s="1249" t="s">
        <v>3174</v>
      </c>
      <c r="C1606" s="1329" t="s">
        <v>1445</v>
      </c>
      <c r="D1606" s="1326" t="s">
        <v>227</v>
      </c>
      <c r="E1606" s="1249" t="s">
        <v>2409</v>
      </c>
      <c r="F1606" s="455" t="s">
        <v>2410</v>
      </c>
      <c r="G1606" s="456" t="s">
        <v>156</v>
      </c>
      <c r="H1606" s="889">
        <v>7</v>
      </c>
      <c r="I1606" s="891">
        <v>8.0180000000000007</v>
      </c>
      <c r="J1606" s="601">
        <v>115.035</v>
      </c>
      <c r="K1606" s="602">
        <v>0.41025641025641024</v>
      </c>
      <c r="L1606" s="981">
        <v>7</v>
      </c>
      <c r="M1606" s="1249" t="s">
        <v>322</v>
      </c>
      <c r="N1606" s="604" t="s">
        <v>227</v>
      </c>
      <c r="O1606" s="465">
        <v>1</v>
      </c>
      <c r="P1606" s="435"/>
      <c r="Q1606" s="435"/>
      <c r="R1606" s="401">
        <v>0</v>
      </c>
      <c r="S1606" s="466">
        <v>0</v>
      </c>
    </row>
    <row r="1607" spans="2:19" ht="16.5" thickTop="1" thickBot="1">
      <c r="B1607" s="1249" t="s">
        <v>3174</v>
      </c>
      <c r="C1607" s="1329" t="s">
        <v>1445</v>
      </c>
      <c r="D1607" s="1326" t="s">
        <v>227</v>
      </c>
      <c r="E1607" s="1249" t="s">
        <v>2683</v>
      </c>
      <c r="F1607" s="455" t="s">
        <v>2684</v>
      </c>
      <c r="G1607" s="456" t="s">
        <v>155</v>
      </c>
      <c r="H1607" s="889"/>
      <c r="I1607" s="891"/>
      <c r="J1607" s="601">
        <v>10.763999999999999</v>
      </c>
      <c r="K1607" s="602">
        <v>0.11428571428571428</v>
      </c>
      <c r="L1607" s="981">
        <v>3</v>
      </c>
      <c r="M1607" s="1249" t="s">
        <v>366</v>
      </c>
      <c r="N1607" s="604" t="s">
        <v>227</v>
      </c>
      <c r="O1607" s="465"/>
      <c r="P1607" s="435"/>
      <c r="Q1607" s="435"/>
      <c r="R1607" s="401">
        <v>0</v>
      </c>
      <c r="S1607" s="466">
        <v>0</v>
      </c>
    </row>
    <row r="1608" spans="2:19" ht="16.5" thickTop="1" thickBot="1">
      <c r="B1608" s="1249" t="s">
        <v>3174</v>
      </c>
      <c r="C1608" s="1329" t="s">
        <v>1445</v>
      </c>
      <c r="D1608" s="1326" t="s">
        <v>227</v>
      </c>
      <c r="E1608" s="1249" t="s">
        <v>2837</v>
      </c>
      <c r="F1608" s="455" t="s">
        <v>2838</v>
      </c>
      <c r="G1608" s="456" t="s">
        <v>156</v>
      </c>
      <c r="H1608" s="889">
        <v>3</v>
      </c>
      <c r="I1608" s="891">
        <v>7.2629999999999999</v>
      </c>
      <c r="J1608" s="601">
        <v>59.192999999999998</v>
      </c>
      <c r="K1608" s="602">
        <v>0.5</v>
      </c>
      <c r="L1608" s="981">
        <v>6</v>
      </c>
      <c r="M1608" s="1249" t="s">
        <v>321</v>
      </c>
      <c r="N1608" s="604" t="s">
        <v>227</v>
      </c>
      <c r="O1608" s="465">
        <v>3</v>
      </c>
      <c r="P1608" s="435">
        <v>38.978000000000002</v>
      </c>
      <c r="Q1608" s="435">
        <v>4</v>
      </c>
      <c r="R1608" s="401">
        <v>4</v>
      </c>
      <c r="S1608" s="466">
        <v>0.88888888888888884</v>
      </c>
    </row>
    <row r="1609" spans="2:19" ht="16.5" thickTop="1" thickBot="1">
      <c r="B1609" s="1249" t="s">
        <v>3174</v>
      </c>
      <c r="C1609" s="1329" t="s">
        <v>1445</v>
      </c>
      <c r="D1609" s="1326" t="s">
        <v>227</v>
      </c>
      <c r="E1609" s="1249" t="s">
        <v>3056</v>
      </c>
      <c r="F1609" s="455" t="s">
        <v>2515</v>
      </c>
      <c r="G1609" s="456" t="s">
        <v>155</v>
      </c>
      <c r="H1609" s="889"/>
      <c r="I1609" s="891"/>
      <c r="J1609" s="601">
        <v>115.014</v>
      </c>
      <c r="K1609" s="602">
        <v>0.60606060606060608</v>
      </c>
      <c r="L1609" s="981">
        <v>12</v>
      </c>
      <c r="M1609" s="1249" t="s">
        <v>366</v>
      </c>
      <c r="N1609" s="604" t="s">
        <v>227</v>
      </c>
      <c r="O1609" s="465">
        <v>7</v>
      </c>
      <c r="P1609" s="435">
        <v>73.411000000000001</v>
      </c>
      <c r="Q1609" s="435">
        <v>7</v>
      </c>
      <c r="R1609" s="401">
        <v>7</v>
      </c>
      <c r="S1609" s="466">
        <v>0.82352941176470584</v>
      </c>
    </row>
    <row r="1610" spans="2:19" ht="16.5" thickTop="1" thickBot="1">
      <c r="B1610" s="1249" t="s">
        <v>3174</v>
      </c>
      <c r="C1610" s="1329" t="s">
        <v>1448</v>
      </c>
      <c r="D1610" s="1326" t="s">
        <v>227</v>
      </c>
      <c r="E1610" s="1249" t="s">
        <v>1647</v>
      </c>
      <c r="F1610" s="455" t="s">
        <v>1648</v>
      </c>
      <c r="G1610" s="456" t="s">
        <v>156</v>
      </c>
      <c r="H1610" s="889">
        <v>13</v>
      </c>
      <c r="I1610" s="891">
        <v>49.570999999999998</v>
      </c>
      <c r="J1610" s="601">
        <v>392.21600000000001</v>
      </c>
      <c r="K1610" s="602">
        <v>0.23076923076923078</v>
      </c>
      <c r="L1610" s="981">
        <v>9</v>
      </c>
      <c r="M1610" s="1249" t="s">
        <v>323</v>
      </c>
      <c r="N1610" s="604" t="s">
        <v>227</v>
      </c>
      <c r="O1610" s="465">
        <v>2</v>
      </c>
      <c r="P1610" s="435">
        <v>10.218999999999999</v>
      </c>
      <c r="Q1610" s="435">
        <v>1</v>
      </c>
      <c r="R1610" s="401">
        <v>1</v>
      </c>
      <c r="S1610" s="466">
        <v>0.11764705882352941</v>
      </c>
    </row>
    <row r="1611" spans="2:19" ht="16.5" thickTop="1" thickBot="1">
      <c r="B1611" s="1249" t="s">
        <v>3174</v>
      </c>
      <c r="C1611" s="1329" t="s">
        <v>1448</v>
      </c>
      <c r="D1611" s="1326" t="s">
        <v>227</v>
      </c>
      <c r="E1611" s="1249" t="s">
        <v>1601</v>
      </c>
      <c r="F1611" s="455" t="s">
        <v>1602</v>
      </c>
      <c r="G1611" s="456" t="s">
        <v>156</v>
      </c>
      <c r="H1611" s="889">
        <v>14</v>
      </c>
      <c r="I1611" s="891">
        <v>21.31</v>
      </c>
      <c r="J1611" s="601">
        <v>190.47800000000001</v>
      </c>
      <c r="K1611" s="602">
        <v>0.13930348258706468</v>
      </c>
      <c r="L1611" s="981">
        <v>3</v>
      </c>
      <c r="M1611" s="1249" t="s">
        <v>322</v>
      </c>
      <c r="N1611" s="604" t="s">
        <v>227</v>
      </c>
      <c r="O1611" s="465"/>
      <c r="P1611" s="435">
        <v>0</v>
      </c>
      <c r="Q1611" s="435"/>
      <c r="R1611" s="401">
        <v>0</v>
      </c>
      <c r="S1611" s="466">
        <v>0</v>
      </c>
    </row>
    <row r="1612" spans="2:19" ht="16.5" thickTop="1" thickBot="1">
      <c r="B1612" s="1249" t="s">
        <v>3174</v>
      </c>
      <c r="C1612" s="1329" t="s">
        <v>1448</v>
      </c>
      <c r="D1612" s="1326" t="s">
        <v>227</v>
      </c>
      <c r="E1612" s="1249" t="s">
        <v>1448</v>
      </c>
      <c r="F1612" s="455" t="s">
        <v>1450</v>
      </c>
      <c r="G1612" s="456" t="s">
        <v>158</v>
      </c>
      <c r="H1612" s="889">
        <v>14</v>
      </c>
      <c r="I1612" s="891">
        <v>33.277999999999999</v>
      </c>
      <c r="J1612" s="601">
        <v>1057.1959999999999</v>
      </c>
      <c r="K1612" s="602">
        <v>0.32954545454545453</v>
      </c>
      <c r="L1612" s="981">
        <v>13</v>
      </c>
      <c r="M1612" s="1249" t="s">
        <v>323</v>
      </c>
      <c r="N1612" s="604" t="s">
        <v>227</v>
      </c>
      <c r="O1612" s="465"/>
      <c r="P1612" s="435">
        <v>53.08</v>
      </c>
      <c r="Q1612" s="435">
        <v>5</v>
      </c>
      <c r="R1612" s="401">
        <v>2</v>
      </c>
      <c r="S1612" s="466">
        <v>0.14285714285714285</v>
      </c>
    </row>
    <row r="1613" spans="2:19" ht="16.5" thickTop="1" thickBot="1">
      <c r="B1613" s="1249" t="s">
        <v>3174</v>
      </c>
      <c r="C1613" s="1329" t="s">
        <v>1448</v>
      </c>
      <c r="D1613" s="1326" t="s">
        <v>227</v>
      </c>
      <c r="E1613" s="1249" t="s">
        <v>1385</v>
      </c>
      <c r="F1613" s="455" t="s">
        <v>1387</v>
      </c>
      <c r="G1613" s="456" t="s">
        <v>157</v>
      </c>
      <c r="H1613" s="889">
        <v>15</v>
      </c>
      <c r="I1613" s="891">
        <v>106.916</v>
      </c>
      <c r="J1613" s="601">
        <v>651.53800000000001</v>
      </c>
      <c r="K1613" s="602">
        <v>0.24146981627296588</v>
      </c>
      <c r="L1613" s="981">
        <v>39</v>
      </c>
      <c r="M1613" s="1249" t="s">
        <v>323</v>
      </c>
      <c r="N1613" s="604" t="s">
        <v>227</v>
      </c>
      <c r="O1613" s="465">
        <v>28</v>
      </c>
      <c r="P1613" s="435">
        <v>52.45</v>
      </c>
      <c r="Q1613" s="435">
        <v>5</v>
      </c>
      <c r="R1613" s="401">
        <v>5</v>
      </c>
      <c r="S1613" s="466">
        <v>0.2</v>
      </c>
    </row>
    <row r="1614" spans="2:19" ht="16.5" thickTop="1" thickBot="1">
      <c r="B1614" s="1249" t="s">
        <v>3174</v>
      </c>
      <c r="C1614" s="1329" t="s">
        <v>1448</v>
      </c>
      <c r="D1614" s="1326" t="s">
        <v>227</v>
      </c>
      <c r="E1614" s="1249" t="s">
        <v>1244</v>
      </c>
      <c r="F1614" s="455" t="s">
        <v>1245</v>
      </c>
      <c r="G1614" s="456" t="s">
        <v>156</v>
      </c>
      <c r="H1614" s="889">
        <v>17</v>
      </c>
      <c r="I1614" s="891">
        <v>111.727</v>
      </c>
      <c r="J1614" s="601">
        <v>562.57399999999996</v>
      </c>
      <c r="K1614" s="602">
        <v>0.31147540983606559</v>
      </c>
      <c r="L1614" s="981">
        <v>20</v>
      </c>
      <c r="M1614" s="1249" t="s">
        <v>323</v>
      </c>
      <c r="N1614" s="604" t="s">
        <v>227</v>
      </c>
      <c r="O1614" s="465">
        <v>12</v>
      </c>
      <c r="P1614" s="435">
        <v>117.24299999999999</v>
      </c>
      <c r="Q1614" s="435">
        <v>12</v>
      </c>
      <c r="R1614" s="401">
        <v>6</v>
      </c>
      <c r="S1614" s="466">
        <v>0.38709677419354838</v>
      </c>
    </row>
    <row r="1615" spans="2:19" ht="16.5" thickTop="1" thickBot="1">
      <c r="B1615" s="1249" t="s">
        <v>3174</v>
      </c>
      <c r="C1615" s="1329" t="s">
        <v>1448</v>
      </c>
      <c r="D1615" s="1326" t="s">
        <v>227</v>
      </c>
      <c r="E1615" s="1249" t="s">
        <v>1966</v>
      </c>
      <c r="F1615" s="455" t="s">
        <v>1967</v>
      </c>
      <c r="G1615" s="456" t="s">
        <v>156</v>
      </c>
      <c r="H1615" s="889">
        <v>10</v>
      </c>
      <c r="I1615" s="891">
        <v>42.356999999999999</v>
      </c>
      <c r="J1615" s="601">
        <v>42.356999999999999</v>
      </c>
      <c r="K1615" s="602">
        <v>0.27586206896551724</v>
      </c>
      <c r="L1615" s="981">
        <v>3</v>
      </c>
      <c r="M1615" s="1249" t="s">
        <v>366</v>
      </c>
      <c r="N1615" s="604" t="s">
        <v>227</v>
      </c>
      <c r="O1615" s="465"/>
      <c r="P1615" s="435"/>
      <c r="Q1615" s="435"/>
      <c r="R1615" s="401">
        <v>0</v>
      </c>
      <c r="S1615" s="466">
        <v>0</v>
      </c>
    </row>
    <row r="1616" spans="2:19" ht="16.5" thickTop="1" thickBot="1">
      <c r="B1616" s="1249" t="s">
        <v>3174</v>
      </c>
      <c r="C1616" s="1329" t="s">
        <v>1448</v>
      </c>
      <c r="D1616" s="1326" t="s">
        <v>227</v>
      </c>
      <c r="E1616" s="1249" t="s">
        <v>2285</v>
      </c>
      <c r="F1616" s="455" t="s">
        <v>2286</v>
      </c>
      <c r="G1616" s="456" t="s">
        <v>156</v>
      </c>
      <c r="H1616" s="889">
        <v>8</v>
      </c>
      <c r="I1616" s="891">
        <v>621.19500000000005</v>
      </c>
      <c r="J1616" s="601">
        <v>172.44399999999999</v>
      </c>
      <c r="K1616" s="602">
        <v>0.16666666666666666</v>
      </c>
      <c r="L1616" s="981">
        <v>2</v>
      </c>
      <c r="M1616" s="1249" t="s">
        <v>321</v>
      </c>
      <c r="N1616" s="604" t="s">
        <v>227</v>
      </c>
      <c r="O1616" s="465"/>
      <c r="P1616" s="435"/>
      <c r="Q1616" s="435"/>
      <c r="R1616" s="401">
        <v>0</v>
      </c>
      <c r="S1616" s="466">
        <v>0</v>
      </c>
    </row>
    <row r="1617" spans="2:19" ht="16.5" thickTop="1" thickBot="1">
      <c r="B1617" s="1249" t="s">
        <v>3174</v>
      </c>
      <c r="C1617" s="1329" t="s">
        <v>1448</v>
      </c>
      <c r="D1617" s="1326" t="s">
        <v>227</v>
      </c>
      <c r="E1617" s="1249" t="s">
        <v>2618</v>
      </c>
      <c r="F1617" s="455" t="s">
        <v>2619</v>
      </c>
      <c r="G1617" s="456" t="s">
        <v>155</v>
      </c>
      <c r="H1617" s="889"/>
      <c r="I1617" s="891"/>
      <c r="J1617" s="601">
        <v>23.155999999999999</v>
      </c>
      <c r="K1617" s="602">
        <v>0.21052631578947367</v>
      </c>
      <c r="L1617" s="981">
        <v>1</v>
      </c>
      <c r="M1617" s="1249" t="s">
        <v>366</v>
      </c>
      <c r="N1617" s="604" t="s">
        <v>227</v>
      </c>
      <c r="O1617" s="465"/>
      <c r="P1617" s="435"/>
      <c r="Q1617" s="435"/>
      <c r="R1617" s="401">
        <v>0</v>
      </c>
      <c r="S1617" s="466">
        <v>0</v>
      </c>
    </row>
    <row r="1618" spans="2:19" ht="16.5" thickTop="1" thickBot="1">
      <c r="B1618" s="1249" t="s">
        <v>3174</v>
      </c>
      <c r="C1618" s="1329" t="s">
        <v>1448</v>
      </c>
      <c r="D1618" s="1326" t="s">
        <v>227</v>
      </c>
      <c r="E1618" s="1249" t="s">
        <v>2685</v>
      </c>
      <c r="F1618" s="455" t="s">
        <v>2686</v>
      </c>
      <c r="G1618" s="456" t="s">
        <v>155</v>
      </c>
      <c r="H1618" s="889"/>
      <c r="I1618" s="891"/>
      <c r="J1618" s="601">
        <v>75.83</v>
      </c>
      <c r="K1618" s="602">
        <v>0.25</v>
      </c>
      <c r="L1618" s="981">
        <v>5</v>
      </c>
      <c r="M1618" s="1249" t="s">
        <v>366</v>
      </c>
      <c r="N1618" s="604" t="s">
        <v>227</v>
      </c>
      <c r="O1618" s="465">
        <v>2</v>
      </c>
      <c r="P1618" s="435">
        <v>29.574000000000002</v>
      </c>
      <c r="Q1618" s="435">
        <v>3</v>
      </c>
      <c r="R1618" s="401">
        <v>2</v>
      </c>
      <c r="S1618" s="466">
        <v>0.5</v>
      </c>
    </row>
    <row r="1619" spans="2:19" ht="16.5" thickTop="1" thickBot="1">
      <c r="B1619" s="1249" t="s">
        <v>3174</v>
      </c>
      <c r="C1619" s="1329" t="s">
        <v>1448</v>
      </c>
      <c r="D1619" s="1326" t="s">
        <v>227</v>
      </c>
      <c r="E1619" s="1249" t="s">
        <v>2941</v>
      </c>
      <c r="F1619" s="455" t="s">
        <v>2943</v>
      </c>
      <c r="G1619" s="456" t="s">
        <v>157</v>
      </c>
      <c r="H1619" s="889">
        <v>3</v>
      </c>
      <c r="I1619" s="891"/>
      <c r="J1619" s="601">
        <v>167.73500000000001</v>
      </c>
      <c r="K1619" s="602">
        <v>0.42857142857142855</v>
      </c>
      <c r="L1619" s="981">
        <v>16</v>
      </c>
      <c r="M1619" s="1249" t="s">
        <v>323</v>
      </c>
      <c r="N1619" s="604" t="s">
        <v>227</v>
      </c>
      <c r="O1619" s="465">
        <v>5</v>
      </c>
      <c r="P1619" s="435">
        <v>45.902000000000001</v>
      </c>
      <c r="Q1619" s="435">
        <v>5</v>
      </c>
      <c r="R1619" s="401">
        <v>3</v>
      </c>
      <c r="S1619" s="466">
        <v>0.20689655172413793</v>
      </c>
    </row>
    <row r="1620" spans="2:19" ht="16.5" thickTop="1" thickBot="1">
      <c r="B1620" s="1249" t="s">
        <v>3174</v>
      </c>
      <c r="C1620" s="1329" t="s">
        <v>1448</v>
      </c>
      <c r="D1620" s="1326" t="s">
        <v>227</v>
      </c>
      <c r="E1620" s="1249" t="s">
        <v>3057</v>
      </c>
      <c r="F1620" s="455" t="s">
        <v>3058</v>
      </c>
      <c r="G1620" s="456" t="s">
        <v>156</v>
      </c>
      <c r="H1620" s="889">
        <v>3</v>
      </c>
      <c r="I1620" s="891">
        <v>12.173999999999999</v>
      </c>
      <c r="J1620" s="601">
        <v>119.279</v>
      </c>
      <c r="K1620" s="602">
        <v>0.47619047619047616</v>
      </c>
      <c r="L1620" s="981">
        <v>10</v>
      </c>
      <c r="M1620" s="1249" t="s">
        <v>323</v>
      </c>
      <c r="N1620" s="604" t="s">
        <v>227</v>
      </c>
      <c r="O1620" s="465"/>
      <c r="P1620" s="435">
        <v>11.231999999999999</v>
      </c>
      <c r="Q1620" s="435">
        <v>1</v>
      </c>
      <c r="R1620" s="401">
        <v>1</v>
      </c>
      <c r="S1620" s="466">
        <v>9.5238095238095233E-2</v>
      </c>
    </row>
    <row r="1621" spans="2:19" ht="16.5" thickTop="1" thickBot="1">
      <c r="B1621" s="1249" t="s">
        <v>3174</v>
      </c>
      <c r="C1621" s="1329" t="s">
        <v>1448</v>
      </c>
      <c r="D1621" s="1326" t="s">
        <v>227</v>
      </c>
      <c r="E1621" s="1249" t="s">
        <v>3421</v>
      </c>
      <c r="F1621" s="455" t="s">
        <v>3422</v>
      </c>
      <c r="G1621" s="456" t="s">
        <v>156</v>
      </c>
      <c r="H1621" s="889">
        <v>1</v>
      </c>
      <c r="I1621" s="891"/>
      <c r="J1621" s="601">
        <v>10.026999999999999</v>
      </c>
      <c r="K1621" s="602">
        <v>0.25</v>
      </c>
      <c r="L1621" s="981">
        <v>4</v>
      </c>
      <c r="M1621" s="1249" t="s">
        <v>322</v>
      </c>
      <c r="N1621" s="604" t="s">
        <v>227</v>
      </c>
      <c r="O1621" s="465">
        <v>2</v>
      </c>
      <c r="P1621" s="435">
        <v>10.026999999999999</v>
      </c>
      <c r="Q1621" s="435">
        <v>1</v>
      </c>
      <c r="R1621" s="401">
        <v>1</v>
      </c>
      <c r="S1621" s="466">
        <v>0.33333333333333331</v>
      </c>
    </row>
    <row r="1622" spans="2:19" ht="16.5" thickTop="1" thickBot="1">
      <c r="B1622" s="1249" t="s">
        <v>3174</v>
      </c>
      <c r="C1622" s="1329" t="s">
        <v>1448</v>
      </c>
      <c r="D1622" s="1326" t="s">
        <v>227</v>
      </c>
      <c r="E1622" s="1249" t="s">
        <v>3423</v>
      </c>
      <c r="F1622" s="455" t="s">
        <v>3424</v>
      </c>
      <c r="G1622" s="456" t="s">
        <v>156</v>
      </c>
      <c r="H1622" s="889">
        <v>1</v>
      </c>
      <c r="I1622" s="891"/>
      <c r="J1622" s="601"/>
      <c r="K1622" s="602">
        <v>0</v>
      </c>
      <c r="L1622" s="981">
        <v>1</v>
      </c>
      <c r="M1622" s="1249" t="s">
        <v>366</v>
      </c>
      <c r="N1622" s="604" t="s">
        <v>227</v>
      </c>
      <c r="O1622" s="465"/>
      <c r="P1622" s="435"/>
      <c r="Q1622" s="435"/>
      <c r="R1622" s="401">
        <v>0</v>
      </c>
      <c r="S1622" s="466">
        <v>0</v>
      </c>
    </row>
    <row r="1623" spans="2:19" ht="16.5" thickTop="1" thickBot="1">
      <c r="B1623" s="1249" t="s">
        <v>3174</v>
      </c>
      <c r="C1623" s="1329" t="s">
        <v>1448</v>
      </c>
      <c r="D1623" s="1326" t="s">
        <v>227</v>
      </c>
      <c r="E1623" s="1249" t="s">
        <v>3425</v>
      </c>
      <c r="F1623" s="455" t="s">
        <v>3426</v>
      </c>
      <c r="G1623" s="456" t="s">
        <v>156</v>
      </c>
      <c r="H1623" s="889">
        <v>1</v>
      </c>
      <c r="I1623" s="891"/>
      <c r="J1623" s="601">
        <v>51.008000000000003</v>
      </c>
      <c r="K1623" s="602">
        <v>0.66666666666666663</v>
      </c>
      <c r="L1623" s="981">
        <v>7</v>
      </c>
      <c r="M1623" s="1249" t="s">
        <v>323</v>
      </c>
      <c r="N1623" s="604" t="s">
        <v>227</v>
      </c>
      <c r="O1623" s="465">
        <v>3</v>
      </c>
      <c r="P1623" s="435">
        <v>24.085000000000001</v>
      </c>
      <c r="Q1623" s="435">
        <v>3</v>
      </c>
      <c r="R1623" s="401">
        <v>3</v>
      </c>
      <c r="S1623" s="466">
        <v>0.54545454545454541</v>
      </c>
    </row>
    <row r="1624" spans="2:19" ht="16.5" thickTop="1" thickBot="1">
      <c r="B1624" s="1249" t="s">
        <v>3174</v>
      </c>
      <c r="C1624" s="1329" t="s">
        <v>1448</v>
      </c>
      <c r="D1624" s="1326" t="s">
        <v>227</v>
      </c>
      <c r="E1624" s="1249" t="s">
        <v>3427</v>
      </c>
      <c r="F1624" s="455" t="s">
        <v>3428</v>
      </c>
      <c r="G1624" s="456" t="s">
        <v>157</v>
      </c>
      <c r="H1624" s="889">
        <v>1</v>
      </c>
      <c r="I1624" s="891">
        <v>25.404</v>
      </c>
      <c r="J1624" s="601">
        <v>206.482</v>
      </c>
      <c r="K1624" s="602">
        <v>1.1764705882352942</v>
      </c>
      <c r="L1624" s="981">
        <v>11</v>
      </c>
      <c r="M1624" s="1249" t="s">
        <v>323</v>
      </c>
      <c r="N1624" s="604" t="s">
        <v>227</v>
      </c>
      <c r="O1624" s="465">
        <v>8</v>
      </c>
      <c r="P1624" s="435">
        <v>139.298</v>
      </c>
      <c r="Q1624" s="435">
        <v>11</v>
      </c>
      <c r="R1624" s="401">
        <v>7</v>
      </c>
      <c r="S1624" s="466">
        <v>1</v>
      </c>
    </row>
    <row r="1625" spans="2:19" ht="16.5" thickTop="1" thickBot="1">
      <c r="B1625" s="1249" t="s">
        <v>3174</v>
      </c>
      <c r="C1625" s="1329" t="s">
        <v>1448</v>
      </c>
      <c r="D1625" s="1326" t="s">
        <v>227</v>
      </c>
      <c r="E1625" s="1249" t="s">
        <v>3429</v>
      </c>
      <c r="F1625" s="455" t="s">
        <v>3430</v>
      </c>
      <c r="G1625" s="456" t="s">
        <v>156</v>
      </c>
      <c r="H1625" s="889">
        <v>1</v>
      </c>
      <c r="I1625" s="891">
        <v>7.0970000000000004</v>
      </c>
      <c r="J1625" s="601">
        <v>84.048000000000002</v>
      </c>
      <c r="K1625" s="602">
        <v>1</v>
      </c>
      <c r="L1625" s="981">
        <v>6</v>
      </c>
      <c r="M1625" s="1249" t="s">
        <v>323</v>
      </c>
      <c r="N1625" s="604" t="s">
        <v>227</v>
      </c>
      <c r="O1625" s="465">
        <v>3</v>
      </c>
      <c r="P1625" s="435">
        <v>51.14</v>
      </c>
      <c r="Q1625" s="435">
        <v>5</v>
      </c>
      <c r="R1625" s="401">
        <v>4</v>
      </c>
      <c r="S1625" s="466">
        <v>0.88888888888888884</v>
      </c>
    </row>
    <row r="1626" spans="2:19" ht="16.5" thickTop="1" thickBot="1">
      <c r="B1626" s="1249" t="s">
        <v>3174</v>
      </c>
      <c r="C1626" s="1329" t="s">
        <v>1448</v>
      </c>
      <c r="D1626" s="1326" t="s">
        <v>227</v>
      </c>
      <c r="E1626" s="1249" t="s">
        <v>3431</v>
      </c>
      <c r="F1626" s="455" t="s">
        <v>3432</v>
      </c>
      <c r="G1626" s="456" t="s">
        <v>156</v>
      </c>
      <c r="H1626" s="889">
        <v>1</v>
      </c>
      <c r="I1626" s="891">
        <v>8.0210000000000008</v>
      </c>
      <c r="J1626" s="601">
        <v>64.48</v>
      </c>
      <c r="K1626" s="602">
        <v>0.5</v>
      </c>
      <c r="L1626" s="981">
        <v>12</v>
      </c>
      <c r="M1626" s="1249" t="s">
        <v>323</v>
      </c>
      <c r="N1626" s="604" t="s">
        <v>227</v>
      </c>
      <c r="O1626" s="465">
        <v>6</v>
      </c>
      <c r="P1626" s="435">
        <v>43.767000000000003</v>
      </c>
      <c r="Q1626" s="435">
        <v>5</v>
      </c>
      <c r="R1626" s="401">
        <v>5</v>
      </c>
      <c r="S1626" s="466">
        <v>0.55555555555555558</v>
      </c>
    </row>
    <row r="1627" spans="2:19" ht="16.5" thickTop="1" thickBot="1">
      <c r="B1627" s="1249" t="s">
        <v>3174</v>
      </c>
      <c r="C1627" s="1329" t="s">
        <v>1448</v>
      </c>
      <c r="D1627" s="1326" t="s">
        <v>227</v>
      </c>
      <c r="E1627" s="1249" t="s">
        <v>3433</v>
      </c>
      <c r="F1627" s="455" t="s">
        <v>3434</v>
      </c>
      <c r="G1627" s="456" t="s">
        <v>156</v>
      </c>
      <c r="H1627" s="889">
        <v>1</v>
      </c>
      <c r="I1627" s="891"/>
      <c r="J1627" s="601">
        <v>15.225</v>
      </c>
      <c r="K1627" s="602">
        <v>0.33333333333333331</v>
      </c>
      <c r="L1627" s="981">
        <v>4</v>
      </c>
      <c r="M1627" s="1249" t="s">
        <v>321</v>
      </c>
      <c r="N1627" s="604" t="s">
        <v>227</v>
      </c>
      <c r="O1627" s="465">
        <v>3</v>
      </c>
      <c r="P1627" s="435">
        <v>15.225</v>
      </c>
      <c r="Q1627" s="435">
        <v>1</v>
      </c>
      <c r="R1627" s="401">
        <v>1</v>
      </c>
      <c r="S1627" s="466">
        <v>0.4</v>
      </c>
    </row>
    <row r="1628" spans="2:19" ht="16.5" thickTop="1" thickBot="1">
      <c r="B1628" s="1249" t="s">
        <v>3174</v>
      </c>
      <c r="C1628" s="1329" t="s">
        <v>1448</v>
      </c>
      <c r="D1628" s="1326" t="s">
        <v>227</v>
      </c>
      <c r="E1628" s="1249" t="s">
        <v>3973</v>
      </c>
      <c r="F1628" s="455" t="s">
        <v>3974</v>
      </c>
      <c r="G1628" s="456" t="s">
        <v>155</v>
      </c>
      <c r="H1628" s="889"/>
      <c r="I1628" s="891"/>
      <c r="J1628" s="601"/>
      <c r="K1628" s="602">
        <v>0.5</v>
      </c>
      <c r="L1628" s="981">
        <v>2</v>
      </c>
      <c r="M1628" s="1249" t="s">
        <v>366</v>
      </c>
      <c r="N1628" s="604" t="s">
        <v>227</v>
      </c>
      <c r="O1628" s="465"/>
      <c r="P1628" s="435"/>
      <c r="Q1628" s="435"/>
      <c r="R1628" s="401">
        <v>1</v>
      </c>
      <c r="S1628" s="466">
        <v>0.5</v>
      </c>
    </row>
    <row r="1629" spans="2:19" ht="16.5" thickTop="1" thickBot="1">
      <c r="B1629" s="1249" t="s">
        <v>3174</v>
      </c>
      <c r="C1629" s="1329" t="s">
        <v>1448</v>
      </c>
      <c r="D1629" s="1326" t="s">
        <v>227</v>
      </c>
      <c r="E1629" s="1249" t="s">
        <v>3975</v>
      </c>
      <c r="F1629" s="455" t="s">
        <v>3976</v>
      </c>
      <c r="G1629" s="456" t="s">
        <v>156</v>
      </c>
      <c r="H1629" s="889">
        <v>0</v>
      </c>
      <c r="I1629" s="891"/>
      <c r="J1629" s="601">
        <v>21.303000000000001</v>
      </c>
      <c r="K1629" s="602">
        <v>0.33333333333333331</v>
      </c>
      <c r="L1629" s="981">
        <v>4</v>
      </c>
      <c r="M1629" s="1249" t="s">
        <v>227</v>
      </c>
      <c r="N1629" s="604" t="s">
        <v>227</v>
      </c>
      <c r="O1629" s="465">
        <v>2</v>
      </c>
      <c r="P1629" s="435">
        <v>21.303000000000001</v>
      </c>
      <c r="Q1629" s="435">
        <v>2</v>
      </c>
      <c r="R1629" s="401">
        <v>1</v>
      </c>
      <c r="S1629" s="466">
        <v>0.33333333333333331</v>
      </c>
    </row>
    <row r="1630" spans="2:19" ht="16.5" thickTop="1" thickBot="1">
      <c r="B1630" s="1249" t="s">
        <v>3174</v>
      </c>
      <c r="C1630" s="1329" t="s">
        <v>1448</v>
      </c>
      <c r="D1630" s="1326" t="s">
        <v>227</v>
      </c>
      <c r="E1630" s="1249" t="s">
        <v>3977</v>
      </c>
      <c r="F1630" s="455" t="s">
        <v>1759</v>
      </c>
      <c r="G1630" s="456" t="s">
        <v>156</v>
      </c>
      <c r="H1630" s="889">
        <v>0</v>
      </c>
      <c r="I1630" s="891">
        <v>18.306000000000001</v>
      </c>
      <c r="J1630" s="601">
        <v>195.51300000000001</v>
      </c>
      <c r="K1630" s="602">
        <v>1.0833333333333333</v>
      </c>
      <c r="L1630" s="981">
        <v>17</v>
      </c>
      <c r="M1630" s="1249" t="s">
        <v>227</v>
      </c>
      <c r="N1630" s="604" t="s">
        <v>227</v>
      </c>
      <c r="O1630" s="465">
        <v>10</v>
      </c>
      <c r="P1630" s="435">
        <v>195.51300000000001</v>
      </c>
      <c r="Q1630" s="435">
        <v>17</v>
      </c>
      <c r="R1630" s="401">
        <v>13</v>
      </c>
      <c r="S1630" s="466">
        <v>1.0833333333333333</v>
      </c>
    </row>
    <row r="1631" spans="2:19" ht="16.5" thickTop="1" thickBot="1">
      <c r="B1631" s="1249" t="s">
        <v>3174</v>
      </c>
      <c r="C1631" s="1329" t="s">
        <v>1448</v>
      </c>
      <c r="D1631" s="1326" t="s">
        <v>227</v>
      </c>
      <c r="E1631" s="1249" t="s">
        <v>3978</v>
      </c>
      <c r="F1631" s="455" t="s">
        <v>3979</v>
      </c>
      <c r="G1631" s="456" t="s">
        <v>156</v>
      </c>
      <c r="H1631" s="889">
        <v>0</v>
      </c>
      <c r="I1631" s="891">
        <v>10.401999999999999</v>
      </c>
      <c r="J1631" s="601">
        <v>44.442999999999998</v>
      </c>
      <c r="K1631" s="602">
        <v>2</v>
      </c>
      <c r="L1631" s="981">
        <v>3</v>
      </c>
      <c r="M1631" s="1249" t="s">
        <v>227</v>
      </c>
      <c r="N1631" s="604" t="s">
        <v>227</v>
      </c>
      <c r="O1631" s="465">
        <v>3</v>
      </c>
      <c r="P1631" s="435">
        <v>44.442999999999998</v>
      </c>
      <c r="Q1631" s="435">
        <v>3</v>
      </c>
      <c r="R1631" s="401">
        <v>3</v>
      </c>
      <c r="S1631" s="466">
        <v>2</v>
      </c>
    </row>
    <row r="1632" spans="2:19" ht="16.5" thickTop="1" thickBot="1">
      <c r="B1632" s="1249" t="s">
        <v>3174</v>
      </c>
      <c r="C1632" s="1329" t="s">
        <v>1448</v>
      </c>
      <c r="D1632" s="1326" t="s">
        <v>227</v>
      </c>
      <c r="E1632" s="1249" t="s">
        <v>3980</v>
      </c>
      <c r="F1632" s="455" t="s">
        <v>3981</v>
      </c>
      <c r="G1632" s="456" t="s">
        <v>156</v>
      </c>
      <c r="H1632" s="889"/>
      <c r="I1632" s="891"/>
      <c r="J1632" s="601">
        <v>10.012</v>
      </c>
      <c r="K1632" s="602">
        <v>0.5</v>
      </c>
      <c r="L1632" s="981">
        <v>4</v>
      </c>
      <c r="M1632" s="1249" t="s">
        <v>366</v>
      </c>
      <c r="N1632" s="604" t="s">
        <v>227</v>
      </c>
      <c r="O1632" s="465">
        <v>4</v>
      </c>
      <c r="P1632" s="435">
        <v>10.012</v>
      </c>
      <c r="Q1632" s="435">
        <v>1</v>
      </c>
      <c r="R1632" s="401">
        <v>1</v>
      </c>
      <c r="S1632" s="466">
        <v>0.5</v>
      </c>
    </row>
    <row r="1633" spans="2:19" ht="16.5" thickTop="1" thickBot="1">
      <c r="B1633" s="1249" t="s">
        <v>3174</v>
      </c>
      <c r="C1633" s="1329" t="s">
        <v>1862</v>
      </c>
      <c r="D1633" s="1326" t="s">
        <v>227</v>
      </c>
      <c r="E1633" s="1249" t="s">
        <v>1862</v>
      </c>
      <c r="F1633" s="455" t="s">
        <v>1864</v>
      </c>
      <c r="G1633" s="456" t="s">
        <v>739</v>
      </c>
      <c r="H1633" s="889">
        <v>12</v>
      </c>
      <c r="I1633" s="891">
        <v>61.136000000000003</v>
      </c>
      <c r="J1633" s="601">
        <v>168.23099999999999</v>
      </c>
      <c r="K1633" s="602">
        <v>0.19653179190751446</v>
      </c>
      <c r="L1633" s="981">
        <v>10</v>
      </c>
      <c r="M1633" s="1249" t="s">
        <v>366</v>
      </c>
      <c r="N1633" s="604" t="s">
        <v>227</v>
      </c>
      <c r="O1633" s="465">
        <v>5</v>
      </c>
      <c r="P1633" s="435">
        <v>41.651000000000003</v>
      </c>
      <c r="Q1633" s="435">
        <v>4</v>
      </c>
      <c r="R1633" s="401">
        <v>3</v>
      </c>
      <c r="S1633" s="466">
        <v>0.4</v>
      </c>
    </row>
    <row r="1634" spans="2:19" ht="16.5" thickTop="1" thickBot="1">
      <c r="B1634" s="1249" t="s">
        <v>3174</v>
      </c>
      <c r="C1634" s="1329" t="s">
        <v>1862</v>
      </c>
      <c r="D1634" s="1326" t="s">
        <v>227</v>
      </c>
      <c r="E1634" s="1249" t="s">
        <v>1248</v>
      </c>
      <c r="F1634" s="455" t="s">
        <v>1249</v>
      </c>
      <c r="G1634" s="456" t="s">
        <v>156</v>
      </c>
      <c r="H1634" s="889">
        <v>17</v>
      </c>
      <c r="I1634" s="891">
        <v>0</v>
      </c>
      <c r="J1634" s="601">
        <v>0</v>
      </c>
      <c r="K1634" s="602">
        <v>0</v>
      </c>
      <c r="L1634" s="981">
        <v>1</v>
      </c>
      <c r="M1634" s="1249" t="s">
        <v>366</v>
      </c>
      <c r="N1634" s="604" t="s">
        <v>227</v>
      </c>
      <c r="O1634" s="465"/>
      <c r="P1634" s="435"/>
      <c r="Q1634" s="435"/>
      <c r="R1634" s="401">
        <v>0</v>
      </c>
      <c r="S1634" s="466">
        <v>0</v>
      </c>
    </row>
    <row r="1635" spans="2:19" ht="16.5" thickTop="1" thickBot="1">
      <c r="B1635" s="1249" t="s">
        <v>3174</v>
      </c>
      <c r="C1635" s="1329" t="s">
        <v>1862</v>
      </c>
      <c r="D1635" s="1326" t="s">
        <v>227</v>
      </c>
      <c r="E1635" s="1249" t="s">
        <v>2168</v>
      </c>
      <c r="F1635" s="455" t="s">
        <v>2169</v>
      </c>
      <c r="G1635" s="456" t="s">
        <v>156</v>
      </c>
      <c r="H1635" s="889">
        <v>9</v>
      </c>
      <c r="I1635" s="891">
        <v>54.390999999999998</v>
      </c>
      <c r="J1635" s="601">
        <v>285.488</v>
      </c>
      <c r="K1635" s="602">
        <v>0.46666666666666667</v>
      </c>
      <c r="L1635" s="981">
        <v>2</v>
      </c>
      <c r="M1635" s="1249" t="s">
        <v>323</v>
      </c>
      <c r="N1635" s="604" t="s">
        <v>227</v>
      </c>
      <c r="O1635" s="465"/>
      <c r="P1635" s="435"/>
      <c r="Q1635" s="435"/>
      <c r="R1635" s="401">
        <v>0</v>
      </c>
      <c r="S1635" s="466">
        <v>0</v>
      </c>
    </row>
    <row r="1636" spans="2:19" ht="16.5" thickTop="1" thickBot="1">
      <c r="B1636" s="1249" t="s">
        <v>3174</v>
      </c>
      <c r="C1636" s="1329" t="s">
        <v>1862</v>
      </c>
      <c r="D1636" s="1326" t="s">
        <v>227</v>
      </c>
      <c r="E1636" s="1249" t="s">
        <v>2170</v>
      </c>
      <c r="F1636" s="455" t="s">
        <v>2171</v>
      </c>
      <c r="G1636" s="456" t="s">
        <v>156</v>
      </c>
      <c r="H1636" s="889">
        <v>9</v>
      </c>
      <c r="I1636" s="891">
        <v>52.984999999999999</v>
      </c>
      <c r="J1636" s="601">
        <v>145.03700000000001</v>
      </c>
      <c r="K1636" s="602">
        <v>0.23853211009174313</v>
      </c>
      <c r="L1636" s="981">
        <v>5</v>
      </c>
      <c r="M1636" s="1249" t="s">
        <v>322</v>
      </c>
      <c r="N1636" s="604" t="s">
        <v>227</v>
      </c>
      <c r="O1636" s="465"/>
      <c r="P1636" s="435"/>
      <c r="Q1636" s="435"/>
      <c r="R1636" s="401">
        <v>0</v>
      </c>
      <c r="S1636" s="466">
        <v>0</v>
      </c>
    </row>
    <row r="1637" spans="2:19" ht="16.5" thickTop="1" thickBot="1">
      <c r="B1637" s="1249" t="s">
        <v>3174</v>
      </c>
      <c r="C1637" s="1329" t="s">
        <v>1862</v>
      </c>
      <c r="D1637" s="1326" t="s">
        <v>227</v>
      </c>
      <c r="E1637" s="1249" t="s">
        <v>3059</v>
      </c>
      <c r="F1637" s="455" t="s">
        <v>1640</v>
      </c>
      <c r="G1637" s="456" t="s">
        <v>155</v>
      </c>
      <c r="H1637" s="889"/>
      <c r="I1637" s="891"/>
      <c r="J1637" s="601"/>
      <c r="K1637" s="602">
        <v>0</v>
      </c>
      <c r="L1637" s="981">
        <v>2</v>
      </c>
      <c r="M1637" s="1249" t="s">
        <v>366</v>
      </c>
      <c r="N1637" s="604" t="s">
        <v>227</v>
      </c>
      <c r="O1637" s="465"/>
      <c r="P1637" s="435"/>
      <c r="Q1637" s="435"/>
      <c r="R1637" s="401">
        <v>0</v>
      </c>
      <c r="S1637" s="466">
        <v>0</v>
      </c>
    </row>
    <row r="1638" spans="2:19" ht="16.5" thickTop="1" thickBot="1">
      <c r="B1638" s="1249" t="s">
        <v>2710</v>
      </c>
      <c r="C1638" s="1329" t="s">
        <v>227</v>
      </c>
      <c r="D1638" s="1326" t="s">
        <v>227</v>
      </c>
      <c r="E1638" s="1249" t="s">
        <v>2869</v>
      </c>
      <c r="F1638" s="455" t="s">
        <v>2870</v>
      </c>
      <c r="G1638" s="456" t="s">
        <v>156</v>
      </c>
      <c r="H1638" s="889">
        <v>3</v>
      </c>
      <c r="I1638" s="891"/>
      <c r="J1638" s="601"/>
      <c r="K1638" s="602">
        <v>0</v>
      </c>
      <c r="L1638" s="981">
        <v>1</v>
      </c>
      <c r="M1638" s="1249" t="s">
        <v>366</v>
      </c>
      <c r="N1638" s="604" t="s">
        <v>227</v>
      </c>
      <c r="O1638" s="465"/>
      <c r="P1638" s="435"/>
      <c r="Q1638" s="435"/>
      <c r="R1638" s="401">
        <v>0</v>
      </c>
      <c r="S1638" s="466">
        <v>0</v>
      </c>
    </row>
    <row r="1639" spans="2:19" ht="16.5" thickTop="1" thickBot="1">
      <c r="B1639" s="1249" t="s">
        <v>2710</v>
      </c>
      <c r="C1639" s="1329" t="s">
        <v>227</v>
      </c>
      <c r="D1639" s="1326" t="s">
        <v>227</v>
      </c>
      <c r="E1639" s="1249" t="s">
        <v>2952</v>
      </c>
      <c r="F1639" s="455" t="s">
        <v>2954</v>
      </c>
      <c r="G1639" s="456" t="s">
        <v>157</v>
      </c>
      <c r="H1639" s="889">
        <v>3</v>
      </c>
      <c r="I1639" s="891"/>
      <c r="J1639" s="601"/>
      <c r="K1639" s="602">
        <v>0</v>
      </c>
      <c r="L1639" s="981">
        <v>1</v>
      </c>
      <c r="M1639" s="1249" t="s">
        <v>366</v>
      </c>
      <c r="N1639" s="604" t="s">
        <v>227</v>
      </c>
      <c r="O1639" s="465"/>
      <c r="P1639" s="435"/>
      <c r="Q1639" s="435"/>
      <c r="R1639" s="401">
        <v>0</v>
      </c>
      <c r="S1639" s="466">
        <v>0</v>
      </c>
    </row>
    <row r="1640" spans="2:19" ht="16.5" thickTop="1" thickBot="1">
      <c r="B1640" s="1249" t="s">
        <v>2710</v>
      </c>
      <c r="C1640" s="1329" t="s">
        <v>227</v>
      </c>
      <c r="D1640" s="1326" t="s">
        <v>227</v>
      </c>
      <c r="E1640" s="1249" t="s">
        <v>3123</v>
      </c>
      <c r="F1640" s="455" t="s">
        <v>3124</v>
      </c>
      <c r="G1640" s="456" t="s">
        <v>156</v>
      </c>
      <c r="H1640" s="889">
        <v>3</v>
      </c>
      <c r="I1640" s="891">
        <v>12.792</v>
      </c>
      <c r="J1640" s="601">
        <v>12.792</v>
      </c>
      <c r="K1640" s="602">
        <v>0.13333333333333333</v>
      </c>
      <c r="L1640" s="981">
        <v>3</v>
      </c>
      <c r="M1640" s="1249" t="s">
        <v>366</v>
      </c>
      <c r="N1640" s="604" t="s">
        <v>227</v>
      </c>
      <c r="O1640" s="465"/>
      <c r="P1640" s="435"/>
      <c r="Q1640" s="435"/>
      <c r="R1640" s="401">
        <v>0</v>
      </c>
      <c r="S1640" s="466">
        <v>0</v>
      </c>
    </row>
    <row r="1641" spans="2:19" ht="16.5" thickTop="1" thickBot="1">
      <c r="B1641" s="1249" t="s">
        <v>2710</v>
      </c>
      <c r="C1641" s="1329" t="s">
        <v>227</v>
      </c>
      <c r="D1641" s="1326" t="s">
        <v>227</v>
      </c>
      <c r="E1641" s="1249" t="s">
        <v>3441</v>
      </c>
      <c r="F1641" s="455" t="s">
        <v>3442</v>
      </c>
      <c r="G1641" s="456" t="s">
        <v>156</v>
      </c>
      <c r="H1641" s="889">
        <v>1</v>
      </c>
      <c r="I1641" s="891"/>
      <c r="J1641" s="601"/>
      <c r="K1641" s="602">
        <v>0</v>
      </c>
      <c r="L1641" s="981">
        <v>1</v>
      </c>
      <c r="M1641" s="1249" t="s">
        <v>366</v>
      </c>
      <c r="N1641" s="604" t="s">
        <v>227</v>
      </c>
      <c r="O1641" s="465"/>
      <c r="P1641" s="435"/>
      <c r="Q1641" s="435"/>
      <c r="R1641" s="401">
        <v>0</v>
      </c>
      <c r="S1641" s="466">
        <v>0</v>
      </c>
    </row>
    <row r="1642" spans="2:19" ht="16.5" thickTop="1" thickBot="1">
      <c r="B1642" s="1249" t="s">
        <v>2710</v>
      </c>
      <c r="C1642" s="1329" t="s">
        <v>227</v>
      </c>
      <c r="D1642" s="1326" t="s">
        <v>227</v>
      </c>
      <c r="E1642" s="1249" t="s">
        <v>3719</v>
      </c>
      <c r="F1642" s="455" t="s">
        <v>1701</v>
      </c>
      <c r="G1642" s="456" t="s">
        <v>157</v>
      </c>
      <c r="H1642" s="889">
        <v>1</v>
      </c>
      <c r="I1642" s="891"/>
      <c r="J1642" s="601"/>
      <c r="K1642" s="602">
        <v>0</v>
      </c>
      <c r="L1642" s="981">
        <v>1</v>
      </c>
      <c r="M1642" s="1249" t="s">
        <v>366</v>
      </c>
      <c r="N1642" s="604" t="s">
        <v>227</v>
      </c>
      <c r="O1642" s="465">
        <v>1</v>
      </c>
      <c r="P1642" s="435"/>
      <c r="Q1642" s="435"/>
      <c r="R1642" s="401">
        <v>0</v>
      </c>
      <c r="S1642" s="466">
        <v>0</v>
      </c>
    </row>
    <row r="1643" spans="2:19" ht="16.5" thickTop="1" thickBot="1">
      <c r="B1643" s="1249" t="s">
        <v>2710</v>
      </c>
      <c r="C1643" s="1329" t="s">
        <v>227</v>
      </c>
      <c r="D1643" s="1326" t="s">
        <v>227</v>
      </c>
      <c r="E1643" s="1249" t="s">
        <v>3982</v>
      </c>
      <c r="F1643" s="455" t="s">
        <v>3983</v>
      </c>
      <c r="G1643" s="456" t="s">
        <v>156</v>
      </c>
      <c r="H1643" s="889">
        <v>1</v>
      </c>
      <c r="I1643" s="891">
        <v>17.981999999999999</v>
      </c>
      <c r="J1643" s="601">
        <v>28.173999999999999</v>
      </c>
      <c r="K1643" s="602">
        <v>1.3333333333333333</v>
      </c>
      <c r="L1643" s="981">
        <v>3</v>
      </c>
      <c r="M1643" s="1249" t="s">
        <v>323</v>
      </c>
      <c r="N1643" s="604" t="s">
        <v>227</v>
      </c>
      <c r="O1643" s="465">
        <v>3</v>
      </c>
      <c r="P1643" s="435">
        <v>28.173999999999999</v>
      </c>
      <c r="Q1643" s="435">
        <v>3</v>
      </c>
      <c r="R1643" s="401">
        <v>2</v>
      </c>
      <c r="S1643" s="466">
        <v>1.3333333333333333</v>
      </c>
    </row>
    <row r="1644" spans="2:19" ht="16.5" thickTop="1" thickBot="1">
      <c r="B1644" s="1249" t="s">
        <v>2710</v>
      </c>
      <c r="C1644" s="1329" t="s">
        <v>227</v>
      </c>
      <c r="D1644" s="1326" t="s">
        <v>227</v>
      </c>
      <c r="E1644" s="1249" t="s">
        <v>3984</v>
      </c>
      <c r="F1644" s="455" t="s">
        <v>3985</v>
      </c>
      <c r="G1644" s="456" t="s">
        <v>156</v>
      </c>
      <c r="H1644" s="889">
        <v>1</v>
      </c>
      <c r="I1644" s="891"/>
      <c r="J1644" s="601">
        <v>32.158999999999999</v>
      </c>
      <c r="K1644" s="602">
        <v>0.66666666666666663</v>
      </c>
      <c r="L1644" s="981">
        <v>3</v>
      </c>
      <c r="M1644" s="1249" t="s">
        <v>323</v>
      </c>
      <c r="N1644" s="604" t="s">
        <v>227</v>
      </c>
      <c r="O1644" s="465">
        <v>3</v>
      </c>
      <c r="P1644" s="435">
        <v>32.158999999999999</v>
      </c>
      <c r="Q1644" s="435">
        <v>3</v>
      </c>
      <c r="R1644" s="401">
        <v>1</v>
      </c>
      <c r="S1644" s="466">
        <v>0.66666666666666663</v>
      </c>
    </row>
    <row r="1645" spans="2:19" ht="16.5" thickTop="1" thickBot="1">
      <c r="B1645" s="1249" t="s">
        <v>2710</v>
      </c>
      <c r="C1645" s="1329" t="s">
        <v>227</v>
      </c>
      <c r="D1645" s="1326" t="s">
        <v>227</v>
      </c>
      <c r="E1645" s="1249" t="s">
        <v>3986</v>
      </c>
      <c r="F1645" s="455" t="s">
        <v>3987</v>
      </c>
      <c r="G1645" s="456" t="s">
        <v>156</v>
      </c>
      <c r="H1645" s="889">
        <v>1</v>
      </c>
      <c r="I1645" s="891">
        <v>12.456</v>
      </c>
      <c r="J1645" s="601">
        <v>28.812000000000001</v>
      </c>
      <c r="K1645" s="602">
        <v>2</v>
      </c>
      <c r="L1645" s="981">
        <v>2</v>
      </c>
      <c r="M1645" s="1249" t="s">
        <v>323</v>
      </c>
      <c r="N1645" s="604" t="s">
        <v>227</v>
      </c>
      <c r="O1645" s="465">
        <v>2</v>
      </c>
      <c r="P1645" s="435">
        <v>28.812000000000001</v>
      </c>
      <c r="Q1645" s="435">
        <v>2</v>
      </c>
      <c r="R1645" s="401">
        <v>2</v>
      </c>
      <c r="S1645" s="466">
        <v>2</v>
      </c>
    </row>
    <row r="1646" spans="2:19" ht="16.5" thickTop="1" thickBot="1">
      <c r="B1646" s="1249" t="s">
        <v>2710</v>
      </c>
      <c r="C1646" s="1329" t="s">
        <v>227</v>
      </c>
      <c r="D1646" s="1326" t="s">
        <v>227</v>
      </c>
      <c r="E1646" s="1249" t="s">
        <v>3988</v>
      </c>
      <c r="F1646" s="455" t="s">
        <v>3989</v>
      </c>
      <c r="G1646" s="456" t="s">
        <v>156</v>
      </c>
      <c r="H1646" s="889">
        <v>1</v>
      </c>
      <c r="I1646" s="891"/>
      <c r="J1646" s="601">
        <v>10.037000000000001</v>
      </c>
      <c r="K1646" s="602">
        <v>0.66666666666666663</v>
      </c>
      <c r="L1646" s="981">
        <v>3</v>
      </c>
      <c r="M1646" s="1249" t="s">
        <v>322</v>
      </c>
      <c r="N1646" s="604" t="s">
        <v>227</v>
      </c>
      <c r="O1646" s="465">
        <v>3</v>
      </c>
      <c r="P1646" s="435">
        <v>10.037000000000001</v>
      </c>
      <c r="Q1646" s="435">
        <v>1</v>
      </c>
      <c r="R1646" s="401">
        <v>1</v>
      </c>
      <c r="S1646" s="466">
        <v>0.66666666666666663</v>
      </c>
    </row>
    <row r="1647" spans="2:19" ht="16.5" thickTop="1" thickBot="1">
      <c r="B1647" s="1249" t="s">
        <v>2710</v>
      </c>
      <c r="C1647" s="1329" t="s">
        <v>227</v>
      </c>
      <c r="D1647" s="1326" t="s">
        <v>227</v>
      </c>
      <c r="E1647" s="1249" t="s">
        <v>3990</v>
      </c>
      <c r="F1647" s="455" t="s">
        <v>1224</v>
      </c>
      <c r="G1647" s="456" t="s">
        <v>156</v>
      </c>
      <c r="H1647" s="889">
        <v>1</v>
      </c>
      <c r="I1647" s="891"/>
      <c r="J1647" s="601"/>
      <c r="K1647" s="602">
        <v>0</v>
      </c>
      <c r="L1647" s="981">
        <v>1</v>
      </c>
      <c r="M1647" s="1249" t="s">
        <v>366</v>
      </c>
      <c r="N1647" s="604" t="s">
        <v>227</v>
      </c>
      <c r="O1647" s="465">
        <v>1</v>
      </c>
      <c r="P1647" s="435"/>
      <c r="Q1647" s="435"/>
      <c r="R1647" s="401">
        <v>0</v>
      </c>
      <c r="S1647" s="466">
        <v>0</v>
      </c>
    </row>
    <row r="1648" spans="2:19" ht="16.5" thickTop="1" thickBot="1">
      <c r="B1648" s="1249" t="s">
        <v>2710</v>
      </c>
      <c r="C1648" s="1329" t="s">
        <v>227</v>
      </c>
      <c r="D1648" s="1326" t="s">
        <v>227</v>
      </c>
      <c r="E1648" s="1249" t="s">
        <v>3991</v>
      </c>
      <c r="F1648" s="455" t="s">
        <v>838</v>
      </c>
      <c r="G1648" s="456" t="s">
        <v>156</v>
      </c>
      <c r="H1648" s="889">
        <v>1</v>
      </c>
      <c r="I1648" s="891"/>
      <c r="J1648" s="601"/>
      <c r="K1648" s="602">
        <v>0</v>
      </c>
      <c r="L1648" s="981">
        <v>1</v>
      </c>
      <c r="M1648" s="1249" t="s">
        <v>366</v>
      </c>
      <c r="N1648" s="604" t="s">
        <v>227</v>
      </c>
      <c r="O1648" s="465">
        <v>1</v>
      </c>
      <c r="P1648" s="435"/>
      <c r="Q1648" s="435"/>
      <c r="R1648" s="401">
        <v>0</v>
      </c>
      <c r="S1648" s="466">
        <v>0</v>
      </c>
    </row>
    <row r="1649" spans="2:19" ht="16.5" thickTop="1" thickBot="1">
      <c r="B1649" s="1249" t="s">
        <v>2710</v>
      </c>
      <c r="C1649" s="1329" t="s">
        <v>2734</v>
      </c>
      <c r="D1649" s="1326" t="s">
        <v>227</v>
      </c>
      <c r="E1649" s="1249" t="s">
        <v>2734</v>
      </c>
      <c r="F1649" s="455" t="s">
        <v>1644</v>
      </c>
      <c r="G1649" s="456" t="s">
        <v>739</v>
      </c>
      <c r="H1649" s="889">
        <v>39</v>
      </c>
      <c r="I1649" s="891">
        <v>55.962000000000003</v>
      </c>
      <c r="J1649" s="601">
        <v>55.962000000000003</v>
      </c>
      <c r="K1649" s="602">
        <v>0.5714285714285714</v>
      </c>
      <c r="L1649" s="981">
        <v>1</v>
      </c>
      <c r="M1649" s="1249" t="s">
        <v>366</v>
      </c>
      <c r="N1649" s="604" t="s">
        <v>227</v>
      </c>
      <c r="O1649" s="465"/>
      <c r="P1649" s="435">
        <v>35.627000000000002</v>
      </c>
      <c r="Q1649" s="435">
        <v>1</v>
      </c>
      <c r="R1649" s="401">
        <v>1</v>
      </c>
      <c r="S1649" s="466">
        <v>1</v>
      </c>
    </row>
    <row r="1650" spans="2:19" ht="16.5" thickTop="1" thickBot="1">
      <c r="B1650" s="1249" t="s">
        <v>2710</v>
      </c>
      <c r="C1650" s="1329" t="s">
        <v>2734</v>
      </c>
      <c r="D1650" s="1326" t="s">
        <v>227</v>
      </c>
      <c r="E1650" s="1249" t="s">
        <v>2771</v>
      </c>
      <c r="F1650" s="455" t="s">
        <v>2773</v>
      </c>
      <c r="G1650" s="456" t="s">
        <v>157</v>
      </c>
      <c r="H1650" s="889">
        <v>3</v>
      </c>
      <c r="I1650" s="891"/>
      <c r="J1650" s="601">
        <v>94.638000000000005</v>
      </c>
      <c r="K1650" s="602">
        <v>0.2</v>
      </c>
      <c r="L1650" s="981">
        <v>4</v>
      </c>
      <c r="M1650" s="1249" t="s">
        <v>323</v>
      </c>
      <c r="N1650" s="604" t="s">
        <v>227</v>
      </c>
      <c r="O1650" s="465">
        <v>3</v>
      </c>
      <c r="P1650" s="435">
        <v>94.638000000000005</v>
      </c>
      <c r="Q1650" s="435">
        <v>2</v>
      </c>
      <c r="R1650" s="401">
        <v>1</v>
      </c>
      <c r="S1650" s="466">
        <v>0.4</v>
      </c>
    </row>
    <row r="1651" spans="2:19" ht="16.5" thickTop="1" thickBot="1">
      <c r="B1651" s="1249" t="s">
        <v>2710</v>
      </c>
      <c r="C1651" s="1329" t="s">
        <v>2734</v>
      </c>
      <c r="D1651" s="1326" t="s">
        <v>227</v>
      </c>
      <c r="E1651" s="1249" t="s">
        <v>3992</v>
      </c>
      <c r="F1651" s="455" t="s">
        <v>3993</v>
      </c>
      <c r="G1651" s="456" t="s">
        <v>156</v>
      </c>
      <c r="H1651" s="889"/>
      <c r="I1651" s="891"/>
      <c r="J1651" s="601"/>
      <c r="K1651" s="602">
        <v>0</v>
      </c>
      <c r="L1651" s="981">
        <v>2</v>
      </c>
      <c r="M1651" s="1249" t="s">
        <v>366</v>
      </c>
      <c r="N1651" s="604" t="s">
        <v>227</v>
      </c>
      <c r="O1651" s="465">
        <v>2</v>
      </c>
      <c r="P1651" s="435"/>
      <c r="Q1651" s="435"/>
      <c r="R1651" s="401">
        <v>0</v>
      </c>
      <c r="S1651" s="466">
        <v>0</v>
      </c>
    </row>
    <row r="1652" spans="2:19" ht="16.5" thickTop="1" thickBot="1">
      <c r="B1652" s="1249" t="s">
        <v>2710</v>
      </c>
      <c r="C1652" s="1329" t="s">
        <v>2734</v>
      </c>
      <c r="D1652" s="1326" t="s">
        <v>227</v>
      </c>
      <c r="E1652" s="1249" t="s">
        <v>3994</v>
      </c>
      <c r="F1652" s="455" t="s">
        <v>3995</v>
      </c>
      <c r="G1652" s="456" t="s">
        <v>156</v>
      </c>
      <c r="H1652" s="889"/>
      <c r="I1652" s="891"/>
      <c r="J1652" s="601"/>
      <c r="K1652" s="602">
        <v>0</v>
      </c>
      <c r="L1652" s="981">
        <v>1</v>
      </c>
      <c r="M1652" s="1249" t="s">
        <v>366</v>
      </c>
      <c r="N1652" s="604" t="s">
        <v>227</v>
      </c>
      <c r="O1652" s="465">
        <v>1</v>
      </c>
      <c r="P1652" s="435"/>
      <c r="Q1652" s="435"/>
      <c r="R1652" s="401">
        <v>0</v>
      </c>
      <c r="S1652" s="466">
        <v>0</v>
      </c>
    </row>
    <row r="1653" spans="2:19" ht="16.5" thickTop="1" thickBot="1">
      <c r="B1653" s="1249" t="s">
        <v>2710</v>
      </c>
      <c r="C1653" s="1329" t="s">
        <v>2064</v>
      </c>
      <c r="D1653" s="1326" t="s">
        <v>227</v>
      </c>
      <c r="E1653" s="1249" t="s">
        <v>2064</v>
      </c>
      <c r="F1653" s="455" t="s">
        <v>1644</v>
      </c>
      <c r="G1653" s="456" t="s">
        <v>739</v>
      </c>
      <c r="H1653" s="889">
        <v>10</v>
      </c>
      <c r="I1653" s="891">
        <v>28.596</v>
      </c>
      <c r="J1653" s="601">
        <v>212.45500000000001</v>
      </c>
      <c r="K1653" s="602">
        <v>0.44827586206896552</v>
      </c>
      <c r="L1653" s="981">
        <v>4</v>
      </c>
      <c r="M1653" s="1249" t="s">
        <v>322</v>
      </c>
      <c r="N1653" s="604" t="s">
        <v>227</v>
      </c>
      <c r="O1653" s="465"/>
      <c r="P1653" s="435">
        <v>10.125</v>
      </c>
      <c r="Q1653" s="435">
        <v>1</v>
      </c>
      <c r="R1653" s="401">
        <v>1</v>
      </c>
      <c r="S1653" s="466">
        <v>0.25</v>
      </c>
    </row>
    <row r="1654" spans="2:19" ht="16.5" thickTop="1" thickBot="1">
      <c r="B1654" s="1249" t="s">
        <v>2710</v>
      </c>
      <c r="C1654" s="1329" t="s">
        <v>2064</v>
      </c>
      <c r="D1654" s="1326" t="s">
        <v>227</v>
      </c>
      <c r="E1654" s="1249" t="s">
        <v>2086</v>
      </c>
      <c r="F1654" s="455" t="s">
        <v>1161</v>
      </c>
      <c r="G1654" s="456" t="s">
        <v>157</v>
      </c>
      <c r="H1654" s="889">
        <v>10</v>
      </c>
      <c r="I1654" s="891">
        <v>16.670999999999999</v>
      </c>
      <c r="J1654" s="601">
        <v>65.087000000000003</v>
      </c>
      <c r="K1654" s="602">
        <v>0.24489795918367346</v>
      </c>
      <c r="L1654" s="981">
        <v>3</v>
      </c>
      <c r="M1654" s="1249" t="s">
        <v>366</v>
      </c>
      <c r="N1654" s="604" t="s">
        <v>227</v>
      </c>
      <c r="O1654" s="465"/>
      <c r="P1654" s="435"/>
      <c r="Q1654" s="435"/>
      <c r="R1654" s="401">
        <v>0</v>
      </c>
      <c r="S1654" s="466">
        <v>0</v>
      </c>
    </row>
    <row r="1655" spans="2:19" ht="16.5" thickTop="1" thickBot="1">
      <c r="B1655" s="1249" t="s">
        <v>2710</v>
      </c>
      <c r="C1655" s="1329" t="s">
        <v>2064</v>
      </c>
      <c r="D1655" s="1326" t="s">
        <v>227</v>
      </c>
      <c r="E1655" s="1249" t="s">
        <v>2088</v>
      </c>
      <c r="F1655" s="455" t="s">
        <v>838</v>
      </c>
      <c r="G1655" s="456" t="s">
        <v>157</v>
      </c>
      <c r="H1655" s="889">
        <v>10</v>
      </c>
      <c r="I1655" s="891">
        <v>10.239000000000001</v>
      </c>
      <c r="J1655" s="601">
        <v>374.34500000000003</v>
      </c>
      <c r="K1655" s="602">
        <v>0.34074074074074073</v>
      </c>
      <c r="L1655" s="981">
        <v>7</v>
      </c>
      <c r="M1655" s="1249" t="s">
        <v>323</v>
      </c>
      <c r="N1655" s="604" t="s">
        <v>227</v>
      </c>
      <c r="O1655" s="465"/>
      <c r="P1655" s="435">
        <v>10.010999999999999</v>
      </c>
      <c r="Q1655" s="435">
        <v>1</v>
      </c>
      <c r="R1655" s="401">
        <v>1</v>
      </c>
      <c r="S1655" s="466">
        <v>0.14285714285714285</v>
      </c>
    </row>
    <row r="1656" spans="2:19" ht="16.5" thickTop="1" thickBot="1">
      <c r="B1656" s="1249" t="s">
        <v>2710</v>
      </c>
      <c r="C1656" s="1329" t="s">
        <v>2064</v>
      </c>
      <c r="D1656" s="1326" t="s">
        <v>227</v>
      </c>
      <c r="E1656" s="1249" t="s">
        <v>2150</v>
      </c>
      <c r="F1656" s="455" t="s">
        <v>2151</v>
      </c>
      <c r="G1656" s="456" t="s">
        <v>156</v>
      </c>
      <c r="H1656" s="889">
        <v>10</v>
      </c>
      <c r="I1656" s="891">
        <v>89.381</v>
      </c>
      <c r="J1656" s="601">
        <v>400.9</v>
      </c>
      <c r="K1656" s="602">
        <v>0.5</v>
      </c>
      <c r="L1656" s="981">
        <v>5</v>
      </c>
      <c r="M1656" s="1249" t="s">
        <v>323</v>
      </c>
      <c r="N1656" s="604" t="s">
        <v>227</v>
      </c>
      <c r="O1656" s="465"/>
      <c r="P1656" s="435"/>
      <c r="Q1656" s="435"/>
      <c r="R1656" s="401">
        <v>0</v>
      </c>
      <c r="S1656" s="466">
        <v>0</v>
      </c>
    </row>
    <row r="1657" spans="2:19" ht="16.5" thickTop="1" thickBot="1">
      <c r="B1657" s="1249" t="s">
        <v>2710</v>
      </c>
      <c r="C1657" s="1329" t="s">
        <v>2064</v>
      </c>
      <c r="D1657" s="1326" t="s">
        <v>227</v>
      </c>
      <c r="E1657" s="1249" t="s">
        <v>2152</v>
      </c>
      <c r="F1657" s="455" t="s">
        <v>2153</v>
      </c>
      <c r="G1657" s="456" t="s">
        <v>156</v>
      </c>
      <c r="H1657" s="889">
        <v>10</v>
      </c>
      <c r="I1657" s="891">
        <v>29.67</v>
      </c>
      <c r="J1657" s="601">
        <v>222.52600000000001</v>
      </c>
      <c r="K1657" s="602">
        <v>0.35051546391752575</v>
      </c>
      <c r="L1657" s="981">
        <v>5</v>
      </c>
      <c r="M1657" s="1249" t="s">
        <v>321</v>
      </c>
      <c r="N1657" s="604" t="s">
        <v>227</v>
      </c>
      <c r="O1657" s="465"/>
      <c r="P1657" s="435">
        <v>11.266999999999999</v>
      </c>
      <c r="Q1657" s="435">
        <v>1</v>
      </c>
      <c r="R1657" s="401">
        <v>1</v>
      </c>
      <c r="S1657" s="466">
        <v>0.2</v>
      </c>
    </row>
    <row r="1658" spans="2:19" ht="16.5" thickTop="1" thickBot="1">
      <c r="B1658" s="1249" t="s">
        <v>2710</v>
      </c>
      <c r="C1658" s="1329" t="s">
        <v>2064</v>
      </c>
      <c r="D1658" s="1326" t="s">
        <v>227</v>
      </c>
      <c r="E1658" s="1249" t="s">
        <v>2269</v>
      </c>
      <c r="F1658" s="455" t="s">
        <v>2270</v>
      </c>
      <c r="G1658" s="456" t="s">
        <v>156</v>
      </c>
      <c r="H1658" s="889">
        <v>9</v>
      </c>
      <c r="I1658" s="891">
        <v>75.599999999999994</v>
      </c>
      <c r="J1658" s="601">
        <v>123.723</v>
      </c>
      <c r="K1658" s="602">
        <v>0.27272727272727271</v>
      </c>
      <c r="L1658" s="981">
        <v>2</v>
      </c>
      <c r="M1658" s="1249" t="s">
        <v>366</v>
      </c>
      <c r="N1658" s="604" t="s">
        <v>227</v>
      </c>
      <c r="O1658" s="465"/>
      <c r="P1658" s="435"/>
      <c r="Q1658" s="435"/>
      <c r="R1658" s="401">
        <v>0</v>
      </c>
      <c r="S1658" s="466">
        <v>0</v>
      </c>
    </row>
    <row r="1659" spans="2:19" ht="16.5" thickTop="1" thickBot="1">
      <c r="B1659" s="1249" t="s">
        <v>2710</v>
      </c>
      <c r="C1659" s="1329" t="s">
        <v>2064</v>
      </c>
      <c r="D1659" s="1326" t="s">
        <v>227</v>
      </c>
      <c r="E1659" s="1249" t="s">
        <v>2378</v>
      </c>
      <c r="F1659" s="455" t="s">
        <v>2379</v>
      </c>
      <c r="G1659" s="456" t="s">
        <v>156</v>
      </c>
      <c r="H1659" s="889">
        <v>8</v>
      </c>
      <c r="I1659" s="891">
        <v>61.765000000000001</v>
      </c>
      <c r="J1659" s="601">
        <v>180.32900000000001</v>
      </c>
      <c r="K1659" s="602">
        <v>0.38356164383561642</v>
      </c>
      <c r="L1659" s="981">
        <v>5</v>
      </c>
      <c r="M1659" s="1249" t="s">
        <v>321</v>
      </c>
      <c r="N1659" s="604" t="s">
        <v>227</v>
      </c>
      <c r="O1659" s="465"/>
      <c r="P1659" s="435">
        <v>13.907</v>
      </c>
      <c r="Q1659" s="435">
        <v>1</v>
      </c>
      <c r="R1659" s="401">
        <v>1</v>
      </c>
      <c r="S1659" s="466">
        <v>0.2</v>
      </c>
    </row>
    <row r="1660" spans="2:19" ht="16.5" thickTop="1" thickBot="1">
      <c r="B1660" s="1249" t="s">
        <v>2710</v>
      </c>
      <c r="C1660" s="1329" t="s">
        <v>2064</v>
      </c>
      <c r="D1660" s="1326" t="s">
        <v>227</v>
      </c>
      <c r="E1660" s="1249" t="s">
        <v>2327</v>
      </c>
      <c r="F1660" s="455" t="s">
        <v>2329</v>
      </c>
      <c r="G1660" s="456" t="s">
        <v>157</v>
      </c>
      <c r="H1660" s="889">
        <v>7</v>
      </c>
      <c r="I1660" s="891">
        <v>74.563999999999993</v>
      </c>
      <c r="J1660" s="601">
        <v>89.578999999999994</v>
      </c>
      <c r="K1660" s="602">
        <v>0.88888888888888884</v>
      </c>
      <c r="L1660" s="981">
        <v>2</v>
      </c>
      <c r="M1660" s="1249" t="s">
        <v>366</v>
      </c>
      <c r="N1660" s="604" t="s">
        <v>227</v>
      </c>
      <c r="O1660" s="465"/>
      <c r="P1660" s="435">
        <v>7.3769999999999998</v>
      </c>
      <c r="Q1660" s="435">
        <v>1</v>
      </c>
      <c r="R1660" s="401">
        <v>1</v>
      </c>
      <c r="S1660" s="466">
        <v>0.5</v>
      </c>
    </row>
    <row r="1661" spans="2:19" ht="16.5" thickTop="1" thickBot="1">
      <c r="B1661" s="1249" t="s">
        <v>2710</v>
      </c>
      <c r="C1661" s="1329" t="s">
        <v>2064</v>
      </c>
      <c r="D1661" s="1326" t="s">
        <v>227</v>
      </c>
      <c r="E1661" s="1249" t="s">
        <v>2380</v>
      </c>
      <c r="F1661" s="455" t="s">
        <v>2381</v>
      </c>
      <c r="G1661" s="456" t="s">
        <v>156</v>
      </c>
      <c r="H1661" s="889">
        <v>7</v>
      </c>
      <c r="I1661" s="891">
        <v>25.6</v>
      </c>
      <c r="J1661" s="601">
        <v>179.239</v>
      </c>
      <c r="K1661" s="602">
        <v>0.44897959183673469</v>
      </c>
      <c r="L1661" s="981">
        <v>3</v>
      </c>
      <c r="M1661" s="1249" t="s">
        <v>321</v>
      </c>
      <c r="N1661" s="604" t="s">
        <v>227</v>
      </c>
      <c r="O1661" s="465"/>
      <c r="P1661" s="435">
        <v>10.058</v>
      </c>
      <c r="Q1661" s="435">
        <v>1</v>
      </c>
      <c r="R1661" s="401">
        <v>1</v>
      </c>
      <c r="S1661" s="466">
        <v>0.33333333333333331</v>
      </c>
    </row>
    <row r="1662" spans="2:19" ht="16.5" thickTop="1" thickBot="1">
      <c r="B1662" s="1249" t="s">
        <v>2710</v>
      </c>
      <c r="C1662" s="1329" t="s">
        <v>2064</v>
      </c>
      <c r="D1662" s="1326" t="s">
        <v>227</v>
      </c>
      <c r="E1662" s="1249" t="s">
        <v>2496</v>
      </c>
      <c r="F1662" s="455" t="s">
        <v>2497</v>
      </c>
      <c r="G1662" s="456" t="s">
        <v>156</v>
      </c>
      <c r="H1662" s="889">
        <v>6</v>
      </c>
      <c r="I1662" s="891">
        <v>78.659000000000006</v>
      </c>
      <c r="J1662" s="601">
        <v>170.87200000000001</v>
      </c>
      <c r="K1662" s="602">
        <v>0.44444444444444442</v>
      </c>
      <c r="L1662" s="981">
        <v>5</v>
      </c>
      <c r="M1662" s="1249" t="s">
        <v>323</v>
      </c>
      <c r="N1662" s="604" t="s">
        <v>227</v>
      </c>
      <c r="O1662" s="465"/>
      <c r="P1662" s="435">
        <v>10.554</v>
      </c>
      <c r="Q1662" s="435">
        <v>1</v>
      </c>
      <c r="R1662" s="401">
        <v>1</v>
      </c>
      <c r="S1662" s="466">
        <v>0.2</v>
      </c>
    </row>
    <row r="1663" spans="2:19" ht="16.5" thickTop="1" thickBot="1">
      <c r="B1663" s="1249" t="s">
        <v>2710</v>
      </c>
      <c r="C1663" s="1329" t="s">
        <v>2064</v>
      </c>
      <c r="D1663" s="1326" t="s">
        <v>227</v>
      </c>
      <c r="E1663" s="1249" t="s">
        <v>2593</v>
      </c>
      <c r="F1663" s="455" t="s">
        <v>2594</v>
      </c>
      <c r="G1663" s="456" t="s">
        <v>155</v>
      </c>
      <c r="H1663" s="889"/>
      <c r="I1663" s="891"/>
      <c r="J1663" s="601">
        <v>49.186</v>
      </c>
      <c r="K1663" s="602">
        <v>0.33333333333333331</v>
      </c>
      <c r="L1663" s="981">
        <v>3</v>
      </c>
      <c r="M1663" s="1249" t="s">
        <v>366</v>
      </c>
      <c r="N1663" s="604" t="s">
        <v>227</v>
      </c>
      <c r="O1663" s="465"/>
      <c r="P1663" s="435"/>
      <c r="Q1663" s="435"/>
      <c r="R1663" s="401">
        <v>0</v>
      </c>
      <c r="S1663" s="466">
        <v>0</v>
      </c>
    </row>
    <row r="1664" spans="2:19" ht="16.5" thickTop="1" thickBot="1">
      <c r="B1664" s="1249" t="s">
        <v>2710</v>
      </c>
      <c r="C1664" s="1329" t="s">
        <v>2064</v>
      </c>
      <c r="D1664" s="1326" t="s">
        <v>227</v>
      </c>
      <c r="E1664" s="1249" t="s">
        <v>2595</v>
      </c>
      <c r="F1664" s="455" t="s">
        <v>2596</v>
      </c>
      <c r="G1664" s="456" t="s">
        <v>155</v>
      </c>
      <c r="H1664" s="889"/>
      <c r="I1664" s="891"/>
      <c r="J1664" s="601">
        <v>51.856000000000002</v>
      </c>
      <c r="K1664" s="602">
        <v>0.37037037037037035</v>
      </c>
      <c r="L1664" s="981">
        <v>3</v>
      </c>
      <c r="M1664" s="1249" t="s">
        <v>366</v>
      </c>
      <c r="N1664" s="604" t="s">
        <v>227</v>
      </c>
      <c r="O1664" s="465"/>
      <c r="P1664" s="435"/>
      <c r="Q1664" s="435"/>
      <c r="R1664" s="401">
        <v>0</v>
      </c>
      <c r="S1664" s="466">
        <v>0</v>
      </c>
    </row>
    <row r="1665" spans="2:19" ht="16.5" thickTop="1" thickBot="1">
      <c r="B1665" s="1249" t="s">
        <v>2710</v>
      </c>
      <c r="C1665" s="1329" t="s">
        <v>2064</v>
      </c>
      <c r="D1665" s="1326" t="s">
        <v>227</v>
      </c>
      <c r="E1665" s="1249" t="s">
        <v>2810</v>
      </c>
      <c r="F1665" s="455" t="s">
        <v>2811</v>
      </c>
      <c r="G1665" s="456" t="s">
        <v>156</v>
      </c>
      <c r="H1665" s="889">
        <v>4</v>
      </c>
      <c r="I1665" s="891">
        <v>7.0410000000000004</v>
      </c>
      <c r="J1665" s="601">
        <v>32.244999999999997</v>
      </c>
      <c r="K1665" s="602">
        <v>0.2608695652173913</v>
      </c>
      <c r="L1665" s="981">
        <v>5</v>
      </c>
      <c r="M1665" s="1249" t="s">
        <v>366</v>
      </c>
      <c r="N1665" s="604" t="s">
        <v>227</v>
      </c>
      <c r="O1665" s="465"/>
      <c r="P1665" s="435"/>
      <c r="Q1665" s="435"/>
      <c r="R1665" s="401">
        <v>0</v>
      </c>
      <c r="S1665" s="466">
        <v>0</v>
      </c>
    </row>
    <row r="1666" spans="2:19" ht="16.5" thickTop="1" thickBot="1">
      <c r="B1666" s="1249" t="s">
        <v>2710</v>
      </c>
      <c r="C1666" s="1329" t="s">
        <v>2064</v>
      </c>
      <c r="D1666" s="1326" t="s">
        <v>227</v>
      </c>
      <c r="E1666" s="1249" t="s">
        <v>3015</v>
      </c>
      <c r="F1666" s="455" t="s">
        <v>3016</v>
      </c>
      <c r="G1666" s="456" t="s">
        <v>155</v>
      </c>
      <c r="H1666" s="889"/>
      <c r="I1666" s="891"/>
      <c r="J1666" s="601">
        <v>77.959000000000003</v>
      </c>
      <c r="K1666" s="602">
        <v>0.5714285714285714</v>
      </c>
      <c r="L1666" s="981">
        <v>5</v>
      </c>
      <c r="M1666" s="1249" t="s">
        <v>366</v>
      </c>
      <c r="N1666" s="604" t="s">
        <v>227</v>
      </c>
      <c r="O1666" s="465"/>
      <c r="P1666" s="435">
        <v>31.428000000000001</v>
      </c>
      <c r="Q1666" s="435">
        <v>3</v>
      </c>
      <c r="R1666" s="401">
        <v>2</v>
      </c>
      <c r="S1666" s="466">
        <v>0.4</v>
      </c>
    </row>
    <row r="1667" spans="2:19" ht="16.5" thickTop="1" thickBot="1">
      <c r="B1667" s="1249" t="s">
        <v>2710</v>
      </c>
      <c r="C1667" s="1329" t="s">
        <v>2064</v>
      </c>
      <c r="D1667" s="1326" t="s">
        <v>227</v>
      </c>
      <c r="E1667" s="1249" t="s">
        <v>3326</v>
      </c>
      <c r="F1667" s="455" t="s">
        <v>3327</v>
      </c>
      <c r="G1667" s="456" t="s">
        <v>156</v>
      </c>
      <c r="H1667" s="889">
        <v>1</v>
      </c>
      <c r="I1667" s="891">
        <v>18.027999999999999</v>
      </c>
      <c r="J1667" s="601">
        <v>61.854999999999997</v>
      </c>
      <c r="K1667" s="602">
        <v>0.66666666666666663</v>
      </c>
      <c r="L1667" s="981">
        <v>5</v>
      </c>
      <c r="M1667" s="1249" t="s">
        <v>323</v>
      </c>
      <c r="N1667" s="604" t="s">
        <v>227</v>
      </c>
      <c r="O1667" s="465"/>
      <c r="P1667" s="435">
        <v>9.4779999999999998</v>
      </c>
      <c r="Q1667" s="435">
        <v>1</v>
      </c>
      <c r="R1667" s="401">
        <v>1</v>
      </c>
      <c r="S1667" s="466">
        <v>0.2</v>
      </c>
    </row>
    <row r="1668" spans="2:19" ht="16.5" thickTop="1" thickBot="1">
      <c r="B1668" s="1249" t="s">
        <v>2710</v>
      </c>
      <c r="C1668" s="1329" t="s">
        <v>2912</v>
      </c>
      <c r="D1668" s="1326" t="s">
        <v>227</v>
      </c>
      <c r="E1668" s="1249" t="s">
        <v>2958</v>
      </c>
      <c r="F1668" s="455" t="s">
        <v>838</v>
      </c>
      <c r="G1668" s="456" t="s">
        <v>157</v>
      </c>
      <c r="H1668" s="889">
        <v>3</v>
      </c>
      <c r="I1668" s="891">
        <v>15.65</v>
      </c>
      <c r="J1668" s="601">
        <v>15.65</v>
      </c>
      <c r="K1668" s="602">
        <v>0.4</v>
      </c>
      <c r="L1668" s="981">
        <v>1</v>
      </c>
      <c r="M1668" s="1249" t="s">
        <v>366</v>
      </c>
      <c r="N1668" s="604" t="s">
        <v>227</v>
      </c>
      <c r="O1668" s="465"/>
      <c r="P1668" s="435"/>
      <c r="Q1668" s="435"/>
      <c r="R1668" s="401">
        <v>0</v>
      </c>
      <c r="S1668" s="466">
        <v>0</v>
      </c>
    </row>
    <row r="1669" spans="2:19" ht="16.5" thickTop="1" thickBot="1">
      <c r="B1669" s="1249" t="s">
        <v>2710</v>
      </c>
      <c r="C1669" s="1329" t="s">
        <v>2912</v>
      </c>
      <c r="D1669" s="1326" t="s">
        <v>227</v>
      </c>
      <c r="E1669" s="1249" t="s">
        <v>3129</v>
      </c>
      <c r="F1669" s="455" t="s">
        <v>3130</v>
      </c>
      <c r="G1669" s="456" t="s">
        <v>156</v>
      </c>
      <c r="H1669" s="889">
        <v>3</v>
      </c>
      <c r="I1669" s="891">
        <v>40.53</v>
      </c>
      <c r="J1669" s="601">
        <v>82.075999999999993</v>
      </c>
      <c r="K1669" s="602">
        <v>0.73684210526315785</v>
      </c>
      <c r="L1669" s="981">
        <v>5</v>
      </c>
      <c r="M1669" s="1249" t="s">
        <v>323</v>
      </c>
      <c r="N1669" s="604" t="s">
        <v>227</v>
      </c>
      <c r="O1669" s="465">
        <v>1</v>
      </c>
      <c r="P1669" s="435">
        <v>30.227</v>
      </c>
      <c r="Q1669" s="435">
        <v>3</v>
      </c>
      <c r="R1669" s="401">
        <v>3</v>
      </c>
      <c r="S1669" s="466">
        <v>0.66666666666666663</v>
      </c>
    </row>
    <row r="1670" spans="2:19" ht="16.5" thickTop="1" thickBot="1">
      <c r="B1670" s="1249" t="s">
        <v>2710</v>
      </c>
      <c r="C1670" s="1329" t="s">
        <v>2912</v>
      </c>
      <c r="D1670" s="1326" t="s">
        <v>227</v>
      </c>
      <c r="E1670" s="1249" t="s">
        <v>2960</v>
      </c>
      <c r="F1670" s="455" t="s">
        <v>2962</v>
      </c>
      <c r="G1670" s="456" t="s">
        <v>157</v>
      </c>
      <c r="H1670" s="889">
        <v>3</v>
      </c>
      <c r="I1670" s="891">
        <v>0</v>
      </c>
      <c r="J1670" s="601">
        <v>65.075999999999993</v>
      </c>
      <c r="K1670" s="602">
        <v>0.8571428571428571</v>
      </c>
      <c r="L1670" s="981">
        <v>6</v>
      </c>
      <c r="M1670" s="1249" t="s">
        <v>323</v>
      </c>
      <c r="N1670" s="604" t="s">
        <v>227</v>
      </c>
      <c r="O1670" s="465">
        <v>5</v>
      </c>
      <c r="P1670" s="435">
        <v>36.332999999999998</v>
      </c>
      <c r="Q1670" s="435">
        <v>3</v>
      </c>
      <c r="R1670" s="401">
        <v>3</v>
      </c>
      <c r="S1670" s="466">
        <v>0.8571428571428571</v>
      </c>
    </row>
    <row r="1671" spans="2:19" ht="16.5" thickTop="1" thickBot="1">
      <c r="B1671" s="1249" t="s">
        <v>2710</v>
      </c>
      <c r="C1671" s="1329" t="s">
        <v>2912</v>
      </c>
      <c r="D1671" s="1326" t="s">
        <v>227</v>
      </c>
      <c r="E1671" s="1249" t="s">
        <v>3131</v>
      </c>
      <c r="F1671" s="455" t="s">
        <v>3132</v>
      </c>
      <c r="G1671" s="456" t="s">
        <v>156</v>
      </c>
      <c r="H1671" s="889">
        <v>3</v>
      </c>
      <c r="I1671" s="891">
        <v>10.423</v>
      </c>
      <c r="J1671" s="601">
        <v>10.423</v>
      </c>
      <c r="K1671" s="602">
        <v>0.4</v>
      </c>
      <c r="L1671" s="981">
        <v>1</v>
      </c>
      <c r="M1671" s="1249" t="s">
        <v>366</v>
      </c>
      <c r="N1671" s="604" t="s">
        <v>227</v>
      </c>
      <c r="O1671" s="465"/>
      <c r="P1671" s="435">
        <v>10.423</v>
      </c>
      <c r="Q1671" s="435">
        <v>1</v>
      </c>
      <c r="R1671" s="401">
        <v>1</v>
      </c>
      <c r="S1671" s="466">
        <v>1</v>
      </c>
    </row>
    <row r="1672" spans="2:19" ht="16.5" thickTop="1" thickBot="1">
      <c r="B1672" s="1249" t="s">
        <v>2710</v>
      </c>
      <c r="C1672" s="1329" t="s">
        <v>2912</v>
      </c>
      <c r="D1672" s="1326" t="s">
        <v>227</v>
      </c>
      <c r="E1672" s="1249" t="s">
        <v>3133</v>
      </c>
      <c r="F1672" s="455" t="s">
        <v>3134</v>
      </c>
      <c r="G1672" s="456" t="s">
        <v>156</v>
      </c>
      <c r="H1672" s="889">
        <v>2</v>
      </c>
      <c r="I1672" s="891"/>
      <c r="J1672" s="601"/>
      <c r="K1672" s="602">
        <v>0</v>
      </c>
      <c r="L1672" s="981">
        <v>2</v>
      </c>
      <c r="M1672" s="1249" t="s">
        <v>366</v>
      </c>
      <c r="N1672" s="604" t="s">
        <v>227</v>
      </c>
      <c r="O1672" s="465"/>
      <c r="P1672" s="435"/>
      <c r="Q1672" s="435"/>
      <c r="R1672" s="401">
        <v>0</v>
      </c>
      <c r="S1672" s="466">
        <v>0</v>
      </c>
    </row>
    <row r="1673" spans="2:19" ht="16.5" thickTop="1" thickBot="1">
      <c r="B1673" s="1249" t="s">
        <v>2710</v>
      </c>
      <c r="C1673" s="1329" t="s">
        <v>2912</v>
      </c>
      <c r="D1673" s="1326" t="s">
        <v>227</v>
      </c>
      <c r="E1673" s="1249" t="s">
        <v>3135</v>
      </c>
      <c r="F1673" s="455" t="s">
        <v>3136</v>
      </c>
      <c r="G1673" s="456" t="s">
        <v>156</v>
      </c>
      <c r="H1673" s="889">
        <v>2</v>
      </c>
      <c r="I1673" s="891">
        <v>34.515000000000001</v>
      </c>
      <c r="J1673" s="601">
        <v>72.605000000000004</v>
      </c>
      <c r="K1673" s="602">
        <v>0.63157894736842102</v>
      </c>
      <c r="L1673" s="981">
        <v>5</v>
      </c>
      <c r="M1673" s="1249" t="s">
        <v>323</v>
      </c>
      <c r="N1673" s="604" t="s">
        <v>227</v>
      </c>
      <c r="O1673" s="465">
        <v>1</v>
      </c>
      <c r="P1673" s="435">
        <v>20.2</v>
      </c>
      <c r="Q1673" s="435">
        <v>2</v>
      </c>
      <c r="R1673" s="401">
        <v>2</v>
      </c>
      <c r="S1673" s="466">
        <v>0.44444444444444442</v>
      </c>
    </row>
    <row r="1674" spans="2:19" ht="16.5" thickTop="1" thickBot="1">
      <c r="B1674" s="1249" t="s">
        <v>2710</v>
      </c>
      <c r="C1674" s="1329" t="s">
        <v>2912</v>
      </c>
      <c r="D1674" s="1326" t="s">
        <v>227</v>
      </c>
      <c r="E1674" s="1249" t="s">
        <v>2912</v>
      </c>
      <c r="F1674" s="455" t="s">
        <v>2914</v>
      </c>
      <c r="G1674" s="456" t="s">
        <v>739</v>
      </c>
      <c r="H1674" s="889">
        <v>2</v>
      </c>
      <c r="I1674" s="891">
        <v>12.9</v>
      </c>
      <c r="J1674" s="601">
        <v>12.9</v>
      </c>
      <c r="K1674" s="602">
        <v>0.4</v>
      </c>
      <c r="L1674" s="981">
        <v>1</v>
      </c>
      <c r="M1674" s="1249" t="s">
        <v>366</v>
      </c>
      <c r="N1674" s="604" t="s">
        <v>227</v>
      </c>
      <c r="O1674" s="465"/>
      <c r="P1674" s="435"/>
      <c r="Q1674" s="435"/>
      <c r="R1674" s="401">
        <v>0</v>
      </c>
      <c r="S1674" s="466">
        <v>0</v>
      </c>
    </row>
    <row r="1675" spans="2:19" ht="16.5" thickTop="1" thickBot="1">
      <c r="B1675" s="1249" t="s">
        <v>2710</v>
      </c>
      <c r="C1675" s="1329" t="s">
        <v>2912</v>
      </c>
      <c r="D1675" s="1326" t="s">
        <v>227</v>
      </c>
      <c r="E1675" s="1249" t="s">
        <v>2963</v>
      </c>
      <c r="F1675" s="455" t="s">
        <v>2965</v>
      </c>
      <c r="G1675" s="456" t="s">
        <v>157</v>
      </c>
      <c r="H1675" s="889">
        <v>2</v>
      </c>
      <c r="I1675" s="891">
        <v>10.675000000000001</v>
      </c>
      <c r="J1675" s="601">
        <v>10.675000000000001</v>
      </c>
      <c r="K1675" s="602">
        <v>0.25</v>
      </c>
      <c r="L1675" s="981">
        <v>2</v>
      </c>
      <c r="M1675" s="1249" t="s">
        <v>366</v>
      </c>
      <c r="N1675" s="604" t="s">
        <v>227</v>
      </c>
      <c r="O1675" s="465"/>
      <c r="P1675" s="435"/>
      <c r="Q1675" s="435"/>
      <c r="R1675" s="401">
        <v>0</v>
      </c>
      <c r="S1675" s="466">
        <v>0</v>
      </c>
    </row>
    <row r="1676" spans="2:19" ht="16.5" thickTop="1" thickBot="1">
      <c r="B1676" s="1249" t="s">
        <v>2710</v>
      </c>
      <c r="C1676" s="1329" t="s">
        <v>2912</v>
      </c>
      <c r="D1676" s="1326" t="s">
        <v>227</v>
      </c>
      <c r="E1676" s="1249" t="s">
        <v>2966</v>
      </c>
      <c r="F1676" s="455" t="s">
        <v>2968</v>
      </c>
      <c r="G1676" s="456" t="s">
        <v>157</v>
      </c>
      <c r="H1676" s="889">
        <v>2</v>
      </c>
      <c r="I1676" s="891"/>
      <c r="J1676" s="601">
        <v>61.573999999999998</v>
      </c>
      <c r="K1676" s="602">
        <v>0.46153846153846156</v>
      </c>
      <c r="L1676" s="981">
        <v>4</v>
      </c>
      <c r="M1676" s="1249" t="s">
        <v>323</v>
      </c>
      <c r="N1676" s="604" t="s">
        <v>227</v>
      </c>
      <c r="O1676" s="465">
        <v>2</v>
      </c>
      <c r="P1676" s="435">
        <v>34.409999999999997</v>
      </c>
      <c r="Q1676" s="435">
        <v>3</v>
      </c>
      <c r="R1676" s="401">
        <v>2</v>
      </c>
      <c r="S1676" s="466">
        <v>0.66666666666666663</v>
      </c>
    </row>
    <row r="1677" spans="2:19" ht="16.5" thickTop="1" thickBot="1">
      <c r="B1677" s="1249" t="s">
        <v>2710</v>
      </c>
      <c r="C1677" s="1329" t="s">
        <v>2912</v>
      </c>
      <c r="D1677" s="1326" t="s">
        <v>227</v>
      </c>
      <c r="E1677" s="1249" t="s">
        <v>2969</v>
      </c>
      <c r="F1677" s="455" t="s">
        <v>2971</v>
      </c>
      <c r="G1677" s="456" t="s">
        <v>157</v>
      </c>
      <c r="H1677" s="889">
        <v>2</v>
      </c>
      <c r="I1677" s="891">
        <v>12.198</v>
      </c>
      <c r="J1677" s="601">
        <v>109.399</v>
      </c>
      <c r="K1677" s="602">
        <v>0.6</v>
      </c>
      <c r="L1677" s="981">
        <v>2</v>
      </c>
      <c r="M1677" s="1249" t="s">
        <v>323</v>
      </c>
      <c r="N1677" s="604" t="s">
        <v>227</v>
      </c>
      <c r="O1677" s="465"/>
      <c r="P1677" s="435">
        <v>-26.111000000000001</v>
      </c>
      <c r="Q1677" s="435">
        <v>-1</v>
      </c>
      <c r="R1677" s="401">
        <v>1</v>
      </c>
      <c r="S1677" s="466">
        <v>0.5</v>
      </c>
    </row>
    <row r="1678" spans="2:19" ht="16.5" thickTop="1" thickBot="1">
      <c r="B1678" s="1249" t="s">
        <v>2710</v>
      </c>
      <c r="C1678" s="1329" t="s">
        <v>2912</v>
      </c>
      <c r="D1678" s="1326" t="s">
        <v>227</v>
      </c>
      <c r="E1678" s="1249" t="s">
        <v>3137</v>
      </c>
      <c r="F1678" s="455" t="s">
        <v>3138</v>
      </c>
      <c r="G1678" s="456" t="s">
        <v>156</v>
      </c>
      <c r="H1678" s="889">
        <v>2</v>
      </c>
      <c r="I1678" s="891">
        <v>51.927999999999997</v>
      </c>
      <c r="J1678" s="601">
        <v>62.61</v>
      </c>
      <c r="K1678" s="602">
        <v>0.5</v>
      </c>
      <c r="L1678" s="981">
        <v>4</v>
      </c>
      <c r="M1678" s="1249" t="s">
        <v>323</v>
      </c>
      <c r="N1678" s="604" t="s">
        <v>227</v>
      </c>
      <c r="O1678" s="465">
        <v>1</v>
      </c>
      <c r="P1678" s="435">
        <v>35.773000000000003</v>
      </c>
      <c r="Q1678" s="435">
        <v>1</v>
      </c>
      <c r="R1678" s="401">
        <v>1</v>
      </c>
      <c r="S1678" s="466">
        <v>0.2857142857142857</v>
      </c>
    </row>
    <row r="1679" spans="2:19" ht="16.5" thickTop="1" thickBot="1">
      <c r="B1679" s="1249" t="s">
        <v>2710</v>
      </c>
      <c r="C1679" s="1329" t="s">
        <v>2912</v>
      </c>
      <c r="D1679" s="1326" t="s">
        <v>227</v>
      </c>
      <c r="E1679" s="1249" t="s">
        <v>3139</v>
      </c>
      <c r="F1679" s="455" t="s">
        <v>3140</v>
      </c>
      <c r="G1679" s="456" t="s">
        <v>156</v>
      </c>
      <c r="H1679" s="889">
        <v>2</v>
      </c>
      <c r="I1679" s="891">
        <v>11.481999999999999</v>
      </c>
      <c r="J1679" s="601">
        <v>22.963000000000001</v>
      </c>
      <c r="K1679" s="602">
        <v>0.26666666666666666</v>
      </c>
      <c r="L1679" s="981">
        <v>5</v>
      </c>
      <c r="M1679" s="1249" t="s">
        <v>322</v>
      </c>
      <c r="N1679" s="604" t="s">
        <v>227</v>
      </c>
      <c r="O1679" s="465">
        <v>2</v>
      </c>
      <c r="P1679" s="435"/>
      <c r="Q1679" s="435"/>
      <c r="R1679" s="401">
        <v>0</v>
      </c>
      <c r="S1679" s="466">
        <v>0</v>
      </c>
    </row>
    <row r="1680" spans="2:19" ht="16.5" thickTop="1" thickBot="1">
      <c r="B1680" s="1249" t="s">
        <v>2710</v>
      </c>
      <c r="C1680" s="1329" t="s">
        <v>2912</v>
      </c>
      <c r="D1680" s="1326" t="s">
        <v>227</v>
      </c>
      <c r="E1680" s="1249" t="s">
        <v>3141</v>
      </c>
      <c r="F1680" s="455" t="s">
        <v>3142</v>
      </c>
      <c r="G1680" s="456" t="s">
        <v>156</v>
      </c>
      <c r="H1680" s="889">
        <v>2</v>
      </c>
      <c r="I1680" s="891">
        <v>99.200999999999993</v>
      </c>
      <c r="J1680" s="601">
        <v>194.44499999999999</v>
      </c>
      <c r="K1680" s="602">
        <v>0.66666666666666663</v>
      </c>
      <c r="L1680" s="981">
        <v>8</v>
      </c>
      <c r="M1680" s="1249" t="s">
        <v>323</v>
      </c>
      <c r="N1680" s="604" t="s">
        <v>227</v>
      </c>
      <c r="O1680" s="465">
        <v>2</v>
      </c>
      <c r="P1680" s="435">
        <v>62.807000000000002</v>
      </c>
      <c r="Q1680" s="435">
        <v>3</v>
      </c>
      <c r="R1680" s="401">
        <v>3</v>
      </c>
      <c r="S1680" s="466">
        <v>0.42857142857142855</v>
      </c>
    </row>
    <row r="1681" spans="2:19" ht="16.5" thickTop="1" thickBot="1">
      <c r="B1681" s="1249" t="s">
        <v>2710</v>
      </c>
      <c r="C1681" s="1329" t="s">
        <v>2912</v>
      </c>
      <c r="D1681" s="1326" t="s">
        <v>227</v>
      </c>
      <c r="E1681" s="1249" t="s">
        <v>3143</v>
      </c>
      <c r="F1681" s="455" t="s">
        <v>3144</v>
      </c>
      <c r="G1681" s="456" t="s">
        <v>156</v>
      </c>
      <c r="H1681" s="889">
        <v>2</v>
      </c>
      <c r="I1681" s="891">
        <v>10.051</v>
      </c>
      <c r="J1681" s="601">
        <v>50.95</v>
      </c>
      <c r="K1681" s="602">
        <v>0.44444444444444442</v>
      </c>
      <c r="L1681" s="981">
        <v>4</v>
      </c>
      <c r="M1681" s="1249" t="s">
        <v>323</v>
      </c>
      <c r="N1681" s="604" t="s">
        <v>227</v>
      </c>
      <c r="O1681" s="465"/>
      <c r="P1681" s="435">
        <v>9.2769999999999992</v>
      </c>
      <c r="Q1681" s="435">
        <v>1</v>
      </c>
      <c r="R1681" s="401">
        <v>1</v>
      </c>
      <c r="S1681" s="466">
        <v>0.25</v>
      </c>
    </row>
    <row r="1682" spans="2:19" ht="16.5" thickTop="1" thickBot="1">
      <c r="B1682" s="1249" t="s">
        <v>2710</v>
      </c>
      <c r="C1682" s="1329" t="s">
        <v>2912</v>
      </c>
      <c r="D1682" s="1326" t="s">
        <v>227</v>
      </c>
      <c r="E1682" s="1249" t="s">
        <v>3145</v>
      </c>
      <c r="F1682" s="455" t="s">
        <v>3146</v>
      </c>
      <c r="G1682" s="456" t="s">
        <v>156</v>
      </c>
      <c r="H1682" s="889">
        <v>2</v>
      </c>
      <c r="I1682" s="891">
        <v>65.539000000000001</v>
      </c>
      <c r="J1682" s="601">
        <v>65.539000000000001</v>
      </c>
      <c r="K1682" s="602">
        <v>0.8</v>
      </c>
      <c r="L1682" s="981">
        <v>1</v>
      </c>
      <c r="M1682" s="1249" t="s">
        <v>323</v>
      </c>
      <c r="N1682" s="604" t="s">
        <v>227</v>
      </c>
      <c r="O1682" s="465"/>
      <c r="P1682" s="435">
        <v>38.383000000000003</v>
      </c>
      <c r="Q1682" s="435">
        <v>3</v>
      </c>
      <c r="R1682" s="401">
        <v>1</v>
      </c>
      <c r="S1682" s="466">
        <v>1</v>
      </c>
    </row>
    <row r="1683" spans="2:19" ht="16.5" thickTop="1" thickBot="1">
      <c r="B1683" s="1249" t="s">
        <v>2710</v>
      </c>
      <c r="C1683" s="1329" t="s">
        <v>2912</v>
      </c>
      <c r="D1683" s="1326" t="s">
        <v>227</v>
      </c>
      <c r="E1683" s="1249" t="s">
        <v>3147</v>
      </c>
      <c r="F1683" s="455" t="s">
        <v>3148</v>
      </c>
      <c r="G1683" s="456" t="s">
        <v>156</v>
      </c>
      <c r="H1683" s="889">
        <v>2</v>
      </c>
      <c r="I1683" s="891"/>
      <c r="J1683" s="601"/>
      <c r="K1683" s="602">
        <v>0</v>
      </c>
      <c r="L1683" s="981">
        <v>2</v>
      </c>
      <c r="M1683" s="1249" t="s">
        <v>366</v>
      </c>
      <c r="N1683" s="604" t="s">
        <v>227</v>
      </c>
      <c r="O1683" s="465"/>
      <c r="P1683" s="435"/>
      <c r="Q1683" s="435"/>
      <c r="R1683" s="401">
        <v>0</v>
      </c>
      <c r="S1683" s="466">
        <v>0</v>
      </c>
    </row>
    <row r="1684" spans="2:19" ht="16.5" thickTop="1" thickBot="1">
      <c r="B1684" s="1249" t="s">
        <v>2710</v>
      </c>
      <c r="C1684" s="1329" t="s">
        <v>2912</v>
      </c>
      <c r="D1684" s="1326" t="s">
        <v>227</v>
      </c>
      <c r="E1684" s="1249" t="s">
        <v>3149</v>
      </c>
      <c r="F1684" s="455" t="s">
        <v>3150</v>
      </c>
      <c r="G1684" s="456" t="s">
        <v>156</v>
      </c>
      <c r="H1684" s="889">
        <v>2</v>
      </c>
      <c r="I1684" s="891"/>
      <c r="J1684" s="601"/>
      <c r="K1684" s="602">
        <v>0</v>
      </c>
      <c r="L1684" s="981">
        <v>1</v>
      </c>
      <c r="M1684" s="1249" t="s">
        <v>366</v>
      </c>
      <c r="N1684" s="604" t="s">
        <v>227</v>
      </c>
      <c r="O1684" s="465"/>
      <c r="P1684" s="435"/>
      <c r="Q1684" s="435"/>
      <c r="R1684" s="401">
        <v>0</v>
      </c>
      <c r="S1684" s="466">
        <v>0</v>
      </c>
    </row>
    <row r="1685" spans="2:19" ht="16.5" thickTop="1" thickBot="1">
      <c r="B1685" s="1249" t="s">
        <v>2710</v>
      </c>
      <c r="C1685" s="1329" t="s">
        <v>2912</v>
      </c>
      <c r="D1685" s="1326" t="s">
        <v>227</v>
      </c>
      <c r="E1685" s="1249" t="s">
        <v>3151</v>
      </c>
      <c r="F1685" s="455" t="s">
        <v>3152</v>
      </c>
      <c r="G1685" s="456" t="s">
        <v>156</v>
      </c>
      <c r="H1685" s="889">
        <v>2</v>
      </c>
      <c r="I1685" s="891">
        <v>35.99</v>
      </c>
      <c r="J1685" s="601">
        <v>57.923999999999999</v>
      </c>
      <c r="K1685" s="602">
        <v>0.53333333333333333</v>
      </c>
      <c r="L1685" s="981">
        <v>5</v>
      </c>
      <c r="M1685" s="1249" t="s">
        <v>323</v>
      </c>
      <c r="N1685" s="604" t="s">
        <v>227</v>
      </c>
      <c r="O1685" s="465">
        <v>1</v>
      </c>
      <c r="P1685" s="435">
        <v>20.456</v>
      </c>
      <c r="Q1685" s="435">
        <v>2</v>
      </c>
      <c r="R1685" s="401">
        <v>2</v>
      </c>
      <c r="S1685" s="466">
        <v>0.44444444444444442</v>
      </c>
    </row>
    <row r="1686" spans="2:19" ht="16.5" thickTop="1" thickBot="1">
      <c r="B1686" s="1249" t="s">
        <v>2710</v>
      </c>
      <c r="C1686" s="1329" t="s">
        <v>2912</v>
      </c>
      <c r="D1686" s="1326" t="s">
        <v>227</v>
      </c>
      <c r="E1686" s="1249" t="s">
        <v>3996</v>
      </c>
      <c r="F1686" s="455" t="s">
        <v>3997</v>
      </c>
      <c r="G1686" s="456" t="s">
        <v>156</v>
      </c>
      <c r="H1686" s="889">
        <v>1</v>
      </c>
      <c r="I1686" s="891">
        <v>12.567</v>
      </c>
      <c r="J1686" s="601">
        <v>27.927</v>
      </c>
      <c r="K1686" s="602">
        <v>0.66666666666666663</v>
      </c>
      <c r="L1686" s="981">
        <v>5</v>
      </c>
      <c r="M1686" s="1249" t="s">
        <v>323</v>
      </c>
      <c r="N1686" s="604" t="s">
        <v>227</v>
      </c>
      <c r="O1686" s="465">
        <v>4</v>
      </c>
      <c r="P1686" s="435">
        <v>27.927</v>
      </c>
      <c r="Q1686" s="435">
        <v>2</v>
      </c>
      <c r="R1686" s="401">
        <v>2</v>
      </c>
      <c r="S1686" s="466">
        <v>0.66666666666666663</v>
      </c>
    </row>
    <row r="1687" spans="2:19" ht="16.5" thickTop="1" thickBot="1">
      <c r="B1687" s="1249" t="s">
        <v>2710</v>
      </c>
      <c r="C1687" s="1329" t="s">
        <v>2912</v>
      </c>
      <c r="D1687" s="1326" t="s">
        <v>227</v>
      </c>
      <c r="E1687" s="1249" t="s">
        <v>3998</v>
      </c>
      <c r="F1687" s="455" t="s">
        <v>3999</v>
      </c>
      <c r="G1687" s="456" t="s">
        <v>156</v>
      </c>
      <c r="H1687" s="889">
        <v>0</v>
      </c>
      <c r="I1687" s="891"/>
      <c r="J1687" s="601">
        <v>9.8849999999999998</v>
      </c>
      <c r="K1687" s="602">
        <v>0.4</v>
      </c>
      <c r="L1687" s="981">
        <v>5</v>
      </c>
      <c r="M1687" s="1249" t="s">
        <v>227</v>
      </c>
      <c r="N1687" s="604" t="s">
        <v>227</v>
      </c>
      <c r="O1687" s="465">
        <v>5</v>
      </c>
      <c r="P1687" s="435">
        <v>9.8849999999999998</v>
      </c>
      <c r="Q1687" s="435">
        <v>1</v>
      </c>
      <c r="R1687" s="401">
        <v>1</v>
      </c>
      <c r="S1687" s="466">
        <v>0.4</v>
      </c>
    </row>
    <row r="1688" spans="2:19" ht="16.5" thickTop="1" thickBot="1">
      <c r="B1688" s="1249" t="s">
        <v>2710</v>
      </c>
      <c r="C1688" s="1329" t="s">
        <v>2912</v>
      </c>
      <c r="D1688" s="1326" t="s">
        <v>227</v>
      </c>
      <c r="E1688" s="1249" t="s">
        <v>4000</v>
      </c>
      <c r="F1688" s="455" t="s">
        <v>3769</v>
      </c>
      <c r="G1688" s="456" t="s">
        <v>156</v>
      </c>
      <c r="H1688" s="889">
        <v>0</v>
      </c>
      <c r="I1688" s="891">
        <v>10.404999999999999</v>
      </c>
      <c r="J1688" s="601">
        <v>10.404999999999999</v>
      </c>
      <c r="K1688" s="602">
        <v>0.33333333333333331</v>
      </c>
      <c r="L1688" s="981">
        <v>4</v>
      </c>
      <c r="M1688" s="1249" t="s">
        <v>227</v>
      </c>
      <c r="N1688" s="604" t="s">
        <v>227</v>
      </c>
      <c r="O1688" s="465">
        <v>2</v>
      </c>
      <c r="P1688" s="435">
        <v>10.404999999999999</v>
      </c>
      <c r="Q1688" s="435">
        <v>1</v>
      </c>
      <c r="R1688" s="401">
        <v>1</v>
      </c>
      <c r="S1688" s="466">
        <v>0.33333333333333331</v>
      </c>
    </row>
    <row r="1689" spans="2:19" ht="16.5" thickTop="1" thickBot="1">
      <c r="B1689" s="1249" t="s">
        <v>2710</v>
      </c>
      <c r="C1689" s="1329" t="s">
        <v>2912</v>
      </c>
      <c r="D1689" s="1326" t="s">
        <v>227</v>
      </c>
      <c r="E1689" s="1249" t="s">
        <v>4001</v>
      </c>
      <c r="F1689" s="455" t="s">
        <v>3228</v>
      </c>
      <c r="G1689" s="456" t="s">
        <v>156</v>
      </c>
      <c r="H1689" s="889">
        <v>0</v>
      </c>
      <c r="I1689" s="891">
        <v>11.33</v>
      </c>
      <c r="J1689" s="601">
        <v>27.731000000000002</v>
      </c>
      <c r="K1689" s="602">
        <v>2</v>
      </c>
      <c r="L1689" s="981">
        <v>2</v>
      </c>
      <c r="M1689" s="1249" t="s">
        <v>227</v>
      </c>
      <c r="N1689" s="604" t="s">
        <v>227</v>
      </c>
      <c r="O1689" s="465">
        <v>2</v>
      </c>
      <c r="P1689" s="435">
        <v>27.731000000000002</v>
      </c>
      <c r="Q1689" s="435">
        <v>2</v>
      </c>
      <c r="R1689" s="401">
        <v>2</v>
      </c>
      <c r="S1689" s="466">
        <v>2</v>
      </c>
    </row>
    <row r="1690" spans="2:19" ht="16.5" thickTop="1" thickBot="1">
      <c r="B1690" s="1249" t="s">
        <v>2710</v>
      </c>
      <c r="C1690" s="1329" t="s">
        <v>3213</v>
      </c>
      <c r="D1690" s="1326" t="s">
        <v>227</v>
      </c>
      <c r="E1690" s="1249" t="s">
        <v>3125</v>
      </c>
      <c r="F1690" s="455" t="s">
        <v>3126</v>
      </c>
      <c r="G1690" s="456" t="s">
        <v>156</v>
      </c>
      <c r="H1690" s="889">
        <v>2</v>
      </c>
      <c r="I1690" s="891">
        <v>20.111000000000001</v>
      </c>
      <c r="J1690" s="601">
        <v>72.212000000000003</v>
      </c>
      <c r="K1690" s="602">
        <v>0.43478260869565216</v>
      </c>
      <c r="L1690" s="981">
        <v>5</v>
      </c>
      <c r="M1690" s="1249" t="s">
        <v>323</v>
      </c>
      <c r="N1690" s="604" t="s">
        <v>227</v>
      </c>
      <c r="O1690" s="465"/>
      <c r="P1690" s="435">
        <v>43.783999999999999</v>
      </c>
      <c r="Q1690" s="435">
        <v>4</v>
      </c>
      <c r="R1690" s="401">
        <v>3</v>
      </c>
      <c r="S1690" s="466">
        <v>0.6</v>
      </c>
    </row>
    <row r="1691" spans="2:19" ht="16.5" thickTop="1" thickBot="1">
      <c r="B1691" s="1249" t="s">
        <v>2710</v>
      </c>
      <c r="C1691" s="1329" t="s">
        <v>3213</v>
      </c>
      <c r="D1691" s="1326" t="s">
        <v>227</v>
      </c>
      <c r="E1691" s="1249" t="s">
        <v>3213</v>
      </c>
      <c r="F1691" s="455" t="s">
        <v>3215</v>
      </c>
      <c r="G1691" s="456" t="s">
        <v>158</v>
      </c>
      <c r="H1691" s="889">
        <v>1</v>
      </c>
      <c r="I1691" s="891">
        <v>16.364999999999998</v>
      </c>
      <c r="J1691" s="601">
        <v>16.364999999999998</v>
      </c>
      <c r="K1691" s="602">
        <v>0.5</v>
      </c>
      <c r="L1691" s="981">
        <v>2</v>
      </c>
      <c r="M1691" s="1249" t="s">
        <v>321</v>
      </c>
      <c r="N1691" s="604" t="s">
        <v>227</v>
      </c>
      <c r="O1691" s="465">
        <v>1</v>
      </c>
      <c r="P1691" s="435">
        <v>16.364999999999998</v>
      </c>
      <c r="Q1691" s="435">
        <v>2</v>
      </c>
      <c r="R1691" s="401">
        <v>1</v>
      </c>
      <c r="S1691" s="466">
        <v>0.66666666666666663</v>
      </c>
    </row>
    <row r="1692" spans="2:19" ht="16.5" thickTop="1" thickBot="1">
      <c r="B1692" s="1249" t="s">
        <v>2710</v>
      </c>
      <c r="C1692" s="1329" t="s">
        <v>3213</v>
      </c>
      <c r="D1692" s="1326" t="s">
        <v>227</v>
      </c>
      <c r="E1692" s="1249" t="s">
        <v>3445</v>
      </c>
      <c r="F1692" s="455" t="s">
        <v>3446</v>
      </c>
      <c r="G1692" s="456" t="s">
        <v>157</v>
      </c>
      <c r="H1692" s="889">
        <v>1</v>
      </c>
      <c r="I1692" s="891"/>
      <c r="J1692" s="601"/>
      <c r="K1692" s="602">
        <v>0</v>
      </c>
      <c r="L1692" s="981">
        <v>1</v>
      </c>
      <c r="M1692" s="1249" t="s">
        <v>366</v>
      </c>
      <c r="N1692" s="604" t="s">
        <v>227</v>
      </c>
      <c r="O1692" s="465"/>
      <c r="P1692" s="435"/>
      <c r="Q1692" s="435"/>
      <c r="R1692" s="401">
        <v>0</v>
      </c>
      <c r="S1692" s="466">
        <v>0</v>
      </c>
    </row>
    <row r="1693" spans="2:19" ht="16.5" thickTop="1" thickBot="1">
      <c r="B1693" s="1249" t="s">
        <v>2710</v>
      </c>
      <c r="C1693" s="1329" t="s">
        <v>3213</v>
      </c>
      <c r="D1693" s="1326" t="s">
        <v>227</v>
      </c>
      <c r="E1693" s="1249" t="s">
        <v>3447</v>
      </c>
      <c r="F1693" s="455" t="s">
        <v>3448</v>
      </c>
      <c r="G1693" s="456" t="s">
        <v>156</v>
      </c>
      <c r="H1693" s="889">
        <v>1</v>
      </c>
      <c r="I1693" s="891">
        <v>17.326000000000001</v>
      </c>
      <c r="J1693" s="601">
        <v>17.326000000000001</v>
      </c>
      <c r="K1693" s="602">
        <v>0.33333333333333331</v>
      </c>
      <c r="L1693" s="981">
        <v>4</v>
      </c>
      <c r="M1693" s="1249" t="s">
        <v>321</v>
      </c>
      <c r="N1693" s="604" t="s">
        <v>227</v>
      </c>
      <c r="O1693" s="465">
        <v>3</v>
      </c>
      <c r="P1693" s="435">
        <v>17.326000000000001</v>
      </c>
      <c r="Q1693" s="435">
        <v>1</v>
      </c>
      <c r="R1693" s="401">
        <v>1</v>
      </c>
      <c r="S1693" s="466">
        <v>0.4</v>
      </c>
    </row>
    <row r="1694" spans="2:19" ht="16.5" thickTop="1" thickBot="1">
      <c r="B1694" s="1249" t="s">
        <v>2710</v>
      </c>
      <c r="C1694" s="1329" t="s">
        <v>3213</v>
      </c>
      <c r="D1694" s="1326" t="s">
        <v>227</v>
      </c>
      <c r="E1694" s="1249" t="s">
        <v>4002</v>
      </c>
      <c r="F1694" s="455" t="s">
        <v>4003</v>
      </c>
      <c r="G1694" s="456" t="s">
        <v>156</v>
      </c>
      <c r="H1694" s="889">
        <v>0</v>
      </c>
      <c r="I1694" s="891"/>
      <c r="J1694" s="601"/>
      <c r="K1694" s="602">
        <v>0</v>
      </c>
      <c r="L1694" s="981">
        <v>1</v>
      </c>
      <c r="M1694" s="1249" t="s">
        <v>227</v>
      </c>
      <c r="N1694" s="604" t="s">
        <v>227</v>
      </c>
      <c r="O1694" s="465">
        <v>1</v>
      </c>
      <c r="P1694" s="435"/>
      <c r="Q1694" s="435"/>
      <c r="R1694" s="401">
        <v>0</v>
      </c>
      <c r="S1694" s="466">
        <v>0</v>
      </c>
    </row>
    <row r="1695" spans="2:19" ht="16.5" thickTop="1" thickBot="1">
      <c r="B1695" s="1249" t="s">
        <v>1572</v>
      </c>
      <c r="C1695" s="1329" t="s">
        <v>227</v>
      </c>
      <c r="D1695" s="1326" t="s">
        <v>227</v>
      </c>
      <c r="E1695" s="1249" t="s">
        <v>1762</v>
      </c>
      <c r="F1695" s="455" t="s">
        <v>1763</v>
      </c>
      <c r="G1695" s="456" t="s">
        <v>156</v>
      </c>
      <c r="H1695" s="889">
        <v>13</v>
      </c>
      <c r="I1695" s="891">
        <v>151.953</v>
      </c>
      <c r="J1695" s="601">
        <v>1568.26</v>
      </c>
      <c r="K1695" s="602">
        <v>0.42857142857142855</v>
      </c>
      <c r="L1695" s="981">
        <v>15</v>
      </c>
      <c r="M1695" s="1249" t="s">
        <v>323</v>
      </c>
      <c r="N1695" s="604" t="s">
        <v>227</v>
      </c>
      <c r="O1695" s="465"/>
      <c r="P1695" s="435">
        <v>73.337000000000003</v>
      </c>
      <c r="Q1695" s="435">
        <v>3</v>
      </c>
      <c r="R1695" s="401">
        <v>4</v>
      </c>
      <c r="S1695" s="466">
        <v>0.26666666666666666</v>
      </c>
    </row>
    <row r="1696" spans="2:19" ht="16.5" thickTop="1" thickBot="1">
      <c r="B1696" s="1249" t="s">
        <v>1572</v>
      </c>
      <c r="C1696" s="1329" t="s">
        <v>227</v>
      </c>
      <c r="D1696" s="1326" t="s">
        <v>227</v>
      </c>
      <c r="E1696" s="1249" t="s">
        <v>2426</v>
      </c>
      <c r="F1696" s="455" t="s">
        <v>2427</v>
      </c>
      <c r="G1696" s="456" t="s">
        <v>156</v>
      </c>
      <c r="H1696" s="889">
        <v>7</v>
      </c>
      <c r="I1696" s="891">
        <v>31.902000000000001</v>
      </c>
      <c r="J1696" s="601">
        <v>268.488</v>
      </c>
      <c r="K1696" s="602">
        <v>0.3392857142857143</v>
      </c>
      <c r="L1696" s="981">
        <v>15</v>
      </c>
      <c r="M1696" s="1249" t="s">
        <v>323</v>
      </c>
      <c r="N1696" s="604" t="s">
        <v>227</v>
      </c>
      <c r="O1696" s="465">
        <v>3</v>
      </c>
      <c r="P1696" s="435">
        <v>106.834</v>
      </c>
      <c r="Q1696" s="435">
        <v>9</v>
      </c>
      <c r="R1696" s="401">
        <v>6</v>
      </c>
      <c r="S1696" s="466">
        <v>0.44444444444444442</v>
      </c>
    </row>
    <row r="1697" spans="2:19" ht="16.5" thickTop="1" thickBot="1">
      <c r="B1697" s="1249" t="s">
        <v>1572</v>
      </c>
      <c r="C1697" s="1329" t="s">
        <v>227</v>
      </c>
      <c r="D1697" s="1326" t="s">
        <v>227</v>
      </c>
      <c r="E1697" s="1249" t="s">
        <v>3453</v>
      </c>
      <c r="F1697" s="455" t="s">
        <v>3454</v>
      </c>
      <c r="G1697" s="456" t="s">
        <v>156</v>
      </c>
      <c r="H1697" s="889">
        <v>1</v>
      </c>
      <c r="I1697" s="891">
        <v>0</v>
      </c>
      <c r="J1697" s="601">
        <v>30.111000000000001</v>
      </c>
      <c r="K1697" s="602">
        <v>0.33333333333333331</v>
      </c>
      <c r="L1697" s="981">
        <v>5</v>
      </c>
      <c r="M1697" s="1249" t="s">
        <v>323</v>
      </c>
      <c r="N1697" s="604" t="s">
        <v>227</v>
      </c>
      <c r="O1697" s="465">
        <v>1</v>
      </c>
      <c r="P1697" s="435">
        <v>14.228</v>
      </c>
      <c r="Q1697" s="435">
        <v>0</v>
      </c>
      <c r="R1697" s="401">
        <v>1</v>
      </c>
      <c r="S1697" s="466">
        <v>0.22222222222222221</v>
      </c>
    </row>
    <row r="1698" spans="2:19" ht="16.5" thickTop="1" thickBot="1">
      <c r="B1698" s="1249" t="s">
        <v>1572</v>
      </c>
      <c r="C1698" s="1329" t="s">
        <v>1313</v>
      </c>
      <c r="D1698" s="1326" t="s">
        <v>227</v>
      </c>
      <c r="E1698" s="1249" t="s">
        <v>1313</v>
      </c>
      <c r="F1698" s="455" t="s">
        <v>1315</v>
      </c>
      <c r="G1698" s="456" t="s">
        <v>158</v>
      </c>
      <c r="H1698" s="889">
        <v>17</v>
      </c>
      <c r="I1698" s="891">
        <v>177.857</v>
      </c>
      <c r="J1698" s="601">
        <v>246.67</v>
      </c>
      <c r="K1698" s="602">
        <v>0.1864406779661017</v>
      </c>
      <c r="L1698" s="981">
        <v>3</v>
      </c>
      <c r="M1698" s="1249" t="s">
        <v>322</v>
      </c>
      <c r="N1698" s="604" t="s">
        <v>227</v>
      </c>
      <c r="O1698" s="465"/>
      <c r="P1698" s="435">
        <v>0</v>
      </c>
      <c r="Q1698" s="435"/>
      <c r="R1698" s="401">
        <v>0</v>
      </c>
      <c r="S1698" s="466">
        <v>0</v>
      </c>
    </row>
    <row r="1699" spans="2:19" ht="16.5" thickTop="1" thickBot="1">
      <c r="B1699" s="1249" t="s">
        <v>1572</v>
      </c>
      <c r="C1699" s="1329" t="s">
        <v>1313</v>
      </c>
      <c r="D1699" s="1326" t="s">
        <v>227</v>
      </c>
      <c r="E1699" s="1249" t="s">
        <v>1764</v>
      </c>
      <c r="F1699" s="455" t="s">
        <v>1765</v>
      </c>
      <c r="G1699" s="456" t="s">
        <v>156</v>
      </c>
      <c r="H1699" s="889">
        <v>12</v>
      </c>
      <c r="I1699" s="891">
        <v>101.17400000000001</v>
      </c>
      <c r="J1699" s="601">
        <v>239.46</v>
      </c>
      <c r="K1699" s="602">
        <v>0.26</v>
      </c>
      <c r="L1699" s="981">
        <v>3</v>
      </c>
      <c r="M1699" s="1249" t="s">
        <v>322</v>
      </c>
      <c r="N1699" s="604" t="s">
        <v>227</v>
      </c>
      <c r="O1699" s="465"/>
      <c r="P1699" s="435">
        <v>1.5</v>
      </c>
      <c r="Q1699" s="435">
        <v>0</v>
      </c>
      <c r="R1699" s="401">
        <v>0</v>
      </c>
      <c r="S1699" s="466">
        <v>0</v>
      </c>
    </row>
    <row r="1700" spans="2:19" ht="16.5" thickTop="1" thickBot="1">
      <c r="B1700" s="1249" t="s">
        <v>1572</v>
      </c>
      <c r="C1700" s="1329" t="s">
        <v>1313</v>
      </c>
      <c r="D1700" s="1326" t="s">
        <v>227</v>
      </c>
      <c r="E1700" s="1249" t="s">
        <v>1899</v>
      </c>
      <c r="F1700" s="455" t="s">
        <v>1901</v>
      </c>
      <c r="G1700" s="456" t="s">
        <v>157</v>
      </c>
      <c r="H1700" s="889">
        <v>12</v>
      </c>
      <c r="I1700" s="891">
        <v>27.673999999999999</v>
      </c>
      <c r="J1700" s="601">
        <v>252.364</v>
      </c>
      <c r="K1700" s="602">
        <v>0.20425531914893616</v>
      </c>
      <c r="L1700" s="981">
        <v>13</v>
      </c>
      <c r="M1700" s="1249" t="s">
        <v>322</v>
      </c>
      <c r="N1700" s="604" t="s">
        <v>227</v>
      </c>
      <c r="O1700" s="465">
        <v>1</v>
      </c>
      <c r="P1700" s="435"/>
      <c r="Q1700" s="435"/>
      <c r="R1700" s="401">
        <v>0</v>
      </c>
      <c r="S1700" s="466">
        <v>0</v>
      </c>
    </row>
    <row r="1701" spans="2:19" ht="16.5" thickTop="1" thickBot="1">
      <c r="B1701" s="1249" t="s">
        <v>1572</v>
      </c>
      <c r="C1701" s="1329" t="s">
        <v>1313</v>
      </c>
      <c r="D1701" s="1326" t="s">
        <v>227</v>
      </c>
      <c r="E1701" s="1249" t="s">
        <v>2543</v>
      </c>
      <c r="F1701" s="455" t="s">
        <v>1991</v>
      </c>
      <c r="G1701" s="456" t="s">
        <v>156</v>
      </c>
      <c r="H1701" s="889">
        <v>6</v>
      </c>
      <c r="I1701" s="891">
        <v>8.0090000000000003</v>
      </c>
      <c r="J1701" s="601">
        <v>163.221</v>
      </c>
      <c r="K1701" s="602">
        <v>0.45454545454545453</v>
      </c>
      <c r="L1701" s="981">
        <v>4</v>
      </c>
      <c r="M1701" s="1249" t="s">
        <v>323</v>
      </c>
      <c r="N1701" s="604" t="s">
        <v>227</v>
      </c>
      <c r="O1701" s="465"/>
      <c r="P1701" s="435">
        <v>27.483000000000001</v>
      </c>
      <c r="Q1701" s="435">
        <v>3</v>
      </c>
      <c r="R1701" s="401">
        <v>2</v>
      </c>
      <c r="S1701" s="466">
        <v>0.5</v>
      </c>
    </row>
    <row r="1702" spans="2:19" ht="16.5" thickTop="1" thickBot="1">
      <c r="B1702" s="1249" t="s">
        <v>1572</v>
      </c>
      <c r="C1702" s="1329" t="s">
        <v>1313</v>
      </c>
      <c r="D1702" s="1326" t="s">
        <v>227</v>
      </c>
      <c r="E1702" s="1249" t="s">
        <v>2641</v>
      </c>
      <c r="F1702" s="455" t="s">
        <v>2642</v>
      </c>
      <c r="G1702" s="456" t="s">
        <v>156</v>
      </c>
      <c r="H1702" s="889">
        <v>5</v>
      </c>
      <c r="I1702" s="891">
        <v>94.347999999999999</v>
      </c>
      <c r="J1702" s="601">
        <v>317.45600000000002</v>
      </c>
      <c r="K1702" s="602">
        <v>0.32380952380952382</v>
      </c>
      <c r="L1702" s="981">
        <v>19</v>
      </c>
      <c r="M1702" s="1249" t="s">
        <v>323</v>
      </c>
      <c r="N1702" s="604" t="s">
        <v>227</v>
      </c>
      <c r="O1702" s="465">
        <v>9</v>
      </c>
      <c r="P1702" s="435">
        <v>67.113</v>
      </c>
      <c r="Q1702" s="435">
        <v>6</v>
      </c>
      <c r="R1702" s="401">
        <v>3</v>
      </c>
      <c r="S1702" s="466">
        <v>0.20689655172413793</v>
      </c>
    </row>
    <row r="1703" spans="2:19" ht="16.5" thickTop="1" thickBot="1">
      <c r="B1703" s="1249" t="s">
        <v>1572</v>
      </c>
      <c r="C1703" s="1329" t="s">
        <v>1313</v>
      </c>
      <c r="D1703" s="1326" t="s">
        <v>227</v>
      </c>
      <c r="E1703" s="1249" t="s">
        <v>2643</v>
      </c>
      <c r="F1703" s="455" t="s">
        <v>1392</v>
      </c>
      <c r="G1703" s="456" t="s">
        <v>155</v>
      </c>
      <c r="H1703" s="889"/>
      <c r="I1703" s="891"/>
      <c r="J1703" s="601">
        <v>10.006</v>
      </c>
      <c r="K1703" s="602">
        <v>7.6923076923076927E-2</v>
      </c>
      <c r="L1703" s="981">
        <v>1</v>
      </c>
      <c r="M1703" s="1249" t="s">
        <v>366</v>
      </c>
      <c r="N1703" s="604" t="s">
        <v>227</v>
      </c>
      <c r="O1703" s="465"/>
      <c r="P1703" s="435"/>
      <c r="Q1703" s="435"/>
      <c r="R1703" s="401">
        <v>0</v>
      </c>
      <c r="S1703" s="466">
        <v>0</v>
      </c>
    </row>
    <row r="1704" spans="2:19" ht="16.5" thickTop="1" thickBot="1">
      <c r="B1704" s="1249" t="s">
        <v>1572</v>
      </c>
      <c r="C1704" s="1329" t="s">
        <v>1313</v>
      </c>
      <c r="D1704" s="1326" t="s">
        <v>227</v>
      </c>
      <c r="E1704" s="1249" t="s">
        <v>2644</v>
      </c>
      <c r="F1704" s="455" t="s">
        <v>2645</v>
      </c>
      <c r="G1704" s="456" t="s">
        <v>155</v>
      </c>
      <c r="H1704" s="889"/>
      <c r="I1704" s="891"/>
      <c r="J1704" s="601">
        <v>141.18600000000001</v>
      </c>
      <c r="K1704" s="602">
        <v>0.1981981981981982</v>
      </c>
      <c r="L1704" s="981">
        <v>14</v>
      </c>
      <c r="M1704" s="1249" t="s">
        <v>366</v>
      </c>
      <c r="N1704" s="604" t="s">
        <v>227</v>
      </c>
      <c r="O1704" s="465">
        <v>6</v>
      </c>
      <c r="P1704" s="435">
        <v>12.814</v>
      </c>
      <c r="Q1704" s="435">
        <v>1</v>
      </c>
      <c r="R1704" s="401">
        <v>1</v>
      </c>
      <c r="S1704" s="466">
        <v>9.0909090909090912E-2</v>
      </c>
    </row>
    <row r="1705" spans="2:19" ht="16.5" thickTop="1" thickBot="1">
      <c r="B1705" s="1249" t="s">
        <v>1572</v>
      </c>
      <c r="C1705" s="1329" t="s">
        <v>1313</v>
      </c>
      <c r="D1705" s="1326" t="s">
        <v>227</v>
      </c>
      <c r="E1705" s="1249" t="s">
        <v>2876</v>
      </c>
      <c r="F1705" s="455" t="s">
        <v>2877</v>
      </c>
      <c r="G1705" s="456" t="s">
        <v>155</v>
      </c>
      <c r="H1705" s="889"/>
      <c r="I1705" s="891"/>
      <c r="J1705" s="601">
        <v>16.224</v>
      </c>
      <c r="K1705" s="602">
        <v>8.6956521739130432E-2</v>
      </c>
      <c r="L1705" s="981">
        <v>3</v>
      </c>
      <c r="M1705" s="1249" t="s">
        <v>366</v>
      </c>
      <c r="N1705" s="604" t="s">
        <v>227</v>
      </c>
      <c r="O1705" s="465"/>
      <c r="P1705" s="435"/>
      <c r="Q1705" s="435"/>
      <c r="R1705" s="401">
        <v>0</v>
      </c>
      <c r="S1705" s="466">
        <v>0</v>
      </c>
    </row>
    <row r="1706" spans="2:19" ht="16.5" thickTop="1" thickBot="1">
      <c r="B1706" s="1249" t="s">
        <v>1572</v>
      </c>
      <c r="C1706" s="1329" t="s">
        <v>1313</v>
      </c>
      <c r="D1706" s="1326" t="s">
        <v>227</v>
      </c>
      <c r="E1706" s="1249" t="s">
        <v>3155</v>
      </c>
      <c r="F1706" s="455" t="s">
        <v>3156</v>
      </c>
      <c r="G1706" s="456" t="s">
        <v>155</v>
      </c>
      <c r="H1706" s="889"/>
      <c r="I1706" s="891"/>
      <c r="J1706" s="601">
        <v>55.073999999999998</v>
      </c>
      <c r="K1706" s="602">
        <v>0.18181818181818182</v>
      </c>
      <c r="L1706" s="981">
        <v>11</v>
      </c>
      <c r="M1706" s="1249" t="s">
        <v>366</v>
      </c>
      <c r="N1706" s="604" t="s">
        <v>227</v>
      </c>
      <c r="O1706" s="465">
        <v>6</v>
      </c>
      <c r="P1706" s="435">
        <v>30.829000000000001</v>
      </c>
      <c r="Q1706" s="435">
        <v>2</v>
      </c>
      <c r="R1706" s="401">
        <v>1</v>
      </c>
      <c r="S1706" s="466">
        <v>0.125</v>
      </c>
    </row>
    <row r="1707" spans="2:19" ht="16.5" thickTop="1" thickBot="1">
      <c r="B1707" s="1249" t="s">
        <v>1572</v>
      </c>
      <c r="C1707" s="1329" t="s">
        <v>1313</v>
      </c>
      <c r="D1707" s="1326" t="s">
        <v>227</v>
      </c>
      <c r="E1707" s="1249" t="s">
        <v>3157</v>
      </c>
      <c r="F1707" s="455" t="s">
        <v>3158</v>
      </c>
      <c r="G1707" s="456" t="s">
        <v>155</v>
      </c>
      <c r="H1707" s="889"/>
      <c r="I1707" s="891"/>
      <c r="J1707" s="601">
        <v>8.4469999999999992</v>
      </c>
      <c r="K1707" s="602">
        <v>0.33333333333333331</v>
      </c>
      <c r="L1707" s="981">
        <v>2</v>
      </c>
      <c r="M1707" s="1249" t="s">
        <v>366</v>
      </c>
      <c r="N1707" s="604" t="s">
        <v>227</v>
      </c>
      <c r="O1707" s="465"/>
      <c r="P1707" s="435">
        <v>8.4469999999999992</v>
      </c>
      <c r="Q1707" s="435">
        <v>1</v>
      </c>
      <c r="R1707" s="401">
        <v>1</v>
      </c>
      <c r="S1707" s="466">
        <v>0.5</v>
      </c>
    </row>
    <row r="1708" spans="2:19" ht="16.5" thickTop="1" thickBot="1">
      <c r="B1708" s="1249" t="s">
        <v>1572</v>
      </c>
      <c r="C1708" s="1329" t="s">
        <v>1313</v>
      </c>
      <c r="D1708" s="1326" t="s">
        <v>227</v>
      </c>
      <c r="E1708" s="1249" t="s">
        <v>3455</v>
      </c>
      <c r="F1708" s="455" t="s">
        <v>3456</v>
      </c>
      <c r="G1708" s="456" t="s">
        <v>157</v>
      </c>
      <c r="H1708" s="889">
        <v>1</v>
      </c>
      <c r="I1708" s="891">
        <v>10.08</v>
      </c>
      <c r="J1708" s="601">
        <v>45.42</v>
      </c>
      <c r="K1708" s="602">
        <v>0.5714285714285714</v>
      </c>
      <c r="L1708" s="981">
        <v>6</v>
      </c>
      <c r="M1708" s="1249" t="s">
        <v>323</v>
      </c>
      <c r="N1708" s="604" t="s">
        <v>227</v>
      </c>
      <c r="O1708" s="465">
        <v>3</v>
      </c>
      <c r="P1708" s="435">
        <v>24.483000000000001</v>
      </c>
      <c r="Q1708" s="435">
        <v>3</v>
      </c>
      <c r="R1708" s="401">
        <v>2</v>
      </c>
      <c r="S1708" s="466">
        <v>0.44444444444444442</v>
      </c>
    </row>
    <row r="1709" spans="2:19" ht="16.5" thickTop="1" thickBot="1">
      <c r="B1709" s="1249" t="s">
        <v>1572</v>
      </c>
      <c r="C1709" s="1329" t="s">
        <v>1313</v>
      </c>
      <c r="D1709" s="1326" t="s">
        <v>227</v>
      </c>
      <c r="E1709" s="1249" t="s">
        <v>3457</v>
      </c>
      <c r="F1709" s="455" t="s">
        <v>3458</v>
      </c>
      <c r="G1709" s="456" t="s">
        <v>156</v>
      </c>
      <c r="H1709" s="889">
        <v>1</v>
      </c>
      <c r="I1709" s="891">
        <v>11.359</v>
      </c>
      <c r="J1709" s="601">
        <v>112.242</v>
      </c>
      <c r="K1709" s="602">
        <v>1.3333333333333333</v>
      </c>
      <c r="L1709" s="981">
        <v>8</v>
      </c>
      <c r="M1709" s="1249" t="s">
        <v>323</v>
      </c>
      <c r="N1709" s="604" t="s">
        <v>227</v>
      </c>
      <c r="O1709" s="465">
        <v>6</v>
      </c>
      <c r="P1709" s="435">
        <v>89.355999999999995</v>
      </c>
      <c r="Q1709" s="435">
        <v>7</v>
      </c>
      <c r="R1709" s="401">
        <v>6</v>
      </c>
      <c r="S1709" s="466">
        <v>1.2</v>
      </c>
    </row>
    <row r="1710" spans="2:19" ht="16.5" thickTop="1" thickBot="1">
      <c r="B1710" s="1249" t="s">
        <v>1572</v>
      </c>
      <c r="C1710" s="1329" t="s">
        <v>1313</v>
      </c>
      <c r="D1710" s="1326" t="s">
        <v>227</v>
      </c>
      <c r="E1710" s="1249" t="s">
        <v>3459</v>
      </c>
      <c r="F1710" s="455" t="s">
        <v>3460</v>
      </c>
      <c r="G1710" s="456" t="s">
        <v>156</v>
      </c>
      <c r="H1710" s="889">
        <v>1</v>
      </c>
      <c r="I1710" s="891"/>
      <c r="J1710" s="601">
        <v>10.026</v>
      </c>
      <c r="K1710" s="602">
        <v>0.4</v>
      </c>
      <c r="L1710" s="981">
        <v>3</v>
      </c>
      <c r="M1710" s="1249" t="s">
        <v>322</v>
      </c>
      <c r="N1710" s="604" t="s">
        <v>227</v>
      </c>
      <c r="O1710" s="465">
        <v>2</v>
      </c>
      <c r="P1710" s="435">
        <v>10.026</v>
      </c>
      <c r="Q1710" s="435">
        <v>1</v>
      </c>
      <c r="R1710" s="401">
        <v>1</v>
      </c>
      <c r="S1710" s="466">
        <v>0.5</v>
      </c>
    </row>
    <row r="1711" spans="2:19" ht="16.5" thickTop="1" thickBot="1">
      <c r="B1711" s="1249" t="s">
        <v>1572</v>
      </c>
      <c r="C1711" s="1329" t="s">
        <v>1313</v>
      </c>
      <c r="D1711" s="1326" t="s">
        <v>227</v>
      </c>
      <c r="E1711" s="1249" t="s">
        <v>3461</v>
      </c>
      <c r="F1711" s="455" t="s">
        <v>3462</v>
      </c>
      <c r="G1711" s="456" t="s">
        <v>156</v>
      </c>
      <c r="H1711" s="889">
        <v>1</v>
      </c>
      <c r="I1711" s="891">
        <v>10.004</v>
      </c>
      <c r="J1711" s="601">
        <v>42.418999999999997</v>
      </c>
      <c r="K1711" s="602">
        <v>0.72727272727272729</v>
      </c>
      <c r="L1711" s="981">
        <v>7</v>
      </c>
      <c r="M1711" s="1249" t="s">
        <v>323</v>
      </c>
      <c r="N1711" s="604" t="s">
        <v>227</v>
      </c>
      <c r="O1711" s="465">
        <v>4</v>
      </c>
      <c r="P1711" s="435">
        <v>32.414999999999999</v>
      </c>
      <c r="Q1711" s="435">
        <v>4</v>
      </c>
      <c r="R1711" s="401">
        <v>3</v>
      </c>
      <c r="S1711" s="466">
        <v>0.6</v>
      </c>
    </row>
    <row r="1712" spans="2:19" ht="16.5" thickTop="1" thickBot="1">
      <c r="B1712" s="1249" t="s">
        <v>1572</v>
      </c>
      <c r="C1712" s="1329" t="s">
        <v>1313</v>
      </c>
      <c r="D1712" s="1326" t="s">
        <v>227</v>
      </c>
      <c r="E1712" s="1249" t="s">
        <v>3463</v>
      </c>
      <c r="F1712" s="455" t="s">
        <v>3464</v>
      </c>
      <c r="G1712" s="456" t="s">
        <v>156</v>
      </c>
      <c r="H1712" s="889">
        <v>1</v>
      </c>
      <c r="I1712" s="891">
        <v>10.082000000000001</v>
      </c>
      <c r="J1712" s="601">
        <v>10.082000000000001</v>
      </c>
      <c r="K1712" s="602">
        <v>0.33333333333333331</v>
      </c>
      <c r="L1712" s="981">
        <v>3</v>
      </c>
      <c r="M1712" s="1249" t="s">
        <v>322</v>
      </c>
      <c r="N1712" s="604" t="s">
        <v>227</v>
      </c>
      <c r="O1712" s="465">
        <v>1</v>
      </c>
      <c r="P1712" s="435">
        <v>10.082000000000001</v>
      </c>
      <c r="Q1712" s="435">
        <v>1</v>
      </c>
      <c r="R1712" s="401">
        <v>1</v>
      </c>
      <c r="S1712" s="466">
        <v>0.4</v>
      </c>
    </row>
    <row r="1713" spans="2:19" ht="16.5" thickTop="1" thickBot="1">
      <c r="B1713" s="1249" t="s">
        <v>1572</v>
      </c>
      <c r="C1713" s="1329" t="s">
        <v>1313</v>
      </c>
      <c r="D1713" s="1326" t="s">
        <v>227</v>
      </c>
      <c r="E1713" s="1249" t="s">
        <v>4004</v>
      </c>
      <c r="F1713" s="455" t="s">
        <v>4005</v>
      </c>
      <c r="G1713" s="456" t="s">
        <v>156</v>
      </c>
      <c r="H1713" s="889">
        <v>1</v>
      </c>
      <c r="I1713" s="891"/>
      <c r="J1713" s="601"/>
      <c r="K1713" s="602">
        <v>0</v>
      </c>
      <c r="L1713" s="981">
        <v>1</v>
      </c>
      <c r="M1713" s="1249" t="s">
        <v>366</v>
      </c>
      <c r="N1713" s="604" t="s">
        <v>227</v>
      </c>
      <c r="O1713" s="465">
        <v>1</v>
      </c>
      <c r="P1713" s="435"/>
      <c r="Q1713" s="435"/>
      <c r="R1713" s="401">
        <v>0</v>
      </c>
      <c r="S1713" s="466">
        <v>0</v>
      </c>
    </row>
    <row r="1714" spans="2:19" ht="16.5" thickTop="1" thickBot="1">
      <c r="B1714" s="1249" t="s">
        <v>1572</v>
      </c>
      <c r="C1714" s="1329" t="s">
        <v>1313</v>
      </c>
      <c r="D1714" s="1326" t="s">
        <v>227</v>
      </c>
      <c r="E1714" s="1249" t="s">
        <v>4006</v>
      </c>
      <c r="F1714" s="455" t="s">
        <v>4007</v>
      </c>
      <c r="G1714" s="456" t="s">
        <v>155</v>
      </c>
      <c r="H1714" s="889"/>
      <c r="I1714" s="891"/>
      <c r="J1714" s="601"/>
      <c r="K1714" s="602">
        <v>0</v>
      </c>
      <c r="L1714" s="981">
        <v>4</v>
      </c>
      <c r="M1714" s="1249" t="s">
        <v>366</v>
      </c>
      <c r="N1714" s="604" t="s">
        <v>227</v>
      </c>
      <c r="O1714" s="465">
        <v>1</v>
      </c>
      <c r="P1714" s="435"/>
      <c r="Q1714" s="435"/>
      <c r="R1714" s="401">
        <v>0</v>
      </c>
      <c r="S1714" s="466">
        <v>0</v>
      </c>
    </row>
    <row r="1715" spans="2:19" ht="16.5" thickTop="1" thickBot="1">
      <c r="B1715" s="1249" t="s">
        <v>1104</v>
      </c>
      <c r="C1715" s="1329" t="s">
        <v>1186</v>
      </c>
      <c r="D1715" s="1326" t="s">
        <v>227</v>
      </c>
      <c r="E1715" s="1249" t="s">
        <v>1186</v>
      </c>
      <c r="F1715" s="455" t="s">
        <v>1188</v>
      </c>
      <c r="G1715" s="456" t="s">
        <v>158</v>
      </c>
      <c r="H1715" s="889">
        <v>17</v>
      </c>
      <c r="I1715" s="891">
        <v>203.62200000000001</v>
      </c>
      <c r="J1715" s="601">
        <v>339.05700000000002</v>
      </c>
      <c r="K1715" s="602">
        <v>0.31111111111111112</v>
      </c>
      <c r="L1715" s="981">
        <v>4</v>
      </c>
      <c r="M1715" s="1249" t="s">
        <v>321</v>
      </c>
      <c r="N1715" s="604" t="s">
        <v>227</v>
      </c>
      <c r="O1715" s="465"/>
      <c r="P1715" s="435">
        <v>40.152000000000001</v>
      </c>
      <c r="Q1715" s="435">
        <v>1</v>
      </c>
      <c r="R1715" s="401">
        <v>1</v>
      </c>
      <c r="S1715" s="466">
        <v>0.22222222222222221</v>
      </c>
    </row>
    <row r="1716" spans="2:19" ht="16.5" thickTop="1" thickBot="1">
      <c r="B1716" s="1249" t="s">
        <v>1104</v>
      </c>
      <c r="C1716" s="1329" t="s">
        <v>1186</v>
      </c>
      <c r="D1716" s="1326" t="s">
        <v>227</v>
      </c>
      <c r="E1716" s="1249" t="s">
        <v>1210</v>
      </c>
      <c r="F1716" s="455" t="s">
        <v>1212</v>
      </c>
      <c r="G1716" s="456" t="s">
        <v>157</v>
      </c>
      <c r="H1716" s="889">
        <v>17</v>
      </c>
      <c r="I1716" s="891">
        <v>108.94</v>
      </c>
      <c r="J1716" s="601">
        <v>176.31399999999999</v>
      </c>
      <c r="K1716" s="602">
        <v>0.27160493827160492</v>
      </c>
      <c r="L1716" s="981">
        <v>4</v>
      </c>
      <c r="M1716" s="1249" t="s">
        <v>366</v>
      </c>
      <c r="N1716" s="604" t="s">
        <v>227</v>
      </c>
      <c r="O1716" s="465"/>
      <c r="P1716" s="435">
        <v>0</v>
      </c>
      <c r="Q1716" s="435"/>
      <c r="R1716" s="401">
        <v>0</v>
      </c>
      <c r="S1716" s="466">
        <v>0</v>
      </c>
    </row>
    <row r="1717" spans="2:19" ht="16.5" thickTop="1" thickBot="1">
      <c r="B1717" s="1249" t="s">
        <v>1104</v>
      </c>
      <c r="C1717" s="1329" t="s">
        <v>1186</v>
      </c>
      <c r="D1717" s="1326" t="s">
        <v>227</v>
      </c>
      <c r="E1717" s="1249" t="s">
        <v>1268</v>
      </c>
      <c r="F1717" s="455" t="s">
        <v>2878</v>
      </c>
      <c r="G1717" s="456" t="s">
        <v>157</v>
      </c>
      <c r="H1717" s="889">
        <v>17</v>
      </c>
      <c r="I1717" s="891">
        <v>66.853999999999999</v>
      </c>
      <c r="J1717" s="601">
        <v>475.79599999999999</v>
      </c>
      <c r="K1717" s="602">
        <v>0.35514018691588783</v>
      </c>
      <c r="L1717" s="981">
        <v>3</v>
      </c>
      <c r="M1717" s="1249" t="s">
        <v>323</v>
      </c>
      <c r="N1717" s="604" t="s">
        <v>227</v>
      </c>
      <c r="O1717" s="465"/>
      <c r="P1717" s="435">
        <v>7.02</v>
      </c>
      <c r="Q1717" s="435">
        <v>1</v>
      </c>
      <c r="R1717" s="401">
        <v>1</v>
      </c>
      <c r="S1717" s="466">
        <v>0.33333333333333331</v>
      </c>
    </row>
    <row r="1718" spans="2:19" ht="16.5" thickTop="1" thickBot="1">
      <c r="B1718" s="1249" t="s">
        <v>1104</v>
      </c>
      <c r="C1718" s="1329" t="s">
        <v>1186</v>
      </c>
      <c r="D1718" s="1326" t="s">
        <v>227</v>
      </c>
      <c r="E1718" s="1249" t="s">
        <v>1316</v>
      </c>
      <c r="F1718" s="455" t="s">
        <v>1318</v>
      </c>
      <c r="G1718" s="456" t="s">
        <v>157</v>
      </c>
      <c r="H1718" s="889">
        <v>17</v>
      </c>
      <c r="I1718" s="891">
        <v>66.885000000000005</v>
      </c>
      <c r="J1718" s="601">
        <v>123.55</v>
      </c>
      <c r="K1718" s="602">
        <v>0.22916666666666666</v>
      </c>
      <c r="L1718" s="981">
        <v>3</v>
      </c>
      <c r="M1718" s="1249" t="s">
        <v>366</v>
      </c>
      <c r="N1718" s="604" t="s">
        <v>227</v>
      </c>
      <c r="O1718" s="465"/>
      <c r="P1718" s="435">
        <v>0</v>
      </c>
      <c r="Q1718" s="435"/>
      <c r="R1718" s="401">
        <v>0</v>
      </c>
      <c r="S1718" s="466">
        <v>0</v>
      </c>
    </row>
    <row r="1719" spans="2:19" ht="16.5" thickTop="1" thickBot="1">
      <c r="B1719" s="1249" t="s">
        <v>1104</v>
      </c>
      <c r="C1719" s="1329" t="s">
        <v>1186</v>
      </c>
      <c r="D1719" s="1326" t="s">
        <v>227</v>
      </c>
      <c r="E1719" s="1249" t="s">
        <v>1342</v>
      </c>
      <c r="F1719" s="455" t="s">
        <v>1343</v>
      </c>
      <c r="G1719" s="456" t="s">
        <v>156</v>
      </c>
      <c r="H1719" s="889">
        <v>17</v>
      </c>
      <c r="I1719" s="891">
        <v>59.152999999999999</v>
      </c>
      <c r="J1719" s="601">
        <v>311.53100000000001</v>
      </c>
      <c r="K1719" s="602">
        <v>0.27027027027027029</v>
      </c>
      <c r="L1719" s="981">
        <v>3</v>
      </c>
      <c r="M1719" s="1249" t="s">
        <v>321</v>
      </c>
      <c r="N1719" s="604" t="s">
        <v>227</v>
      </c>
      <c r="O1719" s="465"/>
      <c r="P1719" s="435">
        <v>0</v>
      </c>
      <c r="Q1719" s="435"/>
      <c r="R1719" s="401">
        <v>0</v>
      </c>
      <c r="S1719" s="466">
        <v>0</v>
      </c>
    </row>
    <row r="1720" spans="2:19" ht="16.5" thickTop="1" thickBot="1">
      <c r="B1720" s="1249" t="s">
        <v>1104</v>
      </c>
      <c r="C1720" s="1329" t="s">
        <v>1186</v>
      </c>
      <c r="D1720" s="1326" t="s">
        <v>227</v>
      </c>
      <c r="E1720" s="1249" t="s">
        <v>1344</v>
      </c>
      <c r="F1720" s="455" t="s">
        <v>1345</v>
      </c>
      <c r="G1720" s="456" t="s">
        <v>155</v>
      </c>
      <c r="H1720" s="889"/>
      <c r="I1720" s="891"/>
      <c r="J1720" s="601">
        <v>21.047999999999998</v>
      </c>
      <c r="K1720" s="602">
        <v>0.11764705882352941</v>
      </c>
      <c r="L1720" s="981">
        <v>2</v>
      </c>
      <c r="M1720" s="1249" t="s">
        <v>366</v>
      </c>
      <c r="N1720" s="604" t="s">
        <v>227</v>
      </c>
      <c r="O1720" s="465">
        <v>2</v>
      </c>
      <c r="P1720" s="435">
        <v>10.76</v>
      </c>
      <c r="Q1720" s="435">
        <v>1</v>
      </c>
      <c r="R1720" s="401">
        <v>1</v>
      </c>
      <c r="S1720" s="466">
        <v>1</v>
      </c>
    </row>
    <row r="1721" spans="2:19" ht="16.5" thickTop="1" thickBot="1">
      <c r="B1721" s="1249" t="s">
        <v>1104</v>
      </c>
      <c r="C1721" s="1329" t="s">
        <v>1186</v>
      </c>
      <c r="D1721" s="1326" t="s">
        <v>227</v>
      </c>
      <c r="E1721" s="1249" t="s">
        <v>1538</v>
      </c>
      <c r="F1721" s="455" t="s">
        <v>1539</v>
      </c>
      <c r="G1721" s="456" t="s">
        <v>156</v>
      </c>
      <c r="H1721" s="889">
        <v>15</v>
      </c>
      <c r="I1721" s="891">
        <v>32.094999999999999</v>
      </c>
      <c r="J1721" s="601">
        <v>86.62</v>
      </c>
      <c r="K1721" s="602">
        <v>0.10344827586206896</v>
      </c>
      <c r="L1721" s="981">
        <v>3</v>
      </c>
      <c r="M1721" s="1249" t="s">
        <v>366</v>
      </c>
      <c r="N1721" s="604" t="s">
        <v>227</v>
      </c>
      <c r="O1721" s="465"/>
      <c r="P1721" s="435"/>
      <c r="Q1721" s="435"/>
      <c r="R1721" s="401">
        <v>0</v>
      </c>
      <c r="S1721" s="466">
        <v>0</v>
      </c>
    </row>
    <row r="1722" spans="2:19" ht="16.5" thickTop="1" thickBot="1">
      <c r="B1722" s="1249" t="s">
        <v>1104</v>
      </c>
      <c r="C1722" s="1329" t="s">
        <v>1186</v>
      </c>
      <c r="D1722" s="1326" t="s">
        <v>227</v>
      </c>
      <c r="E1722" s="1249" t="s">
        <v>1540</v>
      </c>
      <c r="F1722" s="455" t="s">
        <v>1541</v>
      </c>
      <c r="G1722" s="456" t="s">
        <v>156</v>
      </c>
      <c r="H1722" s="889">
        <v>14</v>
      </c>
      <c r="I1722" s="891">
        <v>58.911000000000001</v>
      </c>
      <c r="J1722" s="601">
        <v>288.23</v>
      </c>
      <c r="K1722" s="602">
        <v>0.27450980392156865</v>
      </c>
      <c r="L1722" s="981">
        <v>4</v>
      </c>
      <c r="M1722" s="1249" t="s">
        <v>321</v>
      </c>
      <c r="N1722" s="604" t="s">
        <v>227</v>
      </c>
      <c r="O1722" s="465">
        <v>1</v>
      </c>
      <c r="P1722" s="435">
        <v>67.650000000000006</v>
      </c>
      <c r="Q1722" s="435">
        <v>6</v>
      </c>
      <c r="R1722" s="401">
        <v>2</v>
      </c>
      <c r="S1722" s="466">
        <v>0.5714285714285714</v>
      </c>
    </row>
    <row r="1723" spans="2:19" ht="16.5" thickTop="1" thickBot="1">
      <c r="B1723" s="1249" t="s">
        <v>1104</v>
      </c>
      <c r="C1723" s="1329" t="s">
        <v>1186</v>
      </c>
      <c r="D1723" s="1326" t="s">
        <v>227</v>
      </c>
      <c r="E1723" s="1249" t="s">
        <v>1542</v>
      </c>
      <c r="F1723" s="455" t="s">
        <v>1543</v>
      </c>
      <c r="G1723" s="456" t="s">
        <v>156</v>
      </c>
      <c r="H1723" s="889">
        <v>14</v>
      </c>
      <c r="I1723" s="891">
        <v>154.76499999999999</v>
      </c>
      <c r="J1723" s="601">
        <v>437.90100000000001</v>
      </c>
      <c r="K1723" s="602">
        <v>0.30057803468208094</v>
      </c>
      <c r="L1723" s="981">
        <v>6</v>
      </c>
      <c r="M1723" s="1249" t="s">
        <v>323</v>
      </c>
      <c r="N1723" s="604" t="s">
        <v>227</v>
      </c>
      <c r="O1723" s="465">
        <v>1</v>
      </c>
      <c r="P1723" s="435">
        <v>21.381</v>
      </c>
      <c r="Q1723" s="435">
        <v>2</v>
      </c>
      <c r="R1723" s="401">
        <v>2</v>
      </c>
      <c r="S1723" s="466">
        <v>0.30769230769230771</v>
      </c>
    </row>
    <row r="1724" spans="2:19" ht="16.5" thickTop="1" thickBot="1">
      <c r="B1724" s="1249" t="s">
        <v>1104</v>
      </c>
      <c r="C1724" s="1329" t="s">
        <v>1186</v>
      </c>
      <c r="D1724" s="1326" t="s">
        <v>227</v>
      </c>
      <c r="E1724" s="1249" t="s">
        <v>1945</v>
      </c>
      <c r="F1724" s="455" t="s">
        <v>1946</v>
      </c>
      <c r="G1724" s="456" t="s">
        <v>156</v>
      </c>
      <c r="H1724" s="889">
        <v>11</v>
      </c>
      <c r="I1724" s="891">
        <v>92.245999999999995</v>
      </c>
      <c r="J1724" s="601">
        <v>420.214</v>
      </c>
      <c r="K1724" s="602">
        <v>0.41599999999999998</v>
      </c>
      <c r="L1724" s="981">
        <v>5</v>
      </c>
      <c r="M1724" s="1249" t="s">
        <v>323</v>
      </c>
      <c r="N1724" s="604" t="s">
        <v>227</v>
      </c>
      <c r="O1724" s="465">
        <v>1</v>
      </c>
      <c r="P1724" s="435">
        <v>28.198</v>
      </c>
      <c r="Q1724" s="435">
        <v>1</v>
      </c>
      <c r="R1724" s="401">
        <v>1</v>
      </c>
      <c r="S1724" s="466">
        <v>0.18181818181818182</v>
      </c>
    </row>
    <row r="1725" spans="2:19" ht="16.5" thickTop="1" thickBot="1">
      <c r="B1725" s="1249" t="s">
        <v>1104</v>
      </c>
      <c r="C1725" s="1329" t="s">
        <v>1186</v>
      </c>
      <c r="D1725" s="1326" t="s">
        <v>227</v>
      </c>
      <c r="E1725" s="1249" t="s">
        <v>2208</v>
      </c>
      <c r="F1725" s="455" t="s">
        <v>2209</v>
      </c>
      <c r="G1725" s="456" t="s">
        <v>156</v>
      </c>
      <c r="H1725" s="889">
        <v>9</v>
      </c>
      <c r="I1725" s="891">
        <v>10.026999999999999</v>
      </c>
      <c r="J1725" s="601">
        <v>104.681</v>
      </c>
      <c r="K1725" s="602">
        <v>0.20454545454545456</v>
      </c>
      <c r="L1725" s="981">
        <v>4</v>
      </c>
      <c r="M1725" s="1249" t="s">
        <v>366</v>
      </c>
      <c r="N1725" s="604" t="s">
        <v>227</v>
      </c>
      <c r="O1725" s="465"/>
      <c r="P1725" s="435"/>
      <c r="Q1725" s="435"/>
      <c r="R1725" s="401">
        <v>0</v>
      </c>
      <c r="S1725" s="466">
        <v>0</v>
      </c>
    </row>
    <row r="1726" spans="2:19" ht="16.5" thickTop="1" thickBot="1">
      <c r="B1726" s="1249" t="s">
        <v>1104</v>
      </c>
      <c r="C1726" s="1329" t="s">
        <v>1186</v>
      </c>
      <c r="D1726" s="1326" t="s">
        <v>227</v>
      </c>
      <c r="E1726" s="1249" t="s">
        <v>2428</v>
      </c>
      <c r="F1726" s="455" t="s">
        <v>2429</v>
      </c>
      <c r="G1726" s="456" t="s">
        <v>155</v>
      </c>
      <c r="H1726" s="889"/>
      <c r="I1726" s="891"/>
      <c r="J1726" s="601">
        <v>36.238999999999997</v>
      </c>
      <c r="K1726" s="602">
        <v>7.1428571428571425E-2</v>
      </c>
      <c r="L1726" s="981">
        <v>1</v>
      </c>
      <c r="M1726" s="1249" t="s">
        <v>366</v>
      </c>
      <c r="N1726" s="604" t="s">
        <v>227</v>
      </c>
      <c r="O1726" s="465"/>
      <c r="P1726" s="435"/>
      <c r="Q1726" s="435"/>
      <c r="R1726" s="401">
        <v>0</v>
      </c>
      <c r="S1726" s="466">
        <v>0</v>
      </c>
    </row>
    <row r="1727" spans="2:19" ht="16.5" thickTop="1" thickBot="1">
      <c r="B1727" s="1249" t="s">
        <v>1104</v>
      </c>
      <c r="C1727" s="1329" t="s">
        <v>1186</v>
      </c>
      <c r="D1727" s="1326" t="s">
        <v>227</v>
      </c>
      <c r="E1727" s="1249" t="s">
        <v>2546</v>
      </c>
      <c r="F1727" s="455" t="s">
        <v>2547</v>
      </c>
      <c r="G1727" s="456" t="s">
        <v>156</v>
      </c>
      <c r="H1727" s="889">
        <v>7</v>
      </c>
      <c r="I1727" s="891">
        <v>389.43700000000001</v>
      </c>
      <c r="J1727" s="601">
        <v>1036.5419999999999</v>
      </c>
      <c r="K1727" s="602">
        <v>0.47619047619047616</v>
      </c>
      <c r="L1727" s="981">
        <v>8</v>
      </c>
      <c r="M1727" s="1249" t="s">
        <v>323</v>
      </c>
      <c r="N1727" s="604" t="s">
        <v>227</v>
      </c>
      <c r="O1727" s="465"/>
      <c r="P1727" s="435">
        <v>362.678</v>
      </c>
      <c r="Q1727" s="435">
        <v>19</v>
      </c>
      <c r="R1727" s="401">
        <v>5</v>
      </c>
      <c r="S1727" s="466">
        <v>0.625</v>
      </c>
    </row>
    <row r="1728" spans="2:19" ht="16.5" thickTop="1" thickBot="1">
      <c r="B1728" s="1249" t="s">
        <v>1104</v>
      </c>
      <c r="C1728" s="1329" t="s">
        <v>1186</v>
      </c>
      <c r="D1728" s="1326" t="s">
        <v>227</v>
      </c>
      <c r="E1728" s="1249" t="s">
        <v>2548</v>
      </c>
      <c r="F1728" s="455" t="s">
        <v>2549</v>
      </c>
      <c r="G1728" s="456" t="s">
        <v>156</v>
      </c>
      <c r="H1728" s="889">
        <v>6</v>
      </c>
      <c r="I1728" s="891"/>
      <c r="J1728" s="601">
        <v>160.72200000000001</v>
      </c>
      <c r="K1728" s="602">
        <v>0.30232558139534882</v>
      </c>
      <c r="L1728" s="981">
        <v>12</v>
      </c>
      <c r="M1728" s="1249" t="s">
        <v>323</v>
      </c>
      <c r="N1728" s="604" t="s">
        <v>227</v>
      </c>
      <c r="O1728" s="465">
        <v>2</v>
      </c>
      <c r="P1728" s="435">
        <v>56.386000000000003</v>
      </c>
      <c r="Q1728" s="435">
        <v>5</v>
      </c>
      <c r="R1728" s="401">
        <v>4</v>
      </c>
      <c r="S1728" s="466">
        <v>0.34782608695652173</v>
      </c>
    </row>
    <row r="1729" spans="2:19" ht="16.5" thickTop="1" thickBot="1">
      <c r="B1729" s="1249" t="s">
        <v>1104</v>
      </c>
      <c r="C1729" s="1329" t="s">
        <v>1186</v>
      </c>
      <c r="D1729" s="1326" t="s">
        <v>227</v>
      </c>
      <c r="E1729" s="1249" t="s">
        <v>2646</v>
      </c>
      <c r="F1729" s="455" t="s">
        <v>493</v>
      </c>
      <c r="G1729" s="456" t="s">
        <v>156</v>
      </c>
      <c r="H1729" s="889">
        <v>5</v>
      </c>
      <c r="I1729" s="891">
        <v>42.207999999999998</v>
      </c>
      <c r="J1729" s="601">
        <v>74.617000000000004</v>
      </c>
      <c r="K1729" s="602">
        <v>0.24390243902439024</v>
      </c>
      <c r="L1729" s="981">
        <v>5</v>
      </c>
      <c r="M1729" s="1249" t="s">
        <v>322</v>
      </c>
      <c r="N1729" s="604" t="s">
        <v>227</v>
      </c>
      <c r="O1729" s="465"/>
      <c r="P1729" s="435"/>
      <c r="Q1729" s="435"/>
      <c r="R1729" s="401">
        <v>0</v>
      </c>
      <c r="S1729" s="466">
        <v>0</v>
      </c>
    </row>
    <row r="1730" spans="2:19" ht="16.5" thickTop="1" thickBot="1">
      <c r="B1730" s="1249" t="s">
        <v>1104</v>
      </c>
      <c r="C1730" s="1329" t="s">
        <v>1186</v>
      </c>
      <c r="D1730" s="1326" t="s">
        <v>227</v>
      </c>
      <c r="E1730" s="1249" t="s">
        <v>2699</v>
      </c>
      <c r="F1730" s="455" t="s">
        <v>2527</v>
      </c>
      <c r="G1730" s="456" t="s">
        <v>155</v>
      </c>
      <c r="H1730" s="889"/>
      <c r="I1730" s="891"/>
      <c r="J1730" s="601">
        <v>74.19</v>
      </c>
      <c r="K1730" s="602">
        <v>0.35714285714285715</v>
      </c>
      <c r="L1730" s="981">
        <v>4</v>
      </c>
      <c r="M1730" s="1249" t="s">
        <v>366</v>
      </c>
      <c r="N1730" s="604" t="s">
        <v>227</v>
      </c>
      <c r="O1730" s="465">
        <v>1</v>
      </c>
      <c r="P1730" s="435">
        <v>22.31</v>
      </c>
      <c r="Q1730" s="435">
        <v>2</v>
      </c>
      <c r="R1730" s="401">
        <v>2</v>
      </c>
      <c r="S1730" s="466">
        <v>0.5714285714285714</v>
      </c>
    </row>
    <row r="1731" spans="2:19" ht="16.5" thickTop="1" thickBot="1">
      <c r="B1731" s="1249" t="s">
        <v>1104</v>
      </c>
      <c r="C1731" s="1329" t="s">
        <v>1186</v>
      </c>
      <c r="D1731" s="1326" t="s">
        <v>227</v>
      </c>
      <c r="E1731" s="1249" t="s">
        <v>3159</v>
      </c>
      <c r="F1731" s="455" t="s">
        <v>3160</v>
      </c>
      <c r="G1731" s="456" t="s">
        <v>155</v>
      </c>
      <c r="H1731" s="889"/>
      <c r="I1731" s="891"/>
      <c r="J1731" s="601">
        <v>23.905999999999999</v>
      </c>
      <c r="K1731" s="602">
        <v>0.17391304347826086</v>
      </c>
      <c r="L1731" s="981">
        <v>3</v>
      </c>
      <c r="M1731" s="1249" t="s">
        <v>366</v>
      </c>
      <c r="N1731" s="604" t="s">
        <v>227</v>
      </c>
      <c r="O1731" s="465">
        <v>1</v>
      </c>
      <c r="P1731" s="435"/>
      <c r="Q1731" s="435"/>
      <c r="R1731" s="401">
        <v>0</v>
      </c>
      <c r="S1731" s="466">
        <v>0</v>
      </c>
    </row>
    <row r="1732" spans="2:19" ht="16.5" thickTop="1" thickBot="1">
      <c r="B1732" s="1249" t="s">
        <v>1104</v>
      </c>
      <c r="C1732" s="1329" t="s">
        <v>1186</v>
      </c>
      <c r="D1732" s="1326" t="s">
        <v>227</v>
      </c>
      <c r="E1732" s="1249" t="s">
        <v>3465</v>
      </c>
      <c r="F1732" s="455" t="s">
        <v>3466</v>
      </c>
      <c r="G1732" s="456" t="s">
        <v>156</v>
      </c>
      <c r="H1732" s="889">
        <v>1</v>
      </c>
      <c r="I1732" s="891">
        <v>22.893999999999998</v>
      </c>
      <c r="J1732" s="601">
        <v>49.256999999999998</v>
      </c>
      <c r="K1732" s="602">
        <v>0.33333333333333331</v>
      </c>
      <c r="L1732" s="981">
        <v>4</v>
      </c>
      <c r="M1732" s="1249" t="s">
        <v>323</v>
      </c>
      <c r="N1732" s="604" t="s">
        <v>227</v>
      </c>
      <c r="O1732" s="465">
        <v>1</v>
      </c>
      <c r="P1732" s="435">
        <v>15.26</v>
      </c>
      <c r="Q1732" s="435">
        <v>1</v>
      </c>
      <c r="R1732" s="401">
        <v>1</v>
      </c>
      <c r="S1732" s="466">
        <v>0.22222222222222221</v>
      </c>
    </row>
    <row r="1733" spans="2:19" ht="16.5" thickTop="1" thickBot="1">
      <c r="B1733" s="1249" t="s">
        <v>1104</v>
      </c>
      <c r="C1733" s="1329" t="s">
        <v>1186</v>
      </c>
      <c r="D1733" s="1326" t="s">
        <v>227</v>
      </c>
      <c r="E1733" s="1249" t="s">
        <v>4008</v>
      </c>
      <c r="F1733" s="455" t="s">
        <v>1161</v>
      </c>
      <c r="G1733" s="456" t="s">
        <v>155</v>
      </c>
      <c r="H1733" s="889"/>
      <c r="I1733" s="891"/>
      <c r="J1733" s="601">
        <v>32.213000000000001</v>
      </c>
      <c r="K1733" s="602">
        <v>0.54545454545454541</v>
      </c>
      <c r="L1733" s="981">
        <v>6</v>
      </c>
      <c r="M1733" s="1249" t="s">
        <v>366</v>
      </c>
      <c r="N1733" s="604" t="s">
        <v>227</v>
      </c>
      <c r="O1733" s="465">
        <v>1</v>
      </c>
      <c r="P1733" s="435">
        <v>32.213000000000001</v>
      </c>
      <c r="Q1733" s="435">
        <v>3</v>
      </c>
      <c r="R1733" s="401">
        <v>3</v>
      </c>
      <c r="S1733" s="466">
        <v>0.54545454545454541</v>
      </c>
    </row>
    <row r="1734" spans="2:19" ht="16.5" thickTop="1" thickBot="1">
      <c r="B1734" s="1249" t="s">
        <v>1104</v>
      </c>
      <c r="C1734" s="1329" t="s">
        <v>1186</v>
      </c>
      <c r="D1734" s="1326" t="s">
        <v>227</v>
      </c>
      <c r="E1734" s="1249" t="s">
        <v>4009</v>
      </c>
      <c r="F1734" s="455" t="s">
        <v>4010</v>
      </c>
      <c r="G1734" s="456" t="s">
        <v>155</v>
      </c>
      <c r="H1734" s="889"/>
      <c r="I1734" s="891"/>
      <c r="J1734" s="601">
        <v>12.9</v>
      </c>
      <c r="K1734" s="602">
        <v>0.5</v>
      </c>
      <c r="L1734" s="981">
        <v>2</v>
      </c>
      <c r="M1734" s="1249" t="s">
        <v>366</v>
      </c>
      <c r="N1734" s="604" t="s">
        <v>227</v>
      </c>
      <c r="O1734" s="465">
        <v>1</v>
      </c>
      <c r="P1734" s="435">
        <v>12.9</v>
      </c>
      <c r="Q1734" s="435">
        <v>1</v>
      </c>
      <c r="R1734" s="401">
        <v>1</v>
      </c>
      <c r="S1734" s="466">
        <v>0.5</v>
      </c>
    </row>
    <row r="1735" spans="2:19" ht="16.5" thickTop="1" thickBot="1">
      <c r="B1735" s="1249" t="s">
        <v>1104</v>
      </c>
      <c r="C1735" s="1329" t="s">
        <v>1186</v>
      </c>
      <c r="D1735" s="1326" t="s">
        <v>227</v>
      </c>
      <c r="E1735" s="1249" t="s">
        <v>4011</v>
      </c>
      <c r="F1735" s="455" t="s">
        <v>4012</v>
      </c>
      <c r="G1735" s="456" t="s">
        <v>155</v>
      </c>
      <c r="H1735" s="889"/>
      <c r="I1735" s="891"/>
      <c r="J1735" s="601">
        <v>10.32</v>
      </c>
      <c r="K1735" s="602">
        <v>0.5</v>
      </c>
      <c r="L1735" s="981">
        <v>2</v>
      </c>
      <c r="M1735" s="1249" t="s">
        <v>366</v>
      </c>
      <c r="N1735" s="604" t="s">
        <v>227</v>
      </c>
      <c r="O1735" s="465"/>
      <c r="P1735" s="435">
        <v>10.32</v>
      </c>
      <c r="Q1735" s="435">
        <v>1</v>
      </c>
      <c r="R1735" s="401">
        <v>1</v>
      </c>
      <c r="S1735" s="466">
        <v>0.5</v>
      </c>
    </row>
    <row r="1736" spans="2:19" ht="16.5" thickTop="1" thickBot="1">
      <c r="B1736" s="1249" t="s">
        <v>1104</v>
      </c>
      <c r="C1736" s="1329" t="s">
        <v>1189</v>
      </c>
      <c r="D1736" s="1326" t="s">
        <v>227</v>
      </c>
      <c r="E1736" s="1249" t="s">
        <v>1189</v>
      </c>
      <c r="F1736" s="455" t="s">
        <v>1191</v>
      </c>
      <c r="G1736" s="456" t="s">
        <v>158</v>
      </c>
      <c r="H1736" s="889">
        <v>17</v>
      </c>
      <c r="I1736" s="891"/>
      <c r="J1736" s="601"/>
      <c r="K1736" s="602">
        <v>0</v>
      </c>
      <c r="L1736" s="981">
        <v>1</v>
      </c>
      <c r="M1736" s="1249" t="s">
        <v>366</v>
      </c>
      <c r="N1736" s="604" t="s">
        <v>227</v>
      </c>
      <c r="O1736" s="465"/>
      <c r="P1736" s="435"/>
      <c r="Q1736" s="435"/>
      <c r="R1736" s="401">
        <v>0</v>
      </c>
      <c r="S1736" s="466">
        <v>0</v>
      </c>
    </row>
    <row r="1737" spans="2:19" ht="16.5" thickTop="1" thickBot="1">
      <c r="B1737" s="1249" t="s">
        <v>1104</v>
      </c>
      <c r="C1737" s="1329" t="s">
        <v>1189</v>
      </c>
      <c r="D1737" s="1326" t="s">
        <v>227</v>
      </c>
      <c r="E1737" s="1249" t="s">
        <v>1269</v>
      </c>
      <c r="F1737" s="455" t="s">
        <v>1270</v>
      </c>
      <c r="G1737" s="456" t="s">
        <v>157</v>
      </c>
      <c r="H1737" s="889">
        <v>17</v>
      </c>
      <c r="I1737" s="891">
        <v>184.06100000000001</v>
      </c>
      <c r="J1737" s="601">
        <v>1113.529</v>
      </c>
      <c r="K1737" s="602">
        <v>0.31147540983606559</v>
      </c>
      <c r="L1737" s="981">
        <v>7</v>
      </c>
      <c r="M1737" s="1249" t="s">
        <v>323</v>
      </c>
      <c r="N1737" s="604" t="s">
        <v>227</v>
      </c>
      <c r="O1737" s="465"/>
      <c r="P1737" s="435">
        <v>33.142000000000003</v>
      </c>
      <c r="Q1737" s="435">
        <v>2</v>
      </c>
      <c r="R1737" s="401">
        <v>1</v>
      </c>
      <c r="S1737" s="466">
        <v>0.14285714285714285</v>
      </c>
    </row>
    <row r="1738" spans="2:19" ht="16.5" thickTop="1" thickBot="1">
      <c r="B1738" s="1249" t="s">
        <v>1104</v>
      </c>
      <c r="C1738" s="1329" t="s">
        <v>1189</v>
      </c>
      <c r="D1738" s="1326" t="s">
        <v>227</v>
      </c>
      <c r="E1738" s="1249" t="s">
        <v>1346</v>
      </c>
      <c r="F1738" s="455" t="s">
        <v>1347</v>
      </c>
      <c r="G1738" s="456" t="s">
        <v>156</v>
      </c>
      <c r="H1738" s="889">
        <v>16</v>
      </c>
      <c r="I1738" s="891">
        <v>34.692999999999998</v>
      </c>
      <c r="J1738" s="601">
        <v>109.121</v>
      </c>
      <c r="K1738" s="602">
        <v>0.12598425196850394</v>
      </c>
      <c r="L1738" s="981">
        <v>9</v>
      </c>
      <c r="M1738" s="1249" t="s">
        <v>366</v>
      </c>
      <c r="N1738" s="604" t="s">
        <v>227</v>
      </c>
      <c r="O1738" s="465"/>
      <c r="P1738" s="435">
        <v>6.9569999999999999</v>
      </c>
      <c r="Q1738" s="435">
        <v>2</v>
      </c>
      <c r="R1738" s="401">
        <v>1</v>
      </c>
      <c r="S1738" s="466">
        <v>0.1111111111111111</v>
      </c>
    </row>
    <row r="1739" spans="2:19" ht="16.5" thickTop="1" thickBot="1">
      <c r="B1739" s="1249" t="s">
        <v>1104</v>
      </c>
      <c r="C1739" s="1329" t="s">
        <v>1189</v>
      </c>
      <c r="D1739" s="1326" t="s">
        <v>227</v>
      </c>
      <c r="E1739" s="1249" t="s">
        <v>2210</v>
      </c>
      <c r="F1739" s="455" t="s">
        <v>2211</v>
      </c>
      <c r="G1739" s="456" t="s">
        <v>157</v>
      </c>
      <c r="H1739" s="889">
        <v>9</v>
      </c>
      <c r="I1739" s="891">
        <v>76.14</v>
      </c>
      <c r="J1739" s="601">
        <v>406.13600000000002</v>
      </c>
      <c r="K1739" s="602">
        <v>0.24516129032258063</v>
      </c>
      <c r="L1739" s="981">
        <v>12</v>
      </c>
      <c r="M1739" s="1249" t="s">
        <v>323</v>
      </c>
      <c r="N1739" s="604" t="s">
        <v>227</v>
      </c>
      <c r="O1739" s="465">
        <v>8</v>
      </c>
      <c r="P1739" s="435">
        <v>32.024000000000001</v>
      </c>
      <c r="Q1739" s="435">
        <v>3</v>
      </c>
      <c r="R1739" s="401">
        <v>3</v>
      </c>
      <c r="S1739" s="466">
        <v>0.3</v>
      </c>
    </row>
    <row r="1740" spans="2:19" ht="16.5" thickTop="1" thickBot="1">
      <c r="B1740" s="1249" t="s">
        <v>1104</v>
      </c>
      <c r="C1740" s="1329" t="s">
        <v>1189</v>
      </c>
      <c r="D1740" s="1326" t="s">
        <v>227</v>
      </c>
      <c r="E1740" s="1249" t="s">
        <v>2311</v>
      </c>
      <c r="F1740" s="455" t="s">
        <v>2312</v>
      </c>
      <c r="G1740" s="456" t="s">
        <v>155</v>
      </c>
      <c r="H1740" s="889"/>
      <c r="I1740" s="891"/>
      <c r="J1740" s="601"/>
      <c r="K1740" s="602">
        <v>0</v>
      </c>
      <c r="L1740" s="981"/>
      <c r="M1740" s="1249" t="s">
        <v>366</v>
      </c>
      <c r="N1740" s="604" t="s">
        <v>227</v>
      </c>
      <c r="O1740" s="465"/>
      <c r="P1740" s="435"/>
      <c r="Q1740" s="435"/>
      <c r="R1740" s="401">
        <v>0</v>
      </c>
      <c r="S1740" s="466">
        <v>0</v>
      </c>
    </row>
    <row r="1741" spans="2:19" ht="16.5" thickTop="1" thickBot="1">
      <c r="B1741" s="1249" t="s">
        <v>1104</v>
      </c>
      <c r="C1741" s="1329" t="s">
        <v>1189</v>
      </c>
      <c r="D1741" s="1326" t="s">
        <v>227</v>
      </c>
      <c r="E1741" s="1249" t="s">
        <v>2430</v>
      </c>
      <c r="F1741" s="455" t="s">
        <v>2431</v>
      </c>
      <c r="G1741" s="456" t="s">
        <v>156</v>
      </c>
      <c r="H1741" s="889">
        <v>8</v>
      </c>
      <c r="I1741" s="891">
        <v>676.74400000000003</v>
      </c>
      <c r="J1741" s="601">
        <v>155.98699999999999</v>
      </c>
      <c r="K1741" s="602">
        <v>0.27956989247311825</v>
      </c>
      <c r="L1741" s="981">
        <v>11</v>
      </c>
      <c r="M1741" s="1249" t="s">
        <v>322</v>
      </c>
      <c r="N1741" s="604" t="s">
        <v>227</v>
      </c>
      <c r="O1741" s="465">
        <v>4</v>
      </c>
      <c r="P1741" s="435">
        <v>14.903</v>
      </c>
      <c r="Q1741" s="435">
        <v>1</v>
      </c>
      <c r="R1741" s="401">
        <v>1</v>
      </c>
      <c r="S1741" s="466">
        <v>0.1</v>
      </c>
    </row>
    <row r="1742" spans="2:19" ht="16.5" thickTop="1" thickBot="1">
      <c r="B1742" s="1249" t="s">
        <v>1104</v>
      </c>
      <c r="C1742" s="1329" t="s">
        <v>1189</v>
      </c>
      <c r="D1742" s="1326" t="s">
        <v>227</v>
      </c>
      <c r="E1742" s="1249" t="s">
        <v>2432</v>
      </c>
      <c r="F1742" s="455" t="s">
        <v>2433</v>
      </c>
      <c r="G1742" s="456" t="s">
        <v>155</v>
      </c>
      <c r="H1742" s="889"/>
      <c r="I1742" s="891"/>
      <c r="J1742" s="601">
        <v>9.1760000000000002</v>
      </c>
      <c r="K1742" s="602">
        <v>0.125</v>
      </c>
      <c r="L1742" s="981">
        <v>2</v>
      </c>
      <c r="M1742" s="1249" t="s">
        <v>366</v>
      </c>
      <c r="N1742" s="604" t="s">
        <v>227</v>
      </c>
      <c r="O1742" s="465"/>
      <c r="P1742" s="435"/>
      <c r="Q1742" s="435"/>
      <c r="R1742" s="401">
        <v>0</v>
      </c>
      <c r="S1742" s="466">
        <v>0</v>
      </c>
    </row>
    <row r="1743" spans="2:19" ht="16.5" thickTop="1" thickBot="1">
      <c r="B1743" s="1249" t="s">
        <v>1104</v>
      </c>
      <c r="C1743" s="1329" t="s">
        <v>1189</v>
      </c>
      <c r="D1743" s="1326" t="s">
        <v>227</v>
      </c>
      <c r="E1743" s="1249" t="s">
        <v>2879</v>
      </c>
      <c r="F1743" s="455" t="s">
        <v>2880</v>
      </c>
      <c r="G1743" s="456" t="s">
        <v>156</v>
      </c>
      <c r="H1743" s="889">
        <v>3</v>
      </c>
      <c r="I1743" s="891">
        <v>112.089</v>
      </c>
      <c r="J1743" s="601">
        <v>195.321</v>
      </c>
      <c r="K1743" s="602">
        <v>0.39285714285714285</v>
      </c>
      <c r="L1743" s="981">
        <v>11</v>
      </c>
      <c r="M1743" s="1249" t="s">
        <v>323</v>
      </c>
      <c r="N1743" s="604" t="s">
        <v>227</v>
      </c>
      <c r="O1743" s="465">
        <v>3</v>
      </c>
      <c r="P1743" s="435">
        <v>32.722000000000001</v>
      </c>
      <c r="Q1743" s="435">
        <v>3</v>
      </c>
      <c r="R1743" s="401">
        <v>3</v>
      </c>
      <c r="S1743" s="466">
        <v>0.31578947368421051</v>
      </c>
    </row>
    <row r="1744" spans="2:19" ht="16.5" thickTop="1" thickBot="1">
      <c r="B1744" s="1249" t="s">
        <v>1104</v>
      </c>
      <c r="C1744" s="1329" t="s">
        <v>1189</v>
      </c>
      <c r="D1744" s="1326" t="s">
        <v>227</v>
      </c>
      <c r="E1744" s="1249" t="s">
        <v>3161</v>
      </c>
      <c r="F1744" s="455" t="s">
        <v>3162</v>
      </c>
      <c r="G1744" s="456" t="s">
        <v>155</v>
      </c>
      <c r="H1744" s="889"/>
      <c r="I1744" s="891"/>
      <c r="J1744" s="601">
        <v>11.195</v>
      </c>
      <c r="K1744" s="602">
        <v>0.16666666666666666</v>
      </c>
      <c r="L1744" s="981">
        <v>2</v>
      </c>
      <c r="M1744" s="1249" t="s">
        <v>366</v>
      </c>
      <c r="N1744" s="604" t="s">
        <v>227</v>
      </c>
      <c r="O1744" s="465"/>
      <c r="P1744" s="435"/>
      <c r="Q1744" s="435"/>
      <c r="R1744" s="401">
        <v>0</v>
      </c>
      <c r="S1744" s="466">
        <v>0</v>
      </c>
    </row>
    <row r="1745" spans="2:19" ht="16.5" thickTop="1" thickBot="1">
      <c r="B1745" s="1249" t="s">
        <v>1104</v>
      </c>
      <c r="C1745" s="1329" t="s">
        <v>2069</v>
      </c>
      <c r="D1745" s="1326" t="s">
        <v>227</v>
      </c>
      <c r="E1745" s="1249" t="s">
        <v>2069</v>
      </c>
      <c r="F1745" s="455" t="s">
        <v>2071</v>
      </c>
      <c r="G1745" s="456" t="s">
        <v>158</v>
      </c>
      <c r="H1745" s="889">
        <v>9</v>
      </c>
      <c r="I1745" s="891">
        <v>112.116</v>
      </c>
      <c r="J1745" s="601">
        <v>396.55099999999999</v>
      </c>
      <c r="K1745" s="602">
        <v>0.3595505617977528</v>
      </c>
      <c r="L1745" s="981">
        <v>5</v>
      </c>
      <c r="M1745" s="1249" t="s">
        <v>323</v>
      </c>
      <c r="N1745" s="604" t="s">
        <v>227</v>
      </c>
      <c r="O1745" s="465">
        <v>1</v>
      </c>
      <c r="P1745" s="435">
        <v>19.414000000000001</v>
      </c>
      <c r="Q1745" s="435">
        <v>2</v>
      </c>
      <c r="R1745" s="401">
        <v>1</v>
      </c>
      <c r="S1745" s="466">
        <v>0.2</v>
      </c>
    </row>
    <row r="1746" spans="2:19" ht="16.5" thickTop="1" thickBot="1">
      <c r="B1746" s="1249" t="s">
        <v>1104</v>
      </c>
      <c r="C1746" s="1329" t="s">
        <v>2069</v>
      </c>
      <c r="D1746" s="1326" t="s">
        <v>227</v>
      </c>
      <c r="E1746" s="1249" t="s">
        <v>2115</v>
      </c>
      <c r="F1746" s="455" t="s">
        <v>1087</v>
      </c>
      <c r="G1746" s="456" t="s">
        <v>157</v>
      </c>
      <c r="H1746" s="889">
        <v>9</v>
      </c>
      <c r="I1746" s="891">
        <v>73.611000000000004</v>
      </c>
      <c r="J1746" s="601">
        <v>242.589</v>
      </c>
      <c r="K1746" s="602">
        <v>0.43181818181818182</v>
      </c>
      <c r="L1746" s="981">
        <v>6</v>
      </c>
      <c r="M1746" s="1249" t="s">
        <v>321</v>
      </c>
      <c r="N1746" s="604" t="s">
        <v>227</v>
      </c>
      <c r="O1746" s="465">
        <v>1</v>
      </c>
      <c r="P1746" s="435">
        <v>2.1890000000000001</v>
      </c>
      <c r="Q1746" s="435">
        <v>1</v>
      </c>
      <c r="R1746" s="401">
        <v>1</v>
      </c>
      <c r="S1746" s="466">
        <v>0.14285714285714285</v>
      </c>
    </row>
    <row r="1747" spans="2:19" ht="16.5" thickTop="1" thickBot="1">
      <c r="B1747" s="1249" t="s">
        <v>1104</v>
      </c>
      <c r="C1747" s="1329" t="s">
        <v>2069</v>
      </c>
      <c r="D1747" s="1326" t="s">
        <v>227</v>
      </c>
      <c r="E1747" s="1249" t="s">
        <v>2212</v>
      </c>
      <c r="F1747" s="455" t="s">
        <v>2213</v>
      </c>
      <c r="G1747" s="456" t="s">
        <v>156</v>
      </c>
      <c r="H1747" s="889">
        <v>9</v>
      </c>
      <c r="I1747" s="891">
        <v>51.512999999999998</v>
      </c>
      <c r="J1747" s="601">
        <v>393.327</v>
      </c>
      <c r="K1747" s="602">
        <v>0.44444444444444442</v>
      </c>
      <c r="L1747" s="981">
        <v>10</v>
      </c>
      <c r="M1747" s="1249" t="s">
        <v>323</v>
      </c>
      <c r="N1747" s="604" t="s">
        <v>227</v>
      </c>
      <c r="O1747" s="465">
        <v>1</v>
      </c>
      <c r="P1747" s="435">
        <v>82.388999999999996</v>
      </c>
      <c r="Q1747" s="435">
        <v>10</v>
      </c>
      <c r="R1747" s="401">
        <v>9</v>
      </c>
      <c r="S1747" s="466">
        <v>1</v>
      </c>
    </row>
    <row r="1748" spans="2:19" ht="16.5" thickTop="1" thickBot="1">
      <c r="B1748" s="1249" t="s">
        <v>1104</v>
      </c>
      <c r="C1748" s="1329" t="s">
        <v>2069</v>
      </c>
      <c r="D1748" s="1326" t="s">
        <v>227</v>
      </c>
      <c r="E1748" s="1249" t="s">
        <v>2700</v>
      </c>
      <c r="F1748" s="455" t="s">
        <v>2701</v>
      </c>
      <c r="G1748" s="456" t="s">
        <v>155</v>
      </c>
      <c r="H1748" s="889"/>
      <c r="I1748" s="891"/>
      <c r="J1748" s="601">
        <v>156.12799999999999</v>
      </c>
      <c r="K1748" s="602">
        <v>0.51282051282051277</v>
      </c>
      <c r="L1748" s="981">
        <v>6</v>
      </c>
      <c r="M1748" s="1249" t="s">
        <v>366</v>
      </c>
      <c r="N1748" s="604" t="s">
        <v>227</v>
      </c>
      <c r="O1748" s="465"/>
      <c r="P1748" s="435">
        <v>31.047000000000001</v>
      </c>
      <c r="Q1748" s="435">
        <v>3</v>
      </c>
      <c r="R1748" s="401">
        <v>3</v>
      </c>
      <c r="S1748" s="466">
        <v>0.5</v>
      </c>
    </row>
    <row r="1749" spans="2:19" ht="16.5" thickTop="1" thickBot="1">
      <c r="B1749" s="1249" t="s">
        <v>1104</v>
      </c>
      <c r="C1749" s="1329" t="s">
        <v>2069</v>
      </c>
      <c r="D1749" s="1326" t="s">
        <v>227</v>
      </c>
      <c r="E1749" s="1249" t="s">
        <v>2881</v>
      </c>
      <c r="F1749" s="455" t="s">
        <v>2882</v>
      </c>
      <c r="G1749" s="456" t="s">
        <v>155</v>
      </c>
      <c r="H1749" s="889"/>
      <c r="I1749" s="891"/>
      <c r="J1749" s="601">
        <v>75.108999999999995</v>
      </c>
      <c r="K1749" s="602">
        <v>0.5</v>
      </c>
      <c r="L1749" s="981">
        <v>6</v>
      </c>
      <c r="M1749" s="1249" t="s">
        <v>366</v>
      </c>
      <c r="N1749" s="604" t="s">
        <v>227</v>
      </c>
      <c r="O1749" s="465">
        <v>1</v>
      </c>
      <c r="P1749" s="435">
        <v>17.475000000000001</v>
      </c>
      <c r="Q1749" s="435">
        <v>2</v>
      </c>
      <c r="R1749" s="401">
        <v>2</v>
      </c>
      <c r="S1749" s="466">
        <v>0.36363636363636365</v>
      </c>
    </row>
    <row r="1750" spans="2:19" ht="16.5" thickTop="1" thickBot="1">
      <c r="B1750" s="1249" t="s">
        <v>1104</v>
      </c>
      <c r="C1750" s="1329" t="s">
        <v>2069</v>
      </c>
      <c r="D1750" s="1326" t="s">
        <v>227</v>
      </c>
      <c r="E1750" s="1249" t="s">
        <v>3163</v>
      </c>
      <c r="F1750" s="455" t="s">
        <v>1403</v>
      </c>
      <c r="G1750" s="456" t="s">
        <v>155</v>
      </c>
      <c r="H1750" s="889"/>
      <c r="I1750" s="891"/>
      <c r="J1750" s="601">
        <v>61.837000000000003</v>
      </c>
      <c r="K1750" s="602">
        <v>0.52173913043478259</v>
      </c>
      <c r="L1750" s="981">
        <v>5</v>
      </c>
      <c r="M1750" s="1249" t="s">
        <v>366</v>
      </c>
      <c r="N1750" s="604" t="s">
        <v>227</v>
      </c>
      <c r="O1750" s="465">
        <v>1</v>
      </c>
      <c r="P1750" s="435">
        <v>25.164000000000001</v>
      </c>
      <c r="Q1750" s="435">
        <v>2</v>
      </c>
      <c r="R1750" s="401">
        <v>2</v>
      </c>
      <c r="S1750" s="466">
        <v>0.44444444444444442</v>
      </c>
    </row>
    <row r="1751" spans="2:19" ht="16.5" thickTop="1" thickBot="1">
      <c r="B1751" s="1249" t="s">
        <v>1104</v>
      </c>
      <c r="C1751" s="1329" t="s">
        <v>2069</v>
      </c>
      <c r="D1751" s="1326" t="s">
        <v>227</v>
      </c>
      <c r="E1751" s="1249" t="s">
        <v>3164</v>
      </c>
      <c r="F1751" s="455" t="s">
        <v>3165</v>
      </c>
      <c r="G1751" s="456" t="s">
        <v>155</v>
      </c>
      <c r="H1751" s="889"/>
      <c r="I1751" s="891"/>
      <c r="J1751" s="601">
        <v>114.053</v>
      </c>
      <c r="K1751" s="602">
        <v>0.66666666666666663</v>
      </c>
      <c r="L1751" s="981">
        <v>6</v>
      </c>
      <c r="M1751" s="1249" t="s">
        <v>366</v>
      </c>
      <c r="N1751" s="604" t="s">
        <v>227</v>
      </c>
      <c r="O1751" s="465">
        <v>3</v>
      </c>
      <c r="P1751" s="435">
        <v>49.241999999999997</v>
      </c>
      <c r="Q1751" s="435">
        <v>4</v>
      </c>
      <c r="R1751" s="401">
        <v>2</v>
      </c>
      <c r="S1751" s="466">
        <v>0.44444444444444442</v>
      </c>
    </row>
    <row r="1752" spans="2:19" ht="16.5" thickTop="1" thickBot="1">
      <c r="B1752" s="1249" t="s">
        <v>1104</v>
      </c>
      <c r="C1752" s="1329" t="s">
        <v>2069</v>
      </c>
      <c r="D1752" s="1326" t="s">
        <v>227</v>
      </c>
      <c r="E1752" s="1249" t="s">
        <v>3467</v>
      </c>
      <c r="F1752" s="455" t="s">
        <v>3468</v>
      </c>
      <c r="G1752" s="456" t="s">
        <v>156</v>
      </c>
      <c r="H1752" s="889">
        <v>1</v>
      </c>
      <c r="I1752" s="891"/>
      <c r="J1752" s="601"/>
      <c r="K1752" s="602">
        <v>0</v>
      </c>
      <c r="L1752" s="981">
        <v>3</v>
      </c>
      <c r="M1752" s="1249" t="s">
        <v>366</v>
      </c>
      <c r="N1752" s="604" t="s">
        <v>227</v>
      </c>
      <c r="O1752" s="465"/>
      <c r="P1752" s="435"/>
      <c r="Q1752" s="435"/>
      <c r="R1752" s="401">
        <v>0</v>
      </c>
      <c r="S1752" s="466">
        <v>0</v>
      </c>
    </row>
    <row r="1753" spans="2:19" ht="16.5" thickTop="1" thickBot="1">
      <c r="B1753" s="1249" t="s">
        <v>1104</v>
      </c>
      <c r="C1753" s="1329" t="s">
        <v>2069</v>
      </c>
      <c r="D1753" s="1326" t="s">
        <v>227</v>
      </c>
      <c r="E1753" s="1249" t="s">
        <v>3469</v>
      </c>
      <c r="F1753" s="455" t="s">
        <v>2375</v>
      </c>
      <c r="G1753" s="456" t="s">
        <v>156</v>
      </c>
      <c r="H1753" s="889">
        <v>1</v>
      </c>
      <c r="I1753" s="891">
        <v>21.167999999999999</v>
      </c>
      <c r="J1753" s="601">
        <v>21.167999999999999</v>
      </c>
      <c r="K1753" s="602">
        <v>0.2857142857142857</v>
      </c>
      <c r="L1753" s="981">
        <v>3</v>
      </c>
      <c r="M1753" s="1249" t="s">
        <v>323</v>
      </c>
      <c r="N1753" s="604" t="s">
        <v>227</v>
      </c>
      <c r="O1753" s="465"/>
      <c r="P1753" s="435">
        <v>21.167999999999999</v>
      </c>
      <c r="Q1753" s="435">
        <v>2</v>
      </c>
      <c r="R1753" s="401">
        <v>1</v>
      </c>
      <c r="S1753" s="466">
        <v>0.33333333333333331</v>
      </c>
    </row>
    <row r="1754" spans="2:19" ht="16.5" thickTop="1" thickBot="1">
      <c r="B1754" s="1249" t="s">
        <v>1104</v>
      </c>
      <c r="C1754" s="1329" t="s">
        <v>2069</v>
      </c>
      <c r="D1754" s="1326" t="s">
        <v>227</v>
      </c>
      <c r="E1754" s="1249" t="s">
        <v>3470</v>
      </c>
      <c r="F1754" s="455" t="s">
        <v>561</v>
      </c>
      <c r="G1754" s="456" t="s">
        <v>157</v>
      </c>
      <c r="H1754" s="889">
        <v>1</v>
      </c>
      <c r="I1754" s="891"/>
      <c r="J1754" s="601"/>
      <c r="K1754" s="602">
        <v>0</v>
      </c>
      <c r="L1754" s="981">
        <v>3</v>
      </c>
      <c r="M1754" s="1249" t="s">
        <v>366</v>
      </c>
      <c r="N1754" s="604" t="s">
        <v>227</v>
      </c>
      <c r="O1754" s="465">
        <v>2</v>
      </c>
      <c r="P1754" s="435"/>
      <c r="Q1754" s="435"/>
      <c r="R1754" s="401">
        <v>0</v>
      </c>
      <c r="S1754" s="466">
        <v>0</v>
      </c>
    </row>
    <row r="1755" spans="2:19" ht="16.5" thickTop="1" thickBot="1">
      <c r="B1755" s="1249" t="s">
        <v>905</v>
      </c>
      <c r="C1755" s="1329" t="s">
        <v>227</v>
      </c>
      <c r="D1755" s="1326" t="s">
        <v>227</v>
      </c>
      <c r="E1755" s="1249" t="s">
        <v>708</v>
      </c>
      <c r="F1755" s="455" t="s">
        <v>720</v>
      </c>
      <c r="G1755" s="456" t="s">
        <v>157</v>
      </c>
      <c r="H1755" s="889">
        <v>25</v>
      </c>
      <c r="I1755" s="891">
        <v>13.096</v>
      </c>
      <c r="J1755" s="601">
        <v>13.096</v>
      </c>
      <c r="K1755" s="602">
        <v>0</v>
      </c>
      <c r="L1755" s="981">
        <v>6</v>
      </c>
      <c r="M1755" s="1249" t="s">
        <v>366</v>
      </c>
      <c r="N1755" s="604" t="s">
        <v>227</v>
      </c>
      <c r="O1755" s="465"/>
      <c r="P1755" s="435">
        <v>0</v>
      </c>
      <c r="Q1755" s="435"/>
      <c r="R1755" s="401">
        <v>0</v>
      </c>
      <c r="S1755" s="466">
        <v>0</v>
      </c>
    </row>
    <row r="1756" spans="2:19" ht="16.5" thickTop="1" thickBot="1">
      <c r="B1756" s="1249" t="s">
        <v>905</v>
      </c>
      <c r="C1756" s="1329" t="s">
        <v>227</v>
      </c>
      <c r="D1756" s="1326" t="s">
        <v>227</v>
      </c>
      <c r="E1756" s="1249" t="s">
        <v>944</v>
      </c>
      <c r="F1756" s="455" t="s">
        <v>945</v>
      </c>
      <c r="G1756" s="456" t="s">
        <v>157</v>
      </c>
      <c r="H1756" s="889">
        <v>20</v>
      </c>
      <c r="I1756" s="891">
        <v>83.316999999999993</v>
      </c>
      <c r="J1756" s="601">
        <v>685.86500000000001</v>
      </c>
      <c r="K1756" s="602">
        <v>0.28260869565217389</v>
      </c>
      <c r="L1756" s="981">
        <v>5</v>
      </c>
      <c r="M1756" s="1249" t="s">
        <v>323</v>
      </c>
      <c r="N1756" s="604" t="s">
        <v>227</v>
      </c>
      <c r="O1756" s="465"/>
      <c r="P1756" s="435"/>
      <c r="Q1756" s="435"/>
      <c r="R1756" s="401">
        <v>0</v>
      </c>
      <c r="S1756" s="466">
        <v>0</v>
      </c>
    </row>
    <row r="1757" spans="2:19" ht="16.5" thickTop="1" thickBot="1">
      <c r="B1757" s="1249" t="s">
        <v>905</v>
      </c>
      <c r="C1757" s="1329" t="s">
        <v>227</v>
      </c>
      <c r="D1757" s="1326" t="s">
        <v>227</v>
      </c>
      <c r="E1757" s="1249" t="s">
        <v>1009</v>
      </c>
      <c r="F1757" s="455" t="s">
        <v>1010</v>
      </c>
      <c r="G1757" s="456" t="s">
        <v>156</v>
      </c>
      <c r="H1757" s="889">
        <v>19</v>
      </c>
      <c r="I1757" s="891">
        <v>597.27499999999998</v>
      </c>
      <c r="J1757" s="601">
        <v>2095.2260000000001</v>
      </c>
      <c r="K1757" s="602">
        <v>0.31481481481481483</v>
      </c>
      <c r="L1757" s="981">
        <v>4</v>
      </c>
      <c r="M1757" s="1249" t="s">
        <v>323</v>
      </c>
      <c r="N1757" s="604" t="s">
        <v>227</v>
      </c>
      <c r="O1757" s="465"/>
      <c r="P1757" s="435">
        <v>0</v>
      </c>
      <c r="Q1757" s="435"/>
      <c r="R1757" s="401">
        <v>0</v>
      </c>
      <c r="S1757" s="466">
        <v>0</v>
      </c>
    </row>
    <row r="1758" spans="2:19" ht="16.5" thickTop="1" thickBot="1">
      <c r="B1758" s="1249" t="s">
        <v>905</v>
      </c>
      <c r="C1758" s="1329" t="s">
        <v>227</v>
      </c>
      <c r="D1758" s="1326" t="s">
        <v>227</v>
      </c>
      <c r="E1758" s="1249" t="s">
        <v>1046</v>
      </c>
      <c r="F1758" s="455" t="s">
        <v>838</v>
      </c>
      <c r="G1758" s="456" t="s">
        <v>157</v>
      </c>
      <c r="H1758" s="889">
        <v>18</v>
      </c>
      <c r="I1758" s="891">
        <v>24.463000000000001</v>
      </c>
      <c r="J1758" s="601">
        <v>92.721000000000004</v>
      </c>
      <c r="K1758" s="602">
        <v>8.6021505376344093E-2</v>
      </c>
      <c r="L1758" s="981">
        <v>6</v>
      </c>
      <c r="M1758" s="1249" t="s">
        <v>366</v>
      </c>
      <c r="N1758" s="604" t="s">
        <v>227</v>
      </c>
      <c r="O1758" s="465"/>
      <c r="P1758" s="435">
        <v>23.693999999999999</v>
      </c>
      <c r="Q1758" s="435">
        <v>1</v>
      </c>
      <c r="R1758" s="401">
        <v>0</v>
      </c>
      <c r="S1758" s="466">
        <v>0</v>
      </c>
    </row>
    <row r="1759" spans="2:19" ht="16.5" thickTop="1" thickBot="1">
      <c r="B1759" s="1249" t="s">
        <v>905</v>
      </c>
      <c r="C1759" s="1329" t="s">
        <v>227</v>
      </c>
      <c r="D1759" s="1326" t="s">
        <v>227</v>
      </c>
      <c r="E1759" s="1249" t="s">
        <v>1094</v>
      </c>
      <c r="F1759" s="455" t="s">
        <v>1095</v>
      </c>
      <c r="G1759" s="456" t="s">
        <v>156</v>
      </c>
      <c r="H1759" s="889">
        <v>18</v>
      </c>
      <c r="I1759" s="891"/>
      <c r="J1759" s="601">
        <v>6.3310000000000004</v>
      </c>
      <c r="K1759" s="602">
        <v>4.878048780487805E-2</v>
      </c>
      <c r="L1759" s="981">
        <v>1</v>
      </c>
      <c r="M1759" s="1249" t="s">
        <v>366</v>
      </c>
      <c r="N1759" s="604" t="s">
        <v>227</v>
      </c>
      <c r="O1759" s="465"/>
      <c r="P1759" s="435"/>
      <c r="Q1759" s="435"/>
      <c r="R1759" s="401">
        <v>0</v>
      </c>
      <c r="S1759" s="466">
        <v>0</v>
      </c>
    </row>
    <row r="1760" spans="2:19" ht="16.5" thickTop="1" thickBot="1">
      <c r="B1760" s="1249" t="s">
        <v>905</v>
      </c>
      <c r="C1760" s="1329" t="s">
        <v>227</v>
      </c>
      <c r="D1760" s="1326" t="s">
        <v>227</v>
      </c>
      <c r="E1760" s="1249" t="s">
        <v>1667</v>
      </c>
      <c r="F1760" s="455" t="s">
        <v>1668</v>
      </c>
      <c r="G1760" s="456" t="s">
        <v>156</v>
      </c>
      <c r="H1760" s="889">
        <v>14</v>
      </c>
      <c r="I1760" s="891">
        <v>105.36</v>
      </c>
      <c r="J1760" s="601">
        <v>685.27200000000005</v>
      </c>
      <c r="K1760" s="602">
        <v>0.26737967914438504</v>
      </c>
      <c r="L1760" s="981">
        <v>10</v>
      </c>
      <c r="M1760" s="1249" t="s">
        <v>323</v>
      </c>
      <c r="N1760" s="604" t="s">
        <v>227</v>
      </c>
      <c r="O1760" s="465">
        <v>1</v>
      </c>
      <c r="P1760" s="435">
        <v>0</v>
      </c>
      <c r="Q1760" s="435"/>
      <c r="R1760" s="401">
        <v>0</v>
      </c>
      <c r="S1760" s="466">
        <v>0</v>
      </c>
    </row>
    <row r="1761" spans="2:19" ht="16.5" thickTop="1" thickBot="1">
      <c r="B1761" s="1249" t="s">
        <v>905</v>
      </c>
      <c r="C1761" s="1329" t="s">
        <v>227</v>
      </c>
      <c r="D1761" s="1326" t="s">
        <v>227</v>
      </c>
      <c r="E1761" s="1249" t="s">
        <v>2883</v>
      </c>
      <c r="F1761" s="455" t="s">
        <v>2884</v>
      </c>
      <c r="G1761" s="456" t="s">
        <v>155</v>
      </c>
      <c r="H1761" s="889"/>
      <c r="I1761" s="891"/>
      <c r="J1761" s="601">
        <v>37.453000000000003</v>
      </c>
      <c r="K1761" s="602">
        <v>0.1</v>
      </c>
      <c r="L1761" s="981">
        <v>6</v>
      </c>
      <c r="M1761" s="1249" t="s">
        <v>366</v>
      </c>
      <c r="N1761" s="604" t="s">
        <v>227</v>
      </c>
      <c r="O1761" s="465">
        <v>4</v>
      </c>
      <c r="P1761" s="435"/>
      <c r="Q1761" s="435"/>
      <c r="R1761" s="401">
        <v>0</v>
      </c>
      <c r="S1761" s="466">
        <v>0</v>
      </c>
    </row>
    <row r="1762" spans="2:19" ht="16.5" thickTop="1" thickBot="1">
      <c r="B1762" s="1249" t="s">
        <v>648</v>
      </c>
      <c r="C1762" s="1329" t="s">
        <v>227</v>
      </c>
      <c r="D1762" s="1326" t="s">
        <v>227</v>
      </c>
      <c r="E1762" s="1249" t="s">
        <v>1011</v>
      </c>
      <c r="F1762" s="455" t="s">
        <v>1012</v>
      </c>
      <c r="G1762" s="456" t="s">
        <v>156</v>
      </c>
      <c r="H1762" s="889">
        <v>20</v>
      </c>
      <c r="I1762" s="891">
        <v>60.66</v>
      </c>
      <c r="J1762" s="601">
        <v>188.083</v>
      </c>
      <c r="K1762" s="602">
        <v>0.2857142857142857</v>
      </c>
      <c r="L1762" s="981">
        <v>3</v>
      </c>
      <c r="M1762" s="1249" t="s">
        <v>366</v>
      </c>
      <c r="N1762" s="604" t="s">
        <v>227</v>
      </c>
      <c r="O1762" s="465"/>
      <c r="P1762" s="435">
        <v>29.385999999999999</v>
      </c>
      <c r="Q1762" s="435">
        <v>3</v>
      </c>
      <c r="R1762" s="401">
        <v>2</v>
      </c>
      <c r="S1762" s="466">
        <v>0.66666666666666663</v>
      </c>
    </row>
    <row r="1763" spans="2:19" ht="16.5" thickTop="1" thickBot="1">
      <c r="B1763" s="1249" t="s">
        <v>648</v>
      </c>
      <c r="C1763" s="1329" t="s">
        <v>227</v>
      </c>
      <c r="D1763" s="1326" t="s">
        <v>227</v>
      </c>
      <c r="E1763" s="1249" t="s">
        <v>1048</v>
      </c>
      <c r="F1763" s="455" t="s">
        <v>1050</v>
      </c>
      <c r="G1763" s="456" t="s">
        <v>157</v>
      </c>
      <c r="H1763" s="889">
        <v>18</v>
      </c>
      <c r="I1763" s="891">
        <v>56.127000000000002</v>
      </c>
      <c r="J1763" s="601">
        <v>99.405000000000001</v>
      </c>
      <c r="K1763" s="602">
        <v>0.15730337078651685</v>
      </c>
      <c r="L1763" s="981">
        <v>3</v>
      </c>
      <c r="M1763" s="1249" t="s">
        <v>366</v>
      </c>
      <c r="N1763" s="604" t="s">
        <v>227</v>
      </c>
      <c r="O1763" s="465"/>
      <c r="P1763" s="435">
        <v>0</v>
      </c>
      <c r="Q1763" s="435"/>
      <c r="R1763" s="401">
        <v>0</v>
      </c>
      <c r="S1763" s="466">
        <v>0</v>
      </c>
    </row>
    <row r="1764" spans="2:19" ht="16.5" thickTop="1" thickBot="1">
      <c r="B1764" s="1249" t="s">
        <v>648</v>
      </c>
      <c r="C1764" s="1329" t="s">
        <v>227</v>
      </c>
      <c r="D1764" s="1326" t="s">
        <v>227</v>
      </c>
      <c r="E1764" s="1249" t="s">
        <v>1544</v>
      </c>
      <c r="F1764" s="455" t="s">
        <v>1545</v>
      </c>
      <c r="G1764" s="456" t="s">
        <v>156</v>
      </c>
      <c r="H1764" s="889">
        <v>14</v>
      </c>
      <c r="I1764" s="891">
        <v>182.721</v>
      </c>
      <c r="J1764" s="601">
        <v>265.42200000000003</v>
      </c>
      <c r="K1764" s="602">
        <v>0.29508196721311475</v>
      </c>
      <c r="L1764" s="981">
        <v>2</v>
      </c>
      <c r="M1764" s="1249" t="s">
        <v>322</v>
      </c>
      <c r="N1764" s="604" t="s">
        <v>227</v>
      </c>
      <c r="O1764" s="465"/>
      <c r="P1764" s="435">
        <v>0</v>
      </c>
      <c r="Q1764" s="435"/>
      <c r="R1764" s="401">
        <v>0</v>
      </c>
      <c r="S1764" s="466">
        <v>0</v>
      </c>
    </row>
    <row r="1765" spans="2:19" ht="16.5" thickTop="1" thickBot="1">
      <c r="B1765" s="1249" t="s">
        <v>648</v>
      </c>
      <c r="C1765" s="1329" t="s">
        <v>709</v>
      </c>
      <c r="D1765" s="1326" t="s">
        <v>227</v>
      </c>
      <c r="E1765" s="1249" t="s">
        <v>709</v>
      </c>
      <c r="F1765" s="455" t="s">
        <v>721</v>
      </c>
      <c r="G1765" s="456" t="s">
        <v>158</v>
      </c>
      <c r="H1765" s="889">
        <v>25</v>
      </c>
      <c r="I1765" s="891">
        <v>15.794499999999999</v>
      </c>
      <c r="J1765" s="601">
        <v>104.5565</v>
      </c>
      <c r="K1765" s="602">
        <v>0.13333333333333333</v>
      </c>
      <c r="L1765" s="981">
        <v>9</v>
      </c>
      <c r="M1765" s="1249" t="s">
        <v>366</v>
      </c>
      <c r="N1765" s="604" t="s">
        <v>227</v>
      </c>
      <c r="O1765" s="465"/>
      <c r="P1765" s="435">
        <v>10.509</v>
      </c>
      <c r="Q1765" s="435">
        <v>1</v>
      </c>
      <c r="R1765" s="401">
        <v>1</v>
      </c>
      <c r="S1765" s="466">
        <v>0.1111111111111111</v>
      </c>
    </row>
    <row r="1766" spans="2:19" ht="16.5" thickTop="1" thickBot="1">
      <c r="B1766" s="1249" t="s">
        <v>648</v>
      </c>
      <c r="C1766" s="1329" t="s">
        <v>709</v>
      </c>
      <c r="D1766" s="1326" t="s">
        <v>227</v>
      </c>
      <c r="E1766" s="1249" t="s">
        <v>813</v>
      </c>
      <c r="F1766" s="455" t="s">
        <v>815</v>
      </c>
      <c r="G1766" s="456" t="s">
        <v>157</v>
      </c>
      <c r="H1766" s="889">
        <v>23</v>
      </c>
      <c r="I1766" s="891">
        <v>154.27600000000001</v>
      </c>
      <c r="J1766" s="601">
        <v>220.24</v>
      </c>
      <c r="K1766" s="602">
        <v>0.36065573770491804</v>
      </c>
      <c r="L1766" s="981">
        <v>2</v>
      </c>
      <c r="M1766" s="1249" t="s">
        <v>322</v>
      </c>
      <c r="N1766" s="604" t="s">
        <v>227</v>
      </c>
      <c r="O1766" s="465"/>
      <c r="P1766" s="435">
        <v>10.395</v>
      </c>
      <c r="Q1766" s="435">
        <v>1</v>
      </c>
      <c r="R1766" s="401">
        <v>1</v>
      </c>
      <c r="S1766" s="466">
        <v>0.5</v>
      </c>
    </row>
    <row r="1767" spans="2:19" ht="16.5" thickTop="1" thickBot="1">
      <c r="B1767" s="1249" t="s">
        <v>648</v>
      </c>
      <c r="C1767" s="1329" t="s">
        <v>709</v>
      </c>
      <c r="D1767" s="1326" t="s">
        <v>227</v>
      </c>
      <c r="E1767" s="1249" t="s">
        <v>821</v>
      </c>
      <c r="F1767" s="455" t="s">
        <v>822</v>
      </c>
      <c r="G1767" s="456" t="s">
        <v>157</v>
      </c>
      <c r="H1767" s="889">
        <v>23</v>
      </c>
      <c r="I1767" s="891">
        <v>112.1045</v>
      </c>
      <c r="J1767" s="601">
        <v>352.13749999999999</v>
      </c>
      <c r="K1767" s="602">
        <v>0.20270270270270271</v>
      </c>
      <c r="L1767" s="981">
        <v>6</v>
      </c>
      <c r="M1767" s="1249" t="s">
        <v>321</v>
      </c>
      <c r="N1767" s="604" t="s">
        <v>227</v>
      </c>
      <c r="O1767" s="465"/>
      <c r="P1767" s="435">
        <v>3.4365999999999999</v>
      </c>
      <c r="Q1767" s="435"/>
      <c r="R1767" s="401">
        <v>0</v>
      </c>
      <c r="S1767" s="466">
        <v>0</v>
      </c>
    </row>
    <row r="1768" spans="2:19" ht="16.5" thickTop="1" thickBot="1">
      <c r="B1768" s="1249" t="s">
        <v>648</v>
      </c>
      <c r="C1768" s="1329" t="s">
        <v>709</v>
      </c>
      <c r="D1768" s="1326" t="s">
        <v>227</v>
      </c>
      <c r="E1768" s="1249" t="s">
        <v>1029</v>
      </c>
      <c r="F1768" s="455" t="s">
        <v>1030</v>
      </c>
      <c r="G1768" s="456" t="s">
        <v>156</v>
      </c>
      <c r="H1768" s="889">
        <v>18</v>
      </c>
      <c r="I1768" s="891">
        <v>12.473000000000001</v>
      </c>
      <c r="J1768" s="601">
        <v>19.565999999999999</v>
      </c>
      <c r="K1768" s="602">
        <v>0.12903225806451613</v>
      </c>
      <c r="L1768" s="981">
        <v>1</v>
      </c>
      <c r="M1768" s="1249" t="s">
        <v>366</v>
      </c>
      <c r="N1768" s="604" t="s">
        <v>227</v>
      </c>
      <c r="O1768" s="465"/>
      <c r="P1768" s="435">
        <v>0</v>
      </c>
      <c r="Q1768" s="435"/>
      <c r="R1768" s="401">
        <v>0</v>
      </c>
      <c r="S1768" s="466">
        <v>0</v>
      </c>
    </row>
    <row r="1769" spans="2:19" ht="16.5" thickTop="1" thickBot="1">
      <c r="B1769" s="1249" t="s">
        <v>648</v>
      </c>
      <c r="C1769" s="1329" t="s">
        <v>709</v>
      </c>
      <c r="D1769" s="1326" t="s">
        <v>227</v>
      </c>
      <c r="E1769" s="1249" t="s">
        <v>1272</v>
      </c>
      <c r="F1769" s="455" t="s">
        <v>1273</v>
      </c>
      <c r="G1769" s="456" t="s">
        <v>156</v>
      </c>
      <c r="H1769" s="889">
        <v>17</v>
      </c>
      <c r="I1769" s="891">
        <v>29.72</v>
      </c>
      <c r="J1769" s="601">
        <v>29.72</v>
      </c>
      <c r="K1769" s="602">
        <v>7.1428571428571425E-2</v>
      </c>
      <c r="L1769" s="981">
        <v>4</v>
      </c>
      <c r="M1769" s="1249" t="s">
        <v>366</v>
      </c>
      <c r="N1769" s="604" t="s">
        <v>227</v>
      </c>
      <c r="O1769" s="465"/>
      <c r="P1769" s="435">
        <v>0</v>
      </c>
      <c r="Q1769" s="435"/>
      <c r="R1769" s="401">
        <v>0</v>
      </c>
      <c r="S1769" s="466">
        <v>0</v>
      </c>
    </row>
    <row r="1770" spans="2:19" ht="16.5" thickTop="1" thickBot="1">
      <c r="B1770" s="1249" t="s">
        <v>648</v>
      </c>
      <c r="C1770" s="1329" t="s">
        <v>709</v>
      </c>
      <c r="D1770" s="1326" t="s">
        <v>227</v>
      </c>
      <c r="E1770" s="1249" t="s">
        <v>1415</v>
      </c>
      <c r="F1770" s="455" t="s">
        <v>1416</v>
      </c>
      <c r="G1770" s="456" t="s">
        <v>157</v>
      </c>
      <c r="H1770" s="889">
        <v>15</v>
      </c>
      <c r="I1770" s="891">
        <v>97.912999999999997</v>
      </c>
      <c r="J1770" s="601">
        <v>337.81299999999999</v>
      </c>
      <c r="K1770" s="602">
        <v>0.44</v>
      </c>
      <c r="L1770" s="981">
        <v>5</v>
      </c>
      <c r="M1770" s="1249" t="s">
        <v>321</v>
      </c>
      <c r="N1770" s="604" t="s">
        <v>227</v>
      </c>
      <c r="O1770" s="465">
        <v>1</v>
      </c>
      <c r="P1770" s="435">
        <v>47.241999999999997</v>
      </c>
      <c r="Q1770" s="435">
        <v>3</v>
      </c>
      <c r="R1770" s="401">
        <v>1</v>
      </c>
      <c r="S1770" s="466">
        <v>0.22222222222222221</v>
      </c>
    </row>
    <row r="1771" spans="2:19" ht="16.5" thickTop="1" thickBot="1">
      <c r="B1771" s="1249" t="s">
        <v>648</v>
      </c>
      <c r="C1771" s="1329" t="s">
        <v>709</v>
      </c>
      <c r="D1771" s="1326" t="s">
        <v>227</v>
      </c>
      <c r="E1771" s="1249" t="s">
        <v>1947</v>
      </c>
      <c r="F1771" s="455" t="s">
        <v>1948</v>
      </c>
      <c r="G1771" s="456" t="s">
        <v>156</v>
      </c>
      <c r="H1771" s="889">
        <v>12</v>
      </c>
      <c r="I1771" s="891">
        <v>98.433999999999997</v>
      </c>
      <c r="J1771" s="601">
        <v>533.37099999999998</v>
      </c>
      <c r="K1771" s="602">
        <v>0.35294117647058826</v>
      </c>
      <c r="L1771" s="981">
        <v>5</v>
      </c>
      <c r="M1771" s="1249" t="s">
        <v>323</v>
      </c>
      <c r="N1771" s="604" t="s">
        <v>227</v>
      </c>
      <c r="O1771" s="465"/>
      <c r="P1771" s="435">
        <v>9.35</v>
      </c>
      <c r="Q1771" s="435">
        <v>-1</v>
      </c>
      <c r="R1771" s="401">
        <v>0</v>
      </c>
      <c r="S1771" s="466">
        <v>0</v>
      </c>
    </row>
    <row r="1772" spans="2:19" ht="16.5" thickTop="1" thickBot="1">
      <c r="B1772" s="1249" t="s">
        <v>648</v>
      </c>
      <c r="C1772" s="1329" t="s">
        <v>709</v>
      </c>
      <c r="D1772" s="1326" t="s">
        <v>227</v>
      </c>
      <c r="E1772" s="1249" t="s">
        <v>2469</v>
      </c>
      <c r="F1772" s="455" t="s">
        <v>2471</v>
      </c>
      <c r="G1772" s="456" t="s">
        <v>157</v>
      </c>
      <c r="H1772" s="889">
        <v>7</v>
      </c>
      <c r="I1772" s="891">
        <v>447.73899999999998</v>
      </c>
      <c r="J1772" s="601">
        <v>474.834</v>
      </c>
      <c r="K1772" s="602">
        <v>0.34375</v>
      </c>
      <c r="L1772" s="981">
        <v>8</v>
      </c>
      <c r="M1772" s="1249" t="s">
        <v>323</v>
      </c>
      <c r="N1772" s="604" t="s">
        <v>227</v>
      </c>
      <c r="O1772" s="465">
        <v>1</v>
      </c>
      <c r="P1772" s="435">
        <v>48.448</v>
      </c>
      <c r="Q1772" s="435">
        <v>3</v>
      </c>
      <c r="R1772" s="401">
        <v>1</v>
      </c>
      <c r="S1772" s="466">
        <v>0.13333333333333333</v>
      </c>
    </row>
    <row r="1773" spans="2:19" ht="16.5" thickTop="1" thickBot="1">
      <c r="B1773" s="1249" t="s">
        <v>648</v>
      </c>
      <c r="C1773" s="1329" t="s">
        <v>709</v>
      </c>
      <c r="D1773" s="1326" t="s">
        <v>227</v>
      </c>
      <c r="E1773" s="1249" t="s">
        <v>2550</v>
      </c>
      <c r="F1773" s="455" t="s">
        <v>2551</v>
      </c>
      <c r="G1773" s="456" t="s">
        <v>156</v>
      </c>
      <c r="H1773" s="889">
        <v>6</v>
      </c>
      <c r="I1773" s="891">
        <v>39.003</v>
      </c>
      <c r="J1773" s="601">
        <v>75.076999999999998</v>
      </c>
      <c r="K1773" s="602">
        <v>0.31372549019607843</v>
      </c>
      <c r="L1773" s="981">
        <v>5</v>
      </c>
      <c r="M1773" s="1249" t="s">
        <v>322</v>
      </c>
      <c r="N1773" s="604" t="s">
        <v>227</v>
      </c>
      <c r="O1773" s="465"/>
      <c r="P1773" s="435"/>
      <c r="Q1773" s="435"/>
      <c r="R1773" s="401">
        <v>0</v>
      </c>
      <c r="S1773" s="466">
        <v>0</v>
      </c>
    </row>
    <row r="1774" spans="2:19" ht="16.5" thickTop="1" thickBot="1">
      <c r="B1774" s="1249" t="s">
        <v>648</v>
      </c>
      <c r="C1774" s="1329" t="s">
        <v>709</v>
      </c>
      <c r="D1774" s="1326" t="s">
        <v>227</v>
      </c>
      <c r="E1774" s="1249" t="s">
        <v>2887</v>
      </c>
      <c r="F1774" s="455" t="s">
        <v>2888</v>
      </c>
      <c r="G1774" s="456" t="s">
        <v>155</v>
      </c>
      <c r="H1774" s="889"/>
      <c r="I1774" s="891"/>
      <c r="J1774" s="601">
        <v>170.17699999999999</v>
      </c>
      <c r="K1774" s="602">
        <v>0.2857142857142857</v>
      </c>
      <c r="L1774" s="981">
        <v>4</v>
      </c>
      <c r="M1774" s="1249" t="s">
        <v>366</v>
      </c>
      <c r="N1774" s="604" t="s">
        <v>227</v>
      </c>
      <c r="O1774" s="465"/>
      <c r="P1774" s="435"/>
      <c r="Q1774" s="435"/>
      <c r="R1774" s="401">
        <v>0</v>
      </c>
      <c r="S1774" s="466">
        <v>0</v>
      </c>
    </row>
    <row r="1775" spans="2:19" ht="16.5" thickTop="1" thickBot="1">
      <c r="B1775" s="1249" t="s">
        <v>648</v>
      </c>
      <c r="C1775" s="1329" t="s">
        <v>709</v>
      </c>
      <c r="D1775" s="1326" t="s">
        <v>227</v>
      </c>
      <c r="E1775" s="1249" t="s">
        <v>2885</v>
      </c>
      <c r="F1775" s="455" t="s">
        <v>2886</v>
      </c>
      <c r="G1775" s="456" t="s">
        <v>156</v>
      </c>
      <c r="H1775" s="889">
        <v>3</v>
      </c>
      <c r="I1775" s="891">
        <v>67.260000000000005</v>
      </c>
      <c r="J1775" s="601">
        <v>79.435000000000002</v>
      </c>
      <c r="K1775" s="602">
        <v>0.44444444444444442</v>
      </c>
      <c r="L1775" s="981">
        <v>4</v>
      </c>
      <c r="M1775" s="1249" t="s">
        <v>323</v>
      </c>
      <c r="N1775" s="604" t="s">
        <v>227</v>
      </c>
      <c r="O1775" s="465">
        <v>1</v>
      </c>
      <c r="P1775" s="435"/>
      <c r="Q1775" s="435"/>
      <c r="R1775" s="401">
        <v>0</v>
      </c>
      <c r="S1775" s="466">
        <v>0</v>
      </c>
    </row>
    <row r="1776" spans="2:19" ht="16.5" thickTop="1" thickBot="1">
      <c r="B1776" s="1249" t="s">
        <v>648</v>
      </c>
      <c r="C1776" s="1329" t="s">
        <v>709</v>
      </c>
      <c r="D1776" s="1326" t="s">
        <v>227</v>
      </c>
      <c r="E1776" s="1249" t="s">
        <v>2889</v>
      </c>
      <c r="F1776" s="455" t="s">
        <v>2890</v>
      </c>
      <c r="G1776" s="456" t="s">
        <v>156</v>
      </c>
      <c r="H1776" s="889">
        <v>3</v>
      </c>
      <c r="I1776" s="891"/>
      <c r="J1776" s="601">
        <v>22.872</v>
      </c>
      <c r="K1776" s="602">
        <v>7.1428571428571425E-2</v>
      </c>
      <c r="L1776" s="981">
        <v>6</v>
      </c>
      <c r="M1776" s="1249" t="s">
        <v>366</v>
      </c>
      <c r="N1776" s="604" t="s">
        <v>227</v>
      </c>
      <c r="O1776" s="465">
        <v>1</v>
      </c>
      <c r="P1776" s="435"/>
      <c r="Q1776" s="435"/>
      <c r="R1776" s="401">
        <v>0</v>
      </c>
      <c r="S1776" s="466">
        <v>0</v>
      </c>
    </row>
    <row r="1777" spans="2:19" ht="16.5" thickTop="1" thickBot="1">
      <c r="B1777" s="1249" t="s">
        <v>648</v>
      </c>
      <c r="C1777" s="1329" t="s">
        <v>709</v>
      </c>
      <c r="D1777" s="1326" t="s">
        <v>227</v>
      </c>
      <c r="E1777" s="1249" t="s">
        <v>4013</v>
      </c>
      <c r="F1777" s="455" t="s">
        <v>4014</v>
      </c>
      <c r="G1777" s="456" t="s">
        <v>155</v>
      </c>
      <c r="H1777" s="889"/>
      <c r="I1777" s="891"/>
      <c r="J1777" s="601"/>
      <c r="K1777" s="602">
        <v>0</v>
      </c>
      <c r="L1777" s="981">
        <v>1</v>
      </c>
      <c r="M1777" s="1249" t="s">
        <v>366</v>
      </c>
      <c r="N1777" s="604" t="s">
        <v>227</v>
      </c>
      <c r="O1777" s="465"/>
      <c r="P1777" s="435"/>
      <c r="Q1777" s="435"/>
      <c r="R1777" s="401">
        <v>0</v>
      </c>
      <c r="S1777" s="466">
        <v>0</v>
      </c>
    </row>
    <row r="1778" spans="2:19" ht="16.5" thickTop="1" thickBot="1">
      <c r="B1778" s="1249" t="s">
        <v>648</v>
      </c>
      <c r="C1778" s="1329" t="s">
        <v>3216</v>
      </c>
      <c r="D1778" s="1326" t="s">
        <v>227</v>
      </c>
      <c r="E1778" s="1249" t="s">
        <v>3166</v>
      </c>
      <c r="F1778" s="455" t="s">
        <v>3167</v>
      </c>
      <c r="G1778" s="456" t="s">
        <v>156</v>
      </c>
      <c r="H1778" s="889">
        <v>2</v>
      </c>
      <c r="I1778" s="891">
        <v>10.048</v>
      </c>
      <c r="J1778" s="601">
        <v>10.048</v>
      </c>
      <c r="K1778" s="602">
        <v>0.18181818181818182</v>
      </c>
      <c r="L1778" s="981">
        <v>3</v>
      </c>
      <c r="M1778" s="1249" t="s">
        <v>366</v>
      </c>
      <c r="N1778" s="604" t="s">
        <v>227</v>
      </c>
      <c r="O1778" s="465"/>
      <c r="P1778" s="435"/>
      <c r="Q1778" s="435"/>
      <c r="R1778" s="401">
        <v>0</v>
      </c>
      <c r="S1778" s="466">
        <v>0</v>
      </c>
    </row>
    <row r="1779" spans="2:19" ht="16.5" thickTop="1" thickBot="1">
      <c r="B1779" s="1249" t="s">
        <v>648</v>
      </c>
      <c r="C1779" s="1329" t="s">
        <v>3216</v>
      </c>
      <c r="D1779" s="1326" t="s">
        <v>227</v>
      </c>
      <c r="E1779" s="1249" t="s">
        <v>3471</v>
      </c>
      <c r="F1779" s="455" t="s">
        <v>3472</v>
      </c>
      <c r="G1779" s="456" t="s">
        <v>156</v>
      </c>
      <c r="H1779" s="889">
        <v>2</v>
      </c>
      <c r="I1779" s="891">
        <v>10.28</v>
      </c>
      <c r="J1779" s="601">
        <v>10.28</v>
      </c>
      <c r="K1779" s="602">
        <v>0.2</v>
      </c>
      <c r="L1779" s="981">
        <v>4</v>
      </c>
      <c r="M1779" s="1249" t="s">
        <v>366</v>
      </c>
      <c r="N1779" s="604" t="s">
        <v>227</v>
      </c>
      <c r="O1779" s="465">
        <v>1</v>
      </c>
      <c r="P1779" s="435"/>
      <c r="Q1779" s="435"/>
      <c r="R1779" s="401">
        <v>0</v>
      </c>
      <c r="S1779" s="466">
        <v>0</v>
      </c>
    </row>
    <row r="1780" spans="2:19" ht="16.5" thickTop="1" thickBot="1">
      <c r="B1780" s="1249" t="s">
        <v>648</v>
      </c>
      <c r="C1780" s="1329" t="s">
        <v>3217</v>
      </c>
      <c r="D1780" s="1326" t="s">
        <v>227</v>
      </c>
      <c r="E1780" s="1249" t="s">
        <v>3217</v>
      </c>
      <c r="F1780" s="455" t="s">
        <v>3219</v>
      </c>
      <c r="G1780" s="456" t="s">
        <v>158</v>
      </c>
      <c r="H1780" s="889">
        <v>2</v>
      </c>
      <c r="I1780" s="891"/>
      <c r="J1780" s="601">
        <v>10.069000000000001</v>
      </c>
      <c r="K1780" s="602">
        <v>0.16666666666666666</v>
      </c>
      <c r="L1780" s="981">
        <v>4</v>
      </c>
      <c r="M1780" s="1249" t="s">
        <v>366</v>
      </c>
      <c r="N1780" s="604" t="s">
        <v>227</v>
      </c>
      <c r="O1780" s="465"/>
      <c r="P1780" s="435"/>
      <c r="Q1780" s="435"/>
      <c r="R1780" s="401">
        <v>0</v>
      </c>
      <c r="S1780" s="466">
        <v>0</v>
      </c>
    </row>
    <row r="1781" spans="2:19" ht="16.5" thickTop="1" thickBot="1">
      <c r="B1781" s="1249" t="s">
        <v>648</v>
      </c>
      <c r="C1781" s="1329" t="s">
        <v>3217</v>
      </c>
      <c r="D1781" s="1326" t="s">
        <v>227</v>
      </c>
      <c r="E1781" s="1249" t="s">
        <v>3473</v>
      </c>
      <c r="F1781" s="455" t="s">
        <v>3474</v>
      </c>
      <c r="G1781" s="456" t="s">
        <v>157</v>
      </c>
      <c r="H1781" s="889">
        <v>2</v>
      </c>
      <c r="I1781" s="891"/>
      <c r="J1781" s="601">
        <v>10.688000000000001</v>
      </c>
      <c r="K1781" s="602">
        <v>0.18181818181818182</v>
      </c>
      <c r="L1781" s="981">
        <v>4</v>
      </c>
      <c r="M1781" s="1249" t="s">
        <v>366</v>
      </c>
      <c r="N1781" s="604" t="s">
        <v>227</v>
      </c>
      <c r="O1781" s="465">
        <v>1</v>
      </c>
      <c r="P1781" s="435"/>
      <c r="Q1781" s="435"/>
      <c r="R1781" s="401">
        <v>0</v>
      </c>
      <c r="S1781" s="466">
        <v>0</v>
      </c>
    </row>
    <row r="1782" spans="2:19" ht="16.5" thickTop="1" thickBot="1">
      <c r="B1782" s="1249" t="s">
        <v>648</v>
      </c>
      <c r="C1782" s="1329" t="s">
        <v>3217</v>
      </c>
      <c r="D1782" s="1326" t="s">
        <v>227</v>
      </c>
      <c r="E1782" s="1249" t="s">
        <v>3475</v>
      </c>
      <c r="F1782" s="455" t="s">
        <v>3476</v>
      </c>
      <c r="G1782" s="456" t="s">
        <v>156</v>
      </c>
      <c r="H1782" s="889">
        <v>2</v>
      </c>
      <c r="I1782" s="891"/>
      <c r="J1782" s="601">
        <v>10.278</v>
      </c>
      <c r="K1782" s="602">
        <v>0.22222222222222221</v>
      </c>
      <c r="L1782" s="981">
        <v>3</v>
      </c>
      <c r="M1782" s="1249" t="s">
        <v>366</v>
      </c>
      <c r="N1782" s="604" t="s">
        <v>227</v>
      </c>
      <c r="O1782" s="465"/>
      <c r="P1782" s="435"/>
      <c r="Q1782" s="435"/>
      <c r="R1782" s="401">
        <v>0</v>
      </c>
      <c r="S1782" s="466">
        <v>0</v>
      </c>
    </row>
    <row r="1783" spans="2:19" ht="16.5" thickTop="1" thickBot="1">
      <c r="B1783" s="1249" t="s">
        <v>648</v>
      </c>
      <c r="C1783" s="1329" t="s">
        <v>3220</v>
      </c>
      <c r="D1783" s="1326" t="s">
        <v>227</v>
      </c>
      <c r="E1783" s="1249" t="s">
        <v>3220</v>
      </c>
      <c r="F1783" s="455" t="s">
        <v>3222</v>
      </c>
      <c r="G1783" s="456" t="s">
        <v>158</v>
      </c>
      <c r="H1783" s="889">
        <v>2</v>
      </c>
      <c r="I1783" s="891">
        <v>20.562000000000001</v>
      </c>
      <c r="J1783" s="601">
        <v>20.562000000000001</v>
      </c>
      <c r="K1783" s="602">
        <v>0.66666666666666663</v>
      </c>
      <c r="L1783" s="981">
        <v>1</v>
      </c>
      <c r="M1783" s="1249" t="s">
        <v>322</v>
      </c>
      <c r="N1783" s="604" t="s">
        <v>227</v>
      </c>
      <c r="O1783" s="465"/>
      <c r="P1783" s="435">
        <v>10.085000000000001</v>
      </c>
      <c r="Q1783" s="435">
        <v>1</v>
      </c>
      <c r="R1783" s="401">
        <v>1</v>
      </c>
      <c r="S1783" s="466">
        <v>1</v>
      </c>
    </row>
    <row r="1784" spans="2:19" ht="16.5" thickTop="1" thickBot="1">
      <c r="B1784" s="1249" t="s">
        <v>648</v>
      </c>
      <c r="C1784" s="1329" t="s">
        <v>3220</v>
      </c>
      <c r="D1784" s="1326" t="s">
        <v>227</v>
      </c>
      <c r="E1784" s="1249" t="s">
        <v>3477</v>
      </c>
      <c r="F1784" s="455" t="s">
        <v>3478</v>
      </c>
      <c r="G1784" s="456" t="s">
        <v>157</v>
      </c>
      <c r="H1784" s="889">
        <v>2</v>
      </c>
      <c r="I1784" s="891"/>
      <c r="J1784" s="601">
        <v>19.683</v>
      </c>
      <c r="K1784" s="602">
        <v>0.5</v>
      </c>
      <c r="L1784" s="981">
        <v>4</v>
      </c>
      <c r="M1784" s="1249" t="s">
        <v>366</v>
      </c>
      <c r="N1784" s="604" t="s">
        <v>227</v>
      </c>
      <c r="O1784" s="465">
        <v>2</v>
      </c>
      <c r="P1784" s="435">
        <v>7.6760000000000002</v>
      </c>
      <c r="Q1784" s="435">
        <v>1</v>
      </c>
      <c r="R1784" s="401">
        <v>1</v>
      </c>
      <c r="S1784" s="466">
        <v>0.33333333333333331</v>
      </c>
    </row>
    <row r="1785" spans="2:19" ht="16.5" thickTop="1" thickBot="1">
      <c r="B1785" s="1249" t="s">
        <v>648</v>
      </c>
      <c r="C1785" s="1329" t="s">
        <v>3220</v>
      </c>
      <c r="D1785" s="1326" t="s">
        <v>227</v>
      </c>
      <c r="E1785" s="1249" t="s">
        <v>3479</v>
      </c>
      <c r="F1785" s="455" t="s">
        <v>3480</v>
      </c>
      <c r="G1785" s="456" t="s">
        <v>156</v>
      </c>
      <c r="H1785" s="889">
        <v>2</v>
      </c>
      <c r="I1785" s="891"/>
      <c r="J1785" s="601">
        <v>30.588999999999999</v>
      </c>
      <c r="K1785" s="602">
        <v>0.4</v>
      </c>
      <c r="L1785" s="981">
        <v>4</v>
      </c>
      <c r="M1785" s="1249" t="s">
        <v>321</v>
      </c>
      <c r="N1785" s="604" t="s">
        <v>227</v>
      </c>
      <c r="O1785" s="465">
        <v>1</v>
      </c>
      <c r="P1785" s="435">
        <v>20.56</v>
      </c>
      <c r="Q1785" s="435">
        <v>2</v>
      </c>
      <c r="R1785" s="401">
        <v>1</v>
      </c>
      <c r="S1785" s="466">
        <v>0.2857142857142857</v>
      </c>
    </row>
    <row r="1786" spans="2:19" ht="16.5" thickTop="1" thickBot="1">
      <c r="B1786" s="1249" t="s">
        <v>648</v>
      </c>
      <c r="C1786" s="1329" t="s">
        <v>3220</v>
      </c>
      <c r="D1786" s="1326" t="s">
        <v>227</v>
      </c>
      <c r="E1786" s="1249" t="s">
        <v>3481</v>
      </c>
      <c r="F1786" s="455" t="s">
        <v>3482</v>
      </c>
      <c r="G1786" s="456" t="s">
        <v>156</v>
      </c>
      <c r="H1786" s="889">
        <v>2</v>
      </c>
      <c r="I1786" s="891">
        <v>7.577</v>
      </c>
      <c r="J1786" s="601">
        <v>7.577</v>
      </c>
      <c r="K1786" s="602">
        <v>0.66666666666666663</v>
      </c>
      <c r="L1786" s="981">
        <v>1</v>
      </c>
      <c r="M1786" s="1249" t="s">
        <v>366</v>
      </c>
      <c r="N1786" s="604" t="s">
        <v>227</v>
      </c>
      <c r="O1786" s="465"/>
      <c r="P1786" s="435"/>
      <c r="Q1786" s="435"/>
      <c r="R1786" s="401">
        <v>0</v>
      </c>
      <c r="S1786" s="466">
        <v>0</v>
      </c>
    </row>
    <row r="1787" spans="2:19" ht="16.5" thickTop="1" thickBot="1">
      <c r="B1787" s="1249" t="s">
        <v>648</v>
      </c>
      <c r="C1787" s="1329" t="s">
        <v>3220</v>
      </c>
      <c r="D1787" s="1326" t="s">
        <v>227</v>
      </c>
      <c r="E1787" s="1249" t="s">
        <v>3483</v>
      </c>
      <c r="F1787" s="455" t="s">
        <v>3484</v>
      </c>
      <c r="G1787" s="456" t="s">
        <v>156</v>
      </c>
      <c r="H1787" s="889">
        <v>2</v>
      </c>
      <c r="I1787" s="891">
        <v>20.486999999999998</v>
      </c>
      <c r="J1787" s="601">
        <v>20.486999999999998</v>
      </c>
      <c r="K1787" s="602">
        <v>0.33333333333333331</v>
      </c>
      <c r="L1787" s="981">
        <v>2</v>
      </c>
      <c r="M1787" s="1249" t="s">
        <v>322</v>
      </c>
      <c r="N1787" s="604" t="s">
        <v>227</v>
      </c>
      <c r="O1787" s="465"/>
      <c r="P1787" s="435">
        <v>20.486999999999998</v>
      </c>
      <c r="Q1787" s="435">
        <v>2</v>
      </c>
      <c r="R1787" s="401">
        <v>1</v>
      </c>
      <c r="S1787" s="466">
        <v>0.5</v>
      </c>
    </row>
    <row r="1788" spans="2:19" ht="16.5" thickTop="1" thickBot="1">
      <c r="B1788" s="1249" t="s">
        <v>648</v>
      </c>
      <c r="C1788" s="1329" t="s">
        <v>3220</v>
      </c>
      <c r="D1788" s="1326" t="s">
        <v>227</v>
      </c>
      <c r="E1788" s="1249" t="s">
        <v>3721</v>
      </c>
      <c r="F1788" s="455" t="s">
        <v>3167</v>
      </c>
      <c r="G1788" s="456" t="s">
        <v>157</v>
      </c>
      <c r="H1788" s="889">
        <v>0</v>
      </c>
      <c r="I1788" s="891"/>
      <c r="J1788" s="601"/>
      <c r="K1788" s="602">
        <v>0</v>
      </c>
      <c r="L1788" s="981">
        <v>5</v>
      </c>
      <c r="M1788" s="1249" t="s">
        <v>227</v>
      </c>
      <c r="N1788" s="604" t="s">
        <v>227</v>
      </c>
      <c r="O1788" s="465">
        <v>2</v>
      </c>
      <c r="P1788" s="435"/>
      <c r="Q1788" s="435"/>
      <c r="R1788" s="401">
        <v>0</v>
      </c>
      <c r="S1788" s="466">
        <v>0</v>
      </c>
    </row>
    <row r="1789" spans="2:19" ht="16.5" thickTop="1" thickBot="1">
      <c r="B1789" s="1249" t="s">
        <v>648</v>
      </c>
      <c r="C1789" s="1329" t="s">
        <v>3220</v>
      </c>
      <c r="D1789" s="1326" t="s">
        <v>227</v>
      </c>
      <c r="E1789" s="1249" t="s">
        <v>4015</v>
      </c>
      <c r="F1789" s="455" t="s">
        <v>4016</v>
      </c>
      <c r="G1789" s="456" t="s">
        <v>156</v>
      </c>
      <c r="H1789" s="889">
        <v>0</v>
      </c>
      <c r="I1789" s="891"/>
      <c r="J1789" s="601"/>
      <c r="K1789" s="602">
        <v>0</v>
      </c>
      <c r="L1789" s="981">
        <v>1</v>
      </c>
      <c r="M1789" s="1249" t="s">
        <v>227</v>
      </c>
      <c r="N1789" s="604" t="s">
        <v>227</v>
      </c>
      <c r="O1789" s="465">
        <v>1</v>
      </c>
      <c r="P1789" s="435"/>
      <c r="Q1789" s="435"/>
      <c r="R1789" s="401">
        <v>0</v>
      </c>
      <c r="S1789" s="466">
        <v>0</v>
      </c>
    </row>
    <row r="1790" spans="2:19" ht="13.5" thickTop="1"/>
    <row r="1791" spans="2:19">
      <c r="K1791" s="1589"/>
    </row>
    <row r="1808" spans="11:11">
      <c r="K1808" s="1589"/>
    </row>
    <row r="1826" spans="11:11">
      <c r="K1826" s="1589"/>
    </row>
    <row r="1829" spans="11:11">
      <c r="K1829" s="1589"/>
    </row>
    <row r="1837" spans="11:11">
      <c r="K1837" s="1589"/>
    </row>
    <row r="1838" spans="11:11">
      <c r="K1838" s="1589"/>
    </row>
    <row r="1840" spans="11:11">
      <c r="K1840" s="1589"/>
    </row>
    <row r="1843" spans="11:11">
      <c r="K1843" s="1589"/>
    </row>
    <row r="1846" spans="11:11">
      <c r="K1846" s="1589"/>
    </row>
    <row r="1847" spans="11:11">
      <c r="K1847" s="1589"/>
    </row>
    <row r="1850" spans="11:11">
      <c r="K1850" s="1589"/>
    </row>
    <row r="1866" spans="11:11">
      <c r="K1866" s="1589"/>
    </row>
    <row r="1874" spans="11:11">
      <c r="K1874" s="1589"/>
    </row>
    <row r="1880" spans="11:11">
      <c r="K1880" s="1589"/>
    </row>
    <row r="1882" spans="11:11">
      <c r="K1882" s="1589"/>
    </row>
    <row r="1885" spans="11:11">
      <c r="K1885" s="1589"/>
    </row>
    <row r="1902" spans="11:11">
      <c r="K1902" s="1589"/>
    </row>
    <row r="1903" spans="11:11">
      <c r="K1903" s="1589"/>
    </row>
    <row r="1911" spans="11:19">
      <c r="K1911" s="1589"/>
    </row>
    <row r="1912" spans="11:19">
      <c r="S1912" s="1589"/>
    </row>
    <row r="1914" spans="11:19">
      <c r="K1914" s="1589"/>
    </row>
    <row r="1920" spans="11:19">
      <c r="S1920" s="1589"/>
    </row>
    <row r="1922" spans="11:19">
      <c r="K1922" s="1589"/>
    </row>
    <row r="1924" spans="11:19">
      <c r="K1924" s="1589"/>
    </row>
    <row r="1927" spans="11:19">
      <c r="K1927" s="1589"/>
    </row>
    <row r="1930" spans="11:19">
      <c r="S1930" s="1589"/>
    </row>
    <row r="1932" spans="11:19">
      <c r="K1932" s="1589"/>
    </row>
    <row r="1938" spans="19:19">
      <c r="S1938" s="1589"/>
    </row>
    <row r="1958" spans="11:11">
      <c r="K1958" s="1589"/>
    </row>
    <row r="1974" spans="11:11">
      <c r="K1974" s="1589"/>
    </row>
    <row r="1975" spans="11:11">
      <c r="K1975" s="1589"/>
    </row>
    <row r="1976" spans="11:11">
      <c r="K1976" s="1589"/>
    </row>
    <row r="1980" spans="11:11">
      <c r="K1980" s="1589"/>
    </row>
    <row r="1981" spans="11:11">
      <c r="K1981" s="1589"/>
    </row>
    <row r="1983" spans="11:11">
      <c r="K1983" s="1589"/>
    </row>
    <row r="1985" spans="11:11">
      <c r="K1985" s="1589"/>
    </row>
    <row r="1987" spans="11:11">
      <c r="K1987" s="1589"/>
    </row>
    <row r="1988" spans="11:11">
      <c r="K1988" s="1589"/>
    </row>
    <row r="1990" spans="11:11">
      <c r="K1990" s="1589"/>
    </row>
    <row r="1991" spans="11:11">
      <c r="K1991" s="1589"/>
    </row>
    <row r="1992" spans="11:11">
      <c r="K1992" s="1589"/>
    </row>
    <row r="1993" spans="11:11">
      <c r="K1993" s="1589"/>
    </row>
    <row r="1994" spans="11:11">
      <c r="K1994" s="1589"/>
    </row>
    <row r="1995" spans="11:11">
      <c r="K1995" s="1589"/>
    </row>
    <row r="1998" spans="11:11">
      <c r="K1998" s="1589"/>
    </row>
    <row r="2001" spans="11:19">
      <c r="K2001" s="1589"/>
    </row>
    <row r="2006" spans="11:19">
      <c r="K2006" s="1589"/>
    </row>
    <row r="2007" spans="11:19">
      <c r="S2007" s="1589"/>
    </row>
    <row r="2017" spans="11:19">
      <c r="S2017" s="1589"/>
    </row>
    <row r="2020" spans="11:19">
      <c r="S2020" s="1589"/>
    </row>
    <row r="2026" spans="11:19">
      <c r="K2026" s="1589"/>
    </row>
    <row r="2034" spans="11:11">
      <c r="K2034" s="1589"/>
    </row>
    <row r="2041" spans="11:11">
      <c r="K2041" s="1589"/>
    </row>
    <row r="2047" spans="11:11">
      <c r="K2047" s="1589"/>
    </row>
    <row r="2050" spans="11:11">
      <c r="K2050" s="1589"/>
    </row>
    <row r="2068" spans="11:11">
      <c r="K2068" s="1589"/>
    </row>
    <row r="2071" spans="11:11">
      <c r="K2071" s="1589"/>
    </row>
    <row r="2072" spans="11:11">
      <c r="K2072" s="1589"/>
    </row>
    <row r="2073" spans="11:11">
      <c r="K2073" s="1589"/>
    </row>
    <row r="2076" spans="11:11">
      <c r="K2076" s="1589"/>
    </row>
    <row r="2079" spans="11:11">
      <c r="K2079" s="1589"/>
    </row>
    <row r="2080" spans="11:11">
      <c r="K2080" s="1589"/>
    </row>
    <row r="2087" spans="11:11">
      <c r="K2087" s="1589"/>
    </row>
    <row r="2090" spans="11:11">
      <c r="K2090" s="1589"/>
    </row>
    <row r="2097" spans="11:11">
      <c r="K2097" s="1589"/>
    </row>
    <row r="2098" spans="11:11">
      <c r="K2098" s="1589"/>
    </row>
    <row r="2103" spans="11:11">
      <c r="K2103" s="1589"/>
    </row>
    <row r="2111" spans="11:11">
      <c r="K2111" s="1589"/>
    </row>
    <row r="2135" spans="11:11">
      <c r="K2135" s="1589"/>
    </row>
    <row r="2143" spans="11:11">
      <c r="K2143" s="1589"/>
    </row>
    <row r="2150" spans="11:11">
      <c r="K2150" s="1589"/>
    </row>
    <row r="2158" spans="11:11">
      <c r="K2158" s="1589"/>
    </row>
    <row r="2171" spans="11:11">
      <c r="K2171" s="1589"/>
    </row>
    <row r="2179" spans="11:11">
      <c r="K2179" s="1589"/>
    </row>
    <row r="2198" spans="11:11">
      <c r="K2198" s="1589"/>
    </row>
    <row r="2206" spans="11:11">
      <c r="K2206" s="1589"/>
    </row>
    <row r="2211" spans="11:11">
      <c r="K2211" s="1589"/>
    </row>
    <row r="2219" spans="11:11">
      <c r="K2219" s="1589"/>
    </row>
    <row r="2247" spans="11:11">
      <c r="K2247" s="1589"/>
    </row>
    <row r="2251" spans="11:11">
      <c r="K2251" s="1589"/>
    </row>
    <row r="2254" spans="11:11">
      <c r="K2254" s="1589"/>
    </row>
    <row r="2258" spans="11:11">
      <c r="K2258" s="1589"/>
    </row>
    <row r="2260" spans="11:11">
      <c r="K2260" s="1589"/>
    </row>
    <row r="2264" spans="11:11">
      <c r="K2264" s="1589"/>
    </row>
    <row r="2267" spans="11:11">
      <c r="K2267" s="1589"/>
    </row>
    <row r="2279" spans="11:11">
      <c r="K2279" s="1589"/>
    </row>
    <row r="2280" spans="11:11">
      <c r="K2280" s="1589"/>
    </row>
    <row r="2281" spans="11:11">
      <c r="K2281" s="1589"/>
    </row>
    <row r="2283" spans="11:11">
      <c r="K2283" s="1589"/>
    </row>
    <row r="2285" spans="11:11">
      <c r="K2285" s="1589"/>
    </row>
    <row r="2287" spans="11:11">
      <c r="K2287" s="1589"/>
    </row>
    <row r="2288" spans="11:11">
      <c r="K2288" s="1589"/>
    </row>
    <row r="2289" spans="11:11">
      <c r="K2289" s="1589"/>
    </row>
    <row r="2290" spans="11:11">
      <c r="K2290" s="1589"/>
    </row>
    <row r="2356" spans="11:11">
      <c r="K2356" s="1589"/>
    </row>
    <row r="2364" spans="11:11">
      <c r="K2364" s="1589"/>
    </row>
    <row r="2384" spans="11:11">
      <c r="K2384" s="1589"/>
    </row>
    <row r="2386" spans="11:11">
      <c r="K2386" s="1589"/>
    </row>
    <row r="2392" spans="11:11">
      <c r="K2392" s="1589"/>
    </row>
    <row r="2394" spans="11:11">
      <c r="K2394" s="1589"/>
    </row>
    <row r="2410" spans="11:11">
      <c r="K2410" s="1589"/>
    </row>
    <row r="2411" spans="11:11">
      <c r="K2411" s="1589"/>
    </row>
    <row r="2413" spans="11:11">
      <c r="K2413" s="1589"/>
    </row>
    <row r="2414" spans="11:11">
      <c r="K2414" s="1589"/>
    </row>
    <row r="2418" spans="11:11">
      <c r="K2418" s="1589"/>
    </row>
    <row r="2419" spans="11:11">
      <c r="K2419" s="1589"/>
    </row>
    <row r="2421" spans="11:11">
      <c r="K2421" s="1589"/>
    </row>
    <row r="2422" spans="11:11">
      <c r="K2422" s="1589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76" priority="23" operator="lessThan">
      <formula>0.25</formula>
    </cfRule>
    <cfRule type="cellIs" dxfId="75" priority="24" operator="lessThan">
      <formula>0.2</formula>
    </cfRule>
  </conditionalFormatting>
  <conditionalFormatting sqref="F63:F154 F181">
    <cfRule type="expression" dxfId="74" priority="22">
      <formula>O63="Under MOC"</formula>
    </cfRule>
  </conditionalFormatting>
  <conditionalFormatting sqref="F186:F464">
    <cfRule type="expression" dxfId="73" priority="21">
      <formula>N186="Under MOC"</formula>
    </cfRule>
  </conditionalFormatting>
  <conditionalFormatting sqref="F469:F1094 F1190:F1296 F1481:F1497">
    <cfRule type="expression" dxfId="72" priority="20">
      <formula>M469="U_200"</formula>
    </cfRule>
  </conditionalFormatting>
  <conditionalFormatting sqref="F1095:F1189">
    <cfRule type="expression" dxfId="71" priority="19">
      <formula>M1095="U_200"</formula>
    </cfRule>
  </conditionalFormatting>
  <conditionalFormatting sqref="F1297:F1310">
    <cfRule type="expression" dxfId="70" priority="13">
      <formula>M1297="U_200"</formula>
    </cfRule>
  </conditionalFormatting>
  <conditionalFormatting sqref="F1311:F1411">
    <cfRule type="expression" dxfId="69" priority="10">
      <formula>M1311="U_200"</formula>
    </cfRule>
  </conditionalFormatting>
  <conditionalFormatting sqref="F1412:F1433">
    <cfRule type="expression" dxfId="68" priority="9">
      <formula>M1412="U_200"</formula>
    </cfRule>
  </conditionalFormatting>
  <conditionalFormatting sqref="F1434 F1471:F1480">
    <cfRule type="expression" dxfId="67" priority="8">
      <formula>M1434="U_200"</formula>
    </cfRule>
  </conditionalFormatting>
  <conditionalFormatting sqref="F1498:F1516">
    <cfRule type="expression" dxfId="66" priority="6">
      <formula>M1498="U_200"</formula>
    </cfRule>
  </conditionalFormatting>
  <conditionalFormatting sqref="F1435 F1437 F1439 F1441 F1443 F1445 F1447 F1449 F1451 F1453 F1455 F1457 F1459 F1461 F1463 F1465 F1467 F1469">
    <cfRule type="expression" dxfId="65" priority="4">
      <formula>M1435="U_200"</formula>
    </cfRule>
  </conditionalFormatting>
  <conditionalFormatting sqref="F1436 F1438 F1440 F1442 F1444 F1446 F1448 F1450 F1452 F1454 F1456 F1458 F1460 F1462 F1464 F1466 F1468 F1470">
    <cfRule type="expression" dxfId="64" priority="3">
      <formula>M1436="U_200"</formula>
    </cfRule>
  </conditionalFormatting>
  <conditionalFormatting sqref="F1517:F1789">
    <cfRule type="expression" dxfId="63" priority="2">
      <formula>M1517="U_200"</formula>
    </cfRule>
  </conditionalFormatting>
  <conditionalFormatting sqref="F155:F180">
    <cfRule type="expression" dxfId="62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  <legacyDrawing r:id="rId3"/>
  <controls>
    <mc:AlternateContent xmlns:mc="http://schemas.openxmlformats.org/markup-compatibility/2006">
      <mc:Choice Requires="x14">
        <control shapeId="27652" r:id="rId4" name="cmbBDList">
          <controlPr defaultSize="0" autoLine="0" listFillRange="BDName" r:id="rId5">
            <anchor>
              <from>
                <xdr:col>9</xdr:col>
                <xdr:colOff>457200</xdr:colOff>
                <xdr:row>0</xdr:row>
                <xdr:rowOff>219075</xdr:rowOff>
              </from>
              <to>
                <xdr:col>9</xdr:col>
                <xdr:colOff>533400</xdr:colOff>
                <xdr:row>1</xdr:row>
                <xdr:rowOff>66675</xdr:rowOff>
              </to>
            </anchor>
          </controlPr>
        </control>
      </mc:Choice>
      <mc:Fallback>
        <control shapeId="27652" r:id="rId4" name="cmbBD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workbookViewId="0"/>
  </sheetViews>
  <sheetFormatPr defaultColWidth="8.7109375" defaultRowHeight="15"/>
  <cols>
    <col min="1" max="1" width="36.85546875" style="1596" bestFit="1" customWidth="1"/>
    <col min="2" max="2" width="14.42578125" style="1596" bestFit="1" customWidth="1"/>
    <col min="3" max="3" width="26.7109375" style="1695" bestFit="1" customWidth="1"/>
    <col min="4" max="5" width="19.5703125" style="1695" bestFit="1" customWidth="1"/>
    <col min="6" max="7" width="10.28515625" style="1695" bestFit="1" customWidth="1"/>
    <col min="8" max="8" width="19.42578125" style="1695" bestFit="1" customWidth="1"/>
    <col min="9" max="9" width="16.140625" style="1596" customWidth="1"/>
    <col min="10" max="10" width="9.85546875" style="1596" bestFit="1" customWidth="1"/>
    <col min="11" max="16384" width="8.7109375" style="1596"/>
  </cols>
  <sheetData>
    <row r="1" spans="1:20">
      <c r="A1" s="1596" t="s">
        <v>1110</v>
      </c>
      <c r="B1" s="1596" t="s">
        <v>1109</v>
      </c>
      <c r="C1" s="1695" t="s">
        <v>585</v>
      </c>
      <c r="D1" s="1695" t="s">
        <v>1</v>
      </c>
      <c r="E1" s="1695" t="s">
        <v>2</v>
      </c>
      <c r="F1" s="1695" t="s">
        <v>1108</v>
      </c>
      <c r="G1" s="1695" t="s">
        <v>1107</v>
      </c>
      <c r="H1" s="1695" t="s">
        <v>1106</v>
      </c>
      <c r="I1" s="1596" t="s">
        <v>1105</v>
      </c>
      <c r="L1" s="1016"/>
      <c r="M1" s="1016"/>
      <c r="N1" s="1016"/>
      <c r="O1" s="1016"/>
      <c r="P1" s="1016"/>
      <c r="Q1" s="1016"/>
      <c r="R1" s="1016"/>
      <c r="S1" s="1016"/>
      <c r="T1" s="1016"/>
    </row>
    <row r="2" spans="1:20">
      <c r="A2" s="1596">
        <v>10004</v>
      </c>
      <c r="B2" s="1596" t="s">
        <v>47</v>
      </c>
      <c r="C2" s="1695" t="s">
        <v>1111</v>
      </c>
      <c r="D2" s="1695">
        <v>525000000</v>
      </c>
      <c r="E2" s="1695">
        <v>500000000</v>
      </c>
      <c r="F2" s="1695">
        <v>21</v>
      </c>
      <c r="G2" s="1695">
        <v>9</v>
      </c>
      <c r="H2" s="1695">
        <v>2</v>
      </c>
      <c r="I2" s="1596">
        <v>11</v>
      </c>
      <c r="L2" s="1016"/>
      <c r="M2" s="1016"/>
      <c r="N2" s="1016"/>
      <c r="O2" s="1607"/>
      <c r="P2" s="1607"/>
      <c r="Q2" s="1016"/>
      <c r="R2" s="1016"/>
      <c r="S2" s="1016"/>
      <c r="T2" s="1016"/>
    </row>
    <row r="3" spans="1:20">
      <c r="A3" s="1596">
        <v>10009</v>
      </c>
      <c r="B3" s="1596" t="s">
        <v>91</v>
      </c>
      <c r="C3" s="1695" t="s">
        <v>1112</v>
      </c>
      <c r="D3" s="1695">
        <v>683000000</v>
      </c>
      <c r="E3" s="1695">
        <v>650000000</v>
      </c>
      <c r="F3" s="1695">
        <v>29</v>
      </c>
      <c r="G3" s="1695">
        <v>9</v>
      </c>
      <c r="H3" s="1695">
        <v>2</v>
      </c>
      <c r="I3" s="1596">
        <v>11</v>
      </c>
      <c r="L3" s="1016"/>
      <c r="M3" s="1016"/>
      <c r="N3" s="1016"/>
      <c r="O3" s="1607"/>
      <c r="P3" s="1607"/>
      <c r="Q3" s="1016"/>
      <c r="R3" s="1016"/>
      <c r="S3" s="1016"/>
      <c r="T3" s="1016"/>
    </row>
    <row r="4" spans="1:20">
      <c r="A4" s="1596">
        <v>10013</v>
      </c>
      <c r="B4" s="1596" t="s">
        <v>177</v>
      </c>
      <c r="C4" s="1695" t="s">
        <v>1113</v>
      </c>
      <c r="D4" s="1695">
        <v>817000000</v>
      </c>
      <c r="E4" s="1695">
        <v>776000000</v>
      </c>
      <c r="F4" s="1695">
        <v>33</v>
      </c>
      <c r="G4" s="1695">
        <v>10</v>
      </c>
      <c r="H4" s="1695">
        <v>0</v>
      </c>
      <c r="I4" s="1596">
        <v>10</v>
      </c>
      <c r="L4" s="1016"/>
      <c r="M4" s="1016"/>
      <c r="N4" s="1016"/>
      <c r="O4" s="1607"/>
      <c r="P4" s="1607"/>
      <c r="Q4" s="1016"/>
      <c r="R4" s="1016"/>
      <c r="S4" s="1016"/>
      <c r="T4" s="1016"/>
    </row>
    <row r="5" spans="1:20">
      <c r="A5" s="1596">
        <v>10014</v>
      </c>
      <c r="B5" s="1596" t="s">
        <v>185</v>
      </c>
      <c r="C5" s="1695" t="s">
        <v>1114</v>
      </c>
      <c r="D5" s="1695">
        <v>310000000</v>
      </c>
      <c r="E5" s="1695">
        <v>294000000</v>
      </c>
      <c r="F5" s="1695">
        <v>13</v>
      </c>
      <c r="G5" s="1695">
        <v>4</v>
      </c>
      <c r="H5" s="1695">
        <v>0</v>
      </c>
      <c r="I5" s="1596">
        <v>4</v>
      </c>
      <c r="L5" s="1016"/>
      <c r="M5" s="1016"/>
      <c r="N5" s="1016"/>
      <c r="O5" s="1607"/>
      <c r="P5" s="1607"/>
      <c r="Q5" s="1016"/>
      <c r="R5" s="1016"/>
      <c r="S5" s="1016"/>
      <c r="T5" s="1016"/>
    </row>
    <row r="6" spans="1:20">
      <c r="A6" s="1596">
        <v>10015</v>
      </c>
      <c r="B6" s="1596" t="s">
        <v>179</v>
      </c>
      <c r="C6" s="1695" t="s">
        <v>1115</v>
      </c>
      <c r="D6" s="1695">
        <v>817000000</v>
      </c>
      <c r="E6" s="1695">
        <v>776000000</v>
      </c>
      <c r="F6" s="1695">
        <v>33</v>
      </c>
      <c r="G6" s="1695">
        <v>10</v>
      </c>
      <c r="H6" s="1695">
        <v>0</v>
      </c>
      <c r="I6" s="1596">
        <v>10</v>
      </c>
      <c r="L6" s="1016"/>
      <c r="M6" s="1016"/>
      <c r="N6" s="1016"/>
      <c r="O6" s="1607"/>
      <c r="P6" s="1607"/>
      <c r="Q6" s="1016"/>
      <c r="R6" s="1016"/>
      <c r="S6" s="1016"/>
      <c r="T6" s="1016"/>
    </row>
    <row r="7" spans="1:20">
      <c r="A7" s="1596">
        <v>10017</v>
      </c>
      <c r="B7" s="1596" t="s">
        <v>176</v>
      </c>
      <c r="C7" s="1695" t="s">
        <v>1116</v>
      </c>
      <c r="D7" s="1695">
        <v>1103000000</v>
      </c>
      <c r="E7" s="1695">
        <v>1047000000</v>
      </c>
      <c r="F7" s="1695">
        <v>45</v>
      </c>
      <c r="G7" s="1695">
        <v>13</v>
      </c>
      <c r="H7" s="1695">
        <v>1</v>
      </c>
      <c r="I7" s="1596">
        <v>14</v>
      </c>
      <c r="L7" s="1016"/>
      <c r="M7" s="1016"/>
      <c r="N7" s="1016"/>
      <c r="O7" s="1607"/>
      <c r="P7" s="1607"/>
      <c r="Q7" s="1016"/>
      <c r="R7" s="1016"/>
      <c r="S7" s="1016"/>
      <c r="T7" s="1016"/>
    </row>
    <row r="8" spans="1:20">
      <c r="A8" s="1596">
        <v>10018</v>
      </c>
      <c r="B8" s="1596" t="s">
        <v>187</v>
      </c>
      <c r="C8" s="1695" t="s">
        <v>1117</v>
      </c>
      <c r="D8" s="1695">
        <v>420000000</v>
      </c>
      <c r="E8" s="1695">
        <v>400000000</v>
      </c>
      <c r="F8" s="1695">
        <v>15</v>
      </c>
      <c r="G8" s="1695">
        <v>9</v>
      </c>
      <c r="H8" s="1695">
        <v>2</v>
      </c>
      <c r="I8" s="1596">
        <v>11</v>
      </c>
      <c r="L8" s="1016"/>
      <c r="M8" s="1016"/>
      <c r="N8" s="1016"/>
      <c r="O8" s="1607"/>
      <c r="P8" s="1607"/>
      <c r="Q8" s="1016"/>
      <c r="R8" s="1016"/>
      <c r="S8" s="1016"/>
      <c r="T8" s="1016"/>
    </row>
    <row r="9" spans="1:20">
      <c r="A9" s="1596">
        <v>10031</v>
      </c>
      <c r="B9" s="1596" t="s">
        <v>630</v>
      </c>
      <c r="C9" s="1695" t="s">
        <v>1118</v>
      </c>
      <c r="D9" s="1695">
        <v>368000000</v>
      </c>
      <c r="E9" s="1695">
        <v>350000000</v>
      </c>
      <c r="F9" s="1695">
        <v>22</v>
      </c>
      <c r="G9" s="1695">
        <v>8</v>
      </c>
      <c r="H9" s="1695">
        <v>2</v>
      </c>
      <c r="I9" s="1596">
        <v>10</v>
      </c>
      <c r="L9" s="1016"/>
      <c r="M9" s="1016"/>
      <c r="N9" s="1016"/>
      <c r="O9" s="1607"/>
      <c r="P9" s="1607"/>
      <c r="Q9" s="1016"/>
      <c r="R9" s="1016"/>
      <c r="S9" s="1016"/>
      <c r="T9" s="1016"/>
    </row>
    <row r="10" spans="1:20">
      <c r="A10" s="1596">
        <v>10032</v>
      </c>
      <c r="B10" s="1596" t="s">
        <v>661</v>
      </c>
      <c r="C10" s="1695" t="s">
        <v>1119</v>
      </c>
      <c r="D10" s="1695">
        <v>310000000</v>
      </c>
      <c r="E10" s="1695">
        <v>294000000</v>
      </c>
      <c r="F10" s="1695">
        <v>13</v>
      </c>
      <c r="G10" s="1695">
        <v>4</v>
      </c>
      <c r="H10" s="1695">
        <v>0</v>
      </c>
      <c r="I10" s="1596">
        <v>4</v>
      </c>
      <c r="L10" s="1016"/>
      <c r="M10" s="1016"/>
      <c r="N10" s="1016"/>
      <c r="O10" s="1607"/>
      <c r="P10" s="1607"/>
      <c r="Q10" s="1016"/>
      <c r="R10" s="1016"/>
      <c r="S10" s="1016"/>
      <c r="T10" s="1016"/>
    </row>
    <row r="11" spans="1:20">
      <c r="A11" s="1596">
        <v>10033</v>
      </c>
      <c r="B11" s="1596" t="s">
        <v>557</v>
      </c>
      <c r="C11" s="1695" t="s">
        <v>1120</v>
      </c>
      <c r="D11" s="1695">
        <v>368000000</v>
      </c>
      <c r="E11" s="1695">
        <v>350000000</v>
      </c>
      <c r="F11" s="1695">
        <v>19</v>
      </c>
      <c r="G11" s="1695">
        <v>9</v>
      </c>
      <c r="H11" s="1695">
        <v>2</v>
      </c>
      <c r="I11" s="1596">
        <v>11</v>
      </c>
      <c r="L11" s="1016"/>
      <c r="M11" s="1016"/>
      <c r="N11" s="1016"/>
      <c r="O11" s="1607"/>
      <c r="P11" s="1607"/>
      <c r="Q11" s="1016"/>
      <c r="R11" s="1016"/>
      <c r="S11" s="1016"/>
      <c r="T11" s="1016"/>
    </row>
    <row r="12" spans="1:20">
      <c r="A12" s="1596">
        <v>10036</v>
      </c>
      <c r="B12" s="1596" t="s">
        <v>628</v>
      </c>
      <c r="C12" s="1695" t="s">
        <v>1121</v>
      </c>
      <c r="D12" s="1695">
        <v>368000000</v>
      </c>
      <c r="E12" s="1695">
        <v>350000000</v>
      </c>
      <c r="F12" s="1695">
        <v>17</v>
      </c>
      <c r="G12" s="1695">
        <v>9</v>
      </c>
      <c r="H12" s="1695">
        <v>2</v>
      </c>
      <c r="I12" s="1596">
        <v>11</v>
      </c>
      <c r="L12" s="1016"/>
      <c r="M12" s="1016"/>
      <c r="N12" s="1016"/>
      <c r="O12" s="1607"/>
      <c r="P12" s="1607"/>
      <c r="Q12" s="1016"/>
      <c r="R12" s="1016"/>
      <c r="S12" s="1016"/>
      <c r="T12" s="1016"/>
    </row>
    <row r="13" spans="1:20">
      <c r="A13" s="1596">
        <v>10037</v>
      </c>
      <c r="B13" s="1596" t="s">
        <v>650</v>
      </c>
      <c r="C13" s="1695" t="s">
        <v>1122</v>
      </c>
      <c r="D13" s="1695">
        <v>368000000</v>
      </c>
      <c r="E13" s="1695">
        <v>350000000</v>
      </c>
      <c r="F13" s="1695">
        <v>15</v>
      </c>
      <c r="G13" s="1695">
        <v>9</v>
      </c>
      <c r="H13" s="1695">
        <v>2</v>
      </c>
      <c r="I13" s="1596">
        <v>11</v>
      </c>
      <c r="L13" s="1016"/>
      <c r="M13" s="1016"/>
      <c r="N13" s="1016"/>
      <c r="O13" s="1607"/>
      <c r="P13" s="1607"/>
      <c r="Q13" s="1016"/>
      <c r="R13" s="1016"/>
      <c r="S13" s="1016"/>
      <c r="T13" s="1016"/>
    </row>
    <row r="14" spans="1:20">
      <c r="A14" s="1596">
        <v>10038</v>
      </c>
      <c r="B14" s="1596" t="s">
        <v>660</v>
      </c>
      <c r="C14" s="1695" t="s">
        <v>1123</v>
      </c>
      <c r="D14" s="1695">
        <v>310000000</v>
      </c>
      <c r="E14" s="1695">
        <v>294000000</v>
      </c>
      <c r="F14" s="1695">
        <v>13</v>
      </c>
      <c r="G14" s="1695">
        <v>4</v>
      </c>
      <c r="H14" s="1695">
        <v>0</v>
      </c>
      <c r="I14" s="1596">
        <v>4</v>
      </c>
      <c r="L14" s="1016"/>
      <c r="M14" s="1016"/>
      <c r="N14" s="1016"/>
      <c r="O14" s="1607"/>
      <c r="P14" s="1607"/>
      <c r="Q14" s="1016"/>
      <c r="R14" s="1016"/>
      <c r="S14" s="1016"/>
      <c r="T14" s="1016"/>
    </row>
    <row r="15" spans="1:20">
      <c r="A15" s="1596">
        <v>10039</v>
      </c>
      <c r="B15" s="1596" t="s">
        <v>648</v>
      </c>
      <c r="C15" s="1695" t="s">
        <v>1124</v>
      </c>
      <c r="D15" s="1695">
        <v>368000000</v>
      </c>
      <c r="E15" s="1695">
        <v>350000000</v>
      </c>
      <c r="F15" s="1695">
        <v>14</v>
      </c>
      <c r="G15" s="1695">
        <v>10</v>
      </c>
      <c r="H15" s="1695">
        <v>2</v>
      </c>
      <c r="I15" s="1596">
        <v>12</v>
      </c>
      <c r="L15" s="1016"/>
      <c r="M15" s="1016"/>
      <c r="N15" s="1016"/>
      <c r="O15" s="1607"/>
      <c r="P15" s="1607"/>
      <c r="Q15" s="1016"/>
      <c r="R15" s="1016"/>
      <c r="S15" s="1016"/>
      <c r="T15" s="1016"/>
    </row>
    <row r="16" spans="1:20">
      <c r="A16" s="1596">
        <v>10040</v>
      </c>
      <c r="B16" s="1596" t="s">
        <v>647</v>
      </c>
      <c r="C16" s="1695" t="s">
        <v>1125</v>
      </c>
      <c r="D16" s="1695">
        <v>368000000</v>
      </c>
      <c r="E16" s="1695">
        <v>350000000</v>
      </c>
      <c r="F16" s="1695">
        <v>14</v>
      </c>
      <c r="G16" s="1695">
        <v>10</v>
      </c>
      <c r="H16" s="1695">
        <v>2</v>
      </c>
      <c r="I16" s="1596">
        <v>12</v>
      </c>
      <c r="L16" s="1016"/>
      <c r="M16" s="1016"/>
      <c r="N16" s="1016"/>
      <c r="O16" s="1607"/>
      <c r="P16" s="1607"/>
      <c r="Q16" s="1016"/>
      <c r="R16" s="1016"/>
      <c r="S16" s="1016"/>
      <c r="T16" s="1016"/>
    </row>
    <row r="17" spans="1:20">
      <c r="A17" s="1596">
        <v>10043</v>
      </c>
      <c r="B17" s="1596" t="s">
        <v>659</v>
      </c>
      <c r="C17" s="1695" t="s">
        <v>1126</v>
      </c>
      <c r="D17" s="1695">
        <v>684000000</v>
      </c>
      <c r="E17" s="1695">
        <v>650000000</v>
      </c>
      <c r="F17" s="1695">
        <v>28</v>
      </c>
      <c r="G17" s="1695">
        <v>3</v>
      </c>
      <c r="H17" s="1695">
        <v>0</v>
      </c>
      <c r="I17" s="1596">
        <v>3</v>
      </c>
      <c r="L17" s="1016"/>
      <c r="M17" s="1016"/>
      <c r="N17" s="1016"/>
      <c r="O17" s="1607"/>
      <c r="P17" s="1607"/>
      <c r="Q17" s="1016"/>
      <c r="R17" s="1016"/>
      <c r="S17" s="1016"/>
      <c r="T17" s="1016"/>
    </row>
    <row r="18" spans="1:20">
      <c r="A18" s="1596">
        <v>10044</v>
      </c>
      <c r="B18" s="1596" t="s">
        <v>662</v>
      </c>
      <c r="C18" s="1695" t="s">
        <v>1127</v>
      </c>
      <c r="D18" s="1695">
        <v>310000000</v>
      </c>
      <c r="E18" s="1695">
        <v>294000000</v>
      </c>
      <c r="F18" s="1695">
        <v>13</v>
      </c>
      <c r="G18" s="1695">
        <v>4</v>
      </c>
      <c r="H18" s="1695">
        <v>0</v>
      </c>
      <c r="I18" s="1596">
        <v>4</v>
      </c>
      <c r="L18" s="1016"/>
      <c r="M18" s="1016"/>
      <c r="N18" s="1016"/>
      <c r="O18" s="1607"/>
      <c r="P18" s="1607"/>
      <c r="Q18" s="1016"/>
      <c r="R18" s="1016"/>
      <c r="S18" s="1016"/>
      <c r="T18" s="1016"/>
    </row>
    <row r="19" spans="1:20">
      <c r="A19" s="1596">
        <v>10045</v>
      </c>
      <c r="B19" s="1596" t="s">
        <v>649</v>
      </c>
      <c r="C19" s="1695" t="s">
        <v>1128</v>
      </c>
      <c r="D19" s="1695">
        <v>420000000</v>
      </c>
      <c r="E19" s="1695">
        <v>400000000</v>
      </c>
      <c r="F19" s="1695">
        <v>15</v>
      </c>
      <c r="G19" s="1695">
        <v>9</v>
      </c>
      <c r="H19" s="1695">
        <v>2</v>
      </c>
      <c r="I19" s="1596">
        <v>11</v>
      </c>
      <c r="L19" s="1016"/>
      <c r="M19" s="1016"/>
      <c r="N19" s="1016"/>
      <c r="O19" s="1607"/>
      <c r="P19" s="1607"/>
      <c r="Q19" s="1016"/>
      <c r="R19" s="1016"/>
      <c r="S19" s="1016"/>
      <c r="T19" s="1016"/>
    </row>
    <row r="20" spans="1:20">
      <c r="A20" s="1596">
        <v>10046</v>
      </c>
      <c r="B20" s="1596" t="s">
        <v>642</v>
      </c>
      <c r="C20" s="1695" t="s">
        <v>1129</v>
      </c>
      <c r="D20" s="1695">
        <v>340000000</v>
      </c>
      <c r="E20" s="1695">
        <v>325000000</v>
      </c>
      <c r="F20" s="1695">
        <v>16</v>
      </c>
      <c r="G20" s="1695">
        <v>9</v>
      </c>
      <c r="H20" s="1695">
        <v>2</v>
      </c>
      <c r="I20" s="1596">
        <v>11</v>
      </c>
      <c r="L20" s="1016"/>
      <c r="M20" s="1016"/>
      <c r="N20" s="1016"/>
      <c r="O20" s="1607"/>
      <c r="P20" s="1607"/>
      <c r="Q20" s="1016"/>
      <c r="R20" s="1016"/>
      <c r="S20" s="1016"/>
      <c r="T20" s="1016"/>
    </row>
    <row r="21" spans="1:20">
      <c r="A21" s="1596">
        <v>10048</v>
      </c>
      <c r="B21" s="1596" t="s">
        <v>736</v>
      </c>
      <c r="C21" s="1695" t="s">
        <v>1130</v>
      </c>
      <c r="D21" s="1695">
        <v>630000000</v>
      </c>
      <c r="E21" s="1695">
        <v>600000000</v>
      </c>
      <c r="F21" s="1695">
        <v>25</v>
      </c>
      <c r="G21" s="1695">
        <v>9</v>
      </c>
      <c r="H21" s="1695">
        <v>2</v>
      </c>
      <c r="I21" s="1596">
        <v>11</v>
      </c>
      <c r="L21" s="1016"/>
      <c r="M21" s="1016"/>
      <c r="N21" s="1016"/>
      <c r="O21" s="1607"/>
      <c r="P21" s="1607"/>
      <c r="Q21" s="1016"/>
      <c r="R21" s="1016"/>
      <c r="S21" s="1016"/>
      <c r="T21" s="1016"/>
    </row>
    <row r="22" spans="1:20">
      <c r="A22" s="1596">
        <v>10052</v>
      </c>
      <c r="B22" s="1596" t="s">
        <v>699</v>
      </c>
      <c r="C22" s="1695" t="s">
        <v>1131</v>
      </c>
      <c r="D22" s="1695">
        <v>247000000</v>
      </c>
      <c r="E22" s="1695">
        <v>234000000</v>
      </c>
      <c r="F22" s="1695">
        <v>10</v>
      </c>
      <c r="G22" s="1695">
        <v>4</v>
      </c>
      <c r="H22" s="1695">
        <v>0</v>
      </c>
      <c r="I22" s="1596">
        <v>4</v>
      </c>
      <c r="L22" s="1016"/>
      <c r="M22" s="1016"/>
      <c r="N22" s="1016"/>
      <c r="O22" s="1607"/>
      <c r="P22" s="1607"/>
      <c r="Q22" s="1016"/>
      <c r="R22" s="1016"/>
      <c r="S22" s="1016"/>
      <c r="T22" s="1016"/>
    </row>
    <row r="23" spans="1:20">
      <c r="A23" s="1596">
        <v>10053</v>
      </c>
      <c r="B23" s="1596" t="s">
        <v>737</v>
      </c>
      <c r="C23" s="1695" t="s">
        <v>1112</v>
      </c>
      <c r="D23" s="1695">
        <v>247000000</v>
      </c>
      <c r="E23" s="1695">
        <v>234000000</v>
      </c>
      <c r="F23" s="1695">
        <v>10</v>
      </c>
      <c r="G23" s="1695">
        <v>4</v>
      </c>
      <c r="H23" s="1695">
        <v>0</v>
      </c>
      <c r="I23" s="1596">
        <v>4</v>
      </c>
      <c r="L23" s="1016"/>
      <c r="M23" s="1016"/>
      <c r="N23" s="1016"/>
      <c r="O23" s="1607"/>
      <c r="P23" s="1607"/>
      <c r="Q23" s="1016"/>
      <c r="R23" s="1016"/>
      <c r="S23" s="1016"/>
      <c r="T23" s="1016"/>
    </row>
    <row r="24" spans="1:20">
      <c r="A24" s="1596">
        <v>10055</v>
      </c>
      <c r="B24" s="1596" t="s">
        <v>735</v>
      </c>
      <c r="C24" s="1695" t="s">
        <v>1122</v>
      </c>
      <c r="D24" s="1695">
        <v>840000000</v>
      </c>
      <c r="E24" s="1695">
        <v>800000000</v>
      </c>
      <c r="F24" s="1695">
        <v>12</v>
      </c>
      <c r="G24" s="1695">
        <v>5</v>
      </c>
      <c r="H24" s="1695">
        <v>2</v>
      </c>
      <c r="I24" s="1596">
        <v>7</v>
      </c>
      <c r="L24" s="1016"/>
      <c r="M24" s="1016"/>
      <c r="N24" s="1016"/>
      <c r="O24" s="1607"/>
      <c r="P24" s="1607"/>
      <c r="Q24" s="1016"/>
      <c r="R24" s="1016"/>
      <c r="S24" s="1016"/>
      <c r="T24" s="1016"/>
    </row>
    <row r="25" spans="1:20">
      <c r="A25" s="1596">
        <v>10059</v>
      </c>
      <c r="B25" s="1596" t="s">
        <v>734</v>
      </c>
      <c r="C25" s="1695" t="s">
        <v>1132</v>
      </c>
      <c r="D25" s="1695">
        <v>525000000</v>
      </c>
      <c r="E25" s="1695">
        <v>500000000</v>
      </c>
      <c r="F25" s="1695">
        <v>25</v>
      </c>
      <c r="G25" s="1695">
        <v>5</v>
      </c>
      <c r="H25" s="1695">
        <v>2</v>
      </c>
      <c r="I25" s="1596">
        <v>7</v>
      </c>
      <c r="L25" s="1016"/>
      <c r="M25" s="1016"/>
      <c r="N25" s="1016"/>
      <c r="O25" s="1607"/>
      <c r="P25" s="1607"/>
      <c r="Q25" s="1016"/>
      <c r="R25" s="1016"/>
      <c r="S25" s="1016"/>
      <c r="T25" s="1016"/>
    </row>
    <row r="26" spans="1:20">
      <c r="A26" s="1596">
        <v>10073</v>
      </c>
      <c r="B26" s="1596" t="s">
        <v>798</v>
      </c>
      <c r="C26" s="1695" t="s">
        <v>1132</v>
      </c>
      <c r="D26" s="1695">
        <v>525000000</v>
      </c>
      <c r="E26" s="1695">
        <v>500000000</v>
      </c>
      <c r="F26" s="1695">
        <v>8</v>
      </c>
      <c r="G26" s="1695">
        <v>7</v>
      </c>
      <c r="H26" s="1695">
        <v>2</v>
      </c>
      <c r="I26" s="1596">
        <v>9</v>
      </c>
      <c r="L26" s="1016"/>
      <c r="M26" s="1016"/>
      <c r="N26" s="1016"/>
      <c r="O26" s="1607"/>
      <c r="P26" s="1607"/>
      <c r="Q26" s="1016"/>
      <c r="R26" s="1016"/>
      <c r="S26" s="1016"/>
      <c r="T26" s="1016"/>
    </row>
    <row r="27" spans="1:20">
      <c r="A27" s="1596">
        <v>10074</v>
      </c>
      <c r="B27" s="1596" t="s">
        <v>796</v>
      </c>
      <c r="C27" s="1695" t="s">
        <v>1133</v>
      </c>
      <c r="D27" s="1695">
        <v>447000000</v>
      </c>
      <c r="E27" s="1695">
        <v>425000000</v>
      </c>
      <c r="F27" s="1695">
        <v>17</v>
      </c>
      <c r="G27" s="1695">
        <v>9</v>
      </c>
      <c r="H27" s="1695">
        <v>2</v>
      </c>
      <c r="I27" s="1596">
        <v>11</v>
      </c>
      <c r="L27" s="1016"/>
      <c r="M27" s="1016"/>
      <c r="N27" s="1016"/>
      <c r="O27" s="1607"/>
      <c r="P27" s="1607"/>
      <c r="Q27" s="1016"/>
      <c r="R27" s="1016"/>
      <c r="S27" s="1016"/>
      <c r="T27" s="1016"/>
    </row>
    <row r="28" spans="1:20">
      <c r="A28" s="1596">
        <v>10075</v>
      </c>
      <c r="B28" s="1596" t="s">
        <v>799</v>
      </c>
      <c r="C28" s="1695" t="s">
        <v>1134</v>
      </c>
      <c r="D28" s="1695">
        <v>263000000</v>
      </c>
      <c r="E28" s="1695">
        <v>249000000</v>
      </c>
      <c r="F28" s="1695">
        <v>11</v>
      </c>
      <c r="G28" s="1695">
        <v>4</v>
      </c>
      <c r="H28" s="1695">
        <v>0</v>
      </c>
      <c r="I28" s="1596">
        <v>4</v>
      </c>
      <c r="L28" s="1016"/>
      <c r="M28" s="1016"/>
      <c r="N28" s="1016"/>
      <c r="O28" s="1607"/>
      <c r="P28" s="1607"/>
      <c r="Q28" s="1016"/>
      <c r="R28" s="1016"/>
      <c r="S28" s="1016"/>
      <c r="T28" s="1016"/>
    </row>
    <row r="29" spans="1:20">
      <c r="A29" s="1596">
        <v>10077</v>
      </c>
      <c r="B29" s="1596" t="s">
        <v>825</v>
      </c>
      <c r="C29" s="1695" t="s">
        <v>1135</v>
      </c>
      <c r="D29" s="1695">
        <v>301000000</v>
      </c>
      <c r="E29" s="1695">
        <v>286000000</v>
      </c>
      <c r="F29" s="1695">
        <v>12</v>
      </c>
      <c r="G29" s="1695">
        <v>15</v>
      </c>
      <c r="H29" s="1695">
        <v>0</v>
      </c>
      <c r="I29" s="1596">
        <v>15</v>
      </c>
      <c r="L29" s="1016"/>
      <c r="M29" s="1016"/>
      <c r="N29" s="1016"/>
      <c r="O29" s="1607"/>
      <c r="P29" s="1607"/>
      <c r="Q29" s="1016"/>
      <c r="R29" s="1016"/>
      <c r="S29" s="1016"/>
      <c r="T29" s="1016"/>
    </row>
    <row r="30" spans="1:20">
      <c r="A30" s="1596">
        <v>10084</v>
      </c>
      <c r="B30" s="1596" t="s">
        <v>905</v>
      </c>
      <c r="C30" s="1695" t="s">
        <v>1136</v>
      </c>
      <c r="D30" s="1695">
        <v>368000000</v>
      </c>
      <c r="E30" s="1695">
        <v>350000000</v>
      </c>
      <c r="F30" s="1695">
        <v>10</v>
      </c>
      <c r="G30" s="1695">
        <v>8</v>
      </c>
      <c r="H30" s="1695">
        <v>2</v>
      </c>
      <c r="I30" s="1596">
        <v>10</v>
      </c>
      <c r="L30" s="1016"/>
      <c r="M30" s="1016"/>
      <c r="N30" s="1016"/>
      <c r="O30" s="1607"/>
      <c r="P30" s="1607"/>
      <c r="Q30" s="1016"/>
      <c r="R30" s="1016"/>
      <c r="S30" s="1016"/>
      <c r="T30" s="1016"/>
    </row>
    <row r="31" spans="1:20">
      <c r="A31" s="1596">
        <v>10088</v>
      </c>
      <c r="B31" s="1596" t="s">
        <v>903</v>
      </c>
      <c r="C31" s="1695" t="s">
        <v>1137</v>
      </c>
      <c r="D31" s="1695">
        <v>263000000</v>
      </c>
      <c r="E31" s="1695">
        <v>250000000</v>
      </c>
      <c r="F31" s="1695">
        <v>9</v>
      </c>
      <c r="G31" s="1695">
        <v>9</v>
      </c>
      <c r="H31" s="1695">
        <v>2</v>
      </c>
      <c r="I31" s="1596">
        <v>11</v>
      </c>
      <c r="L31" s="1016"/>
      <c r="M31" s="1016"/>
      <c r="N31" s="1016"/>
      <c r="O31" s="1607"/>
      <c r="P31" s="1607"/>
      <c r="Q31" s="1016"/>
      <c r="R31" s="1016"/>
      <c r="S31" s="1016"/>
      <c r="T31" s="1016"/>
    </row>
    <row r="32" spans="1:20">
      <c r="A32" s="1596">
        <v>10089</v>
      </c>
      <c r="B32" s="1596" t="s">
        <v>902</v>
      </c>
      <c r="C32" s="1695" t="s">
        <v>1138</v>
      </c>
      <c r="D32" s="1695">
        <v>263000000</v>
      </c>
      <c r="E32" s="1695">
        <v>250000000</v>
      </c>
      <c r="F32" s="1695">
        <v>8</v>
      </c>
      <c r="G32" s="1695">
        <v>9</v>
      </c>
      <c r="H32" s="1695">
        <v>2</v>
      </c>
      <c r="I32" s="1596">
        <v>11</v>
      </c>
      <c r="L32" s="1016"/>
      <c r="M32" s="1016"/>
      <c r="N32" s="1016"/>
      <c r="O32" s="1607"/>
      <c r="P32" s="1607"/>
      <c r="Q32" s="1016"/>
      <c r="R32" s="1016"/>
      <c r="S32" s="1016"/>
      <c r="T32" s="1016"/>
    </row>
    <row r="33" spans="1:20">
      <c r="A33" s="1596">
        <v>10090</v>
      </c>
      <c r="B33" s="1596" t="s">
        <v>900</v>
      </c>
      <c r="C33" s="1695" t="s">
        <v>1139</v>
      </c>
      <c r="D33" s="1695">
        <v>315000000</v>
      </c>
      <c r="E33" s="1695">
        <v>300000000</v>
      </c>
      <c r="F33" s="1695">
        <v>7</v>
      </c>
      <c r="G33" s="1695">
        <v>10</v>
      </c>
      <c r="H33" s="1695">
        <v>2</v>
      </c>
      <c r="I33" s="1596">
        <v>12</v>
      </c>
      <c r="L33" s="1016"/>
      <c r="M33" s="1016"/>
      <c r="N33" s="1016"/>
      <c r="O33" s="1607"/>
      <c r="P33" s="1607"/>
      <c r="Q33" s="1016"/>
      <c r="R33" s="1016"/>
      <c r="S33" s="1016"/>
      <c r="T33" s="1016"/>
    </row>
    <row r="34" spans="1:20">
      <c r="A34" s="1596">
        <v>10092</v>
      </c>
      <c r="B34" s="1596" t="s">
        <v>949</v>
      </c>
      <c r="C34" s="1695" t="s">
        <v>1122</v>
      </c>
      <c r="D34" s="1695">
        <v>263000000</v>
      </c>
      <c r="E34" s="1695">
        <v>250000000</v>
      </c>
      <c r="F34" s="1695">
        <v>7</v>
      </c>
      <c r="G34" s="1695">
        <v>7</v>
      </c>
      <c r="H34" s="1695">
        <v>5</v>
      </c>
      <c r="I34" s="1596">
        <v>12</v>
      </c>
      <c r="L34" s="1016"/>
      <c r="M34" s="1016"/>
      <c r="N34" s="1016"/>
      <c r="O34" s="1607"/>
      <c r="P34" s="1607"/>
      <c r="Q34" s="1016"/>
      <c r="R34" s="1016"/>
      <c r="S34" s="1016"/>
      <c r="T34" s="1016"/>
    </row>
    <row r="35" spans="1:20">
      <c r="A35" s="1596">
        <v>10096</v>
      </c>
      <c r="B35" s="1596" t="s">
        <v>1104</v>
      </c>
      <c r="C35" s="1695" t="s">
        <v>1140</v>
      </c>
      <c r="D35" s="1695">
        <v>0</v>
      </c>
      <c r="E35" s="1695">
        <v>0</v>
      </c>
      <c r="F35" s="1695">
        <v>0</v>
      </c>
      <c r="G35" s="1695">
        <v>0</v>
      </c>
      <c r="H35" s="1695">
        <v>2</v>
      </c>
      <c r="I35" s="1596">
        <v>2</v>
      </c>
      <c r="L35" s="1016"/>
      <c r="M35" s="1016"/>
      <c r="N35" s="1016"/>
      <c r="O35" s="1016"/>
      <c r="P35" s="1016"/>
      <c r="Q35" s="1016"/>
      <c r="R35" s="1016"/>
      <c r="S35" s="1016"/>
      <c r="T35" s="1016"/>
    </row>
    <row r="36" spans="1:20">
      <c r="A36" s="1596">
        <v>10097</v>
      </c>
      <c r="B36" s="1596" t="s">
        <v>1015</v>
      </c>
      <c r="C36" s="1695" t="s">
        <v>1140</v>
      </c>
      <c r="D36" s="1695">
        <v>0</v>
      </c>
      <c r="E36" s="1695">
        <v>0</v>
      </c>
      <c r="F36" s="1695">
        <v>0</v>
      </c>
      <c r="G36" s="1695">
        <v>0</v>
      </c>
      <c r="H36" s="1695">
        <v>0</v>
      </c>
      <c r="I36" s="1596">
        <v>0</v>
      </c>
      <c r="L36" s="1016"/>
      <c r="M36" s="1016"/>
      <c r="N36" s="1016"/>
      <c r="O36" s="1016"/>
      <c r="P36" s="1016"/>
      <c r="Q36" s="1016"/>
      <c r="R36" s="1016"/>
      <c r="S36" s="1016"/>
      <c r="T36" s="1016"/>
    </row>
    <row r="37" spans="1:20">
      <c r="A37" s="1596">
        <v>10098</v>
      </c>
      <c r="B37" s="1596" t="s">
        <v>1103</v>
      </c>
      <c r="C37" s="1695" t="s">
        <v>1141</v>
      </c>
      <c r="D37" s="1695">
        <v>67000000</v>
      </c>
      <c r="E37" s="1695">
        <v>64000000</v>
      </c>
      <c r="F37" s="1695">
        <v>4</v>
      </c>
      <c r="G37" s="1695">
        <v>5</v>
      </c>
      <c r="H37" s="1695">
        <v>3</v>
      </c>
      <c r="I37" s="1596">
        <v>8</v>
      </c>
      <c r="L37" s="1016"/>
      <c r="M37" s="1016"/>
      <c r="N37" s="1016"/>
      <c r="O37" s="1607"/>
      <c r="P37" s="1607"/>
      <c r="Q37" s="1016"/>
      <c r="R37" s="1016"/>
      <c r="S37" s="1016"/>
      <c r="T37" s="1016"/>
    </row>
    <row r="38" spans="1:20">
      <c r="A38" s="1596">
        <v>10103</v>
      </c>
      <c r="B38" s="1596" t="s">
        <v>1102</v>
      </c>
      <c r="C38" s="1695" t="s">
        <v>1142</v>
      </c>
      <c r="D38" s="1695">
        <v>237000000</v>
      </c>
      <c r="E38" s="1695">
        <v>225000000</v>
      </c>
      <c r="F38" s="1695">
        <v>3</v>
      </c>
      <c r="G38" s="1695">
        <v>11</v>
      </c>
      <c r="H38" s="1695">
        <v>5</v>
      </c>
      <c r="I38" s="1596">
        <v>16</v>
      </c>
      <c r="L38" s="1016"/>
      <c r="M38" s="1016"/>
      <c r="N38" s="1016"/>
      <c r="O38" s="1607"/>
      <c r="P38" s="1607"/>
      <c r="Q38" s="1016"/>
      <c r="R38" s="1016"/>
      <c r="S38" s="1016"/>
      <c r="T38" s="1016"/>
    </row>
    <row r="39" spans="1:20">
      <c r="A39" s="1596">
        <v>10104</v>
      </c>
      <c r="B39" s="1596" t="s">
        <v>1101</v>
      </c>
      <c r="C39" s="1695" t="s">
        <v>1143</v>
      </c>
      <c r="D39" s="1695">
        <v>237000000</v>
      </c>
      <c r="E39" s="1695">
        <v>225000000</v>
      </c>
      <c r="F39" s="1695">
        <v>3</v>
      </c>
      <c r="G39" s="1695">
        <v>11</v>
      </c>
      <c r="H39" s="1695">
        <v>5</v>
      </c>
      <c r="I39" s="1596">
        <v>16</v>
      </c>
      <c r="L39" s="1016"/>
      <c r="M39" s="1016"/>
      <c r="N39" s="1016"/>
      <c r="O39" s="1607"/>
      <c r="P39" s="1607"/>
      <c r="Q39" s="1016"/>
      <c r="R39" s="1016"/>
      <c r="S39" s="1016"/>
      <c r="T39" s="1016"/>
    </row>
    <row r="40" spans="1:20">
      <c r="A40" s="1596">
        <v>10105</v>
      </c>
      <c r="B40" s="1596" t="s">
        <v>1100</v>
      </c>
      <c r="C40" s="1695" t="s">
        <v>1135</v>
      </c>
      <c r="D40" s="1695">
        <v>301000000</v>
      </c>
      <c r="E40" s="1695">
        <v>286000000</v>
      </c>
      <c r="F40" s="1695">
        <v>12</v>
      </c>
      <c r="G40" s="1695">
        <v>15</v>
      </c>
      <c r="H40" s="1695">
        <v>0</v>
      </c>
      <c r="I40" s="1596">
        <v>15</v>
      </c>
      <c r="L40" s="1016"/>
      <c r="M40" s="1016"/>
      <c r="N40" s="1016"/>
      <c r="O40" s="1607"/>
      <c r="P40" s="1607"/>
      <c r="Q40" s="1016"/>
      <c r="R40" s="1016"/>
      <c r="S40" s="1016"/>
      <c r="T40" s="1016"/>
    </row>
    <row r="41" spans="1:20">
      <c r="A41" s="1596">
        <v>10106</v>
      </c>
      <c r="B41" s="1596" t="s">
        <v>1099</v>
      </c>
      <c r="C41" s="1695" t="s">
        <v>1144</v>
      </c>
      <c r="D41" s="1695">
        <v>315000000</v>
      </c>
      <c r="E41" s="1695">
        <v>300000000</v>
      </c>
      <c r="F41" s="1695">
        <v>6</v>
      </c>
      <c r="G41" s="1695">
        <v>10</v>
      </c>
      <c r="H41" s="1695">
        <v>2</v>
      </c>
      <c r="I41" s="1596">
        <v>12</v>
      </c>
      <c r="L41" s="1016"/>
      <c r="M41" s="1016"/>
      <c r="N41" s="1016"/>
      <c r="O41" s="1607"/>
      <c r="P41" s="1607"/>
      <c r="Q41" s="1016"/>
      <c r="R41" s="1016"/>
      <c r="S41" s="1016"/>
      <c r="T41" s="1016"/>
    </row>
    <row r="42" spans="1:20" hidden="1">
      <c r="B42" s="1597"/>
      <c r="C42" s="1714"/>
      <c r="L42" s="1016"/>
      <c r="M42" s="1016"/>
      <c r="N42" s="1016"/>
      <c r="O42" s="1607"/>
      <c r="P42" s="1607"/>
      <c r="Q42" s="1016"/>
      <c r="R42" s="1016"/>
      <c r="S42" s="1016"/>
      <c r="T42" s="1016"/>
    </row>
    <row r="43" spans="1:20" hidden="1">
      <c r="B43" s="1597"/>
      <c r="C43" s="1714"/>
      <c r="L43" s="1016"/>
      <c r="M43" s="1016"/>
      <c r="N43" s="1016"/>
      <c r="O43" s="1607"/>
      <c r="P43" s="1607"/>
      <c r="Q43" s="1016"/>
      <c r="R43" s="1016"/>
      <c r="S43" s="1016"/>
      <c r="T43" s="1016"/>
    </row>
    <row r="44" spans="1:20" hidden="1">
      <c r="B44" s="1597"/>
      <c r="C44" s="1714"/>
      <c r="L44" s="1016"/>
      <c r="M44" s="1016"/>
      <c r="N44" s="1016"/>
      <c r="O44" s="1607"/>
      <c r="P44" s="1607"/>
      <c r="Q44" s="1016"/>
      <c r="R44" s="1016"/>
      <c r="S44" s="1016"/>
      <c r="T44" s="1016"/>
    </row>
    <row r="45" spans="1:20" s="1016" customFormat="1" ht="12.75" hidden="1">
      <c r="A45" s="1016" t="s">
        <v>15</v>
      </c>
      <c r="B45" s="1016" t="s">
        <v>1109</v>
      </c>
      <c r="C45" s="1696" t="s">
        <v>1110</v>
      </c>
      <c r="D45" s="1696" t="s">
        <v>1</v>
      </c>
      <c r="E45" s="1696" t="s">
        <v>2</v>
      </c>
      <c r="F45" s="1696" t="s">
        <v>1108</v>
      </c>
      <c r="G45" s="1696" t="s">
        <v>1107</v>
      </c>
      <c r="H45" s="1696" t="s">
        <v>1106</v>
      </c>
      <c r="I45" s="1016" t="s">
        <v>1105</v>
      </c>
      <c r="J45" s="1016" t="s">
        <v>1160</v>
      </c>
    </row>
    <row r="46" spans="1:20" s="1016" customFormat="1" ht="12.75" hidden="1">
      <c r="B46" s="1016" t="s">
        <v>47</v>
      </c>
      <c r="C46" s="1696">
        <v>10004</v>
      </c>
      <c r="D46" s="1696">
        <v>525000000</v>
      </c>
      <c r="E46" s="1696">
        <v>500000000</v>
      </c>
      <c r="F46" s="1696">
        <v>21</v>
      </c>
      <c r="G46" s="1696">
        <v>9</v>
      </c>
      <c r="H46" s="1696">
        <v>2</v>
      </c>
      <c r="I46" s="1016">
        <v>11</v>
      </c>
      <c r="J46" s="1588">
        <v>42005</v>
      </c>
    </row>
    <row r="47" spans="1:20" s="1016" customFormat="1" ht="12.75" hidden="1">
      <c r="B47" s="1016" t="s">
        <v>91</v>
      </c>
      <c r="C47" s="1696">
        <v>10009</v>
      </c>
      <c r="D47" s="1696">
        <v>683000000</v>
      </c>
      <c r="E47" s="1696">
        <v>650000000</v>
      </c>
      <c r="F47" s="1696">
        <v>29</v>
      </c>
      <c r="G47" s="1696">
        <v>9</v>
      </c>
      <c r="H47" s="1696">
        <v>2</v>
      </c>
      <c r="I47" s="1016">
        <v>11</v>
      </c>
      <c r="J47" s="1588">
        <v>42005</v>
      </c>
    </row>
    <row r="48" spans="1:20" s="1016" customFormat="1" ht="12.75" hidden="1">
      <c r="B48" s="1016" t="s">
        <v>177</v>
      </c>
      <c r="C48" s="1696">
        <v>10013</v>
      </c>
      <c r="D48" s="1696">
        <v>817000000</v>
      </c>
      <c r="E48" s="1696">
        <v>776000000</v>
      </c>
      <c r="F48" s="1696">
        <v>33</v>
      </c>
      <c r="G48" s="1696">
        <v>10</v>
      </c>
      <c r="H48" s="1696">
        <v>0</v>
      </c>
      <c r="I48" s="1016">
        <v>10</v>
      </c>
      <c r="J48" s="1588">
        <v>42005</v>
      </c>
    </row>
    <row r="49" spans="2:10" s="1016" customFormat="1" ht="12.75" hidden="1">
      <c r="B49" s="1016" t="s">
        <v>185</v>
      </c>
      <c r="C49" s="1696">
        <v>10014</v>
      </c>
      <c r="D49" s="1696">
        <v>310000000</v>
      </c>
      <c r="E49" s="1696">
        <v>294000000</v>
      </c>
      <c r="F49" s="1696">
        <v>13</v>
      </c>
      <c r="G49" s="1696">
        <v>4</v>
      </c>
      <c r="H49" s="1696">
        <v>0</v>
      </c>
      <c r="I49" s="1016">
        <v>4</v>
      </c>
      <c r="J49" s="1588">
        <v>42005</v>
      </c>
    </row>
    <row r="50" spans="2:10" s="1016" customFormat="1" ht="12.75" hidden="1">
      <c r="B50" s="1016" t="s">
        <v>179</v>
      </c>
      <c r="C50" s="1696">
        <v>10015</v>
      </c>
      <c r="D50" s="1696">
        <v>817000000</v>
      </c>
      <c r="E50" s="1696">
        <v>776000000</v>
      </c>
      <c r="F50" s="1696">
        <v>33</v>
      </c>
      <c r="G50" s="1696">
        <v>10</v>
      </c>
      <c r="H50" s="1696">
        <v>0</v>
      </c>
      <c r="I50" s="1016">
        <v>10</v>
      </c>
      <c r="J50" s="1588">
        <v>42005</v>
      </c>
    </row>
    <row r="51" spans="2:10" s="1016" customFormat="1" ht="12.75" hidden="1">
      <c r="B51" s="1016" t="s">
        <v>176</v>
      </c>
      <c r="C51" s="1696">
        <v>10017</v>
      </c>
      <c r="D51" s="1696">
        <v>1103000000</v>
      </c>
      <c r="E51" s="1696">
        <v>1047000000</v>
      </c>
      <c r="F51" s="1696">
        <v>45</v>
      </c>
      <c r="G51" s="1696">
        <v>13</v>
      </c>
      <c r="H51" s="1696">
        <v>1</v>
      </c>
      <c r="I51" s="1016">
        <v>14</v>
      </c>
      <c r="J51" s="1588">
        <v>42005</v>
      </c>
    </row>
    <row r="52" spans="2:10" s="1016" customFormat="1" ht="12.75" hidden="1">
      <c r="B52" s="1016" t="s">
        <v>187</v>
      </c>
      <c r="C52" s="1696">
        <v>10018</v>
      </c>
      <c r="D52" s="1696">
        <v>420000000</v>
      </c>
      <c r="E52" s="1696">
        <v>400000000</v>
      </c>
      <c r="F52" s="1696">
        <v>15</v>
      </c>
      <c r="G52" s="1696">
        <v>9</v>
      </c>
      <c r="H52" s="1696">
        <v>2</v>
      </c>
      <c r="I52" s="1016">
        <v>11</v>
      </c>
      <c r="J52" s="1588">
        <v>42005</v>
      </c>
    </row>
    <row r="53" spans="2:10" s="1016" customFormat="1" ht="12.75" hidden="1">
      <c r="B53" s="1016" t="s">
        <v>630</v>
      </c>
      <c r="C53" s="1696">
        <v>10031</v>
      </c>
      <c r="D53" s="1696">
        <v>368000000</v>
      </c>
      <c r="E53" s="1696">
        <v>350000000</v>
      </c>
      <c r="F53" s="1696">
        <v>22</v>
      </c>
      <c r="G53" s="1696">
        <v>8</v>
      </c>
      <c r="H53" s="1696">
        <v>2</v>
      </c>
      <c r="I53" s="1016">
        <v>10</v>
      </c>
      <c r="J53" s="1588">
        <v>42005</v>
      </c>
    </row>
    <row r="54" spans="2:10" s="1016" customFormat="1" ht="12.75" hidden="1">
      <c r="B54" s="1016" t="s">
        <v>661</v>
      </c>
      <c r="C54" s="1696">
        <v>10032</v>
      </c>
      <c r="D54" s="1696">
        <v>310000000</v>
      </c>
      <c r="E54" s="1696">
        <v>294000000</v>
      </c>
      <c r="F54" s="1696">
        <v>13</v>
      </c>
      <c r="G54" s="1696">
        <v>4</v>
      </c>
      <c r="H54" s="1696">
        <v>0</v>
      </c>
      <c r="I54" s="1016">
        <v>4</v>
      </c>
      <c r="J54" s="1588">
        <v>42005</v>
      </c>
    </row>
    <row r="55" spans="2:10" s="1016" customFormat="1" ht="12.75" hidden="1">
      <c r="B55" s="1016" t="s">
        <v>557</v>
      </c>
      <c r="C55" s="1696">
        <v>10033</v>
      </c>
      <c r="D55" s="1696">
        <v>368000000</v>
      </c>
      <c r="E55" s="1696">
        <v>350000000</v>
      </c>
      <c r="F55" s="1696">
        <v>19</v>
      </c>
      <c r="G55" s="1696">
        <v>9</v>
      </c>
      <c r="H55" s="1696">
        <v>2</v>
      </c>
      <c r="I55" s="1016">
        <v>11</v>
      </c>
      <c r="J55" s="1588">
        <v>42005</v>
      </c>
    </row>
    <row r="56" spans="2:10" s="1016" customFormat="1" ht="12.75" hidden="1">
      <c r="B56" s="1016" t="s">
        <v>628</v>
      </c>
      <c r="C56" s="1696">
        <v>10036</v>
      </c>
      <c r="D56" s="1696">
        <v>368000000</v>
      </c>
      <c r="E56" s="1696">
        <v>350000000</v>
      </c>
      <c r="F56" s="1696">
        <v>17</v>
      </c>
      <c r="G56" s="1696">
        <v>9</v>
      </c>
      <c r="H56" s="1696">
        <v>2</v>
      </c>
      <c r="I56" s="1016">
        <v>11</v>
      </c>
      <c r="J56" s="1588">
        <v>42005</v>
      </c>
    </row>
    <row r="57" spans="2:10" s="1016" customFormat="1" ht="12.75" hidden="1">
      <c r="B57" s="1016" t="s">
        <v>650</v>
      </c>
      <c r="C57" s="1696">
        <v>10037</v>
      </c>
      <c r="D57" s="1696">
        <v>368000000</v>
      </c>
      <c r="E57" s="1696">
        <v>350000000</v>
      </c>
      <c r="F57" s="1696">
        <v>15</v>
      </c>
      <c r="G57" s="1696">
        <v>9</v>
      </c>
      <c r="H57" s="1696">
        <v>2</v>
      </c>
      <c r="I57" s="1016">
        <v>11</v>
      </c>
      <c r="J57" s="1588">
        <v>42005</v>
      </c>
    </row>
    <row r="58" spans="2:10" s="1016" customFormat="1" ht="12.75" hidden="1">
      <c r="B58" s="1016" t="s">
        <v>660</v>
      </c>
      <c r="C58" s="1696">
        <v>10038</v>
      </c>
      <c r="D58" s="1696">
        <v>310000000</v>
      </c>
      <c r="E58" s="1696">
        <v>294000000</v>
      </c>
      <c r="F58" s="1696">
        <v>13</v>
      </c>
      <c r="G58" s="1696">
        <v>4</v>
      </c>
      <c r="H58" s="1696">
        <v>0</v>
      </c>
      <c r="I58" s="1016">
        <v>4</v>
      </c>
      <c r="J58" s="1588">
        <v>42005</v>
      </c>
    </row>
    <row r="59" spans="2:10" s="1016" customFormat="1" ht="12.75" hidden="1">
      <c r="B59" s="1016" t="s">
        <v>648</v>
      </c>
      <c r="C59" s="1696">
        <v>10039</v>
      </c>
      <c r="D59" s="1696">
        <v>368000000</v>
      </c>
      <c r="E59" s="1696">
        <v>350000000</v>
      </c>
      <c r="F59" s="1696">
        <v>14</v>
      </c>
      <c r="G59" s="1696">
        <v>10</v>
      </c>
      <c r="H59" s="1696">
        <v>2</v>
      </c>
      <c r="I59" s="1016">
        <v>12</v>
      </c>
      <c r="J59" s="1588">
        <v>42005</v>
      </c>
    </row>
    <row r="60" spans="2:10" s="1016" customFormat="1" ht="12.75" hidden="1">
      <c r="B60" s="1016" t="s">
        <v>647</v>
      </c>
      <c r="C60" s="1696">
        <v>10040</v>
      </c>
      <c r="D60" s="1696">
        <v>368000000</v>
      </c>
      <c r="E60" s="1696">
        <v>350000000</v>
      </c>
      <c r="F60" s="1696">
        <v>14</v>
      </c>
      <c r="G60" s="1696">
        <v>10</v>
      </c>
      <c r="H60" s="1696">
        <v>2</v>
      </c>
      <c r="I60" s="1016">
        <v>12</v>
      </c>
      <c r="J60" s="1588">
        <v>42005</v>
      </c>
    </row>
    <row r="61" spans="2:10" s="1016" customFormat="1" ht="12.75" hidden="1">
      <c r="B61" s="1016" t="s">
        <v>659</v>
      </c>
      <c r="C61" s="1696">
        <v>10043</v>
      </c>
      <c r="D61" s="1696">
        <v>684000000</v>
      </c>
      <c r="E61" s="1696">
        <v>650000000</v>
      </c>
      <c r="F61" s="1696">
        <v>28</v>
      </c>
      <c r="G61" s="1696">
        <v>3</v>
      </c>
      <c r="H61" s="1696">
        <v>0</v>
      </c>
      <c r="I61" s="1016">
        <v>3</v>
      </c>
      <c r="J61" s="1588">
        <v>42005</v>
      </c>
    </row>
    <row r="62" spans="2:10" s="1016" customFormat="1" ht="12.75" hidden="1">
      <c r="B62" s="1016" t="s">
        <v>662</v>
      </c>
      <c r="C62" s="1696">
        <v>10044</v>
      </c>
      <c r="D62" s="1696">
        <v>310000000</v>
      </c>
      <c r="E62" s="1696">
        <v>294000000</v>
      </c>
      <c r="F62" s="1696">
        <v>13</v>
      </c>
      <c r="G62" s="1696">
        <v>4</v>
      </c>
      <c r="H62" s="1696">
        <v>0</v>
      </c>
      <c r="I62" s="1016">
        <v>4</v>
      </c>
      <c r="J62" s="1588">
        <v>42005</v>
      </c>
    </row>
    <row r="63" spans="2:10" s="1016" customFormat="1" ht="12.75" hidden="1">
      <c r="B63" s="1016" t="s">
        <v>649</v>
      </c>
      <c r="C63" s="1696">
        <v>10045</v>
      </c>
      <c r="D63" s="1696">
        <v>420000000</v>
      </c>
      <c r="E63" s="1696">
        <v>400000000</v>
      </c>
      <c r="F63" s="1696">
        <v>15</v>
      </c>
      <c r="G63" s="1696">
        <v>9</v>
      </c>
      <c r="H63" s="1696">
        <v>2</v>
      </c>
      <c r="I63" s="1016">
        <v>11</v>
      </c>
      <c r="J63" s="1588">
        <v>42005</v>
      </c>
    </row>
    <row r="64" spans="2:10" s="1016" customFormat="1" ht="12.75" hidden="1">
      <c r="B64" s="1016" t="s">
        <v>642</v>
      </c>
      <c r="C64" s="1696">
        <v>10046</v>
      </c>
      <c r="D64" s="1696">
        <v>340000000</v>
      </c>
      <c r="E64" s="1696">
        <v>325000000</v>
      </c>
      <c r="F64" s="1696">
        <v>16</v>
      </c>
      <c r="G64" s="1696">
        <v>9</v>
      </c>
      <c r="H64" s="1696">
        <v>2</v>
      </c>
      <c r="I64" s="1016">
        <v>11</v>
      </c>
      <c r="J64" s="1588">
        <v>42005</v>
      </c>
    </row>
    <row r="65" spans="2:10" s="1016" customFormat="1" ht="12.75" hidden="1">
      <c r="B65" s="1016" t="s">
        <v>736</v>
      </c>
      <c r="C65" s="1696">
        <v>10048</v>
      </c>
      <c r="D65" s="1696">
        <v>630000000</v>
      </c>
      <c r="E65" s="1696">
        <v>600000000</v>
      </c>
      <c r="F65" s="1696">
        <v>25</v>
      </c>
      <c r="G65" s="1696">
        <v>9</v>
      </c>
      <c r="H65" s="1696">
        <v>2</v>
      </c>
      <c r="I65" s="1016">
        <v>11</v>
      </c>
      <c r="J65" s="1588">
        <v>42005</v>
      </c>
    </row>
    <row r="66" spans="2:10" s="1016" customFormat="1" ht="12.75" hidden="1">
      <c r="B66" s="1016" t="s">
        <v>699</v>
      </c>
      <c r="C66" s="1696">
        <v>10052</v>
      </c>
      <c r="D66" s="1696">
        <v>247000000</v>
      </c>
      <c r="E66" s="1696">
        <v>234000000</v>
      </c>
      <c r="F66" s="1696">
        <v>10</v>
      </c>
      <c r="G66" s="1696">
        <v>4</v>
      </c>
      <c r="H66" s="1696">
        <v>0</v>
      </c>
      <c r="I66" s="1016">
        <v>4</v>
      </c>
      <c r="J66" s="1588">
        <v>42005</v>
      </c>
    </row>
    <row r="67" spans="2:10" s="1016" customFormat="1" ht="12.75" hidden="1">
      <c r="B67" s="1016" t="s">
        <v>737</v>
      </c>
      <c r="C67" s="1696">
        <v>10053</v>
      </c>
      <c r="D67" s="1696">
        <v>247000000</v>
      </c>
      <c r="E67" s="1696">
        <v>234000000</v>
      </c>
      <c r="F67" s="1696">
        <v>10</v>
      </c>
      <c r="G67" s="1696">
        <v>4</v>
      </c>
      <c r="H67" s="1696">
        <v>0</v>
      </c>
      <c r="I67" s="1016">
        <v>4</v>
      </c>
      <c r="J67" s="1588">
        <v>42005</v>
      </c>
    </row>
    <row r="68" spans="2:10" s="1016" customFormat="1" ht="12.75" hidden="1">
      <c r="B68" s="1016" t="s">
        <v>735</v>
      </c>
      <c r="C68" s="1696">
        <v>10055</v>
      </c>
      <c r="D68" s="1696">
        <v>840000000</v>
      </c>
      <c r="E68" s="1696">
        <v>800000000</v>
      </c>
      <c r="F68" s="1696">
        <v>12</v>
      </c>
      <c r="G68" s="1696">
        <v>5</v>
      </c>
      <c r="H68" s="1696">
        <v>2</v>
      </c>
      <c r="I68" s="1016">
        <v>7</v>
      </c>
      <c r="J68" s="1588">
        <v>42005</v>
      </c>
    </row>
    <row r="69" spans="2:10" s="1016" customFormat="1" ht="12.75" hidden="1">
      <c r="B69" s="1016" t="s">
        <v>734</v>
      </c>
      <c r="C69" s="1696">
        <v>10059</v>
      </c>
      <c r="D69" s="1696">
        <v>525000000</v>
      </c>
      <c r="E69" s="1696">
        <v>500000000</v>
      </c>
      <c r="F69" s="1696">
        <v>25</v>
      </c>
      <c r="G69" s="1696">
        <v>5</v>
      </c>
      <c r="H69" s="1696">
        <v>2</v>
      </c>
      <c r="I69" s="1016">
        <v>7</v>
      </c>
      <c r="J69" s="1588">
        <v>42005</v>
      </c>
    </row>
    <row r="70" spans="2:10" s="1016" customFormat="1" ht="12.75" hidden="1">
      <c r="B70" s="1016" t="s">
        <v>798</v>
      </c>
      <c r="C70" s="1696">
        <v>10073</v>
      </c>
      <c r="D70" s="1696">
        <v>525000000</v>
      </c>
      <c r="E70" s="1696">
        <v>500000000</v>
      </c>
      <c r="F70" s="1696">
        <v>8</v>
      </c>
      <c r="G70" s="1696">
        <v>7</v>
      </c>
      <c r="H70" s="1696">
        <v>2</v>
      </c>
      <c r="I70" s="1016">
        <v>9</v>
      </c>
      <c r="J70" s="1588">
        <v>42005</v>
      </c>
    </row>
    <row r="71" spans="2:10" s="1016" customFormat="1" ht="12.75" hidden="1">
      <c r="B71" s="1016" t="s">
        <v>796</v>
      </c>
      <c r="C71" s="1696">
        <v>10074</v>
      </c>
      <c r="D71" s="1696">
        <v>447000000</v>
      </c>
      <c r="E71" s="1696">
        <v>425000000</v>
      </c>
      <c r="F71" s="1696">
        <v>17</v>
      </c>
      <c r="G71" s="1696">
        <v>9</v>
      </c>
      <c r="H71" s="1696">
        <v>2</v>
      </c>
      <c r="I71" s="1016">
        <v>11</v>
      </c>
      <c r="J71" s="1588">
        <v>42005</v>
      </c>
    </row>
    <row r="72" spans="2:10" s="1016" customFormat="1" ht="12.75" hidden="1">
      <c r="B72" s="1016" t="s">
        <v>799</v>
      </c>
      <c r="C72" s="1696">
        <v>10075</v>
      </c>
      <c r="D72" s="1696">
        <v>263000000</v>
      </c>
      <c r="E72" s="1696">
        <v>249000000</v>
      </c>
      <c r="F72" s="1696">
        <v>11</v>
      </c>
      <c r="G72" s="1696">
        <v>4</v>
      </c>
      <c r="H72" s="1696">
        <v>0</v>
      </c>
      <c r="I72" s="1016">
        <v>4</v>
      </c>
      <c r="J72" s="1588">
        <v>42005</v>
      </c>
    </row>
    <row r="73" spans="2:10" s="1016" customFormat="1" ht="12.75" hidden="1">
      <c r="B73" s="1016" t="s">
        <v>825</v>
      </c>
      <c r="C73" s="1696">
        <v>10077</v>
      </c>
      <c r="D73" s="1696">
        <v>301000000</v>
      </c>
      <c r="E73" s="1696">
        <v>286000000</v>
      </c>
      <c r="F73" s="1696">
        <v>12</v>
      </c>
      <c r="G73" s="1696">
        <v>15</v>
      </c>
      <c r="H73" s="1696">
        <v>0</v>
      </c>
      <c r="I73" s="1016">
        <v>15</v>
      </c>
      <c r="J73" s="1588">
        <v>42005</v>
      </c>
    </row>
    <row r="74" spans="2:10" s="1016" customFormat="1" ht="12.75" hidden="1">
      <c r="B74" s="1016" t="s">
        <v>905</v>
      </c>
      <c r="C74" s="1696">
        <v>10084</v>
      </c>
      <c r="D74" s="1696">
        <v>368000000</v>
      </c>
      <c r="E74" s="1696">
        <v>350000000</v>
      </c>
      <c r="F74" s="1696">
        <v>10</v>
      </c>
      <c r="G74" s="1696">
        <v>8</v>
      </c>
      <c r="H74" s="1696">
        <v>2</v>
      </c>
      <c r="I74" s="1016">
        <v>10</v>
      </c>
      <c r="J74" s="1588">
        <v>42005</v>
      </c>
    </row>
    <row r="75" spans="2:10" s="1016" customFormat="1" ht="12.75" hidden="1">
      <c r="B75" s="1016" t="s">
        <v>903</v>
      </c>
      <c r="C75" s="1696">
        <v>10088</v>
      </c>
      <c r="D75" s="1696">
        <v>263000000</v>
      </c>
      <c r="E75" s="1696">
        <v>250000000</v>
      </c>
      <c r="F75" s="1696">
        <v>9</v>
      </c>
      <c r="G75" s="1696">
        <v>9</v>
      </c>
      <c r="H75" s="1696">
        <v>2</v>
      </c>
      <c r="I75" s="1016">
        <v>11</v>
      </c>
      <c r="J75" s="1588">
        <v>42005</v>
      </c>
    </row>
    <row r="76" spans="2:10" s="1016" customFormat="1" ht="12.75" hidden="1">
      <c r="B76" s="1016" t="s">
        <v>902</v>
      </c>
      <c r="C76" s="1696">
        <v>10089</v>
      </c>
      <c r="D76" s="1696">
        <v>263000000</v>
      </c>
      <c r="E76" s="1696">
        <v>250000000</v>
      </c>
      <c r="F76" s="1696">
        <v>8</v>
      </c>
      <c r="G76" s="1696">
        <v>9</v>
      </c>
      <c r="H76" s="1696">
        <v>2</v>
      </c>
      <c r="I76" s="1016">
        <v>11</v>
      </c>
      <c r="J76" s="1588">
        <v>42005</v>
      </c>
    </row>
    <row r="77" spans="2:10" s="1016" customFormat="1" ht="12.75" hidden="1">
      <c r="B77" s="1016" t="s">
        <v>900</v>
      </c>
      <c r="C77" s="1696">
        <v>10090</v>
      </c>
      <c r="D77" s="1696">
        <v>315000000</v>
      </c>
      <c r="E77" s="1696">
        <v>300000000</v>
      </c>
      <c r="F77" s="1696">
        <v>7</v>
      </c>
      <c r="G77" s="1696">
        <v>10</v>
      </c>
      <c r="H77" s="1696">
        <v>2</v>
      </c>
      <c r="I77" s="1016">
        <v>12</v>
      </c>
      <c r="J77" s="1588">
        <v>42005</v>
      </c>
    </row>
    <row r="78" spans="2:10" s="1016" customFormat="1" ht="12.75" hidden="1">
      <c r="B78" s="1016" t="s">
        <v>949</v>
      </c>
      <c r="C78" s="1696">
        <v>10092</v>
      </c>
      <c r="D78" s="1696">
        <v>263000000</v>
      </c>
      <c r="E78" s="1696">
        <v>250000000</v>
      </c>
      <c r="F78" s="1696">
        <v>7</v>
      </c>
      <c r="G78" s="1696">
        <v>7</v>
      </c>
      <c r="H78" s="1696">
        <v>5</v>
      </c>
      <c r="I78" s="1016">
        <v>12</v>
      </c>
      <c r="J78" s="1588">
        <v>42005</v>
      </c>
    </row>
    <row r="79" spans="2:10" s="1016" customFormat="1" ht="12.75" hidden="1">
      <c r="B79" s="1016" t="s">
        <v>1104</v>
      </c>
      <c r="C79" s="1696">
        <v>10096</v>
      </c>
      <c r="D79" s="1696">
        <v>0</v>
      </c>
      <c r="E79" s="1696">
        <v>0</v>
      </c>
      <c r="F79" s="1696">
        <v>0</v>
      </c>
      <c r="G79" s="1696">
        <v>0</v>
      </c>
      <c r="H79" s="1696">
        <v>2</v>
      </c>
      <c r="I79" s="1016">
        <v>2</v>
      </c>
      <c r="J79" s="1588">
        <v>42005</v>
      </c>
    </row>
    <row r="80" spans="2:10" s="1016" customFormat="1" ht="12.75" hidden="1">
      <c r="B80" s="1016" t="s">
        <v>1015</v>
      </c>
      <c r="C80" s="1696">
        <v>10097</v>
      </c>
      <c r="D80" s="1696">
        <v>0</v>
      </c>
      <c r="E80" s="1696">
        <v>0</v>
      </c>
      <c r="F80" s="1696">
        <v>0</v>
      </c>
      <c r="G80" s="1696">
        <v>0</v>
      </c>
      <c r="H80" s="1696">
        <v>0</v>
      </c>
      <c r="I80" s="1016">
        <v>0</v>
      </c>
      <c r="J80" s="1588">
        <v>42005</v>
      </c>
    </row>
    <row r="81" spans="1:10" s="1016" customFormat="1" ht="12.75" hidden="1">
      <c r="B81" s="1016" t="s">
        <v>1103</v>
      </c>
      <c r="C81" s="1696">
        <v>10098</v>
      </c>
      <c r="D81" s="1696">
        <v>67000000</v>
      </c>
      <c r="E81" s="1696">
        <v>64000000</v>
      </c>
      <c r="F81" s="1696">
        <v>4</v>
      </c>
      <c r="G81" s="1696">
        <v>5</v>
      </c>
      <c r="H81" s="1696">
        <v>3</v>
      </c>
      <c r="I81" s="1016">
        <v>8</v>
      </c>
      <c r="J81" s="1588">
        <v>42005</v>
      </c>
    </row>
    <row r="82" spans="1:10" s="1016" customFormat="1" ht="12.75" hidden="1">
      <c r="B82" s="1016" t="s">
        <v>1102</v>
      </c>
      <c r="C82" s="1696">
        <v>10103</v>
      </c>
      <c r="D82" s="1696">
        <v>237000000</v>
      </c>
      <c r="E82" s="1696">
        <v>225000000</v>
      </c>
      <c r="F82" s="1696">
        <v>3</v>
      </c>
      <c r="G82" s="1696">
        <v>11</v>
      </c>
      <c r="H82" s="1696">
        <v>5</v>
      </c>
      <c r="I82" s="1016">
        <v>16</v>
      </c>
      <c r="J82" s="1588">
        <v>42005</v>
      </c>
    </row>
    <row r="83" spans="1:10" s="1016" customFormat="1" ht="12.75" hidden="1">
      <c r="B83" s="1016" t="s">
        <v>1101</v>
      </c>
      <c r="C83" s="1696">
        <v>10104</v>
      </c>
      <c r="D83" s="1696">
        <v>237000000</v>
      </c>
      <c r="E83" s="1696">
        <v>225000000</v>
      </c>
      <c r="F83" s="1696">
        <v>3</v>
      </c>
      <c r="G83" s="1696">
        <v>11</v>
      </c>
      <c r="H83" s="1696">
        <v>5</v>
      </c>
      <c r="I83" s="1016">
        <v>16</v>
      </c>
      <c r="J83" s="1588">
        <v>42005</v>
      </c>
    </row>
    <row r="84" spans="1:10" s="1016" customFormat="1" ht="12.75" hidden="1">
      <c r="B84" s="1016" t="s">
        <v>1100</v>
      </c>
      <c r="C84" s="1696">
        <v>10105</v>
      </c>
      <c r="D84" s="1696">
        <v>301000000</v>
      </c>
      <c r="E84" s="1696">
        <v>286000000</v>
      </c>
      <c r="F84" s="1696">
        <v>12</v>
      </c>
      <c r="G84" s="1696">
        <v>15</v>
      </c>
      <c r="H84" s="1696">
        <v>0</v>
      </c>
      <c r="I84" s="1016">
        <v>15</v>
      </c>
      <c r="J84" s="1588">
        <v>42005</v>
      </c>
    </row>
    <row r="85" spans="1:10" s="1016" customFormat="1" ht="12.75" hidden="1">
      <c r="B85" s="1016" t="s">
        <v>1099</v>
      </c>
      <c r="C85" s="1696">
        <v>10106</v>
      </c>
      <c r="D85" s="1696">
        <v>315000000</v>
      </c>
      <c r="E85" s="1696">
        <v>300000000</v>
      </c>
      <c r="F85" s="1696">
        <v>6</v>
      </c>
      <c r="G85" s="1696">
        <v>10</v>
      </c>
      <c r="H85" s="1696">
        <v>2</v>
      </c>
      <c r="I85" s="1016">
        <v>12</v>
      </c>
      <c r="J85" s="1588">
        <v>42005</v>
      </c>
    </row>
    <row r="86" spans="1:10" s="1016" customFormat="1" ht="12.75" hidden="1">
      <c r="B86" s="1016" t="s">
        <v>1148</v>
      </c>
      <c r="C86" s="1696">
        <v>10002</v>
      </c>
      <c r="D86" s="1696">
        <v>2310000000</v>
      </c>
      <c r="E86" s="1696">
        <v>2200000000</v>
      </c>
      <c r="F86" s="1696">
        <v>80</v>
      </c>
      <c r="G86" s="1696">
        <v>44</v>
      </c>
      <c r="H86" s="1696">
        <v>10</v>
      </c>
      <c r="I86" s="1016">
        <v>54</v>
      </c>
      <c r="J86" s="1588">
        <v>42005</v>
      </c>
    </row>
    <row r="87" spans="1:10" s="1016" customFormat="1" ht="12.75" hidden="1">
      <c r="B87" s="1016" t="s">
        <v>1149</v>
      </c>
      <c r="C87" s="1696">
        <v>10011</v>
      </c>
      <c r="D87" s="1696">
        <v>2121000000</v>
      </c>
      <c r="E87" s="1696">
        <v>2014000000</v>
      </c>
      <c r="F87" s="1696">
        <v>87</v>
      </c>
      <c r="G87" s="1696">
        <v>21</v>
      </c>
      <c r="H87" s="1696">
        <v>0</v>
      </c>
      <c r="I87" s="1016">
        <v>21</v>
      </c>
      <c r="J87" s="1588">
        <v>42005</v>
      </c>
    </row>
    <row r="88" spans="1:10" s="1016" customFormat="1" ht="12.75" hidden="1">
      <c r="B88" s="1016" t="s">
        <v>1150</v>
      </c>
      <c r="C88" s="1696">
        <v>10023</v>
      </c>
      <c r="D88" s="1696">
        <v>1920000000</v>
      </c>
      <c r="E88" s="1696">
        <v>1823000000</v>
      </c>
      <c r="F88" s="1696">
        <v>78</v>
      </c>
      <c r="G88" s="1696">
        <v>23</v>
      </c>
      <c r="H88" s="1696">
        <v>1</v>
      </c>
      <c r="I88" s="1016">
        <v>24</v>
      </c>
      <c r="J88" s="1588">
        <v>42005</v>
      </c>
    </row>
    <row r="89" spans="1:10" s="1016" customFormat="1" ht="12.75" hidden="1">
      <c r="B89" s="1016" t="s">
        <v>1151</v>
      </c>
      <c r="C89" s="1696">
        <v>10034</v>
      </c>
      <c r="D89" s="1696">
        <v>2627000000</v>
      </c>
      <c r="E89" s="1696">
        <v>2500000000</v>
      </c>
      <c r="F89" s="1696">
        <v>76</v>
      </c>
      <c r="G89" s="1696">
        <v>47</v>
      </c>
      <c r="H89" s="1696">
        <v>15</v>
      </c>
      <c r="I89" s="1016">
        <v>62</v>
      </c>
      <c r="J89" s="1588">
        <v>42005</v>
      </c>
    </row>
    <row r="90" spans="1:10" s="1016" customFormat="1" ht="12.75" hidden="1">
      <c r="B90" s="1016" t="s">
        <v>1152</v>
      </c>
      <c r="C90" s="1696">
        <v>10041</v>
      </c>
      <c r="D90" s="1696">
        <v>620000000</v>
      </c>
      <c r="E90" s="1696">
        <v>588000000</v>
      </c>
      <c r="F90" s="1696">
        <v>26</v>
      </c>
      <c r="G90" s="1696">
        <v>8</v>
      </c>
      <c r="H90" s="1696">
        <v>0</v>
      </c>
      <c r="I90" s="1016">
        <v>8</v>
      </c>
      <c r="J90" s="1588">
        <v>42005</v>
      </c>
    </row>
    <row r="91" spans="1:10" s="1016" customFormat="1" ht="12.75" hidden="1">
      <c r="B91" s="1016" t="s">
        <v>1153</v>
      </c>
      <c r="C91" s="1696">
        <v>10050</v>
      </c>
      <c r="D91" s="1696">
        <v>1426000000</v>
      </c>
      <c r="E91" s="1696">
        <v>1353000000</v>
      </c>
      <c r="F91" s="1696">
        <v>59</v>
      </c>
      <c r="G91" s="1696">
        <v>47</v>
      </c>
      <c r="H91" s="1696">
        <v>5</v>
      </c>
      <c r="I91" s="1016">
        <v>52</v>
      </c>
      <c r="J91" s="1588">
        <v>42005</v>
      </c>
    </row>
    <row r="92" spans="1:10" s="1016" customFormat="1" ht="12.75" hidden="1">
      <c r="B92" s="1016" t="s">
        <v>1154</v>
      </c>
      <c r="C92" s="1696">
        <v>10057</v>
      </c>
      <c r="D92" s="1696">
        <v>525000000</v>
      </c>
      <c r="E92" s="1696">
        <v>500000000</v>
      </c>
      <c r="F92" s="1696">
        <v>25</v>
      </c>
      <c r="G92" s="1696">
        <v>5</v>
      </c>
      <c r="H92" s="1696">
        <v>2</v>
      </c>
      <c r="I92" s="1016">
        <v>7</v>
      </c>
      <c r="J92" s="1588">
        <v>42005</v>
      </c>
    </row>
    <row r="93" spans="1:10" s="1016" customFormat="1" ht="12.75" hidden="1">
      <c r="B93" s="1016" t="s">
        <v>1155</v>
      </c>
      <c r="C93" s="1696">
        <v>10085</v>
      </c>
      <c r="D93" s="1696">
        <v>3888000000</v>
      </c>
      <c r="E93" s="1696">
        <v>3700000000</v>
      </c>
      <c r="F93" s="1696">
        <v>150</v>
      </c>
      <c r="G93" s="1696">
        <v>92</v>
      </c>
      <c r="H93" s="1696">
        <v>20</v>
      </c>
      <c r="I93" s="1016">
        <v>112</v>
      </c>
      <c r="J93" s="1588">
        <v>42005</v>
      </c>
    </row>
    <row r="94" spans="1:10" s="1016" customFormat="1" ht="12.75" hidden="1">
      <c r="B94" s="1016" t="s">
        <v>1156</v>
      </c>
      <c r="C94" s="1696">
        <v>10101</v>
      </c>
      <c r="D94" s="1696">
        <v>474000000</v>
      </c>
      <c r="E94" s="1696">
        <v>450000000</v>
      </c>
      <c r="F94" s="1696">
        <v>6</v>
      </c>
      <c r="G94" s="1696">
        <v>22</v>
      </c>
      <c r="H94" s="1696">
        <v>10</v>
      </c>
      <c r="I94" s="1016">
        <v>32</v>
      </c>
      <c r="J94" s="1588">
        <v>42005</v>
      </c>
    </row>
    <row r="95" spans="1:10" s="1016" customFormat="1" ht="12.75" hidden="1">
      <c r="A95" s="1207" t="s">
        <v>792</v>
      </c>
      <c r="B95" s="1016" t="s">
        <v>792</v>
      </c>
      <c r="C95" s="1696">
        <v>10001</v>
      </c>
      <c r="D95" s="1696">
        <v>8825000000</v>
      </c>
      <c r="E95" s="1696">
        <v>8400000000</v>
      </c>
      <c r="F95" s="1696">
        <v>306</v>
      </c>
      <c r="G95" s="1696">
        <v>183</v>
      </c>
      <c r="H95" s="1696">
        <v>45</v>
      </c>
      <c r="I95" s="1016">
        <v>228</v>
      </c>
      <c r="J95" s="1588">
        <v>42005</v>
      </c>
    </row>
    <row r="96" spans="1:10" s="1016" customFormat="1" ht="12.75" hidden="1">
      <c r="C96" s="1696"/>
      <c r="D96" s="1696"/>
      <c r="E96" s="1696"/>
      <c r="F96" s="1696"/>
      <c r="G96" s="1696"/>
      <c r="H96" s="1696"/>
      <c r="J96" s="1588"/>
    </row>
    <row r="97" spans="1:10" s="1016" customFormat="1" ht="12.75" hidden="1">
      <c r="B97" s="1016" t="s">
        <v>794</v>
      </c>
      <c r="C97" s="1696">
        <v>10010</v>
      </c>
      <c r="D97" s="1696">
        <v>4661000000</v>
      </c>
      <c r="E97" s="1696">
        <v>4425000000</v>
      </c>
      <c r="F97" s="1696">
        <v>191</v>
      </c>
      <c r="G97" s="1696">
        <v>52</v>
      </c>
      <c r="H97" s="1696">
        <v>1</v>
      </c>
      <c r="I97" s="1016">
        <v>53</v>
      </c>
      <c r="J97" s="1588">
        <v>42005</v>
      </c>
    </row>
    <row r="98" spans="1:10" s="1016" customFormat="1" ht="12.75" hidden="1">
      <c r="B98" s="1016" t="s">
        <v>793</v>
      </c>
      <c r="C98" s="1696">
        <v>10049</v>
      </c>
      <c r="D98" s="1696">
        <v>1426000000</v>
      </c>
      <c r="E98" s="1696">
        <v>1353000000</v>
      </c>
      <c r="F98" s="1696">
        <v>59</v>
      </c>
      <c r="G98" s="1696">
        <v>47</v>
      </c>
      <c r="H98" s="1696">
        <v>5</v>
      </c>
      <c r="I98" s="1016">
        <v>52</v>
      </c>
      <c r="J98" s="1588">
        <v>42005</v>
      </c>
    </row>
    <row r="99" spans="1:10" s="1016" customFormat="1" ht="12.75" hidden="1">
      <c r="A99" s="1207" t="s">
        <v>1157</v>
      </c>
      <c r="C99" s="1696"/>
      <c r="D99" s="1696">
        <f t="shared" ref="D99:I99" si="0">SUM(D97:D98)</f>
        <v>6087000000</v>
      </c>
      <c r="E99" s="1696">
        <f t="shared" si="0"/>
        <v>5778000000</v>
      </c>
      <c r="F99" s="1696">
        <f t="shared" si="0"/>
        <v>250</v>
      </c>
      <c r="G99" s="1696">
        <f t="shared" si="0"/>
        <v>99</v>
      </c>
      <c r="H99" s="1696">
        <f t="shared" si="0"/>
        <v>6</v>
      </c>
      <c r="I99" s="1016">
        <f t="shared" si="0"/>
        <v>105</v>
      </c>
      <c r="J99" s="1607"/>
    </row>
    <row r="100" spans="1:10" s="1016" customFormat="1" ht="12.75" hidden="1">
      <c r="C100" s="1696"/>
      <c r="D100" s="1696"/>
      <c r="E100" s="1696"/>
      <c r="F100" s="1696"/>
      <c r="G100" s="1696"/>
      <c r="H100" s="1696"/>
    </row>
    <row r="101" spans="1:10" s="1016" customFormat="1" ht="12.75" hidden="1">
      <c r="A101" s="1207" t="s">
        <v>458</v>
      </c>
      <c r="B101" s="1016" t="s">
        <v>458</v>
      </c>
      <c r="C101" s="1696">
        <v>10056</v>
      </c>
      <c r="D101" s="1696">
        <v>999000000</v>
      </c>
      <c r="E101" s="1696">
        <v>950000000</v>
      </c>
      <c r="F101" s="1696">
        <v>31</v>
      </c>
      <c r="G101" s="1696">
        <v>27</v>
      </c>
      <c r="H101" s="1696">
        <v>12</v>
      </c>
      <c r="I101" s="1016">
        <v>39</v>
      </c>
      <c r="J101" s="1588">
        <v>42005</v>
      </c>
    </row>
    <row r="102" spans="1:10" s="1016" customFormat="1" ht="12.75" hidden="1">
      <c r="C102" s="1696"/>
      <c r="D102" s="1696"/>
      <c r="E102" s="1696"/>
      <c r="F102" s="1696"/>
      <c r="G102" s="1696"/>
      <c r="H102" s="1696"/>
    </row>
    <row r="103" spans="1:10" s="1016" customFormat="1" ht="12.75" hidden="1">
      <c r="C103" s="1696"/>
      <c r="D103" s="1696"/>
      <c r="E103" s="1696"/>
      <c r="F103" s="1696"/>
      <c r="G103" s="1696"/>
      <c r="H103" s="1696"/>
      <c r="I103" s="1607"/>
      <c r="J103" s="1607"/>
    </row>
    <row r="104" spans="1:10" s="1016" customFormat="1" ht="12.75" hidden="1">
      <c r="A104" s="1207" t="s">
        <v>1158</v>
      </c>
      <c r="B104" s="1016" t="s">
        <v>1158</v>
      </c>
      <c r="C104" s="1696" t="s">
        <v>1159</v>
      </c>
      <c r="D104" s="1696">
        <v>15911000000</v>
      </c>
      <c r="E104" s="1696">
        <v>15128000000</v>
      </c>
      <c r="F104" s="1696">
        <v>587</v>
      </c>
      <c r="G104" s="1696">
        <v>309</v>
      </c>
      <c r="H104" s="1696">
        <v>63</v>
      </c>
      <c r="I104" s="1016">
        <v>372</v>
      </c>
      <c r="J104" s="1588">
        <v>42005</v>
      </c>
    </row>
    <row r="106" spans="1:10">
      <c r="A106" s="1652" t="s">
        <v>1306</v>
      </c>
    </row>
    <row r="107" spans="1:10">
      <c r="A107" s="1596" t="s">
        <v>1109</v>
      </c>
      <c r="B107" s="1596" t="s">
        <v>1110</v>
      </c>
      <c r="C107" s="1695" t="s">
        <v>1</v>
      </c>
      <c r="D107" s="1695" t="s">
        <v>2</v>
      </c>
      <c r="E107" s="1695" t="s">
        <v>1108</v>
      </c>
      <c r="F107" s="1695" t="s">
        <v>1107</v>
      </c>
      <c r="G107" s="1695" t="s">
        <v>1106</v>
      </c>
      <c r="H107" s="1695" t="s">
        <v>1105</v>
      </c>
      <c r="I107" s="1596" t="s">
        <v>1160</v>
      </c>
    </row>
    <row r="108" spans="1:10">
      <c r="A108" s="1596" t="s">
        <v>47</v>
      </c>
      <c r="B108" s="1596">
        <v>10004</v>
      </c>
      <c r="C108" s="1695">
        <v>315000000</v>
      </c>
      <c r="D108" s="1695">
        <v>300000000</v>
      </c>
      <c r="E108" s="1695">
        <v>17</v>
      </c>
      <c r="F108" s="1695">
        <v>6</v>
      </c>
      <c r="G108" s="1695">
        <v>2</v>
      </c>
      <c r="H108" s="1695">
        <v>8</v>
      </c>
      <c r="I108" s="1643">
        <v>42036</v>
      </c>
    </row>
    <row r="109" spans="1:10">
      <c r="A109" s="1596" t="s">
        <v>91</v>
      </c>
      <c r="B109" s="1596">
        <v>10009</v>
      </c>
      <c r="C109" s="1695">
        <v>410000000</v>
      </c>
      <c r="D109" s="1695">
        <v>390000000</v>
      </c>
      <c r="E109" s="1695">
        <v>24</v>
      </c>
      <c r="F109" s="1695">
        <v>7</v>
      </c>
      <c r="G109" s="1695">
        <v>2</v>
      </c>
      <c r="H109" s="1695">
        <v>9</v>
      </c>
      <c r="I109" s="1643">
        <v>42036</v>
      </c>
    </row>
    <row r="110" spans="1:10">
      <c r="A110" s="1596" t="s">
        <v>177</v>
      </c>
      <c r="B110" s="1596">
        <v>10013</v>
      </c>
      <c r="C110" s="1695">
        <v>417000000</v>
      </c>
      <c r="D110" s="1695">
        <v>396000000</v>
      </c>
      <c r="E110" s="1695">
        <v>17</v>
      </c>
      <c r="F110" s="1695">
        <v>5</v>
      </c>
      <c r="G110" s="1695">
        <v>0</v>
      </c>
      <c r="H110" s="1695">
        <v>5</v>
      </c>
      <c r="I110" s="1643">
        <v>42036</v>
      </c>
    </row>
    <row r="111" spans="1:10">
      <c r="A111" s="1596" t="s">
        <v>185</v>
      </c>
      <c r="B111" s="1596">
        <v>10014</v>
      </c>
      <c r="C111" s="1695">
        <v>164000000</v>
      </c>
      <c r="D111" s="1695">
        <v>156000000</v>
      </c>
      <c r="E111" s="1695">
        <v>7</v>
      </c>
      <c r="F111" s="1695">
        <v>8</v>
      </c>
      <c r="G111" s="1695">
        <v>0</v>
      </c>
      <c r="H111" s="1695">
        <v>8</v>
      </c>
      <c r="I111" s="1643">
        <v>42036</v>
      </c>
    </row>
    <row r="112" spans="1:10">
      <c r="A112" s="1596" t="s">
        <v>179</v>
      </c>
      <c r="B112" s="1596">
        <v>10015</v>
      </c>
      <c r="C112" s="1695">
        <v>417000000</v>
      </c>
      <c r="D112" s="1695">
        <v>396000000</v>
      </c>
      <c r="E112" s="1695">
        <v>17</v>
      </c>
      <c r="F112" s="1695">
        <v>5</v>
      </c>
      <c r="G112" s="1695">
        <v>0</v>
      </c>
      <c r="H112" s="1695">
        <v>5</v>
      </c>
      <c r="I112" s="1643">
        <v>42036</v>
      </c>
    </row>
    <row r="113" spans="1:9">
      <c r="A113" s="1596" t="s">
        <v>176</v>
      </c>
      <c r="B113" s="1596">
        <v>10017</v>
      </c>
      <c r="C113" s="1695">
        <v>556000000</v>
      </c>
      <c r="D113" s="1695">
        <v>528000000</v>
      </c>
      <c r="E113" s="1695">
        <v>22</v>
      </c>
      <c r="F113" s="1695">
        <v>10</v>
      </c>
      <c r="G113" s="1695">
        <v>1</v>
      </c>
      <c r="H113" s="1695">
        <v>11</v>
      </c>
      <c r="I113" s="1643">
        <v>42036</v>
      </c>
    </row>
    <row r="114" spans="1:9">
      <c r="A114" s="1596" t="s">
        <v>187</v>
      </c>
      <c r="B114" s="1596">
        <v>10018</v>
      </c>
      <c r="C114" s="1695">
        <v>252000000</v>
      </c>
      <c r="D114" s="1695">
        <v>240000000</v>
      </c>
      <c r="E114" s="1695">
        <v>13</v>
      </c>
      <c r="F114" s="1695">
        <v>6</v>
      </c>
      <c r="G114" s="1695">
        <v>2</v>
      </c>
      <c r="H114" s="1695">
        <v>8</v>
      </c>
      <c r="I114" s="1643">
        <v>42036</v>
      </c>
    </row>
    <row r="115" spans="1:9">
      <c r="A115" s="1596" t="s">
        <v>630</v>
      </c>
      <c r="B115" s="1596">
        <v>10031</v>
      </c>
      <c r="C115" s="1695">
        <v>221000000</v>
      </c>
      <c r="D115" s="1695">
        <v>210000000</v>
      </c>
      <c r="E115" s="1695">
        <v>18</v>
      </c>
      <c r="F115" s="1695">
        <v>6</v>
      </c>
      <c r="G115" s="1695">
        <v>2</v>
      </c>
      <c r="H115" s="1695">
        <v>8</v>
      </c>
      <c r="I115" s="1643">
        <v>42036</v>
      </c>
    </row>
    <row r="116" spans="1:9">
      <c r="A116" s="1596" t="s">
        <v>661</v>
      </c>
      <c r="B116" s="1596">
        <v>10032</v>
      </c>
      <c r="C116" s="1695">
        <v>164000000</v>
      </c>
      <c r="D116" s="1695">
        <v>156000000</v>
      </c>
      <c r="E116" s="1695">
        <v>7</v>
      </c>
      <c r="F116" s="1695">
        <v>8</v>
      </c>
      <c r="G116" s="1695">
        <v>0</v>
      </c>
      <c r="H116" s="1695">
        <v>8</v>
      </c>
      <c r="I116" s="1643">
        <v>42036</v>
      </c>
    </row>
    <row r="117" spans="1:9">
      <c r="A117" s="1596" t="s">
        <v>557</v>
      </c>
      <c r="B117" s="1596">
        <v>10033</v>
      </c>
      <c r="C117" s="1695">
        <v>221000000</v>
      </c>
      <c r="D117" s="1695">
        <v>210000000</v>
      </c>
      <c r="E117" s="1695">
        <v>16</v>
      </c>
      <c r="F117" s="1695">
        <v>6</v>
      </c>
      <c r="G117" s="1695">
        <v>2</v>
      </c>
      <c r="H117" s="1695">
        <v>8</v>
      </c>
      <c r="I117" s="1643">
        <v>42036</v>
      </c>
    </row>
    <row r="118" spans="1:9">
      <c r="A118" s="1596" t="s">
        <v>628</v>
      </c>
      <c r="B118" s="1596">
        <v>10036</v>
      </c>
      <c r="C118" s="1695">
        <v>221000000</v>
      </c>
      <c r="D118" s="1695">
        <v>210000000</v>
      </c>
      <c r="E118" s="1695">
        <v>14</v>
      </c>
      <c r="F118" s="1695">
        <v>6</v>
      </c>
      <c r="G118" s="1695">
        <v>2</v>
      </c>
      <c r="H118" s="1695">
        <v>8</v>
      </c>
      <c r="I118" s="1643">
        <v>42036</v>
      </c>
    </row>
    <row r="119" spans="1:9">
      <c r="A119" s="1596" t="s">
        <v>650</v>
      </c>
      <c r="B119" s="1596">
        <v>10037</v>
      </c>
      <c r="C119" s="1695">
        <v>221000000</v>
      </c>
      <c r="D119" s="1695">
        <v>210000000</v>
      </c>
      <c r="E119" s="1695">
        <v>13</v>
      </c>
      <c r="F119" s="1695">
        <v>6</v>
      </c>
      <c r="G119" s="1695">
        <v>2</v>
      </c>
      <c r="H119" s="1695">
        <v>8</v>
      </c>
      <c r="I119" s="1643">
        <v>42036</v>
      </c>
    </row>
    <row r="120" spans="1:9">
      <c r="A120" s="1596" t="s">
        <v>660</v>
      </c>
      <c r="B120" s="1596">
        <v>10038</v>
      </c>
      <c r="C120" s="1695">
        <v>164000000</v>
      </c>
      <c r="D120" s="1695">
        <v>156000000</v>
      </c>
      <c r="E120" s="1695">
        <v>7</v>
      </c>
      <c r="F120" s="1695">
        <v>8</v>
      </c>
      <c r="G120" s="1695">
        <v>0</v>
      </c>
      <c r="H120" s="1695">
        <v>8</v>
      </c>
      <c r="I120" s="1643">
        <v>42036</v>
      </c>
    </row>
    <row r="121" spans="1:9">
      <c r="A121" s="1596" t="s">
        <v>648</v>
      </c>
      <c r="B121" s="1596">
        <v>10039</v>
      </c>
      <c r="C121" s="1695">
        <v>221000000</v>
      </c>
      <c r="D121" s="1695">
        <v>210000000</v>
      </c>
      <c r="E121" s="1695">
        <v>12</v>
      </c>
      <c r="F121" s="1695">
        <v>7</v>
      </c>
      <c r="G121" s="1695">
        <v>2</v>
      </c>
      <c r="H121" s="1695">
        <v>9</v>
      </c>
      <c r="I121" s="1643">
        <v>42036</v>
      </c>
    </row>
    <row r="122" spans="1:9">
      <c r="A122" s="1596" t="s">
        <v>647</v>
      </c>
      <c r="B122" s="1596">
        <v>10040</v>
      </c>
      <c r="C122" s="1695">
        <v>221000000</v>
      </c>
      <c r="D122" s="1695">
        <v>210000000</v>
      </c>
      <c r="E122" s="1695">
        <v>12</v>
      </c>
      <c r="F122" s="1695">
        <v>7</v>
      </c>
      <c r="G122" s="1695">
        <v>2</v>
      </c>
      <c r="H122" s="1695">
        <v>9</v>
      </c>
      <c r="I122" s="1643">
        <v>42036</v>
      </c>
    </row>
    <row r="123" spans="1:9">
      <c r="A123" s="1596" t="s">
        <v>659</v>
      </c>
      <c r="B123" s="1596">
        <v>10043</v>
      </c>
      <c r="C123" s="1695">
        <v>340000000</v>
      </c>
      <c r="D123" s="1695">
        <v>323000000</v>
      </c>
      <c r="E123" s="1695">
        <v>14</v>
      </c>
      <c r="F123" s="1695">
        <v>6</v>
      </c>
      <c r="G123" s="1695">
        <v>0</v>
      </c>
      <c r="H123" s="1695">
        <v>6</v>
      </c>
      <c r="I123" s="1643">
        <v>42036</v>
      </c>
    </row>
    <row r="124" spans="1:9">
      <c r="A124" s="1596" t="s">
        <v>662</v>
      </c>
      <c r="B124" s="1596">
        <v>10044</v>
      </c>
      <c r="C124" s="1695">
        <v>164000000</v>
      </c>
      <c r="D124" s="1695">
        <v>156000000</v>
      </c>
      <c r="E124" s="1695">
        <v>7</v>
      </c>
      <c r="F124" s="1695">
        <v>8</v>
      </c>
      <c r="G124" s="1695">
        <v>0</v>
      </c>
      <c r="H124" s="1695">
        <v>8</v>
      </c>
      <c r="I124" s="1643">
        <v>42036</v>
      </c>
    </row>
    <row r="125" spans="1:9">
      <c r="A125" s="1596" t="s">
        <v>649</v>
      </c>
      <c r="B125" s="1596">
        <v>10045</v>
      </c>
      <c r="C125" s="1695">
        <v>252000000</v>
      </c>
      <c r="D125" s="1695">
        <v>240000000</v>
      </c>
      <c r="E125" s="1695">
        <v>13</v>
      </c>
      <c r="F125" s="1695">
        <v>6</v>
      </c>
      <c r="G125" s="1695">
        <v>2</v>
      </c>
      <c r="H125" s="1695">
        <v>8</v>
      </c>
      <c r="I125" s="1643">
        <v>42036</v>
      </c>
    </row>
    <row r="126" spans="1:9">
      <c r="A126" s="1596" t="s">
        <v>642</v>
      </c>
      <c r="B126" s="1596">
        <v>10046</v>
      </c>
      <c r="C126" s="1695">
        <v>205000000</v>
      </c>
      <c r="D126" s="1695">
        <v>195000000</v>
      </c>
      <c r="E126" s="1695">
        <v>13</v>
      </c>
      <c r="F126" s="1695">
        <v>6</v>
      </c>
      <c r="G126" s="1695">
        <v>2</v>
      </c>
      <c r="H126" s="1695">
        <v>8</v>
      </c>
      <c r="I126" s="1643">
        <v>42036</v>
      </c>
    </row>
    <row r="127" spans="1:9">
      <c r="A127" s="1596" t="s">
        <v>736</v>
      </c>
      <c r="B127" s="1596">
        <v>10048</v>
      </c>
      <c r="C127" s="1695">
        <v>378000000</v>
      </c>
      <c r="D127" s="1695">
        <v>360000000</v>
      </c>
      <c r="E127" s="1695">
        <v>20</v>
      </c>
      <c r="F127" s="1695">
        <v>6</v>
      </c>
      <c r="G127" s="1695">
        <v>2</v>
      </c>
      <c r="H127" s="1695">
        <v>8</v>
      </c>
      <c r="I127" s="1643">
        <v>42036</v>
      </c>
    </row>
    <row r="128" spans="1:9">
      <c r="A128" s="1596" t="s">
        <v>699</v>
      </c>
      <c r="B128" s="1596">
        <v>10052</v>
      </c>
      <c r="C128" s="1695">
        <v>187000000</v>
      </c>
      <c r="D128" s="1695">
        <v>178000000</v>
      </c>
      <c r="E128" s="1695">
        <v>8</v>
      </c>
      <c r="F128" s="1695">
        <v>8</v>
      </c>
      <c r="G128" s="1695">
        <v>0</v>
      </c>
      <c r="H128" s="1695">
        <v>8</v>
      </c>
      <c r="I128" s="1643">
        <v>42036</v>
      </c>
    </row>
    <row r="129" spans="1:9">
      <c r="A129" s="1596" t="s">
        <v>737</v>
      </c>
      <c r="B129" s="1596">
        <v>10053</v>
      </c>
      <c r="C129" s="1695">
        <v>187000000</v>
      </c>
      <c r="D129" s="1695">
        <v>178000000</v>
      </c>
      <c r="E129" s="1695">
        <v>8</v>
      </c>
      <c r="F129" s="1695">
        <v>8</v>
      </c>
      <c r="G129" s="1695">
        <v>0</v>
      </c>
      <c r="H129" s="1695">
        <v>8</v>
      </c>
      <c r="I129" s="1643">
        <v>42036</v>
      </c>
    </row>
    <row r="130" spans="1:9">
      <c r="A130" s="1596" t="s">
        <v>735</v>
      </c>
      <c r="B130" s="1596">
        <v>10055</v>
      </c>
      <c r="C130" s="1695">
        <v>504000000</v>
      </c>
      <c r="D130" s="1695">
        <v>480000000</v>
      </c>
      <c r="E130" s="1695">
        <v>10</v>
      </c>
      <c r="F130" s="1695">
        <v>4</v>
      </c>
      <c r="G130" s="1695">
        <v>2</v>
      </c>
      <c r="H130" s="1695">
        <v>6</v>
      </c>
      <c r="I130" s="1643">
        <v>42036</v>
      </c>
    </row>
    <row r="131" spans="1:9">
      <c r="A131" s="1596" t="s">
        <v>734</v>
      </c>
      <c r="B131" s="1596">
        <v>10059</v>
      </c>
      <c r="C131" s="1695">
        <v>315000000</v>
      </c>
      <c r="D131" s="1695">
        <v>300000000</v>
      </c>
      <c r="E131" s="1695">
        <v>21</v>
      </c>
      <c r="F131" s="1695">
        <v>4</v>
      </c>
      <c r="G131" s="1695">
        <v>2</v>
      </c>
      <c r="H131" s="1695">
        <v>6</v>
      </c>
      <c r="I131" s="1643">
        <v>42036</v>
      </c>
    </row>
    <row r="132" spans="1:9">
      <c r="A132" s="1596" t="s">
        <v>798</v>
      </c>
      <c r="B132" s="1596">
        <v>10073</v>
      </c>
      <c r="C132" s="1695">
        <v>315000000</v>
      </c>
      <c r="D132" s="1695">
        <v>300000000</v>
      </c>
      <c r="E132" s="1695">
        <v>7</v>
      </c>
      <c r="F132" s="1695">
        <v>5</v>
      </c>
      <c r="G132" s="1695">
        <v>2</v>
      </c>
      <c r="H132" s="1695">
        <v>7</v>
      </c>
      <c r="I132" s="1643">
        <v>42036</v>
      </c>
    </row>
    <row r="133" spans="1:9">
      <c r="A133" s="1596" t="s">
        <v>796</v>
      </c>
      <c r="B133" s="1596">
        <v>10074</v>
      </c>
      <c r="C133" s="1695">
        <v>268000000</v>
      </c>
      <c r="D133" s="1695">
        <v>255000000</v>
      </c>
      <c r="E133" s="1695">
        <v>14</v>
      </c>
      <c r="F133" s="1695">
        <v>6</v>
      </c>
      <c r="G133" s="1695">
        <v>2</v>
      </c>
      <c r="H133" s="1695">
        <v>8</v>
      </c>
      <c r="I133" s="1643">
        <v>42036</v>
      </c>
    </row>
    <row r="134" spans="1:9">
      <c r="A134" s="1596" t="s">
        <v>799</v>
      </c>
      <c r="B134" s="1596">
        <v>10075</v>
      </c>
      <c r="C134" s="1695">
        <v>202000000</v>
      </c>
      <c r="D134" s="1695">
        <v>192000000</v>
      </c>
      <c r="E134" s="1695">
        <v>8</v>
      </c>
      <c r="F134" s="1695">
        <v>10</v>
      </c>
      <c r="G134" s="1695">
        <v>0</v>
      </c>
      <c r="H134" s="1695">
        <v>10</v>
      </c>
      <c r="I134" s="1643">
        <v>42036</v>
      </c>
    </row>
    <row r="135" spans="1:9">
      <c r="A135" s="1596" t="s">
        <v>825</v>
      </c>
      <c r="B135" s="1596">
        <v>10077</v>
      </c>
      <c r="C135" s="1695">
        <v>244000000</v>
      </c>
      <c r="D135" s="1695">
        <v>232000000</v>
      </c>
      <c r="E135" s="1695">
        <v>10</v>
      </c>
      <c r="F135" s="1695">
        <v>3</v>
      </c>
      <c r="G135" s="1695">
        <v>0</v>
      </c>
      <c r="H135" s="1695">
        <v>3</v>
      </c>
      <c r="I135" s="1643">
        <v>42036</v>
      </c>
    </row>
    <row r="136" spans="1:9">
      <c r="A136" s="1596" t="s">
        <v>905</v>
      </c>
      <c r="B136" s="1596">
        <v>10084</v>
      </c>
      <c r="C136" s="1695">
        <v>221000000</v>
      </c>
      <c r="D136" s="1695">
        <v>210000000</v>
      </c>
      <c r="E136" s="1695">
        <v>9</v>
      </c>
      <c r="F136" s="1695">
        <v>6</v>
      </c>
      <c r="G136" s="1695">
        <v>2</v>
      </c>
      <c r="H136" s="1695">
        <v>8</v>
      </c>
      <c r="I136" s="1643">
        <v>42036</v>
      </c>
    </row>
    <row r="137" spans="1:9">
      <c r="A137" s="1596" t="s">
        <v>903</v>
      </c>
      <c r="B137" s="1596">
        <v>10088</v>
      </c>
      <c r="C137" s="1695">
        <v>158000000</v>
      </c>
      <c r="D137" s="1695">
        <v>150000000</v>
      </c>
      <c r="E137" s="1695">
        <v>8</v>
      </c>
      <c r="F137" s="1695">
        <v>6</v>
      </c>
      <c r="G137" s="1695">
        <v>2</v>
      </c>
      <c r="H137" s="1695">
        <v>8</v>
      </c>
      <c r="I137" s="1643">
        <v>42036</v>
      </c>
    </row>
    <row r="138" spans="1:9">
      <c r="A138" s="1596" t="s">
        <v>902</v>
      </c>
      <c r="B138" s="1596">
        <v>10089</v>
      </c>
      <c r="C138" s="1695">
        <v>158000000</v>
      </c>
      <c r="D138" s="1695">
        <v>150000000</v>
      </c>
      <c r="E138" s="1695">
        <v>8</v>
      </c>
      <c r="F138" s="1695">
        <v>7</v>
      </c>
      <c r="G138" s="1695">
        <v>2</v>
      </c>
      <c r="H138" s="1695">
        <v>9</v>
      </c>
      <c r="I138" s="1643">
        <v>42036</v>
      </c>
    </row>
    <row r="139" spans="1:9">
      <c r="A139" s="1596" t="s">
        <v>900</v>
      </c>
      <c r="B139" s="1596">
        <v>10090</v>
      </c>
      <c r="C139" s="1695">
        <v>189000000</v>
      </c>
      <c r="D139" s="1695">
        <v>180000000</v>
      </c>
      <c r="E139" s="1695">
        <v>7</v>
      </c>
      <c r="F139" s="1695">
        <v>7</v>
      </c>
      <c r="G139" s="1695">
        <v>2</v>
      </c>
      <c r="H139" s="1695">
        <v>9</v>
      </c>
      <c r="I139" s="1643">
        <v>42036</v>
      </c>
    </row>
    <row r="140" spans="1:9">
      <c r="A140" s="1596" t="s">
        <v>949</v>
      </c>
      <c r="B140" s="1596">
        <v>10092</v>
      </c>
      <c r="C140" s="1695">
        <v>158000000</v>
      </c>
      <c r="D140" s="1695">
        <v>150000000</v>
      </c>
      <c r="E140" s="1695">
        <v>7</v>
      </c>
      <c r="F140" s="1695">
        <v>5</v>
      </c>
      <c r="G140" s="1695">
        <v>2</v>
      </c>
      <c r="H140" s="1695">
        <v>7</v>
      </c>
      <c r="I140" s="1643">
        <v>42036</v>
      </c>
    </row>
    <row r="141" spans="1:9">
      <c r="A141" s="1596" t="s">
        <v>1104</v>
      </c>
      <c r="B141" s="1596">
        <v>10096</v>
      </c>
      <c r="C141" s="1695">
        <v>67000000</v>
      </c>
      <c r="D141" s="1695">
        <v>64000000</v>
      </c>
      <c r="E141" s="1695">
        <v>4</v>
      </c>
      <c r="F141" s="1695">
        <v>5</v>
      </c>
      <c r="G141" s="1695">
        <v>3</v>
      </c>
      <c r="H141" s="1695">
        <v>8</v>
      </c>
      <c r="I141" s="1643">
        <v>42036</v>
      </c>
    </row>
    <row r="142" spans="1:9">
      <c r="A142" s="1596" t="s">
        <v>1015</v>
      </c>
      <c r="B142" s="1596">
        <v>10097</v>
      </c>
      <c r="C142" s="1695">
        <v>0</v>
      </c>
      <c r="D142" s="1695">
        <v>0</v>
      </c>
      <c r="E142" s="1695">
        <v>0</v>
      </c>
      <c r="F142" s="1695">
        <v>0</v>
      </c>
      <c r="G142" s="1695">
        <v>2</v>
      </c>
      <c r="H142" s="1695">
        <v>2</v>
      </c>
      <c r="I142" s="1643">
        <v>42036</v>
      </c>
    </row>
    <row r="143" spans="1:9">
      <c r="A143" s="1596" t="s">
        <v>1103</v>
      </c>
      <c r="B143" s="1596">
        <v>10098</v>
      </c>
      <c r="C143" s="1695">
        <v>118000000</v>
      </c>
      <c r="D143" s="1695">
        <v>112000000</v>
      </c>
      <c r="E143" s="1695">
        <v>7</v>
      </c>
      <c r="F143" s="1695">
        <v>10</v>
      </c>
      <c r="G143" s="1695">
        <v>3</v>
      </c>
      <c r="H143" s="1695">
        <v>13</v>
      </c>
      <c r="I143" s="1643">
        <v>42036</v>
      </c>
    </row>
    <row r="144" spans="1:9">
      <c r="A144" s="1596" t="s">
        <v>1102</v>
      </c>
      <c r="B144" s="1596">
        <v>10103</v>
      </c>
      <c r="C144" s="1695">
        <v>142000000</v>
      </c>
      <c r="D144" s="1695">
        <v>135000000</v>
      </c>
      <c r="E144" s="1695">
        <v>4</v>
      </c>
      <c r="F144" s="1695">
        <v>8</v>
      </c>
      <c r="G144" s="1695">
        <v>2</v>
      </c>
      <c r="H144" s="1695">
        <v>10</v>
      </c>
      <c r="I144" s="1643">
        <v>42036</v>
      </c>
    </row>
    <row r="145" spans="1:9">
      <c r="A145" s="1596" t="s">
        <v>1101</v>
      </c>
      <c r="B145" s="1596">
        <v>10104</v>
      </c>
      <c r="C145" s="1695">
        <v>142000000</v>
      </c>
      <c r="D145" s="1695">
        <v>135000000</v>
      </c>
      <c r="E145" s="1695">
        <v>4</v>
      </c>
      <c r="F145" s="1695">
        <v>8</v>
      </c>
      <c r="G145" s="1695">
        <v>2</v>
      </c>
      <c r="H145" s="1695">
        <v>10</v>
      </c>
      <c r="I145" s="1643">
        <v>42036</v>
      </c>
    </row>
    <row r="146" spans="1:9">
      <c r="A146" s="1596" t="s">
        <v>1100</v>
      </c>
      <c r="B146" s="1596">
        <v>10105</v>
      </c>
      <c r="C146" s="1695">
        <v>243000000</v>
      </c>
      <c r="D146" s="1695">
        <v>231000000</v>
      </c>
      <c r="E146" s="1695">
        <v>10</v>
      </c>
      <c r="F146" s="1695">
        <v>3</v>
      </c>
      <c r="G146" s="1695">
        <v>0</v>
      </c>
      <c r="H146" s="1695">
        <v>3</v>
      </c>
      <c r="I146" s="1643">
        <v>42036</v>
      </c>
    </row>
    <row r="147" spans="1:9">
      <c r="A147" s="1596" t="s">
        <v>1099</v>
      </c>
      <c r="B147" s="1596">
        <v>10106</v>
      </c>
      <c r="C147" s="1695">
        <v>189000000</v>
      </c>
      <c r="D147" s="1695">
        <v>180000000</v>
      </c>
      <c r="E147" s="1695">
        <v>6</v>
      </c>
      <c r="F147" s="1695">
        <v>7</v>
      </c>
      <c r="G147" s="1695">
        <v>2</v>
      </c>
      <c r="H147" s="1695">
        <v>9</v>
      </c>
      <c r="I147" s="1643">
        <v>42036</v>
      </c>
    </row>
    <row r="148" spans="1:9">
      <c r="A148" s="1596" t="s">
        <v>1148</v>
      </c>
      <c r="B148" s="1596">
        <v>10002</v>
      </c>
      <c r="C148" s="1695">
        <v>1387000000</v>
      </c>
      <c r="D148" s="1695">
        <v>1320000000</v>
      </c>
      <c r="E148" s="1695">
        <v>66</v>
      </c>
      <c r="F148" s="1695">
        <v>30</v>
      </c>
      <c r="G148" s="1695">
        <v>10</v>
      </c>
      <c r="H148" s="1695">
        <v>40</v>
      </c>
      <c r="I148" s="1643">
        <v>42036</v>
      </c>
    </row>
    <row r="149" spans="1:9">
      <c r="A149" s="1596" t="s">
        <v>1149</v>
      </c>
      <c r="B149" s="1596">
        <v>10011</v>
      </c>
      <c r="C149" s="1695">
        <v>1085000000</v>
      </c>
      <c r="D149" s="1695">
        <v>1031000000</v>
      </c>
      <c r="E149" s="1695">
        <v>45</v>
      </c>
      <c r="F149" s="1695">
        <v>27</v>
      </c>
      <c r="G149" s="1695">
        <v>0</v>
      </c>
      <c r="H149" s="1695">
        <v>27</v>
      </c>
      <c r="I149" s="1643">
        <v>42036</v>
      </c>
    </row>
    <row r="150" spans="1:9">
      <c r="A150" s="1596" t="s">
        <v>1150</v>
      </c>
      <c r="B150" s="1596">
        <v>10023</v>
      </c>
      <c r="C150" s="1695">
        <v>973000000</v>
      </c>
      <c r="D150" s="1695">
        <v>924000000</v>
      </c>
      <c r="E150" s="1695">
        <v>39</v>
      </c>
      <c r="F150" s="1695">
        <v>15</v>
      </c>
      <c r="G150" s="1695">
        <v>1</v>
      </c>
      <c r="H150" s="1695">
        <v>16</v>
      </c>
      <c r="I150" s="1643">
        <v>42036</v>
      </c>
    </row>
    <row r="151" spans="1:9">
      <c r="A151" s="1596" t="s">
        <v>1151</v>
      </c>
      <c r="B151" s="1596">
        <v>10034</v>
      </c>
      <c r="C151" s="1695">
        <v>1577000000</v>
      </c>
      <c r="D151" s="1695">
        <v>1500000000</v>
      </c>
      <c r="E151" s="1695">
        <v>66</v>
      </c>
      <c r="F151" s="1695">
        <v>33</v>
      </c>
      <c r="G151" s="1695">
        <v>12</v>
      </c>
      <c r="H151" s="1695">
        <v>45</v>
      </c>
      <c r="I151" s="1643">
        <v>42036</v>
      </c>
    </row>
    <row r="152" spans="1:9">
      <c r="A152" s="1596" t="s">
        <v>1152</v>
      </c>
      <c r="B152" s="1596">
        <v>10041</v>
      </c>
      <c r="C152" s="1695">
        <v>328000000</v>
      </c>
      <c r="D152" s="1695">
        <v>312000000</v>
      </c>
      <c r="E152" s="1695">
        <v>14</v>
      </c>
      <c r="F152" s="1695">
        <v>16</v>
      </c>
      <c r="G152" s="1695">
        <v>0</v>
      </c>
      <c r="H152" s="1695">
        <v>16</v>
      </c>
      <c r="I152" s="1643">
        <v>42036</v>
      </c>
    </row>
    <row r="153" spans="1:9">
      <c r="A153" s="1596" t="s">
        <v>1153</v>
      </c>
      <c r="B153" s="1596">
        <v>10050</v>
      </c>
      <c r="C153" s="1695">
        <v>1248000000</v>
      </c>
      <c r="D153" s="1695">
        <v>1187000000</v>
      </c>
      <c r="E153" s="1695">
        <v>55</v>
      </c>
      <c r="F153" s="1695">
        <v>47</v>
      </c>
      <c r="G153" s="1695">
        <v>8</v>
      </c>
      <c r="H153" s="1695">
        <v>55</v>
      </c>
      <c r="I153" s="1643">
        <v>42036</v>
      </c>
    </row>
    <row r="154" spans="1:9">
      <c r="A154" s="1596" t="s">
        <v>1154</v>
      </c>
      <c r="B154" s="1596">
        <v>10057</v>
      </c>
      <c r="C154" s="1695">
        <v>315000000</v>
      </c>
      <c r="D154" s="1695">
        <v>300000000</v>
      </c>
      <c r="E154" s="1695">
        <v>21</v>
      </c>
      <c r="F154" s="1695">
        <v>4</v>
      </c>
      <c r="G154" s="1695">
        <v>2</v>
      </c>
      <c r="H154" s="1695">
        <v>6</v>
      </c>
      <c r="I154" s="1643">
        <v>42036</v>
      </c>
    </row>
    <row r="155" spans="1:9">
      <c r="A155" s="1596" t="s">
        <v>1155</v>
      </c>
      <c r="B155" s="1596">
        <v>10085</v>
      </c>
      <c r="C155" s="1695">
        <v>2334000000</v>
      </c>
      <c r="D155" s="1695">
        <v>2220000000</v>
      </c>
      <c r="E155" s="1695">
        <v>129</v>
      </c>
      <c r="F155" s="1695">
        <v>65</v>
      </c>
      <c r="G155" s="1695">
        <v>20</v>
      </c>
      <c r="H155" s="1695">
        <v>85</v>
      </c>
      <c r="I155" s="1643">
        <v>42036</v>
      </c>
    </row>
    <row r="156" spans="1:9">
      <c r="A156" s="1596" t="s">
        <v>1156</v>
      </c>
      <c r="B156" s="1596">
        <v>10101</v>
      </c>
      <c r="C156" s="1695">
        <v>284000000</v>
      </c>
      <c r="D156" s="1695">
        <v>270000000</v>
      </c>
      <c r="E156" s="1695">
        <v>8</v>
      </c>
      <c r="F156" s="1695">
        <v>16</v>
      </c>
      <c r="G156" s="1695">
        <v>4</v>
      </c>
      <c r="H156" s="1695">
        <v>20</v>
      </c>
      <c r="I156" s="1643">
        <v>42036</v>
      </c>
    </row>
    <row r="157" spans="1:9">
      <c r="A157" s="1596" t="s">
        <v>792</v>
      </c>
      <c r="B157" s="1596">
        <v>10001</v>
      </c>
      <c r="C157" s="1695">
        <v>5298000000</v>
      </c>
      <c r="D157" s="1695">
        <v>5040000000</v>
      </c>
      <c r="E157" s="1695">
        <v>261</v>
      </c>
      <c r="F157" s="1695">
        <v>128</v>
      </c>
      <c r="G157" s="1695">
        <v>42</v>
      </c>
      <c r="H157" s="1695">
        <v>170</v>
      </c>
      <c r="I157" s="1643">
        <v>42036</v>
      </c>
    </row>
    <row r="158" spans="1:9">
      <c r="A158" s="1596" t="s">
        <v>794</v>
      </c>
      <c r="B158" s="1596">
        <v>10010</v>
      </c>
      <c r="C158" s="1695">
        <v>2386000000</v>
      </c>
      <c r="D158" s="1695">
        <v>2267000000</v>
      </c>
      <c r="E158" s="1695">
        <v>98</v>
      </c>
      <c r="F158" s="1695">
        <v>58</v>
      </c>
      <c r="G158" s="1695">
        <v>1</v>
      </c>
      <c r="H158" s="1695">
        <v>59</v>
      </c>
      <c r="I158" s="1643">
        <v>42036</v>
      </c>
    </row>
    <row r="159" spans="1:9">
      <c r="A159" s="1596" t="s">
        <v>793</v>
      </c>
      <c r="B159" s="1596">
        <v>10049</v>
      </c>
      <c r="C159" s="1695">
        <v>1248000000</v>
      </c>
      <c r="D159" s="1695">
        <v>1187000000</v>
      </c>
      <c r="E159" s="1695">
        <v>55</v>
      </c>
      <c r="F159" s="1695">
        <v>47</v>
      </c>
      <c r="G159" s="1695">
        <v>8</v>
      </c>
      <c r="H159" s="1695">
        <v>55</v>
      </c>
      <c r="I159" s="1643">
        <v>42036</v>
      </c>
    </row>
    <row r="160" spans="1:9">
      <c r="A160" s="1596" t="s">
        <v>458</v>
      </c>
      <c r="B160" s="1596">
        <v>10056</v>
      </c>
      <c r="C160" s="1695">
        <v>599000000</v>
      </c>
      <c r="D160" s="1695">
        <v>570000000</v>
      </c>
      <c r="E160" s="1695">
        <v>29</v>
      </c>
      <c r="F160" s="1695">
        <v>20</v>
      </c>
      <c r="G160" s="1695">
        <v>6</v>
      </c>
      <c r="H160" s="1695">
        <v>26</v>
      </c>
      <c r="I160" s="1643">
        <v>42036</v>
      </c>
    </row>
    <row r="161" spans="1:9">
      <c r="A161" s="1596" t="s">
        <v>1158</v>
      </c>
      <c r="B161" s="1596" t="s">
        <v>1159</v>
      </c>
      <c r="C161" s="1695">
        <v>9531000000</v>
      </c>
      <c r="D161" s="1695">
        <v>9064000000</v>
      </c>
      <c r="E161" s="1695">
        <v>443</v>
      </c>
      <c r="F161" s="1695">
        <v>253</v>
      </c>
      <c r="G161" s="1695">
        <v>57</v>
      </c>
      <c r="H161" s="1695">
        <v>310</v>
      </c>
      <c r="I161" s="1643">
        <v>42036</v>
      </c>
    </row>
    <row r="162" spans="1:9">
      <c r="A162" s="1596" t="s">
        <v>1291</v>
      </c>
      <c r="B162" s="1596">
        <v>10003</v>
      </c>
      <c r="C162" s="1695">
        <v>883000000</v>
      </c>
      <c r="D162" s="1695">
        <v>840000000</v>
      </c>
      <c r="E162" s="1695">
        <v>53</v>
      </c>
      <c r="F162" s="1695">
        <v>19</v>
      </c>
      <c r="G162" s="1695">
        <v>6</v>
      </c>
      <c r="H162" s="1695">
        <v>25</v>
      </c>
      <c r="I162" s="1643">
        <v>42036</v>
      </c>
    </row>
    <row r="163" spans="1:9">
      <c r="A163" s="1596" t="s">
        <v>1292</v>
      </c>
      <c r="B163" s="1596">
        <v>10012</v>
      </c>
      <c r="C163" s="1695">
        <v>1085000000</v>
      </c>
      <c r="D163" s="1695">
        <v>1031000000</v>
      </c>
      <c r="E163" s="1695">
        <v>45</v>
      </c>
      <c r="F163" s="1695">
        <v>27</v>
      </c>
      <c r="G163" s="1695">
        <v>0</v>
      </c>
      <c r="H163" s="1695">
        <v>27</v>
      </c>
      <c r="I163" s="1643">
        <v>42036</v>
      </c>
    </row>
    <row r="164" spans="1:9">
      <c r="A164" s="1596" t="s">
        <v>1293</v>
      </c>
      <c r="B164" s="1596">
        <v>10024</v>
      </c>
      <c r="C164" s="1695">
        <v>417000000</v>
      </c>
      <c r="D164" s="1695">
        <v>396000000</v>
      </c>
      <c r="E164" s="1695">
        <v>17</v>
      </c>
      <c r="F164" s="1695">
        <v>5</v>
      </c>
      <c r="G164" s="1695">
        <v>0</v>
      </c>
      <c r="H164" s="1695">
        <v>5</v>
      </c>
      <c r="I164" s="1643">
        <v>42036</v>
      </c>
    </row>
    <row r="165" spans="1:9">
      <c r="A165" s="1596" t="s">
        <v>1294</v>
      </c>
      <c r="B165" s="1596">
        <v>10035</v>
      </c>
      <c r="C165" s="1695">
        <v>915000000</v>
      </c>
      <c r="D165" s="1695">
        <v>870000000</v>
      </c>
      <c r="E165" s="1695">
        <v>49</v>
      </c>
      <c r="F165" s="1695">
        <v>24</v>
      </c>
      <c r="G165" s="1695">
        <v>8</v>
      </c>
      <c r="H165" s="1695">
        <v>32</v>
      </c>
      <c r="I165" s="1643">
        <v>42036</v>
      </c>
    </row>
    <row r="166" spans="1:9">
      <c r="A166" s="1596" t="s">
        <v>1295</v>
      </c>
      <c r="B166" s="1596">
        <v>10042</v>
      </c>
      <c r="C166" s="1695">
        <v>328000000</v>
      </c>
      <c r="D166" s="1695">
        <v>312000000</v>
      </c>
      <c r="E166" s="1695">
        <v>14</v>
      </c>
      <c r="F166" s="1695">
        <v>16</v>
      </c>
      <c r="G166" s="1695">
        <v>0</v>
      </c>
      <c r="H166" s="1695">
        <v>16</v>
      </c>
      <c r="I166" s="1643">
        <v>42036</v>
      </c>
    </row>
    <row r="167" spans="1:9">
      <c r="A167" s="1596" t="s">
        <v>1296</v>
      </c>
      <c r="B167" s="1596">
        <v>10047</v>
      </c>
      <c r="C167" s="1695">
        <v>1072000000</v>
      </c>
      <c r="D167" s="1695">
        <v>1020000000</v>
      </c>
      <c r="E167" s="1695">
        <v>59</v>
      </c>
      <c r="F167" s="1695">
        <v>25</v>
      </c>
      <c r="G167" s="1695">
        <v>8</v>
      </c>
      <c r="H167" s="1695">
        <v>33</v>
      </c>
      <c r="I167" s="1643">
        <v>42036</v>
      </c>
    </row>
    <row r="168" spans="1:9">
      <c r="A168" s="1596" t="s">
        <v>1297</v>
      </c>
      <c r="B168" s="1596">
        <v>10051</v>
      </c>
      <c r="C168" s="1695">
        <v>1063000000</v>
      </c>
      <c r="D168" s="1695">
        <v>1011000000</v>
      </c>
      <c r="E168" s="1695">
        <v>44</v>
      </c>
      <c r="F168" s="1695">
        <v>32</v>
      </c>
      <c r="G168" s="1695">
        <v>0</v>
      </c>
      <c r="H168" s="1695">
        <v>32</v>
      </c>
      <c r="I168" s="1643">
        <v>42036</v>
      </c>
    </row>
    <row r="169" spans="1:9">
      <c r="A169" s="1596" t="s">
        <v>1298</v>
      </c>
      <c r="B169" s="1596">
        <v>10054</v>
      </c>
      <c r="C169" s="1695">
        <v>504000000</v>
      </c>
      <c r="D169" s="1695">
        <v>480000000</v>
      </c>
      <c r="E169" s="1695">
        <v>10</v>
      </c>
      <c r="F169" s="1695">
        <v>4</v>
      </c>
      <c r="G169" s="1695">
        <v>2</v>
      </c>
      <c r="H169" s="1695">
        <v>6</v>
      </c>
      <c r="I169" s="1643">
        <v>42036</v>
      </c>
    </row>
    <row r="170" spans="1:9">
      <c r="A170" s="1596" t="s">
        <v>1299</v>
      </c>
      <c r="B170" s="1596">
        <v>10058</v>
      </c>
      <c r="C170" s="1695">
        <v>315000000</v>
      </c>
      <c r="D170" s="1695">
        <v>300000000</v>
      </c>
      <c r="E170" s="1695">
        <v>21</v>
      </c>
      <c r="F170" s="1695">
        <v>4</v>
      </c>
      <c r="G170" s="1695">
        <v>2</v>
      </c>
      <c r="H170" s="1695">
        <v>6</v>
      </c>
      <c r="I170" s="1643">
        <v>42036</v>
      </c>
    </row>
    <row r="171" spans="1:9">
      <c r="A171" s="1596" t="s">
        <v>1300</v>
      </c>
      <c r="B171" s="1596">
        <v>10072</v>
      </c>
      <c r="C171" s="1695">
        <v>315000000</v>
      </c>
      <c r="D171" s="1695">
        <v>300000000</v>
      </c>
      <c r="E171" s="1695">
        <v>7</v>
      </c>
      <c r="F171" s="1695">
        <v>5</v>
      </c>
      <c r="G171" s="1695">
        <v>2</v>
      </c>
      <c r="H171" s="1695">
        <v>7</v>
      </c>
      <c r="I171" s="1643">
        <v>42036</v>
      </c>
    </row>
    <row r="172" spans="1:9">
      <c r="A172" s="1596" t="s">
        <v>1301</v>
      </c>
      <c r="B172" s="1596">
        <v>10086</v>
      </c>
      <c r="C172" s="1695">
        <v>556000000</v>
      </c>
      <c r="D172" s="1695">
        <v>528000000</v>
      </c>
      <c r="E172" s="1695">
        <v>22</v>
      </c>
      <c r="F172" s="1695">
        <v>10</v>
      </c>
      <c r="G172" s="1695">
        <v>1</v>
      </c>
      <c r="H172" s="1695">
        <v>11</v>
      </c>
      <c r="I172" s="1643">
        <v>42036</v>
      </c>
    </row>
    <row r="173" spans="1:9">
      <c r="A173" s="1596" t="s">
        <v>1302</v>
      </c>
      <c r="B173" s="1596">
        <v>10087</v>
      </c>
      <c r="C173" s="1695">
        <v>1451000000</v>
      </c>
      <c r="D173" s="1695">
        <v>1380000000</v>
      </c>
      <c r="E173" s="1695">
        <v>76</v>
      </c>
      <c r="F173" s="1695">
        <v>46</v>
      </c>
      <c r="G173" s="1695">
        <v>14</v>
      </c>
      <c r="H173" s="1695">
        <v>60</v>
      </c>
      <c r="I173" s="1643">
        <v>42036</v>
      </c>
    </row>
    <row r="174" spans="1:9">
      <c r="A174" s="1596" t="s">
        <v>1303</v>
      </c>
      <c r="B174" s="1596">
        <v>10091</v>
      </c>
      <c r="C174" s="1695">
        <v>158000000</v>
      </c>
      <c r="D174" s="1695">
        <v>150000000</v>
      </c>
      <c r="E174" s="1695">
        <v>7</v>
      </c>
      <c r="F174" s="1695">
        <v>5</v>
      </c>
      <c r="G174" s="1695">
        <v>2</v>
      </c>
      <c r="H174" s="1695">
        <v>7</v>
      </c>
      <c r="I174" s="1643">
        <v>42036</v>
      </c>
    </row>
    <row r="175" spans="1:9">
      <c r="A175" s="1596" t="s">
        <v>1304</v>
      </c>
      <c r="B175" s="1596">
        <v>10095</v>
      </c>
      <c r="C175" s="1695">
        <v>185000000</v>
      </c>
      <c r="D175" s="1695">
        <v>176000000</v>
      </c>
      <c r="E175" s="1695">
        <v>11</v>
      </c>
      <c r="F175" s="1695">
        <v>15</v>
      </c>
      <c r="G175" s="1695">
        <v>8</v>
      </c>
      <c r="H175" s="1695">
        <v>23</v>
      </c>
      <c r="I175" s="1643">
        <v>42036</v>
      </c>
    </row>
    <row r="176" spans="1:9">
      <c r="A176" s="1596" t="s">
        <v>1305</v>
      </c>
      <c r="B176" s="1596">
        <v>10102</v>
      </c>
      <c r="C176" s="1695">
        <v>284000000</v>
      </c>
      <c r="D176" s="1695">
        <v>270000000</v>
      </c>
      <c r="E176" s="1695">
        <v>8</v>
      </c>
      <c r="F176" s="1695">
        <v>16</v>
      </c>
      <c r="G176" s="1695">
        <v>4</v>
      </c>
      <c r="H176" s="1695">
        <v>20</v>
      </c>
      <c r="I176" s="1643">
        <v>42036</v>
      </c>
    </row>
    <row r="178" spans="1:9">
      <c r="A178" s="1653" t="s">
        <v>1350</v>
      </c>
    </row>
    <row r="179" spans="1:9">
      <c r="A179" s="1596" t="s">
        <v>1109</v>
      </c>
      <c r="B179" s="1596" t="s">
        <v>1110</v>
      </c>
      <c r="C179" s="1695" t="s">
        <v>1</v>
      </c>
      <c r="D179" s="1695" t="s">
        <v>2</v>
      </c>
      <c r="E179" s="1697" t="s">
        <v>1108</v>
      </c>
      <c r="F179" s="1695" t="s">
        <v>1107</v>
      </c>
      <c r="G179" s="1695" t="s">
        <v>1106</v>
      </c>
      <c r="H179" s="1695" t="s">
        <v>1105</v>
      </c>
      <c r="I179" s="1596" t="s">
        <v>1160</v>
      </c>
    </row>
    <row r="180" spans="1:9">
      <c r="A180" s="1596" t="s">
        <v>47</v>
      </c>
      <c r="B180" s="1596">
        <v>10004</v>
      </c>
      <c r="C180" s="1695">
        <v>440000000</v>
      </c>
      <c r="D180" s="1695">
        <v>400000000</v>
      </c>
      <c r="E180" s="1695">
        <v>29</v>
      </c>
      <c r="F180" s="1695">
        <v>13</v>
      </c>
      <c r="G180" s="1695">
        <v>2</v>
      </c>
      <c r="H180" s="1695">
        <v>15</v>
      </c>
      <c r="I180" s="1643">
        <v>42064</v>
      </c>
    </row>
    <row r="181" spans="1:9">
      <c r="A181" s="1596" t="s">
        <v>91</v>
      </c>
      <c r="B181" s="1596">
        <v>10009</v>
      </c>
      <c r="C181" s="1695">
        <v>638000000</v>
      </c>
      <c r="D181" s="1695">
        <v>580000000</v>
      </c>
      <c r="E181" s="1695">
        <v>40</v>
      </c>
      <c r="F181" s="1695">
        <v>13</v>
      </c>
      <c r="G181" s="1695">
        <v>2</v>
      </c>
      <c r="H181" s="1695">
        <v>15</v>
      </c>
      <c r="I181" s="1643">
        <v>42064</v>
      </c>
    </row>
    <row r="182" spans="1:9">
      <c r="A182" s="1596" t="s">
        <v>177</v>
      </c>
      <c r="B182" s="1596">
        <v>10013</v>
      </c>
      <c r="C182" s="1695">
        <v>1451000000</v>
      </c>
      <c r="D182" s="1695">
        <v>1379000000</v>
      </c>
      <c r="E182" s="1695">
        <v>59</v>
      </c>
      <c r="F182" s="1695">
        <v>16</v>
      </c>
      <c r="G182" s="1695">
        <v>2</v>
      </c>
      <c r="H182" s="1695">
        <v>18</v>
      </c>
      <c r="I182" s="1643">
        <v>42064</v>
      </c>
    </row>
    <row r="183" spans="1:9">
      <c r="A183" s="1596" t="s">
        <v>185</v>
      </c>
      <c r="B183" s="1596">
        <v>10014</v>
      </c>
      <c r="C183" s="1695">
        <v>636000000</v>
      </c>
      <c r="D183" s="1695">
        <v>604000000</v>
      </c>
      <c r="E183" s="1695">
        <v>26</v>
      </c>
      <c r="F183" s="1695">
        <v>12</v>
      </c>
      <c r="G183" s="1695">
        <v>2</v>
      </c>
      <c r="H183" s="1695">
        <v>14</v>
      </c>
      <c r="I183" s="1643">
        <v>42064</v>
      </c>
    </row>
    <row r="184" spans="1:9">
      <c r="A184" s="1596" t="s">
        <v>179</v>
      </c>
      <c r="B184" s="1596">
        <v>10015</v>
      </c>
      <c r="C184" s="1695">
        <v>1451000000</v>
      </c>
      <c r="D184" s="1695">
        <v>1379000000</v>
      </c>
      <c r="E184" s="1695">
        <v>59</v>
      </c>
      <c r="F184" s="1695">
        <v>16</v>
      </c>
      <c r="G184" s="1695">
        <v>2</v>
      </c>
      <c r="H184" s="1695">
        <v>18</v>
      </c>
      <c r="I184" s="1643">
        <v>42064</v>
      </c>
    </row>
    <row r="185" spans="1:9">
      <c r="A185" s="1596" t="s">
        <v>176</v>
      </c>
      <c r="B185" s="1596">
        <v>10017</v>
      </c>
      <c r="C185" s="1695">
        <v>1979000000</v>
      </c>
      <c r="D185" s="1695">
        <v>1880000000</v>
      </c>
      <c r="E185" s="1695">
        <v>80</v>
      </c>
      <c r="F185" s="1695">
        <v>30</v>
      </c>
      <c r="G185" s="1695">
        <v>3</v>
      </c>
      <c r="H185" s="1695">
        <v>33</v>
      </c>
      <c r="I185" s="1643">
        <v>42064</v>
      </c>
    </row>
    <row r="186" spans="1:9">
      <c r="A186" s="1596" t="s">
        <v>187</v>
      </c>
      <c r="B186" s="1596">
        <v>10018</v>
      </c>
      <c r="C186" s="1695">
        <v>504000000</v>
      </c>
      <c r="D186" s="1695">
        <v>480000000</v>
      </c>
      <c r="E186" s="1695">
        <v>23</v>
      </c>
      <c r="F186" s="1695">
        <v>13</v>
      </c>
      <c r="G186" s="1695">
        <v>2</v>
      </c>
      <c r="H186" s="1695">
        <v>15</v>
      </c>
      <c r="I186" s="1643">
        <v>42064</v>
      </c>
    </row>
    <row r="187" spans="1:9">
      <c r="A187" s="1596" t="s">
        <v>630</v>
      </c>
      <c r="B187" s="1596">
        <v>10031</v>
      </c>
      <c r="C187" s="1695">
        <v>441000000</v>
      </c>
      <c r="D187" s="1695">
        <v>420000000</v>
      </c>
      <c r="E187" s="1695">
        <v>30</v>
      </c>
      <c r="F187" s="1695">
        <v>12</v>
      </c>
      <c r="G187" s="1695">
        <v>2</v>
      </c>
      <c r="H187" s="1695">
        <v>14</v>
      </c>
      <c r="I187" s="1643">
        <v>42064</v>
      </c>
    </row>
    <row r="188" spans="1:9">
      <c r="A188" s="1596" t="s">
        <v>661</v>
      </c>
      <c r="B188" s="1596">
        <v>10032</v>
      </c>
      <c r="C188" s="1695">
        <v>636000000</v>
      </c>
      <c r="D188" s="1695">
        <v>604000000</v>
      </c>
      <c r="E188" s="1695">
        <v>26</v>
      </c>
      <c r="F188" s="1695">
        <v>12</v>
      </c>
      <c r="G188" s="1695">
        <v>2</v>
      </c>
      <c r="H188" s="1695">
        <v>14</v>
      </c>
      <c r="I188" s="1643">
        <v>42064</v>
      </c>
    </row>
    <row r="189" spans="1:9">
      <c r="A189" s="1596" t="s">
        <v>557</v>
      </c>
      <c r="B189" s="1596">
        <v>10033</v>
      </c>
      <c r="C189" s="1695">
        <v>352000000</v>
      </c>
      <c r="D189" s="1695">
        <v>320000000</v>
      </c>
      <c r="E189" s="1695">
        <v>27</v>
      </c>
      <c r="F189" s="1695">
        <v>12</v>
      </c>
      <c r="G189" s="1695">
        <v>2</v>
      </c>
      <c r="H189" s="1695">
        <v>14</v>
      </c>
      <c r="I189" s="1643">
        <v>42064</v>
      </c>
    </row>
    <row r="190" spans="1:9">
      <c r="A190" s="1596" t="s">
        <v>628</v>
      </c>
      <c r="B190" s="1596">
        <v>10036</v>
      </c>
      <c r="C190" s="1695">
        <v>242000000</v>
      </c>
      <c r="D190" s="1695">
        <v>220000000</v>
      </c>
      <c r="E190" s="1695">
        <v>25</v>
      </c>
      <c r="F190" s="1695">
        <v>12</v>
      </c>
      <c r="G190" s="1695">
        <v>2</v>
      </c>
      <c r="H190" s="1695">
        <v>14</v>
      </c>
      <c r="I190" s="1643">
        <v>42064</v>
      </c>
    </row>
    <row r="191" spans="1:9">
      <c r="A191" s="1596" t="s">
        <v>650</v>
      </c>
      <c r="B191" s="1596">
        <v>10037</v>
      </c>
      <c r="C191" s="1695">
        <v>441000000</v>
      </c>
      <c r="D191" s="1695">
        <v>420000000</v>
      </c>
      <c r="E191" s="1695">
        <v>23</v>
      </c>
      <c r="F191" s="1695">
        <v>13</v>
      </c>
      <c r="G191" s="1695">
        <v>2</v>
      </c>
      <c r="H191" s="1695">
        <v>15</v>
      </c>
      <c r="I191" s="1643">
        <v>42064</v>
      </c>
    </row>
    <row r="192" spans="1:9">
      <c r="A192" s="1596" t="s">
        <v>660</v>
      </c>
      <c r="B192" s="1596">
        <v>10038</v>
      </c>
      <c r="C192" s="1695">
        <v>636000000</v>
      </c>
      <c r="D192" s="1695">
        <v>604000000</v>
      </c>
      <c r="E192" s="1695">
        <v>26</v>
      </c>
      <c r="F192" s="1695">
        <v>12</v>
      </c>
      <c r="G192" s="1695">
        <v>2</v>
      </c>
      <c r="H192" s="1695">
        <v>14</v>
      </c>
      <c r="I192" s="1643">
        <v>42064</v>
      </c>
    </row>
    <row r="193" spans="1:9">
      <c r="A193" s="1596" t="s">
        <v>648</v>
      </c>
      <c r="B193" s="1596">
        <v>10039</v>
      </c>
      <c r="C193" s="1695">
        <v>441000000</v>
      </c>
      <c r="D193" s="1695">
        <v>420000000</v>
      </c>
      <c r="E193" s="1695">
        <v>22</v>
      </c>
      <c r="F193" s="1695">
        <v>14</v>
      </c>
      <c r="G193" s="1695">
        <v>2</v>
      </c>
      <c r="H193" s="1695">
        <v>16</v>
      </c>
      <c r="I193" s="1643">
        <v>42064</v>
      </c>
    </row>
    <row r="194" spans="1:9">
      <c r="A194" s="1596" t="s">
        <v>647</v>
      </c>
      <c r="B194" s="1596">
        <v>10040</v>
      </c>
      <c r="C194" s="1695">
        <v>441000000</v>
      </c>
      <c r="D194" s="1695">
        <v>420000000</v>
      </c>
      <c r="E194" s="1695">
        <v>22</v>
      </c>
      <c r="F194" s="1695">
        <v>14</v>
      </c>
      <c r="G194" s="1695">
        <v>2</v>
      </c>
      <c r="H194" s="1695">
        <v>16</v>
      </c>
      <c r="I194" s="1643">
        <v>42064</v>
      </c>
    </row>
    <row r="195" spans="1:9">
      <c r="A195" s="1596" t="s">
        <v>659</v>
      </c>
      <c r="B195" s="1596">
        <v>10043</v>
      </c>
      <c r="C195" s="1695">
        <v>1154000000</v>
      </c>
      <c r="D195" s="1695">
        <v>1096000000</v>
      </c>
      <c r="E195" s="1695">
        <v>47</v>
      </c>
      <c r="F195" s="1695">
        <v>10</v>
      </c>
      <c r="G195" s="1695">
        <v>0</v>
      </c>
      <c r="H195" s="1695">
        <v>10</v>
      </c>
      <c r="I195" s="1643">
        <v>42064</v>
      </c>
    </row>
    <row r="196" spans="1:9">
      <c r="A196" s="1596" t="s">
        <v>662</v>
      </c>
      <c r="B196" s="1596">
        <v>10044</v>
      </c>
      <c r="C196" s="1695">
        <v>636000000</v>
      </c>
      <c r="D196" s="1695">
        <v>604000000</v>
      </c>
      <c r="E196" s="1695">
        <v>26</v>
      </c>
      <c r="F196" s="1695">
        <v>12</v>
      </c>
      <c r="G196" s="1695">
        <v>2</v>
      </c>
      <c r="H196" s="1695">
        <v>14</v>
      </c>
      <c r="I196" s="1643">
        <v>42064</v>
      </c>
    </row>
    <row r="197" spans="1:9">
      <c r="A197" s="1596" t="s">
        <v>649</v>
      </c>
      <c r="B197" s="1596">
        <v>10045</v>
      </c>
      <c r="C197" s="1695">
        <v>308000000</v>
      </c>
      <c r="D197" s="1695">
        <v>280000000</v>
      </c>
      <c r="E197" s="1695">
        <v>23</v>
      </c>
      <c r="F197" s="1695">
        <v>13</v>
      </c>
      <c r="G197" s="1695">
        <v>2</v>
      </c>
      <c r="H197" s="1695">
        <v>15</v>
      </c>
      <c r="I197" s="1643">
        <v>42064</v>
      </c>
    </row>
    <row r="198" spans="1:9">
      <c r="A198" s="1596" t="s">
        <v>642</v>
      </c>
      <c r="B198" s="1596">
        <v>10046</v>
      </c>
      <c r="C198" s="1695">
        <v>410000000</v>
      </c>
      <c r="D198" s="1695">
        <v>390000000</v>
      </c>
      <c r="E198" s="1695">
        <v>23</v>
      </c>
      <c r="F198" s="1695">
        <v>12</v>
      </c>
      <c r="G198" s="1695">
        <v>2</v>
      </c>
      <c r="H198" s="1695">
        <v>14</v>
      </c>
      <c r="I198" s="1643">
        <v>42064</v>
      </c>
    </row>
    <row r="199" spans="1:9">
      <c r="A199" s="1596" t="s">
        <v>736</v>
      </c>
      <c r="B199" s="1596">
        <v>10048</v>
      </c>
      <c r="C199" s="1695">
        <v>504000000</v>
      </c>
      <c r="D199" s="1695">
        <v>480000000</v>
      </c>
      <c r="E199" s="1695">
        <v>34</v>
      </c>
      <c r="F199" s="1695">
        <v>12</v>
      </c>
      <c r="G199" s="1695">
        <v>2</v>
      </c>
      <c r="H199" s="1695">
        <v>14</v>
      </c>
      <c r="I199" s="1643">
        <v>42064</v>
      </c>
    </row>
    <row r="200" spans="1:9">
      <c r="A200" s="1596" t="s">
        <v>699</v>
      </c>
      <c r="B200" s="1596">
        <v>10052</v>
      </c>
      <c r="C200" s="1695">
        <v>445000000</v>
      </c>
      <c r="D200" s="1695">
        <v>423000000</v>
      </c>
      <c r="E200" s="1695">
        <v>18</v>
      </c>
      <c r="F200" s="1695">
        <v>12</v>
      </c>
      <c r="G200" s="1695">
        <v>0</v>
      </c>
      <c r="H200" s="1695">
        <v>12</v>
      </c>
      <c r="I200" s="1643">
        <v>42064</v>
      </c>
    </row>
    <row r="201" spans="1:9">
      <c r="A201" s="1596" t="s">
        <v>737</v>
      </c>
      <c r="B201" s="1596">
        <v>10053</v>
      </c>
      <c r="C201" s="1695">
        <v>445000000</v>
      </c>
      <c r="D201" s="1695">
        <v>423000000</v>
      </c>
      <c r="E201" s="1695">
        <v>18</v>
      </c>
      <c r="F201" s="1695">
        <v>12</v>
      </c>
      <c r="G201" s="1695">
        <v>0</v>
      </c>
      <c r="H201" s="1695">
        <v>12</v>
      </c>
      <c r="I201" s="1643">
        <v>42064</v>
      </c>
    </row>
    <row r="202" spans="1:9">
      <c r="A202" s="1596" t="s">
        <v>735</v>
      </c>
      <c r="B202" s="1596">
        <v>10055</v>
      </c>
      <c r="C202" s="1695">
        <v>1008000000</v>
      </c>
      <c r="D202" s="1695">
        <v>960000000</v>
      </c>
      <c r="E202" s="1695">
        <v>17</v>
      </c>
      <c r="F202" s="1695">
        <v>8</v>
      </c>
      <c r="G202" s="1695">
        <v>2</v>
      </c>
      <c r="H202" s="1695">
        <v>10</v>
      </c>
      <c r="I202" s="1643">
        <v>42064</v>
      </c>
    </row>
    <row r="203" spans="1:9">
      <c r="A203" s="1596" t="s">
        <v>734</v>
      </c>
      <c r="B203" s="1596">
        <v>10059</v>
      </c>
      <c r="C203" s="1695">
        <v>630000000</v>
      </c>
      <c r="D203" s="1695">
        <v>600000000</v>
      </c>
      <c r="E203" s="1695">
        <v>33</v>
      </c>
      <c r="F203" s="1695">
        <v>8</v>
      </c>
      <c r="G203" s="1695">
        <v>2</v>
      </c>
      <c r="H203" s="1695">
        <v>10</v>
      </c>
      <c r="I203" s="1643">
        <v>42064</v>
      </c>
    </row>
    <row r="204" spans="1:9">
      <c r="A204" s="1596" t="s">
        <v>798</v>
      </c>
      <c r="B204" s="1596">
        <v>10073</v>
      </c>
      <c r="C204" s="1695">
        <v>630000000</v>
      </c>
      <c r="D204" s="1695">
        <v>600000000</v>
      </c>
      <c r="E204" s="1695">
        <v>13</v>
      </c>
      <c r="F204" s="1695">
        <v>10</v>
      </c>
      <c r="G204" s="1695">
        <v>2</v>
      </c>
      <c r="H204" s="1695">
        <v>12</v>
      </c>
      <c r="I204" s="1643">
        <v>42064</v>
      </c>
    </row>
    <row r="205" spans="1:9">
      <c r="A205" s="1596" t="s">
        <v>796</v>
      </c>
      <c r="B205" s="1596">
        <v>10074</v>
      </c>
      <c r="C205" s="1695">
        <v>536000000</v>
      </c>
      <c r="D205" s="1695">
        <v>510000000</v>
      </c>
      <c r="E205" s="1695">
        <v>25</v>
      </c>
      <c r="F205" s="1695">
        <v>12</v>
      </c>
      <c r="G205" s="1695">
        <v>2</v>
      </c>
      <c r="H205" s="1695">
        <v>14</v>
      </c>
      <c r="I205" s="1643">
        <v>42064</v>
      </c>
    </row>
    <row r="206" spans="1:9">
      <c r="A206" s="1596" t="s">
        <v>799</v>
      </c>
      <c r="B206" s="1596">
        <v>10075</v>
      </c>
      <c r="C206" s="1695">
        <v>500000000</v>
      </c>
      <c r="D206" s="1695">
        <v>475000000</v>
      </c>
      <c r="E206" s="1695">
        <v>20</v>
      </c>
      <c r="F206" s="1695">
        <v>15</v>
      </c>
      <c r="G206" s="1695">
        <v>0</v>
      </c>
      <c r="H206" s="1695">
        <v>15</v>
      </c>
      <c r="I206" s="1643">
        <v>42064</v>
      </c>
    </row>
    <row r="207" spans="1:9">
      <c r="A207" s="1596" t="s">
        <v>825</v>
      </c>
      <c r="B207" s="1596">
        <v>10077</v>
      </c>
      <c r="C207" s="1695">
        <v>582000000</v>
      </c>
      <c r="D207" s="1695">
        <v>552000000</v>
      </c>
      <c r="E207" s="1695">
        <v>24</v>
      </c>
      <c r="F207" s="1695">
        <v>10</v>
      </c>
      <c r="G207" s="1695">
        <v>1</v>
      </c>
      <c r="H207" s="1695">
        <v>11</v>
      </c>
      <c r="I207" s="1643">
        <v>42064</v>
      </c>
    </row>
    <row r="208" spans="1:9">
      <c r="A208" s="1596" t="s">
        <v>905</v>
      </c>
      <c r="B208" s="1596">
        <v>10084</v>
      </c>
      <c r="C208" s="1695">
        <v>352000000</v>
      </c>
      <c r="D208" s="1695">
        <v>320000000</v>
      </c>
      <c r="E208" s="1695">
        <v>17</v>
      </c>
      <c r="F208" s="1695">
        <v>12</v>
      </c>
      <c r="G208" s="1695">
        <v>2</v>
      </c>
      <c r="H208" s="1695">
        <v>14</v>
      </c>
      <c r="I208" s="1643">
        <v>42064</v>
      </c>
    </row>
    <row r="209" spans="1:9">
      <c r="A209" s="1596" t="s">
        <v>903</v>
      </c>
      <c r="B209" s="1596">
        <v>10088</v>
      </c>
      <c r="C209" s="1695">
        <v>315000000</v>
      </c>
      <c r="D209" s="1695">
        <v>300000000</v>
      </c>
      <c r="E209" s="1695">
        <v>16</v>
      </c>
      <c r="F209" s="1695">
        <v>13</v>
      </c>
      <c r="G209" s="1695">
        <v>2</v>
      </c>
      <c r="H209" s="1695">
        <v>15</v>
      </c>
      <c r="I209" s="1643">
        <v>42064</v>
      </c>
    </row>
    <row r="210" spans="1:9">
      <c r="A210" s="1596" t="s">
        <v>902</v>
      </c>
      <c r="B210" s="1596">
        <v>10089</v>
      </c>
      <c r="C210" s="1695">
        <v>315000000</v>
      </c>
      <c r="D210" s="1695">
        <v>300000000</v>
      </c>
      <c r="E210" s="1695">
        <v>15</v>
      </c>
      <c r="F210" s="1695">
        <v>13</v>
      </c>
      <c r="G210" s="1695">
        <v>2</v>
      </c>
      <c r="H210" s="1695">
        <v>15</v>
      </c>
      <c r="I210" s="1643">
        <v>42064</v>
      </c>
    </row>
    <row r="211" spans="1:9">
      <c r="A211" s="1596" t="s">
        <v>900</v>
      </c>
      <c r="B211" s="1596">
        <v>10090</v>
      </c>
      <c r="C211" s="1695">
        <v>378000000</v>
      </c>
      <c r="D211" s="1695">
        <v>360000000</v>
      </c>
      <c r="E211" s="1695">
        <v>14</v>
      </c>
      <c r="F211" s="1695">
        <v>14</v>
      </c>
      <c r="G211" s="1695">
        <v>2</v>
      </c>
      <c r="H211" s="1695">
        <v>16</v>
      </c>
      <c r="I211" s="1643">
        <v>42064</v>
      </c>
    </row>
    <row r="212" spans="1:9">
      <c r="A212" s="1596" t="s">
        <v>949</v>
      </c>
      <c r="B212" s="1596">
        <v>10092</v>
      </c>
      <c r="C212" s="1695">
        <v>315000000</v>
      </c>
      <c r="D212" s="1695">
        <v>300000000</v>
      </c>
      <c r="E212" s="1695">
        <v>13</v>
      </c>
      <c r="F212" s="1695">
        <v>10</v>
      </c>
      <c r="G212" s="1695">
        <v>5</v>
      </c>
      <c r="H212" s="1695">
        <v>15</v>
      </c>
      <c r="I212" s="1643">
        <v>42064</v>
      </c>
    </row>
    <row r="213" spans="1:9">
      <c r="A213" s="1596" t="s">
        <v>1104</v>
      </c>
      <c r="B213" s="1596">
        <v>10096</v>
      </c>
      <c r="C213" s="1695">
        <v>118000000</v>
      </c>
      <c r="D213" s="1695">
        <v>112000000</v>
      </c>
      <c r="E213" s="1695">
        <v>7</v>
      </c>
      <c r="F213" s="1695">
        <v>10</v>
      </c>
      <c r="G213" s="1695">
        <v>3</v>
      </c>
      <c r="H213" s="1695">
        <v>13</v>
      </c>
      <c r="I213" s="1643">
        <v>42064</v>
      </c>
    </row>
    <row r="214" spans="1:9">
      <c r="A214" s="1596" t="s">
        <v>1015</v>
      </c>
      <c r="B214" s="1596">
        <v>10097</v>
      </c>
      <c r="C214" s="1695">
        <v>84000000</v>
      </c>
      <c r="D214" s="1695">
        <v>80000000</v>
      </c>
      <c r="E214" s="1695">
        <v>4</v>
      </c>
      <c r="F214" s="1695">
        <v>5</v>
      </c>
      <c r="G214" s="1695">
        <v>3</v>
      </c>
      <c r="H214" s="1695">
        <v>8</v>
      </c>
      <c r="I214" s="1643">
        <v>42064</v>
      </c>
    </row>
    <row r="215" spans="1:9">
      <c r="A215" s="1596" t="s">
        <v>1103</v>
      </c>
      <c r="B215" s="1596">
        <v>10098</v>
      </c>
      <c r="C215" s="1695">
        <v>202000000</v>
      </c>
      <c r="D215" s="1695">
        <v>192000000</v>
      </c>
      <c r="E215" s="1695">
        <v>12</v>
      </c>
      <c r="F215" s="1695">
        <v>15</v>
      </c>
      <c r="G215" s="1695">
        <v>3</v>
      </c>
      <c r="H215" s="1695">
        <v>18</v>
      </c>
      <c r="I215" s="1643">
        <v>42064</v>
      </c>
    </row>
    <row r="216" spans="1:9">
      <c r="A216" s="1596" t="s">
        <v>1102</v>
      </c>
      <c r="B216" s="1596">
        <v>10103</v>
      </c>
      <c r="C216" s="1695">
        <v>284000000</v>
      </c>
      <c r="D216" s="1695">
        <v>270000000</v>
      </c>
      <c r="E216" s="1695">
        <v>10</v>
      </c>
      <c r="F216" s="1695">
        <v>15</v>
      </c>
      <c r="G216" s="1695">
        <v>5</v>
      </c>
      <c r="H216" s="1695">
        <v>20</v>
      </c>
      <c r="I216" s="1643">
        <v>42064</v>
      </c>
    </row>
    <row r="217" spans="1:9">
      <c r="A217" s="1596" t="s">
        <v>1101</v>
      </c>
      <c r="B217" s="1596">
        <v>10104</v>
      </c>
      <c r="C217" s="1695">
        <v>284000000</v>
      </c>
      <c r="D217" s="1695">
        <v>270000000</v>
      </c>
      <c r="E217" s="1695">
        <v>10</v>
      </c>
      <c r="F217" s="1695">
        <v>15</v>
      </c>
      <c r="G217" s="1695">
        <v>5</v>
      </c>
      <c r="H217" s="1695">
        <v>20</v>
      </c>
      <c r="I217" s="1643">
        <v>42064</v>
      </c>
    </row>
    <row r="218" spans="1:9">
      <c r="A218" s="1596" t="s">
        <v>1100</v>
      </c>
      <c r="B218" s="1596">
        <v>10105</v>
      </c>
      <c r="C218" s="1695">
        <v>581000000</v>
      </c>
      <c r="D218" s="1695">
        <v>552000000</v>
      </c>
      <c r="E218" s="1695">
        <v>23</v>
      </c>
      <c r="F218" s="1695">
        <v>10</v>
      </c>
      <c r="G218" s="1695">
        <v>1</v>
      </c>
      <c r="H218" s="1695">
        <v>11</v>
      </c>
      <c r="I218" s="1643">
        <v>42064</v>
      </c>
    </row>
    <row r="219" spans="1:9">
      <c r="A219" s="1596" t="s">
        <v>1099</v>
      </c>
      <c r="B219" s="1596">
        <v>10106</v>
      </c>
      <c r="C219" s="1695">
        <v>378000000</v>
      </c>
      <c r="D219" s="1695">
        <v>360000000</v>
      </c>
      <c r="E219" s="1695">
        <v>14</v>
      </c>
      <c r="F219" s="1695">
        <v>14</v>
      </c>
      <c r="G219" s="1695">
        <v>2</v>
      </c>
      <c r="H219" s="1695">
        <v>16</v>
      </c>
      <c r="I219" s="1643">
        <v>42064</v>
      </c>
    </row>
    <row r="220" spans="1:9">
      <c r="A220" s="1596" t="s">
        <v>1148</v>
      </c>
      <c r="B220" s="1596">
        <v>10002</v>
      </c>
      <c r="C220" s="1695">
        <v>2521000000</v>
      </c>
      <c r="D220" s="1695">
        <v>2400000000</v>
      </c>
      <c r="E220" s="1695">
        <v>117</v>
      </c>
      <c r="F220" s="1695">
        <v>60</v>
      </c>
      <c r="G220" s="1695">
        <v>10</v>
      </c>
      <c r="H220" s="1695">
        <v>70</v>
      </c>
      <c r="I220" s="1643">
        <v>42064</v>
      </c>
    </row>
    <row r="221" spans="1:9">
      <c r="A221" s="1596" t="s">
        <v>1149</v>
      </c>
      <c r="B221" s="1596">
        <v>10011</v>
      </c>
      <c r="C221" s="1695">
        <v>3877000000</v>
      </c>
      <c r="D221" s="1695">
        <v>3683000000</v>
      </c>
      <c r="E221" s="1695">
        <v>158</v>
      </c>
      <c r="F221" s="1695">
        <v>50</v>
      </c>
      <c r="G221" s="1695">
        <v>6</v>
      </c>
      <c r="H221" s="1695">
        <v>56</v>
      </c>
      <c r="I221" s="1643">
        <v>42064</v>
      </c>
    </row>
    <row r="222" spans="1:9">
      <c r="A222" s="1596" t="s">
        <v>1150</v>
      </c>
      <c r="B222" s="1596">
        <v>10023</v>
      </c>
      <c r="C222" s="1695">
        <v>3430000000</v>
      </c>
      <c r="D222" s="1695">
        <v>3259000000</v>
      </c>
      <c r="E222" s="1695">
        <v>139</v>
      </c>
      <c r="F222" s="1695">
        <v>46</v>
      </c>
      <c r="G222" s="1695">
        <v>5</v>
      </c>
      <c r="H222" s="1695">
        <v>51</v>
      </c>
      <c r="I222" s="1643">
        <v>42064</v>
      </c>
    </row>
    <row r="223" spans="1:9">
      <c r="A223" s="1596" t="s">
        <v>1151</v>
      </c>
      <c r="B223" s="1596">
        <v>10034</v>
      </c>
      <c r="C223" s="1695">
        <v>2666000000</v>
      </c>
      <c r="D223" s="1695">
        <v>2500000000</v>
      </c>
      <c r="E223" s="1695">
        <v>118</v>
      </c>
      <c r="F223" s="1695">
        <v>68</v>
      </c>
      <c r="G223" s="1695">
        <v>15</v>
      </c>
      <c r="H223" s="1695">
        <v>83</v>
      </c>
      <c r="I223" s="1643">
        <v>42064</v>
      </c>
    </row>
    <row r="224" spans="1:9">
      <c r="A224" s="1596" t="s">
        <v>1152</v>
      </c>
      <c r="B224" s="1596">
        <v>10041</v>
      </c>
      <c r="C224" s="1695">
        <v>1272000000</v>
      </c>
      <c r="D224" s="1695">
        <v>1208000000</v>
      </c>
      <c r="E224" s="1695">
        <v>52</v>
      </c>
      <c r="F224" s="1695">
        <v>24</v>
      </c>
      <c r="G224" s="1695">
        <v>4</v>
      </c>
      <c r="H224" s="1695">
        <v>28</v>
      </c>
      <c r="I224" s="1643">
        <v>42064</v>
      </c>
    </row>
    <row r="225" spans="1:9">
      <c r="A225" s="1596" t="s">
        <v>1153</v>
      </c>
      <c r="B225" s="1596">
        <v>10050</v>
      </c>
      <c r="C225" s="1695">
        <v>2957000000</v>
      </c>
      <c r="D225" s="1695">
        <v>2809000000</v>
      </c>
      <c r="E225" s="1695">
        <v>126</v>
      </c>
      <c r="F225" s="1695">
        <v>89</v>
      </c>
      <c r="G225" s="1695">
        <v>11</v>
      </c>
      <c r="H225" s="1695">
        <v>100</v>
      </c>
      <c r="I225" s="1643">
        <v>42064</v>
      </c>
    </row>
    <row r="226" spans="1:9">
      <c r="A226" s="1596" t="s">
        <v>1154</v>
      </c>
      <c r="B226" s="1596">
        <v>10057</v>
      </c>
      <c r="C226" s="1695">
        <v>630000000</v>
      </c>
      <c r="D226" s="1695">
        <v>600000000</v>
      </c>
      <c r="E226" s="1695">
        <v>33</v>
      </c>
      <c r="F226" s="1695">
        <v>8</v>
      </c>
      <c r="G226" s="1695">
        <v>2</v>
      </c>
      <c r="H226" s="1695">
        <v>10</v>
      </c>
      <c r="I226" s="1643">
        <v>42064</v>
      </c>
    </row>
    <row r="227" spans="1:9">
      <c r="A227" s="1596" t="s">
        <v>1155</v>
      </c>
      <c r="B227" s="1596">
        <v>10085</v>
      </c>
      <c r="C227" s="1695">
        <v>4202000000</v>
      </c>
      <c r="D227" s="1695">
        <v>3940000000</v>
      </c>
      <c r="E227" s="1695">
        <v>230</v>
      </c>
      <c r="F227" s="1695">
        <v>131</v>
      </c>
      <c r="G227" s="1695">
        <v>20</v>
      </c>
      <c r="H227" s="1695">
        <v>151</v>
      </c>
      <c r="I227" s="1643">
        <v>42064</v>
      </c>
    </row>
    <row r="228" spans="1:9">
      <c r="A228" s="1596" t="s">
        <v>1156</v>
      </c>
      <c r="B228" s="1596">
        <v>10101</v>
      </c>
      <c r="C228" s="1695">
        <v>568000000</v>
      </c>
      <c r="D228" s="1695">
        <v>540000000</v>
      </c>
      <c r="E228" s="1695">
        <v>20</v>
      </c>
      <c r="F228" s="1695">
        <v>30</v>
      </c>
      <c r="G228" s="1695">
        <v>10</v>
      </c>
      <c r="H228" s="1695">
        <v>40</v>
      </c>
      <c r="I228" s="1643">
        <v>42064</v>
      </c>
    </row>
    <row r="229" spans="1:9">
      <c r="A229" s="1596" t="s">
        <v>792</v>
      </c>
      <c r="B229" s="1596">
        <v>10001</v>
      </c>
      <c r="C229" s="1695">
        <v>9389000000</v>
      </c>
      <c r="D229" s="1695">
        <v>8840000000</v>
      </c>
      <c r="E229" s="1695">
        <v>465</v>
      </c>
      <c r="F229" s="1695">
        <v>259</v>
      </c>
      <c r="G229" s="1695">
        <v>45</v>
      </c>
      <c r="H229" s="1695">
        <v>304</v>
      </c>
      <c r="I229" s="1643">
        <v>42064</v>
      </c>
    </row>
    <row r="230" spans="1:9">
      <c r="A230" s="1596" t="s">
        <v>794</v>
      </c>
      <c r="B230" s="1596">
        <v>10010</v>
      </c>
      <c r="C230" s="1695">
        <v>8579000000</v>
      </c>
      <c r="D230" s="1695">
        <v>8150000000</v>
      </c>
      <c r="E230" s="1695">
        <v>349</v>
      </c>
      <c r="F230" s="1695">
        <v>120</v>
      </c>
      <c r="G230" s="1695">
        <v>15</v>
      </c>
      <c r="H230" s="1695">
        <v>135</v>
      </c>
      <c r="I230" s="1643">
        <v>42064</v>
      </c>
    </row>
    <row r="231" spans="1:9">
      <c r="A231" s="1596" t="s">
        <v>793</v>
      </c>
      <c r="B231" s="1596">
        <v>10049</v>
      </c>
      <c r="C231" s="1695">
        <v>2957000000</v>
      </c>
      <c r="D231" s="1695">
        <v>2809000000</v>
      </c>
      <c r="E231" s="1695">
        <v>126</v>
      </c>
      <c r="F231" s="1695">
        <v>89</v>
      </c>
      <c r="G231" s="1695">
        <v>11</v>
      </c>
      <c r="H231" s="1695">
        <v>100</v>
      </c>
      <c r="I231" s="1643">
        <v>42064</v>
      </c>
    </row>
    <row r="232" spans="1:9">
      <c r="A232" s="1596" t="s">
        <v>458</v>
      </c>
      <c r="B232" s="1596">
        <v>10056</v>
      </c>
      <c r="C232" s="1695">
        <v>1198000000</v>
      </c>
      <c r="D232" s="1695">
        <v>1140000000</v>
      </c>
      <c r="E232" s="1695">
        <v>53</v>
      </c>
      <c r="F232" s="1695">
        <v>38</v>
      </c>
      <c r="G232" s="1695">
        <v>12</v>
      </c>
      <c r="H232" s="1695">
        <v>50</v>
      </c>
      <c r="I232" s="1643">
        <v>42064</v>
      </c>
    </row>
    <row r="233" spans="1:9">
      <c r="A233" s="1596" t="s">
        <v>1158</v>
      </c>
      <c r="B233" s="1596" t="s">
        <v>1159</v>
      </c>
      <c r="C233" s="1695">
        <v>22123000000</v>
      </c>
      <c r="D233" s="1695">
        <v>20939000000</v>
      </c>
      <c r="E233" s="1695">
        <v>993</v>
      </c>
      <c r="F233" s="1695">
        <v>506</v>
      </c>
      <c r="G233" s="1695">
        <v>83</v>
      </c>
      <c r="H233" s="1695">
        <v>589</v>
      </c>
      <c r="I233" s="1643">
        <v>42064</v>
      </c>
    </row>
    <row r="234" spans="1:9">
      <c r="A234" s="1596" t="s">
        <v>1291</v>
      </c>
      <c r="B234" s="1596">
        <v>10003</v>
      </c>
      <c r="C234" s="1695">
        <v>1494000000</v>
      </c>
      <c r="D234" s="1695">
        <v>1380000000</v>
      </c>
      <c r="E234" s="1695">
        <v>90</v>
      </c>
      <c r="F234" s="1695">
        <v>38</v>
      </c>
      <c r="G234" s="1695">
        <v>6</v>
      </c>
      <c r="H234" s="1695">
        <v>44</v>
      </c>
      <c r="I234" s="1643">
        <v>42064</v>
      </c>
    </row>
    <row r="235" spans="1:9">
      <c r="A235" s="1596" t="s">
        <v>1292</v>
      </c>
      <c r="B235" s="1596">
        <v>10012</v>
      </c>
      <c r="C235" s="1695">
        <v>3877000000</v>
      </c>
      <c r="D235" s="1695">
        <v>3683000000</v>
      </c>
      <c r="E235" s="1695">
        <v>158</v>
      </c>
      <c r="F235" s="1695">
        <v>50</v>
      </c>
      <c r="G235" s="1695">
        <v>6</v>
      </c>
      <c r="H235" s="1695">
        <v>56</v>
      </c>
      <c r="I235" s="1643">
        <v>42064</v>
      </c>
    </row>
    <row r="236" spans="1:9">
      <c r="A236" s="1596" t="s">
        <v>1293</v>
      </c>
      <c r="B236" s="1596">
        <v>10024</v>
      </c>
      <c r="C236" s="1695">
        <v>1451000000</v>
      </c>
      <c r="D236" s="1695">
        <v>1379000000</v>
      </c>
      <c r="E236" s="1695">
        <v>59</v>
      </c>
      <c r="F236" s="1695">
        <v>16</v>
      </c>
      <c r="G236" s="1695">
        <v>2</v>
      </c>
      <c r="H236" s="1695">
        <v>18</v>
      </c>
      <c r="I236" s="1643">
        <v>42064</v>
      </c>
    </row>
    <row r="237" spans="1:9">
      <c r="A237" s="1596" t="s">
        <v>1294</v>
      </c>
      <c r="B237" s="1596">
        <v>10035</v>
      </c>
      <c r="C237" s="1695">
        <v>1343000000</v>
      </c>
      <c r="D237" s="1695">
        <v>1240000000</v>
      </c>
      <c r="E237" s="1695">
        <v>88</v>
      </c>
      <c r="F237" s="1695">
        <v>50</v>
      </c>
      <c r="G237" s="1695">
        <v>8</v>
      </c>
      <c r="H237" s="1695">
        <v>58</v>
      </c>
      <c r="I237" s="1643">
        <v>42064</v>
      </c>
    </row>
    <row r="238" spans="1:9">
      <c r="A238" s="1596" t="s">
        <v>1295</v>
      </c>
      <c r="B238" s="1596">
        <v>10042</v>
      </c>
      <c r="C238" s="1695">
        <v>1272000000</v>
      </c>
      <c r="D238" s="1695">
        <v>1208000000</v>
      </c>
      <c r="E238" s="1695">
        <v>52</v>
      </c>
      <c r="F238" s="1695">
        <v>24</v>
      </c>
      <c r="G238" s="1695">
        <v>4</v>
      </c>
      <c r="H238" s="1695">
        <v>28</v>
      </c>
      <c r="I238" s="1643">
        <v>42064</v>
      </c>
    </row>
    <row r="239" spans="1:9">
      <c r="A239" s="1596" t="s">
        <v>1296</v>
      </c>
      <c r="B239" s="1596">
        <v>10047</v>
      </c>
      <c r="C239" s="1695">
        <v>1891000000</v>
      </c>
      <c r="D239" s="1695">
        <v>1800000000</v>
      </c>
      <c r="E239" s="1695">
        <v>104</v>
      </c>
      <c r="F239" s="1695">
        <v>50</v>
      </c>
      <c r="G239" s="1695">
        <v>8</v>
      </c>
      <c r="H239" s="1695">
        <v>58</v>
      </c>
      <c r="I239" s="1643">
        <v>42064</v>
      </c>
    </row>
    <row r="240" spans="1:9">
      <c r="A240" s="1596" t="s">
        <v>1297</v>
      </c>
      <c r="B240" s="1596">
        <v>10051</v>
      </c>
      <c r="C240" s="1695">
        <v>2553000000</v>
      </c>
      <c r="D240" s="1695">
        <v>2425000000</v>
      </c>
      <c r="E240" s="1695">
        <v>103</v>
      </c>
      <c r="F240" s="1695">
        <v>59</v>
      </c>
      <c r="G240" s="1695">
        <v>2</v>
      </c>
      <c r="H240" s="1695">
        <v>61</v>
      </c>
      <c r="I240" s="1643">
        <v>42064</v>
      </c>
    </row>
    <row r="241" spans="1:11">
      <c r="A241" s="1596" t="s">
        <v>1298</v>
      </c>
      <c r="B241" s="1596">
        <v>10054</v>
      </c>
      <c r="C241" s="1695">
        <v>1008000000</v>
      </c>
      <c r="D241" s="1695">
        <v>960000000</v>
      </c>
      <c r="E241" s="1695">
        <v>17</v>
      </c>
      <c r="F241" s="1695">
        <v>8</v>
      </c>
      <c r="G241" s="1695">
        <v>2</v>
      </c>
      <c r="H241" s="1695">
        <v>10</v>
      </c>
      <c r="I241" s="1643">
        <v>42064</v>
      </c>
    </row>
    <row r="242" spans="1:11">
      <c r="A242" s="1596" t="s">
        <v>1299</v>
      </c>
      <c r="B242" s="1596">
        <v>10058</v>
      </c>
      <c r="C242" s="1695">
        <v>630000000</v>
      </c>
      <c r="D242" s="1695">
        <v>600000000</v>
      </c>
      <c r="E242" s="1695">
        <v>33</v>
      </c>
      <c r="F242" s="1695">
        <v>8</v>
      </c>
      <c r="G242" s="1695">
        <v>2</v>
      </c>
      <c r="H242" s="1695">
        <v>10</v>
      </c>
      <c r="I242" s="1643">
        <v>42064</v>
      </c>
    </row>
    <row r="243" spans="1:11">
      <c r="A243" s="1596" t="s">
        <v>1300</v>
      </c>
      <c r="B243" s="1596">
        <v>10072</v>
      </c>
      <c r="C243" s="1695">
        <v>630000000</v>
      </c>
      <c r="D243" s="1695">
        <v>600000000</v>
      </c>
      <c r="E243" s="1695">
        <v>13</v>
      </c>
      <c r="F243" s="1695">
        <v>10</v>
      </c>
      <c r="G243" s="1695">
        <v>2</v>
      </c>
      <c r="H243" s="1695">
        <v>12</v>
      </c>
      <c r="I243" s="1643">
        <v>42064</v>
      </c>
    </row>
    <row r="244" spans="1:11">
      <c r="A244" s="1596" t="s">
        <v>1301</v>
      </c>
      <c r="B244" s="1596">
        <v>10086</v>
      </c>
      <c r="C244" s="1695">
        <v>1979000000</v>
      </c>
      <c r="D244" s="1695">
        <v>1880000000</v>
      </c>
      <c r="E244" s="1695">
        <v>80</v>
      </c>
      <c r="F244" s="1695">
        <v>30</v>
      </c>
      <c r="G244" s="1695">
        <v>3</v>
      </c>
      <c r="H244" s="1695">
        <v>33</v>
      </c>
      <c r="I244" s="1643">
        <v>42064</v>
      </c>
    </row>
    <row r="245" spans="1:11">
      <c r="A245" s="1596" t="s">
        <v>1302</v>
      </c>
      <c r="B245" s="1596">
        <v>10087</v>
      </c>
      <c r="C245" s="1695">
        <v>2708000000</v>
      </c>
      <c r="D245" s="1695">
        <v>2560000000</v>
      </c>
      <c r="E245" s="1695">
        <v>140</v>
      </c>
      <c r="F245" s="1695">
        <v>93</v>
      </c>
      <c r="G245" s="1695">
        <v>14</v>
      </c>
      <c r="H245" s="1695">
        <v>107</v>
      </c>
      <c r="I245" s="1643">
        <v>42064</v>
      </c>
    </row>
    <row r="246" spans="1:11">
      <c r="A246" s="1596" t="s">
        <v>1303</v>
      </c>
      <c r="B246" s="1596">
        <v>10091</v>
      </c>
      <c r="C246" s="1695">
        <v>315000000</v>
      </c>
      <c r="D246" s="1695">
        <v>300000000</v>
      </c>
      <c r="E246" s="1695">
        <v>13</v>
      </c>
      <c r="F246" s="1695">
        <v>10</v>
      </c>
      <c r="G246" s="1695">
        <v>5</v>
      </c>
      <c r="H246" s="1695">
        <v>15</v>
      </c>
      <c r="I246" s="1643">
        <v>42064</v>
      </c>
    </row>
    <row r="247" spans="1:11">
      <c r="A247" s="1596" t="s">
        <v>1304</v>
      </c>
      <c r="B247" s="1596">
        <v>10095</v>
      </c>
      <c r="C247" s="1695">
        <v>404000000</v>
      </c>
      <c r="D247" s="1695">
        <v>384000000</v>
      </c>
      <c r="E247" s="1695">
        <v>23</v>
      </c>
      <c r="F247" s="1695">
        <v>30</v>
      </c>
      <c r="G247" s="1695">
        <v>9</v>
      </c>
      <c r="H247" s="1695">
        <v>39</v>
      </c>
      <c r="I247" s="1643">
        <v>42064</v>
      </c>
    </row>
    <row r="248" spans="1:11">
      <c r="A248" s="1596" t="s">
        <v>1305</v>
      </c>
      <c r="B248" s="1596">
        <v>10102</v>
      </c>
      <c r="C248" s="1695">
        <v>568000000</v>
      </c>
      <c r="D248" s="1695">
        <v>540000000</v>
      </c>
      <c r="E248" s="1695">
        <v>20</v>
      </c>
      <c r="F248" s="1695">
        <v>30</v>
      </c>
      <c r="G248" s="1695">
        <v>10</v>
      </c>
      <c r="H248" s="1695">
        <v>40</v>
      </c>
      <c r="I248" s="1643">
        <v>42064</v>
      </c>
    </row>
    <row r="250" spans="1:11">
      <c r="A250" s="1654" t="s">
        <v>1425</v>
      </c>
    </row>
    <row r="251" spans="1:11">
      <c r="A251" s="1596" t="s">
        <v>1109</v>
      </c>
      <c r="B251" s="1596" t="s">
        <v>1110</v>
      </c>
      <c r="C251" s="1695" t="s">
        <v>1</v>
      </c>
      <c r="D251" s="1698" t="s">
        <v>2</v>
      </c>
      <c r="E251" s="1698" t="s">
        <v>1108</v>
      </c>
      <c r="F251" s="1695" t="s">
        <v>1107</v>
      </c>
      <c r="G251" s="1695" t="s">
        <v>1106</v>
      </c>
      <c r="H251" s="1695" t="s">
        <v>1105</v>
      </c>
      <c r="I251" s="1596" t="s">
        <v>1160</v>
      </c>
    </row>
    <row r="252" spans="1:11">
      <c r="A252" s="1596" t="s">
        <v>47</v>
      </c>
      <c r="B252" s="1596">
        <v>10004</v>
      </c>
      <c r="C252" s="1695">
        <v>787500000</v>
      </c>
      <c r="D252" s="1695">
        <v>750000000</v>
      </c>
      <c r="E252" s="1695">
        <v>32</v>
      </c>
      <c r="F252" s="1695">
        <v>13</v>
      </c>
      <c r="G252" s="1695">
        <v>2</v>
      </c>
      <c r="H252" s="1695">
        <v>15</v>
      </c>
      <c r="I252" s="1643">
        <v>42095</v>
      </c>
      <c r="J252" s="1596">
        <f>VLOOKUP(A252,Target!$E$166:$K$224,7,0)</f>
        <v>800</v>
      </c>
      <c r="K252" s="1596" t="b">
        <f>J252*1000000=D252</f>
        <v>0</v>
      </c>
    </row>
    <row r="253" spans="1:11">
      <c r="A253" s="1596" t="s">
        <v>91</v>
      </c>
      <c r="B253" s="1596">
        <v>10009</v>
      </c>
      <c r="C253" s="1695">
        <v>1018500000</v>
      </c>
      <c r="D253" s="1695">
        <v>970000000</v>
      </c>
      <c r="E253" s="1695">
        <v>43</v>
      </c>
      <c r="F253" s="1695">
        <v>13</v>
      </c>
      <c r="G253" s="1695">
        <v>2</v>
      </c>
      <c r="H253" s="1695">
        <v>15</v>
      </c>
      <c r="I253" s="1643">
        <v>42095</v>
      </c>
      <c r="J253" s="1596">
        <f>VLOOKUP(A253,Target!$E$166:$K$224,7,0)</f>
        <v>1000</v>
      </c>
      <c r="K253" s="1596" t="b">
        <f t="shared" ref="K253:K315" si="1">J253*1000000=D253</f>
        <v>0</v>
      </c>
    </row>
    <row r="254" spans="1:11">
      <c r="A254" s="1596" t="s">
        <v>177</v>
      </c>
      <c r="B254" s="1596">
        <v>10013</v>
      </c>
      <c r="C254" s="1695">
        <v>1004000000</v>
      </c>
      <c r="D254" s="1695">
        <v>954000000</v>
      </c>
      <c r="E254" s="1695">
        <v>41</v>
      </c>
      <c r="F254" s="1695">
        <v>20</v>
      </c>
      <c r="G254" s="1695">
        <v>2</v>
      </c>
      <c r="H254" s="1695">
        <v>22</v>
      </c>
      <c r="I254" s="1643">
        <v>42095</v>
      </c>
      <c r="J254" s="1596">
        <f>VLOOKUP(A254,Target!$E$166:$K$224,7,0)</f>
        <v>1063</v>
      </c>
      <c r="K254" s="1596" t="b">
        <f t="shared" si="1"/>
        <v>0</v>
      </c>
    </row>
    <row r="255" spans="1:11">
      <c r="A255" s="1596" t="s">
        <v>185</v>
      </c>
      <c r="B255" s="1596">
        <v>10014</v>
      </c>
      <c r="C255" s="1695">
        <v>438000000</v>
      </c>
      <c r="D255" s="1695">
        <v>416000000</v>
      </c>
      <c r="E255" s="1695">
        <v>18</v>
      </c>
      <c r="F255" s="1695">
        <v>12</v>
      </c>
      <c r="G255" s="1695">
        <v>0</v>
      </c>
      <c r="H255" s="1695">
        <v>12</v>
      </c>
      <c r="I255" s="1643">
        <v>42095</v>
      </c>
      <c r="J255" s="1596">
        <f>VLOOKUP(A255,Target!$E$166:$K$224,7,0)</f>
        <v>875</v>
      </c>
      <c r="K255" s="1596" t="b">
        <f t="shared" si="1"/>
        <v>0</v>
      </c>
    </row>
    <row r="256" spans="1:11">
      <c r="A256" s="1596" t="s">
        <v>179</v>
      </c>
      <c r="B256" s="1596">
        <v>10015</v>
      </c>
      <c r="C256" s="1695">
        <v>1004000000</v>
      </c>
      <c r="D256" s="1695">
        <v>954000000</v>
      </c>
      <c r="E256" s="1695">
        <v>41</v>
      </c>
      <c r="F256" s="1695">
        <v>20</v>
      </c>
      <c r="G256" s="1695">
        <v>2</v>
      </c>
      <c r="H256" s="1695">
        <v>22</v>
      </c>
      <c r="I256" s="1643">
        <v>42095</v>
      </c>
      <c r="J256" s="1596">
        <f>VLOOKUP(A256,Target!$E$166:$K$224,7,0)</f>
        <v>1233</v>
      </c>
      <c r="K256" s="1596" t="b">
        <f t="shared" si="1"/>
        <v>0</v>
      </c>
    </row>
    <row r="257" spans="1:11">
      <c r="A257" s="1596" t="s">
        <v>176</v>
      </c>
      <c r="B257" s="1596">
        <v>10017</v>
      </c>
      <c r="C257" s="1695">
        <v>1276000000</v>
      </c>
      <c r="D257" s="1695">
        <v>1212000000</v>
      </c>
      <c r="E257" s="1695">
        <v>52</v>
      </c>
      <c r="F257" s="1695">
        <v>30</v>
      </c>
      <c r="G257" s="1695">
        <v>2</v>
      </c>
      <c r="H257" s="1695">
        <v>32</v>
      </c>
      <c r="I257" s="1643">
        <v>42095</v>
      </c>
      <c r="J257" s="1596">
        <f>VLOOKUP(A257,Target!$E$166:$K$224,7,0)</f>
        <v>1559</v>
      </c>
      <c r="K257" s="1596" t="b">
        <f t="shared" si="1"/>
        <v>0</v>
      </c>
    </row>
    <row r="258" spans="1:11">
      <c r="A258" s="1596" t="s">
        <v>187</v>
      </c>
      <c r="B258" s="1596">
        <v>10018</v>
      </c>
      <c r="C258" s="1695">
        <v>609000000</v>
      </c>
      <c r="D258" s="1695">
        <v>580000000</v>
      </c>
      <c r="E258" s="1695">
        <v>25</v>
      </c>
      <c r="F258" s="1695">
        <v>13</v>
      </c>
      <c r="G258" s="1695">
        <v>2</v>
      </c>
      <c r="H258" s="1695">
        <v>15</v>
      </c>
      <c r="I258" s="1643">
        <v>42095</v>
      </c>
      <c r="J258" s="1596">
        <f>VLOOKUP(A258,Target!$E$166:$K$224,7,0)</f>
        <v>700</v>
      </c>
      <c r="K258" s="1596" t="b">
        <f t="shared" si="1"/>
        <v>0</v>
      </c>
    </row>
    <row r="259" spans="1:11">
      <c r="A259" s="1596" t="s">
        <v>630</v>
      </c>
      <c r="B259" s="1596">
        <v>10031</v>
      </c>
      <c r="C259" s="1695">
        <v>514500000</v>
      </c>
      <c r="D259" s="1695">
        <v>490000000</v>
      </c>
      <c r="E259" s="1695">
        <v>32</v>
      </c>
      <c r="F259" s="1695">
        <v>12</v>
      </c>
      <c r="G259" s="1695">
        <v>2</v>
      </c>
      <c r="H259" s="1695">
        <v>14</v>
      </c>
      <c r="I259" s="1643">
        <v>42095</v>
      </c>
      <c r="J259" s="1596" t="e">
        <f>VLOOKUP(A259,Target!$E$166:$K$224,7,0)</f>
        <v>#N/A</v>
      </c>
      <c r="K259" s="1596" t="e">
        <f t="shared" si="1"/>
        <v>#N/A</v>
      </c>
    </row>
    <row r="260" spans="1:11">
      <c r="A260" s="1596" t="s">
        <v>661</v>
      </c>
      <c r="B260" s="1596">
        <v>10032</v>
      </c>
      <c r="C260" s="1695">
        <v>438000000</v>
      </c>
      <c r="D260" s="1695">
        <v>416000000</v>
      </c>
      <c r="E260" s="1695">
        <v>18</v>
      </c>
      <c r="F260" s="1695">
        <v>12</v>
      </c>
      <c r="G260" s="1695">
        <v>0</v>
      </c>
      <c r="H260" s="1695">
        <v>12</v>
      </c>
      <c r="I260" s="1643">
        <v>42095</v>
      </c>
      <c r="J260" s="1596">
        <f>VLOOKUP(A260,Target!$E$166:$K$224,7,0)</f>
        <v>475</v>
      </c>
      <c r="K260" s="1596" t="b">
        <f t="shared" si="1"/>
        <v>0</v>
      </c>
    </row>
    <row r="261" spans="1:11">
      <c r="A261" s="1596" t="s">
        <v>557</v>
      </c>
      <c r="B261" s="1596">
        <v>10033</v>
      </c>
      <c r="C261" s="1695">
        <v>535500000</v>
      </c>
      <c r="D261" s="1695">
        <v>510000000</v>
      </c>
      <c r="E261" s="1695">
        <v>30</v>
      </c>
      <c r="F261" s="1695">
        <v>12</v>
      </c>
      <c r="G261" s="1695">
        <v>2</v>
      </c>
      <c r="H261" s="1695">
        <v>14</v>
      </c>
      <c r="I261" s="1643">
        <v>42095</v>
      </c>
      <c r="J261" s="1596" t="e">
        <f>VLOOKUP(A261,Target!$E$166:$K$224,7,0)</f>
        <v>#N/A</v>
      </c>
      <c r="K261" s="1596" t="e">
        <f t="shared" si="1"/>
        <v>#N/A</v>
      </c>
    </row>
    <row r="262" spans="1:11">
      <c r="A262" s="1596" t="s">
        <v>628</v>
      </c>
      <c r="B262" s="1596">
        <v>10036</v>
      </c>
      <c r="C262" s="1695">
        <v>546000000</v>
      </c>
      <c r="D262" s="1695">
        <v>520000000</v>
      </c>
      <c r="E262" s="1695">
        <v>27</v>
      </c>
      <c r="F262" s="1695">
        <v>12</v>
      </c>
      <c r="G262" s="1695">
        <v>2</v>
      </c>
      <c r="H262" s="1695">
        <v>14</v>
      </c>
      <c r="I262" s="1643">
        <v>42095</v>
      </c>
      <c r="J262" s="1596">
        <f>VLOOKUP(A262,Target!$E$166:$K$224,7,0)</f>
        <v>920</v>
      </c>
      <c r="K262" s="1596" t="b">
        <f t="shared" si="1"/>
        <v>0</v>
      </c>
    </row>
    <row r="263" spans="1:11">
      <c r="A263" s="1596" t="s">
        <v>650</v>
      </c>
      <c r="B263" s="1596">
        <v>10037</v>
      </c>
      <c r="C263" s="1695">
        <v>535500000</v>
      </c>
      <c r="D263" s="1695">
        <v>510000000</v>
      </c>
      <c r="E263" s="1695">
        <v>23</v>
      </c>
      <c r="F263" s="1695">
        <v>13</v>
      </c>
      <c r="G263" s="1695">
        <v>2</v>
      </c>
      <c r="H263" s="1695">
        <v>15</v>
      </c>
      <c r="I263" s="1643">
        <v>42095</v>
      </c>
      <c r="J263" s="1596">
        <f>VLOOKUP(A263,Target!$E$166:$K$224,7,0)</f>
        <v>700</v>
      </c>
      <c r="K263" s="1596" t="b">
        <f t="shared" si="1"/>
        <v>0</v>
      </c>
    </row>
    <row r="264" spans="1:11">
      <c r="A264" s="1596" t="s">
        <v>660</v>
      </c>
      <c r="B264" s="1596">
        <v>10038</v>
      </c>
      <c r="C264" s="1695">
        <v>438000000</v>
      </c>
      <c r="D264" s="1695">
        <v>416000000</v>
      </c>
      <c r="E264" s="1695">
        <v>18</v>
      </c>
      <c r="F264" s="1695">
        <v>12</v>
      </c>
      <c r="G264" s="1695">
        <v>0</v>
      </c>
      <c r="H264" s="1695">
        <v>12</v>
      </c>
      <c r="I264" s="1643">
        <v>42095</v>
      </c>
      <c r="J264" s="1596">
        <f>VLOOKUP(A264,Target!$E$166:$K$224,7,0)</f>
        <v>760</v>
      </c>
      <c r="K264" s="1596" t="b">
        <f t="shared" si="1"/>
        <v>0</v>
      </c>
    </row>
    <row r="265" spans="1:11">
      <c r="A265" s="1596" t="s">
        <v>648</v>
      </c>
      <c r="B265" s="1596">
        <v>10039</v>
      </c>
      <c r="C265" s="1695">
        <v>535500000</v>
      </c>
      <c r="D265" s="1695">
        <v>510000000</v>
      </c>
      <c r="E265" s="1695">
        <v>25</v>
      </c>
      <c r="F265" s="1695">
        <v>14</v>
      </c>
      <c r="G265" s="1695">
        <v>2</v>
      </c>
      <c r="H265" s="1695">
        <v>16</v>
      </c>
      <c r="I265" s="1643">
        <v>42095</v>
      </c>
      <c r="J265" s="1596">
        <f>VLOOKUP(A265,Target!$E$166:$K$224,7,0)</f>
        <v>700</v>
      </c>
      <c r="K265" s="1596" t="b">
        <f t="shared" si="1"/>
        <v>0</v>
      </c>
    </row>
    <row r="266" spans="1:11">
      <c r="A266" s="1596" t="s">
        <v>647</v>
      </c>
      <c r="B266" s="1596">
        <v>10040</v>
      </c>
      <c r="C266" s="1695">
        <v>546000000</v>
      </c>
      <c r="D266" s="1695">
        <v>520000000</v>
      </c>
      <c r="E266" s="1695">
        <v>25</v>
      </c>
      <c r="F266" s="1695">
        <v>14</v>
      </c>
      <c r="G266" s="1695">
        <v>2</v>
      </c>
      <c r="H266" s="1695">
        <v>16</v>
      </c>
      <c r="I266" s="1643">
        <v>42095</v>
      </c>
      <c r="J266" s="1596" t="e">
        <f>VLOOKUP(A266,Target!$E$166:$K$224,7,0)</f>
        <v>#N/A</v>
      </c>
      <c r="K266" s="1596" t="e">
        <f t="shared" si="1"/>
        <v>#N/A</v>
      </c>
    </row>
    <row r="267" spans="1:11">
      <c r="A267" s="1596" t="s">
        <v>659</v>
      </c>
      <c r="B267" s="1596">
        <v>10043</v>
      </c>
      <c r="C267" s="1695">
        <v>820000000</v>
      </c>
      <c r="D267" s="1695">
        <v>779000000</v>
      </c>
      <c r="E267" s="1695">
        <v>33</v>
      </c>
      <c r="F267" s="1695">
        <v>21</v>
      </c>
      <c r="G267" s="1695">
        <v>3</v>
      </c>
      <c r="H267" s="1695">
        <v>24</v>
      </c>
      <c r="I267" s="1643">
        <v>42095</v>
      </c>
      <c r="J267" s="1596">
        <f>VLOOKUP(A267,Target!$E$166:$K$224,7,0)</f>
        <v>1079</v>
      </c>
      <c r="K267" s="1596" t="b">
        <f t="shared" si="1"/>
        <v>0</v>
      </c>
    </row>
    <row r="268" spans="1:11">
      <c r="A268" s="1596" t="s">
        <v>662</v>
      </c>
      <c r="B268" s="1596">
        <v>10044</v>
      </c>
      <c r="C268" s="1695">
        <v>438000000</v>
      </c>
      <c r="D268" s="1695">
        <v>416000000</v>
      </c>
      <c r="E268" s="1695">
        <v>18</v>
      </c>
      <c r="F268" s="1695">
        <v>12</v>
      </c>
      <c r="G268" s="1695">
        <v>0</v>
      </c>
      <c r="H268" s="1695">
        <v>12</v>
      </c>
      <c r="I268" s="1643">
        <v>42095</v>
      </c>
      <c r="J268" s="1596" t="e">
        <f>VLOOKUP(A268,Target!$E$166:$K$224,7,0)</f>
        <v>#N/A</v>
      </c>
      <c r="K268" s="1596" t="e">
        <f t="shared" si="1"/>
        <v>#N/A</v>
      </c>
    </row>
    <row r="269" spans="1:11">
      <c r="A269" s="1596" t="s">
        <v>649</v>
      </c>
      <c r="B269" s="1596">
        <v>10045</v>
      </c>
      <c r="C269" s="1695">
        <v>546000000</v>
      </c>
      <c r="D269" s="1695">
        <v>520000000</v>
      </c>
      <c r="E269" s="1695">
        <v>26</v>
      </c>
      <c r="F269" s="1695">
        <v>13</v>
      </c>
      <c r="G269" s="1695">
        <v>2</v>
      </c>
      <c r="H269" s="1695">
        <v>15</v>
      </c>
      <c r="I269" s="1643">
        <v>42095</v>
      </c>
      <c r="J269" s="1596">
        <f>VLOOKUP(A269,Target!$E$166:$K$224,7,0)</f>
        <v>800</v>
      </c>
      <c r="K269" s="1596" t="b">
        <f t="shared" si="1"/>
        <v>0</v>
      </c>
    </row>
    <row r="270" spans="1:11">
      <c r="A270" s="1596" t="s">
        <v>642</v>
      </c>
      <c r="B270" s="1596">
        <v>10046</v>
      </c>
      <c r="C270" s="1695">
        <v>504000000</v>
      </c>
      <c r="D270" s="1695">
        <v>480000000</v>
      </c>
      <c r="E270" s="1695">
        <v>26</v>
      </c>
      <c r="F270" s="1695">
        <v>12</v>
      </c>
      <c r="G270" s="1695">
        <v>2</v>
      </c>
      <c r="H270" s="1695">
        <v>14</v>
      </c>
      <c r="I270" s="1643">
        <v>42095</v>
      </c>
      <c r="J270" s="1596">
        <f>VLOOKUP(A270,Target!$E$166:$K$224,7,0)</f>
        <v>800</v>
      </c>
      <c r="K270" s="1596" t="b">
        <f t="shared" si="1"/>
        <v>0</v>
      </c>
    </row>
    <row r="271" spans="1:11">
      <c r="A271" s="1596" t="s">
        <v>736</v>
      </c>
      <c r="B271" s="1596">
        <v>10048</v>
      </c>
      <c r="C271" s="1695">
        <v>945000000</v>
      </c>
      <c r="D271" s="1695">
        <v>900000000</v>
      </c>
      <c r="E271" s="1695">
        <v>36</v>
      </c>
      <c r="F271" s="1695">
        <v>12</v>
      </c>
      <c r="G271" s="1695">
        <v>2</v>
      </c>
      <c r="H271" s="1695">
        <v>14</v>
      </c>
      <c r="I271" s="1643">
        <v>42095</v>
      </c>
      <c r="J271" s="1596">
        <f>VLOOKUP(A271,Target!$E$166:$K$224,7,0)</f>
        <v>900</v>
      </c>
      <c r="K271" s="1596" t="b">
        <f t="shared" si="1"/>
        <v>1</v>
      </c>
    </row>
    <row r="272" spans="1:11">
      <c r="A272" s="1596" t="s">
        <v>699</v>
      </c>
      <c r="B272" s="1596">
        <v>10052</v>
      </c>
      <c r="C272" s="1695">
        <v>393000000</v>
      </c>
      <c r="D272" s="1695">
        <v>373000000</v>
      </c>
      <c r="E272" s="1695">
        <v>16</v>
      </c>
      <c r="F272" s="1695">
        <v>12</v>
      </c>
      <c r="G272" s="1695">
        <v>0</v>
      </c>
      <c r="H272" s="1695">
        <v>12</v>
      </c>
      <c r="I272" s="1643">
        <v>42095</v>
      </c>
      <c r="J272" s="1596">
        <f>VLOOKUP(A272,Target!$E$166:$K$224,7,0)</f>
        <v>450</v>
      </c>
      <c r="K272" s="1596" t="b">
        <f t="shared" si="1"/>
        <v>0</v>
      </c>
    </row>
    <row r="273" spans="1:11">
      <c r="A273" s="1596" t="s">
        <v>737</v>
      </c>
      <c r="B273" s="1596">
        <v>10053</v>
      </c>
      <c r="C273" s="1695">
        <v>393000000</v>
      </c>
      <c r="D273" s="1695">
        <v>373000000</v>
      </c>
      <c r="E273" s="1695">
        <v>16</v>
      </c>
      <c r="F273" s="1695">
        <v>12</v>
      </c>
      <c r="G273" s="1695">
        <v>0</v>
      </c>
      <c r="H273" s="1695">
        <v>12</v>
      </c>
      <c r="I273" s="1643">
        <v>42095</v>
      </c>
      <c r="J273" s="1596" t="e">
        <f>VLOOKUP(A273,Target!$E$166:$K$224,7,0)</f>
        <v>#N/A</v>
      </c>
      <c r="K273" s="1596" t="e">
        <f t="shared" si="1"/>
        <v>#N/A</v>
      </c>
    </row>
    <row r="274" spans="1:11">
      <c r="A274" s="1596" t="s">
        <v>735</v>
      </c>
      <c r="B274" s="1596">
        <v>10055</v>
      </c>
      <c r="C274" s="1695">
        <v>1207500000</v>
      </c>
      <c r="D274" s="1695">
        <v>1150000000</v>
      </c>
      <c r="E274" s="1695">
        <v>18</v>
      </c>
      <c r="F274" s="1695">
        <v>8</v>
      </c>
      <c r="G274" s="1695">
        <v>2</v>
      </c>
      <c r="H274" s="1695">
        <v>10</v>
      </c>
      <c r="I274" s="1643">
        <v>42095</v>
      </c>
      <c r="J274" s="1596">
        <f>VLOOKUP(A274,Target!$E$166:$K$224,7,0)</f>
        <v>1500</v>
      </c>
      <c r="K274" s="1596" t="b">
        <f t="shared" si="1"/>
        <v>0</v>
      </c>
    </row>
    <row r="275" spans="1:11">
      <c r="A275" s="1596" t="s">
        <v>734</v>
      </c>
      <c r="B275" s="1596">
        <v>10059</v>
      </c>
      <c r="C275" s="1695">
        <v>766500000</v>
      </c>
      <c r="D275" s="1695">
        <v>730000000</v>
      </c>
      <c r="E275" s="1695">
        <v>33</v>
      </c>
      <c r="F275" s="1695">
        <v>8</v>
      </c>
      <c r="G275" s="1695">
        <v>2</v>
      </c>
      <c r="H275" s="1695">
        <v>10</v>
      </c>
      <c r="I275" s="1643">
        <v>42095</v>
      </c>
      <c r="J275" s="1596">
        <f>VLOOKUP(A275,Target!$E$166:$K$224,7,0)</f>
        <v>1166</v>
      </c>
      <c r="K275" s="1596" t="b">
        <f t="shared" si="1"/>
        <v>0</v>
      </c>
    </row>
    <row r="276" spans="1:11">
      <c r="A276" s="1596" t="s">
        <v>798</v>
      </c>
      <c r="B276" s="1596">
        <v>10073</v>
      </c>
      <c r="C276" s="1695">
        <v>766500000</v>
      </c>
      <c r="D276" s="1695">
        <v>730000000</v>
      </c>
      <c r="E276" s="1695">
        <v>16</v>
      </c>
      <c r="F276" s="1695">
        <v>10</v>
      </c>
      <c r="G276" s="1695">
        <v>2</v>
      </c>
      <c r="H276" s="1695">
        <v>12</v>
      </c>
      <c r="I276" s="1643">
        <v>42095</v>
      </c>
      <c r="J276" s="1596">
        <f>VLOOKUP(A276,Target!$E$166:$K$224,7,0)</f>
        <v>1150</v>
      </c>
      <c r="K276" s="1596" t="b">
        <f t="shared" si="1"/>
        <v>0</v>
      </c>
    </row>
    <row r="277" spans="1:11">
      <c r="A277" s="1596" t="s">
        <v>796</v>
      </c>
      <c r="B277" s="1596">
        <v>10074</v>
      </c>
      <c r="C277" s="1695">
        <v>656250000</v>
      </c>
      <c r="D277" s="1695">
        <v>625000000</v>
      </c>
      <c r="E277" s="1695">
        <v>27</v>
      </c>
      <c r="F277" s="1695">
        <v>12</v>
      </c>
      <c r="G277" s="1695">
        <v>2</v>
      </c>
      <c r="H277" s="1695">
        <v>14</v>
      </c>
      <c r="I277" s="1643">
        <v>42095</v>
      </c>
      <c r="J277" s="1596">
        <f>VLOOKUP(A277,Target!$E$166:$K$224,7,0)</f>
        <v>800</v>
      </c>
      <c r="K277" s="1596" t="b">
        <f t="shared" si="1"/>
        <v>0</v>
      </c>
    </row>
    <row r="278" spans="1:11">
      <c r="A278" s="1596" t="s">
        <v>799</v>
      </c>
      <c r="B278" s="1596">
        <v>10075</v>
      </c>
      <c r="C278" s="1695">
        <v>440000000</v>
      </c>
      <c r="D278" s="1695">
        <v>418000000</v>
      </c>
      <c r="E278" s="1695">
        <v>18</v>
      </c>
      <c r="F278" s="1695">
        <v>10</v>
      </c>
      <c r="G278" s="1695">
        <v>0</v>
      </c>
      <c r="H278" s="1695">
        <v>10</v>
      </c>
      <c r="I278" s="1643">
        <v>42095</v>
      </c>
      <c r="J278" s="1596">
        <f>VLOOKUP(A278,Target!$E$166:$K$224,7,0)</f>
        <v>800</v>
      </c>
      <c r="K278" s="1596" t="b">
        <f t="shared" si="1"/>
        <v>0</v>
      </c>
    </row>
    <row r="279" spans="1:11">
      <c r="A279" s="1596" t="s">
        <v>825</v>
      </c>
      <c r="B279" s="1596">
        <v>10077</v>
      </c>
      <c r="C279" s="1695">
        <v>515000000</v>
      </c>
      <c r="D279" s="1695">
        <v>489000000</v>
      </c>
      <c r="E279" s="1695">
        <v>21</v>
      </c>
      <c r="F279" s="1695">
        <v>10</v>
      </c>
      <c r="G279" s="1695">
        <v>0</v>
      </c>
      <c r="H279" s="1695">
        <v>10</v>
      </c>
      <c r="I279" s="1643">
        <v>42095</v>
      </c>
      <c r="J279" s="1596">
        <f>VLOOKUP(A279,Target!$E$166:$K$224,7,0)</f>
        <v>800</v>
      </c>
      <c r="K279" s="1596" t="b">
        <f t="shared" si="1"/>
        <v>0</v>
      </c>
    </row>
    <row r="280" spans="1:11">
      <c r="A280" s="1596" t="s">
        <v>905</v>
      </c>
      <c r="B280" s="1596">
        <v>10084</v>
      </c>
      <c r="C280" s="1695">
        <v>609000000</v>
      </c>
      <c r="D280" s="1695">
        <v>580000000</v>
      </c>
      <c r="E280" s="1695">
        <v>20</v>
      </c>
      <c r="F280" s="1695">
        <v>12</v>
      </c>
      <c r="G280" s="1695">
        <v>2</v>
      </c>
      <c r="H280" s="1695">
        <v>14</v>
      </c>
      <c r="I280" s="1643">
        <v>42095</v>
      </c>
      <c r="J280" s="1596">
        <f>VLOOKUP(A280,Target!$E$166:$K$224,7,0)</f>
        <v>920</v>
      </c>
      <c r="K280" s="1596" t="b">
        <f t="shared" si="1"/>
        <v>0</v>
      </c>
    </row>
    <row r="281" spans="1:11">
      <c r="A281" s="1596" t="s">
        <v>903</v>
      </c>
      <c r="B281" s="1596">
        <v>10088</v>
      </c>
      <c r="C281" s="1695">
        <v>388500000</v>
      </c>
      <c r="D281" s="1695">
        <v>370000000</v>
      </c>
      <c r="E281" s="1695">
        <v>19</v>
      </c>
      <c r="F281" s="1695">
        <v>13</v>
      </c>
      <c r="G281" s="1695">
        <v>2</v>
      </c>
      <c r="H281" s="1695">
        <v>15</v>
      </c>
      <c r="I281" s="1643">
        <v>42095</v>
      </c>
      <c r="J281" s="1596">
        <f>VLOOKUP(A281,Target!$E$166:$K$224,7,0)</f>
        <v>800</v>
      </c>
      <c r="K281" s="1596" t="b">
        <f t="shared" si="1"/>
        <v>0</v>
      </c>
    </row>
    <row r="282" spans="1:11">
      <c r="A282" s="1596" t="s">
        <v>902</v>
      </c>
      <c r="B282" s="1596">
        <v>10089</v>
      </c>
      <c r="C282" s="1695">
        <v>388500000</v>
      </c>
      <c r="D282" s="1695">
        <v>370000000</v>
      </c>
      <c r="E282" s="1695">
        <v>19</v>
      </c>
      <c r="F282" s="1695">
        <v>13</v>
      </c>
      <c r="G282" s="1695">
        <v>2</v>
      </c>
      <c r="H282" s="1695">
        <v>15</v>
      </c>
      <c r="I282" s="1643">
        <v>42095</v>
      </c>
      <c r="J282" s="1596">
        <f>VLOOKUP(A282,Target!$E$166:$K$224,7,0)</f>
        <v>800</v>
      </c>
      <c r="K282" s="1596" t="b">
        <f t="shared" si="1"/>
        <v>0</v>
      </c>
    </row>
    <row r="283" spans="1:11">
      <c r="A283" s="1596" t="s">
        <v>900</v>
      </c>
      <c r="B283" s="1596">
        <v>10090</v>
      </c>
      <c r="C283" s="1695">
        <v>472500000</v>
      </c>
      <c r="D283" s="1695">
        <v>450000000</v>
      </c>
      <c r="E283" s="1695">
        <v>17</v>
      </c>
      <c r="F283" s="1695">
        <v>14</v>
      </c>
      <c r="G283" s="1695">
        <v>2</v>
      </c>
      <c r="H283" s="1695">
        <v>16</v>
      </c>
      <c r="I283" s="1643">
        <v>42095</v>
      </c>
      <c r="J283" s="1596">
        <f>VLOOKUP(A283,Target!$E$166:$K$224,7,0)</f>
        <v>1200</v>
      </c>
      <c r="K283" s="1596" t="b">
        <f t="shared" si="1"/>
        <v>0</v>
      </c>
    </row>
    <row r="284" spans="1:11">
      <c r="A284" s="1596" t="s">
        <v>949</v>
      </c>
      <c r="B284" s="1596">
        <v>10092</v>
      </c>
      <c r="C284" s="1695">
        <v>399000000</v>
      </c>
      <c r="D284" s="1695">
        <v>380000000</v>
      </c>
      <c r="E284" s="1695">
        <v>15</v>
      </c>
      <c r="F284" s="1695">
        <v>10</v>
      </c>
      <c r="G284" s="1695">
        <v>5</v>
      </c>
      <c r="H284" s="1695">
        <v>15</v>
      </c>
      <c r="I284" s="1643">
        <v>42095</v>
      </c>
      <c r="J284" s="1596">
        <f>VLOOKUP(A284,Target!$E$166:$K$224,7,0)</f>
        <v>1000</v>
      </c>
      <c r="K284" s="1596" t="b">
        <f t="shared" si="1"/>
        <v>0</v>
      </c>
    </row>
    <row r="285" spans="1:11">
      <c r="A285" s="1596" t="s">
        <v>1104</v>
      </c>
      <c r="B285" s="1596">
        <v>10096</v>
      </c>
      <c r="C285" s="1695">
        <v>168000000</v>
      </c>
      <c r="D285" s="1695">
        <v>160000000</v>
      </c>
      <c r="E285" s="1695">
        <v>10</v>
      </c>
      <c r="F285" s="1695">
        <v>15</v>
      </c>
      <c r="G285" s="1695">
        <v>3</v>
      </c>
      <c r="H285" s="1695">
        <v>18</v>
      </c>
      <c r="I285" s="1643">
        <v>42095</v>
      </c>
      <c r="J285" s="1596">
        <f>VLOOKUP(A285,Target!$E$166:$K$224,7,0)</f>
        <v>800</v>
      </c>
      <c r="K285" s="1596" t="b">
        <f t="shared" si="1"/>
        <v>0</v>
      </c>
    </row>
    <row r="286" spans="1:11">
      <c r="A286" s="1596" t="s">
        <v>1015</v>
      </c>
      <c r="B286" s="1596">
        <v>10097</v>
      </c>
      <c r="C286" s="1695">
        <v>126000000</v>
      </c>
      <c r="D286" s="1695">
        <v>120000000</v>
      </c>
      <c r="E286" s="1695">
        <v>6</v>
      </c>
      <c r="F286" s="1695">
        <v>9</v>
      </c>
      <c r="G286" s="1695">
        <v>3</v>
      </c>
      <c r="H286" s="1695">
        <v>12</v>
      </c>
      <c r="I286" s="1643">
        <v>42095</v>
      </c>
      <c r="J286" s="1596">
        <f>VLOOKUP(A286,Target!$E$166:$K$224,7,0)</f>
        <v>750</v>
      </c>
      <c r="K286" s="1596" t="b">
        <f t="shared" si="1"/>
        <v>0</v>
      </c>
    </row>
    <row r="287" spans="1:11">
      <c r="A287" s="1596" t="s">
        <v>1103</v>
      </c>
      <c r="B287" s="1596">
        <v>10098</v>
      </c>
      <c r="C287" s="1695">
        <v>252000000</v>
      </c>
      <c r="D287" s="1695">
        <v>239000000</v>
      </c>
      <c r="E287" s="1695">
        <v>15</v>
      </c>
      <c r="F287" s="1695">
        <v>15</v>
      </c>
      <c r="G287" s="1695">
        <v>2</v>
      </c>
      <c r="H287" s="1695">
        <v>17</v>
      </c>
      <c r="I287" s="1643">
        <v>42095</v>
      </c>
      <c r="J287" s="1596">
        <f>VLOOKUP(A287,Target!$E$166:$K$224,7,0)</f>
        <v>560</v>
      </c>
      <c r="K287" s="1596" t="b">
        <f t="shared" si="1"/>
        <v>0</v>
      </c>
    </row>
    <row r="288" spans="1:11">
      <c r="A288" s="1596" t="s">
        <v>1102</v>
      </c>
      <c r="B288" s="1596">
        <v>10103</v>
      </c>
      <c r="C288" s="1695">
        <v>346500000</v>
      </c>
      <c r="D288" s="1695">
        <v>330000000</v>
      </c>
      <c r="E288" s="1695">
        <v>14</v>
      </c>
      <c r="F288" s="1695">
        <v>15</v>
      </c>
      <c r="G288" s="1695">
        <v>5</v>
      </c>
      <c r="H288" s="1695">
        <v>20</v>
      </c>
      <c r="I288" s="1643">
        <v>42095</v>
      </c>
      <c r="J288" s="1596">
        <f>VLOOKUP(A288,Target!$E$166:$K$224,7,0)</f>
        <v>900</v>
      </c>
      <c r="K288" s="1596" t="b">
        <f t="shared" si="1"/>
        <v>0</v>
      </c>
    </row>
    <row r="289" spans="1:11">
      <c r="A289" s="1596" t="s">
        <v>1101</v>
      </c>
      <c r="B289" s="1596">
        <v>10104</v>
      </c>
      <c r="C289" s="1695">
        <v>346500000</v>
      </c>
      <c r="D289" s="1695">
        <v>330000000</v>
      </c>
      <c r="E289" s="1695">
        <v>14</v>
      </c>
      <c r="F289" s="1695">
        <v>15</v>
      </c>
      <c r="G289" s="1695">
        <v>5</v>
      </c>
      <c r="H289" s="1695">
        <v>20</v>
      </c>
      <c r="I289" s="1643">
        <v>42095</v>
      </c>
      <c r="J289" s="1596">
        <f>VLOOKUP(A289,Target!$E$166:$K$224,7,0)</f>
        <v>800</v>
      </c>
      <c r="K289" s="1596" t="b">
        <f t="shared" si="1"/>
        <v>0</v>
      </c>
    </row>
    <row r="290" spans="1:11">
      <c r="A290" s="1596" t="s">
        <v>1100</v>
      </c>
      <c r="B290" s="1596">
        <v>10105</v>
      </c>
      <c r="C290" s="1695">
        <v>515000000</v>
      </c>
      <c r="D290" s="1695">
        <v>489000000</v>
      </c>
      <c r="E290" s="1695">
        <v>21</v>
      </c>
      <c r="F290" s="1695">
        <v>10</v>
      </c>
      <c r="G290" s="1695">
        <v>0</v>
      </c>
      <c r="H290" s="1695">
        <v>10</v>
      </c>
      <c r="I290" s="1643">
        <v>42095</v>
      </c>
      <c r="J290" s="1596">
        <f>VLOOKUP(A290,Target!$E$166:$K$224,7,0)</f>
        <v>950</v>
      </c>
      <c r="K290" s="1596" t="b">
        <f t="shared" si="1"/>
        <v>0</v>
      </c>
    </row>
    <row r="291" spans="1:11">
      <c r="A291" s="1596" t="s">
        <v>1099</v>
      </c>
      <c r="B291" s="1596">
        <v>10106</v>
      </c>
      <c r="C291" s="1695">
        <v>472500000</v>
      </c>
      <c r="D291" s="1695">
        <v>450000000</v>
      </c>
      <c r="E291" s="1695">
        <v>17</v>
      </c>
      <c r="F291" s="1695">
        <v>14</v>
      </c>
      <c r="G291" s="1695">
        <v>2</v>
      </c>
      <c r="H291" s="1695">
        <v>16</v>
      </c>
      <c r="I291" s="1643">
        <v>42095</v>
      </c>
      <c r="J291" s="1596">
        <f>VLOOKUP(A291,Target!$E$166:$K$224,7,0)</f>
        <v>900</v>
      </c>
      <c r="K291" s="1596" t="b">
        <f t="shared" si="1"/>
        <v>0</v>
      </c>
    </row>
    <row r="292" spans="1:11">
      <c r="A292" s="1596" t="s">
        <v>1419</v>
      </c>
      <c r="B292" s="1596">
        <v>10119</v>
      </c>
      <c r="C292" s="1695">
        <v>73000000</v>
      </c>
      <c r="D292" s="1695">
        <v>69000000</v>
      </c>
      <c r="E292" s="1695">
        <v>4</v>
      </c>
      <c r="F292" s="1695">
        <v>5</v>
      </c>
      <c r="G292" s="1695">
        <v>5</v>
      </c>
      <c r="H292" s="1695">
        <v>10</v>
      </c>
      <c r="I292" s="1643">
        <v>42095</v>
      </c>
      <c r="J292" s="1596" t="e">
        <f>VLOOKUP(A292,Target!$E$166:$K$224,7,0)</f>
        <v>#N/A</v>
      </c>
      <c r="K292" s="1596" t="e">
        <f t="shared" si="1"/>
        <v>#N/A</v>
      </c>
    </row>
    <row r="293" spans="1:11">
      <c r="A293" s="1596" t="s">
        <v>1148</v>
      </c>
      <c r="B293" s="1596">
        <v>10002</v>
      </c>
      <c r="C293" s="1695">
        <v>3417750000</v>
      </c>
      <c r="D293" s="1695">
        <v>3255000000</v>
      </c>
      <c r="E293" s="1695">
        <v>130</v>
      </c>
      <c r="F293" s="1695">
        <v>60</v>
      </c>
      <c r="G293" s="1695">
        <v>10</v>
      </c>
      <c r="H293" s="1695">
        <v>70</v>
      </c>
      <c r="I293" s="1643">
        <v>42095</v>
      </c>
      <c r="J293" s="1596" t="e">
        <f>VLOOKUP(A293,Target!$E$166:$K$224,7,0)</f>
        <v>#N/A</v>
      </c>
      <c r="K293" s="1596" t="e">
        <f t="shared" si="1"/>
        <v>#N/A</v>
      </c>
    </row>
    <row r="294" spans="1:11">
      <c r="A294" s="1596" t="s">
        <v>1149</v>
      </c>
      <c r="B294" s="1596">
        <v>10011</v>
      </c>
      <c r="C294" s="1695">
        <v>2700000000</v>
      </c>
      <c r="D294" s="1695">
        <v>2565000000</v>
      </c>
      <c r="E294" s="1695">
        <v>110</v>
      </c>
      <c r="F294" s="1695">
        <v>65</v>
      </c>
      <c r="G294" s="1695">
        <v>5</v>
      </c>
      <c r="H294" s="1695">
        <v>70</v>
      </c>
      <c r="I294" s="1643">
        <v>42095</v>
      </c>
      <c r="J294" s="1596" t="e">
        <f>VLOOKUP(A294,Target!$E$166:$K$224,7,0)</f>
        <v>#N/A</v>
      </c>
      <c r="K294" s="1596" t="e">
        <f t="shared" si="1"/>
        <v>#N/A</v>
      </c>
    </row>
    <row r="295" spans="1:11">
      <c r="A295" s="1596" t="s">
        <v>1150</v>
      </c>
      <c r="B295" s="1596">
        <v>10023</v>
      </c>
      <c r="C295" s="1695">
        <v>2280000000</v>
      </c>
      <c r="D295" s="1695">
        <v>2166000000</v>
      </c>
      <c r="E295" s="1695">
        <v>93</v>
      </c>
      <c r="F295" s="1695">
        <v>50</v>
      </c>
      <c r="G295" s="1695">
        <v>4</v>
      </c>
      <c r="H295" s="1695">
        <v>54</v>
      </c>
      <c r="I295" s="1643">
        <v>42095</v>
      </c>
      <c r="J295" s="1596" t="e">
        <f>VLOOKUP(A295,Target!$E$166:$K$224,7,0)</f>
        <v>#N/A</v>
      </c>
      <c r="K295" s="1596" t="e">
        <f t="shared" si="1"/>
        <v>#N/A</v>
      </c>
    </row>
    <row r="296" spans="1:11">
      <c r="A296" s="1596" t="s">
        <v>1151</v>
      </c>
      <c r="B296" s="1596">
        <v>10034</v>
      </c>
      <c r="C296" s="1695">
        <v>3843000000</v>
      </c>
      <c r="D296" s="1695">
        <v>3660000000</v>
      </c>
      <c r="E296" s="1695">
        <v>129</v>
      </c>
      <c r="F296" s="1695">
        <v>68</v>
      </c>
      <c r="G296" s="1695">
        <v>15</v>
      </c>
      <c r="H296" s="1695">
        <v>83</v>
      </c>
      <c r="I296" s="1643">
        <v>42095</v>
      </c>
      <c r="J296" s="1596" t="e">
        <f>VLOOKUP(A296,Target!$E$166:$K$224,7,0)</f>
        <v>#N/A</v>
      </c>
      <c r="K296" s="1596" t="e">
        <f t="shared" si="1"/>
        <v>#N/A</v>
      </c>
    </row>
    <row r="297" spans="1:11">
      <c r="A297" s="1596" t="s">
        <v>1152</v>
      </c>
      <c r="B297" s="1596">
        <v>10041</v>
      </c>
      <c r="C297" s="1695">
        <v>876000000</v>
      </c>
      <c r="D297" s="1695">
        <v>832000000</v>
      </c>
      <c r="E297" s="1695">
        <v>36</v>
      </c>
      <c r="F297" s="1695">
        <v>24</v>
      </c>
      <c r="G297" s="1695">
        <v>0</v>
      </c>
      <c r="H297" s="1695">
        <v>24</v>
      </c>
      <c r="I297" s="1643">
        <v>42095</v>
      </c>
      <c r="J297" s="1596" t="e">
        <f>VLOOKUP(A297,Target!$E$166:$K$224,7,0)</f>
        <v>#N/A</v>
      </c>
      <c r="K297" s="1596" t="e">
        <f t="shared" si="1"/>
        <v>#N/A</v>
      </c>
    </row>
    <row r="298" spans="1:11">
      <c r="A298" s="1596" t="s">
        <v>1153</v>
      </c>
      <c r="B298" s="1596">
        <v>10050</v>
      </c>
      <c r="C298" s="1695">
        <v>2875000000</v>
      </c>
      <c r="D298" s="1695">
        <v>2730000000</v>
      </c>
      <c r="E298" s="1695">
        <v>127</v>
      </c>
      <c r="F298" s="1695">
        <v>98</v>
      </c>
      <c r="G298" s="1695">
        <v>13</v>
      </c>
      <c r="H298" s="1695">
        <v>111</v>
      </c>
      <c r="I298" s="1643">
        <v>42095</v>
      </c>
      <c r="J298" s="1596" t="e">
        <f>VLOOKUP(A298,Target!$E$166:$K$224,7,0)</f>
        <v>#N/A</v>
      </c>
      <c r="K298" s="1596" t="e">
        <f t="shared" si="1"/>
        <v>#N/A</v>
      </c>
    </row>
    <row r="299" spans="1:11">
      <c r="A299" s="1596" t="s">
        <v>1154</v>
      </c>
      <c r="B299" s="1596">
        <v>10057</v>
      </c>
      <c r="C299" s="1695">
        <v>766500000</v>
      </c>
      <c r="D299" s="1695">
        <v>730000000</v>
      </c>
      <c r="E299" s="1695">
        <v>33</v>
      </c>
      <c r="F299" s="1695">
        <v>8</v>
      </c>
      <c r="G299" s="1695">
        <v>2</v>
      </c>
      <c r="H299" s="1695">
        <v>10</v>
      </c>
      <c r="I299" s="1643">
        <v>42095</v>
      </c>
      <c r="J299" s="1596" t="e">
        <f>VLOOKUP(A299,Target!$E$166:$K$224,7,0)</f>
        <v>#N/A</v>
      </c>
      <c r="K299" s="1596" t="e">
        <f t="shared" si="1"/>
        <v>#N/A</v>
      </c>
    </row>
    <row r="300" spans="1:11">
      <c r="A300" s="1596" t="s">
        <v>1155</v>
      </c>
      <c r="B300" s="1596">
        <v>10085</v>
      </c>
      <c r="C300" s="1695">
        <v>5722500000</v>
      </c>
      <c r="D300" s="1695">
        <v>5450000000</v>
      </c>
      <c r="E300" s="1695">
        <v>259</v>
      </c>
      <c r="F300" s="1695">
        <v>131</v>
      </c>
      <c r="G300" s="1695">
        <v>20</v>
      </c>
      <c r="H300" s="1695">
        <v>151</v>
      </c>
      <c r="I300" s="1643">
        <v>42095</v>
      </c>
      <c r="J300" s="1596" t="e">
        <f>VLOOKUP(A300,Target!$E$166:$K$224,7,0)</f>
        <v>#N/A</v>
      </c>
      <c r="K300" s="1596" t="e">
        <f t="shared" si="1"/>
        <v>#N/A</v>
      </c>
    </row>
    <row r="301" spans="1:11">
      <c r="A301" s="1596" t="s">
        <v>1156</v>
      </c>
      <c r="B301" s="1596">
        <v>10101</v>
      </c>
      <c r="C301" s="1695">
        <v>693000000</v>
      </c>
      <c r="D301" s="1695">
        <v>660000000</v>
      </c>
      <c r="E301" s="1695">
        <v>28</v>
      </c>
      <c r="F301" s="1695">
        <v>30</v>
      </c>
      <c r="G301" s="1695">
        <v>10</v>
      </c>
      <c r="H301" s="1695">
        <v>40</v>
      </c>
      <c r="I301" s="1643">
        <v>42095</v>
      </c>
      <c r="J301" s="1596" t="e">
        <f>VLOOKUP(A301,Target!$E$166:$K$224,7,0)</f>
        <v>#N/A</v>
      </c>
      <c r="K301" s="1596" t="e">
        <f t="shared" si="1"/>
        <v>#N/A</v>
      </c>
    </row>
    <row r="302" spans="1:11">
      <c r="A302" s="1596" t="s">
        <v>792</v>
      </c>
      <c r="B302" s="1596">
        <v>10001</v>
      </c>
      <c r="C302" s="1695">
        <v>12983250000</v>
      </c>
      <c r="D302" s="1695">
        <v>12365000000</v>
      </c>
      <c r="E302" s="1695">
        <v>518</v>
      </c>
      <c r="F302" s="1695">
        <v>259</v>
      </c>
      <c r="G302" s="1695">
        <v>45</v>
      </c>
      <c r="H302" s="1695">
        <v>304</v>
      </c>
      <c r="I302" s="1643">
        <v>42095</v>
      </c>
      <c r="J302" s="1596" t="e">
        <f>VLOOKUP(A302,Target!$E$166:$K$224,7,0)</f>
        <v>#N/A</v>
      </c>
      <c r="K302" s="1596" t="e">
        <f t="shared" si="1"/>
        <v>#N/A</v>
      </c>
    </row>
    <row r="303" spans="1:11">
      <c r="A303" s="1596" t="s">
        <v>794</v>
      </c>
      <c r="B303" s="1596">
        <v>10010</v>
      </c>
      <c r="C303" s="1695">
        <v>5856000000</v>
      </c>
      <c r="D303" s="1695">
        <v>5563000000</v>
      </c>
      <c r="E303" s="1695">
        <v>239</v>
      </c>
      <c r="F303" s="1695">
        <v>139</v>
      </c>
      <c r="G303" s="1695">
        <v>9</v>
      </c>
      <c r="H303" s="1695">
        <v>148</v>
      </c>
      <c r="I303" s="1643">
        <v>42095</v>
      </c>
      <c r="J303" s="1596" t="e">
        <f>VLOOKUP(A303,Target!$E$166:$K$224,7,0)</f>
        <v>#N/A</v>
      </c>
      <c r="K303" s="1596" t="e">
        <f t="shared" si="1"/>
        <v>#N/A</v>
      </c>
    </row>
    <row r="304" spans="1:11">
      <c r="A304" s="1596" t="s">
        <v>793</v>
      </c>
      <c r="B304" s="1596">
        <v>10049</v>
      </c>
      <c r="C304" s="1695">
        <v>2875000000</v>
      </c>
      <c r="D304" s="1695">
        <v>2730000000</v>
      </c>
      <c r="E304" s="1695">
        <v>127</v>
      </c>
      <c r="F304" s="1695">
        <v>98</v>
      </c>
      <c r="G304" s="1695">
        <v>13</v>
      </c>
      <c r="H304" s="1695">
        <v>111</v>
      </c>
      <c r="I304" s="1643">
        <v>42095</v>
      </c>
      <c r="J304" s="1596" t="e">
        <f>VLOOKUP(A304,Target!$E$166:$K$224,7,0)</f>
        <v>#N/A</v>
      </c>
      <c r="K304" s="1596" t="e">
        <f t="shared" si="1"/>
        <v>#N/A</v>
      </c>
    </row>
    <row r="305" spans="1:11">
      <c r="A305" s="1596" t="s">
        <v>458</v>
      </c>
      <c r="B305" s="1596">
        <v>10056</v>
      </c>
      <c r="C305" s="1695">
        <v>1459500000</v>
      </c>
      <c r="D305" s="1695">
        <v>1390000000</v>
      </c>
      <c r="E305" s="1695">
        <v>61</v>
      </c>
      <c r="F305" s="1695">
        <v>38</v>
      </c>
      <c r="G305" s="1695">
        <v>12</v>
      </c>
      <c r="H305" s="1695">
        <v>50</v>
      </c>
      <c r="I305" s="1643">
        <v>42095</v>
      </c>
      <c r="J305" s="1596" t="e">
        <f>VLOOKUP(A305,Target!$E$166:$K$224,7,0)</f>
        <v>#N/A</v>
      </c>
      <c r="K305" s="1596" t="e">
        <f t="shared" si="1"/>
        <v>#N/A</v>
      </c>
    </row>
    <row r="306" spans="1:11">
      <c r="A306" s="1596" t="s">
        <v>1158</v>
      </c>
      <c r="B306" s="1596" t="s">
        <v>1159</v>
      </c>
      <c r="C306" s="1695">
        <v>23173750000</v>
      </c>
      <c r="D306" s="1695">
        <v>22048000000</v>
      </c>
      <c r="E306" s="1695">
        <v>945</v>
      </c>
      <c r="F306" s="1695">
        <v>534</v>
      </c>
      <c r="G306" s="1695">
        <v>79</v>
      </c>
      <c r="H306" s="1695">
        <v>613</v>
      </c>
      <c r="I306" s="1643">
        <v>42095</v>
      </c>
      <c r="J306" s="1596" t="e">
        <f>VLOOKUP(A306,Target!$E$166:$K$224,7,0)</f>
        <v>#N/A</v>
      </c>
      <c r="K306" s="1596" t="e">
        <f t="shared" si="1"/>
        <v>#N/A</v>
      </c>
    </row>
    <row r="307" spans="1:11">
      <c r="A307" s="1596" t="s">
        <v>1291</v>
      </c>
      <c r="B307" s="1596">
        <v>10003</v>
      </c>
      <c r="C307" s="1695">
        <v>2163000000</v>
      </c>
      <c r="D307" s="1695">
        <v>2060000000</v>
      </c>
      <c r="E307" s="1695">
        <v>98</v>
      </c>
      <c r="F307" s="1695">
        <v>38</v>
      </c>
      <c r="G307" s="1695">
        <v>6</v>
      </c>
      <c r="H307" s="1695">
        <v>44</v>
      </c>
      <c r="I307" s="1643">
        <v>42095</v>
      </c>
      <c r="J307" s="1596" t="e">
        <f>VLOOKUP(A307,Target!$E$166:$K$224,7,0)</f>
        <v>#N/A</v>
      </c>
      <c r="K307" s="1596" t="e">
        <f t="shared" si="1"/>
        <v>#N/A</v>
      </c>
    </row>
    <row r="308" spans="1:11">
      <c r="A308" s="1596" t="s">
        <v>1292</v>
      </c>
      <c r="B308" s="1596">
        <v>10012</v>
      </c>
      <c r="C308" s="1695">
        <v>2700000000</v>
      </c>
      <c r="D308" s="1695">
        <v>2565000000</v>
      </c>
      <c r="E308" s="1695">
        <v>110</v>
      </c>
      <c r="F308" s="1695">
        <v>65</v>
      </c>
      <c r="G308" s="1695">
        <v>5</v>
      </c>
      <c r="H308" s="1695">
        <v>70</v>
      </c>
      <c r="I308" s="1643">
        <v>42095</v>
      </c>
      <c r="J308" s="1596" t="e">
        <f>VLOOKUP(A308,Target!$E$166:$K$224,7,0)</f>
        <v>#N/A</v>
      </c>
      <c r="K308" s="1596" t="e">
        <f t="shared" si="1"/>
        <v>#N/A</v>
      </c>
    </row>
    <row r="309" spans="1:11">
      <c r="A309" s="1596" t="s">
        <v>1293</v>
      </c>
      <c r="B309" s="1596">
        <v>10024</v>
      </c>
      <c r="C309" s="1695">
        <v>1004000000</v>
      </c>
      <c r="D309" s="1695">
        <v>954000000</v>
      </c>
      <c r="E309" s="1695">
        <v>41</v>
      </c>
      <c r="F309" s="1695">
        <v>20</v>
      </c>
      <c r="G309" s="1695">
        <v>2</v>
      </c>
      <c r="H309" s="1695">
        <v>22</v>
      </c>
      <c r="I309" s="1643">
        <v>42095</v>
      </c>
      <c r="J309" s="1596" t="e">
        <f>VLOOKUP(A309,Target!$E$166:$K$224,7,0)</f>
        <v>#N/A</v>
      </c>
      <c r="K309" s="1596" t="e">
        <f t="shared" si="1"/>
        <v>#N/A</v>
      </c>
    </row>
    <row r="310" spans="1:11">
      <c r="A310" s="1596" t="s">
        <v>1294</v>
      </c>
      <c r="B310" s="1596">
        <v>10035</v>
      </c>
      <c r="C310" s="1695">
        <v>2236500000</v>
      </c>
      <c r="D310" s="1695">
        <v>2130000000</v>
      </c>
      <c r="E310" s="1695">
        <v>96</v>
      </c>
      <c r="F310" s="1695">
        <v>50</v>
      </c>
      <c r="G310" s="1695">
        <v>8</v>
      </c>
      <c r="H310" s="1695">
        <v>58</v>
      </c>
      <c r="I310" s="1643">
        <v>42095</v>
      </c>
      <c r="J310" s="1596" t="e">
        <f>VLOOKUP(A310,Target!$E$166:$K$224,7,0)</f>
        <v>#N/A</v>
      </c>
      <c r="K310" s="1596" t="e">
        <f t="shared" si="1"/>
        <v>#N/A</v>
      </c>
    </row>
    <row r="311" spans="1:11">
      <c r="A311" s="1596" t="s">
        <v>1295</v>
      </c>
      <c r="B311" s="1596">
        <v>10042</v>
      </c>
      <c r="C311" s="1695">
        <v>876000000</v>
      </c>
      <c r="D311" s="1695">
        <v>832000000</v>
      </c>
      <c r="E311" s="1695">
        <v>36</v>
      </c>
      <c r="F311" s="1695">
        <v>24</v>
      </c>
      <c r="G311" s="1695">
        <v>0</v>
      </c>
      <c r="H311" s="1695">
        <v>24</v>
      </c>
      <c r="I311" s="1643">
        <v>42095</v>
      </c>
      <c r="J311" s="1596" t="e">
        <f>VLOOKUP(A311,Target!$E$166:$K$224,7,0)</f>
        <v>#N/A</v>
      </c>
      <c r="K311" s="1596" t="e">
        <f t="shared" si="1"/>
        <v>#N/A</v>
      </c>
    </row>
    <row r="312" spans="1:11">
      <c r="A312" s="1596" t="s">
        <v>1296</v>
      </c>
      <c r="B312" s="1596">
        <v>10047</v>
      </c>
      <c r="C312" s="1695">
        <v>2651250000</v>
      </c>
      <c r="D312" s="1695">
        <v>2525000000</v>
      </c>
      <c r="E312" s="1695">
        <v>114</v>
      </c>
      <c r="F312" s="1695">
        <v>50</v>
      </c>
      <c r="G312" s="1695">
        <v>8</v>
      </c>
      <c r="H312" s="1695">
        <v>58</v>
      </c>
      <c r="I312" s="1643">
        <v>42095</v>
      </c>
      <c r="J312" s="1596" t="e">
        <f>VLOOKUP(A312,Target!$E$166:$K$224,7,0)</f>
        <v>#N/A</v>
      </c>
      <c r="K312" s="1596" t="e">
        <f t="shared" si="1"/>
        <v>#N/A</v>
      </c>
    </row>
    <row r="313" spans="1:11">
      <c r="A313" s="1596" t="s">
        <v>1297</v>
      </c>
      <c r="B313" s="1596">
        <v>10051</v>
      </c>
      <c r="C313" s="1695">
        <v>1741000000</v>
      </c>
      <c r="D313" s="1695">
        <v>1653000000</v>
      </c>
      <c r="E313" s="1695">
        <v>71</v>
      </c>
      <c r="F313" s="1695">
        <v>44</v>
      </c>
      <c r="G313" s="1695">
        <v>0</v>
      </c>
      <c r="H313" s="1695">
        <v>44</v>
      </c>
      <c r="I313" s="1643">
        <v>42095</v>
      </c>
      <c r="J313" s="1596" t="e">
        <f>VLOOKUP(A313,Target!$E$166:$K$224,7,0)</f>
        <v>#N/A</v>
      </c>
      <c r="K313" s="1596" t="e">
        <f t="shared" si="1"/>
        <v>#N/A</v>
      </c>
    </row>
    <row r="314" spans="1:11">
      <c r="A314" s="1596" t="s">
        <v>1298</v>
      </c>
      <c r="B314" s="1596">
        <v>10054</v>
      </c>
      <c r="C314" s="1695">
        <v>1207500000</v>
      </c>
      <c r="D314" s="1695">
        <v>1150000000</v>
      </c>
      <c r="E314" s="1695">
        <v>18</v>
      </c>
      <c r="F314" s="1695">
        <v>8</v>
      </c>
      <c r="G314" s="1695">
        <v>2</v>
      </c>
      <c r="H314" s="1695">
        <v>10</v>
      </c>
      <c r="I314" s="1643">
        <v>42095</v>
      </c>
      <c r="J314" s="1596" t="e">
        <f>VLOOKUP(A314,Target!$E$166:$K$224,7,0)</f>
        <v>#N/A</v>
      </c>
      <c r="K314" s="1596" t="e">
        <f t="shared" si="1"/>
        <v>#N/A</v>
      </c>
    </row>
    <row r="315" spans="1:11">
      <c r="A315" s="1596" t="s">
        <v>1299</v>
      </c>
      <c r="B315" s="1596">
        <v>10058</v>
      </c>
      <c r="C315" s="1695">
        <v>766500000</v>
      </c>
      <c r="D315" s="1695">
        <v>730000000</v>
      </c>
      <c r="E315" s="1695">
        <v>33</v>
      </c>
      <c r="F315" s="1695">
        <v>8</v>
      </c>
      <c r="G315" s="1695">
        <v>2</v>
      </c>
      <c r="H315" s="1695">
        <v>10</v>
      </c>
      <c r="I315" s="1643">
        <v>42095</v>
      </c>
      <c r="J315" s="1596" t="e">
        <f>VLOOKUP(A315,Target!$E$166:$K$224,7,0)</f>
        <v>#N/A</v>
      </c>
      <c r="K315" s="1596" t="e">
        <f t="shared" si="1"/>
        <v>#N/A</v>
      </c>
    </row>
    <row r="316" spans="1:11">
      <c r="A316" s="1596" t="s">
        <v>1300</v>
      </c>
      <c r="B316" s="1596">
        <v>10072</v>
      </c>
      <c r="C316" s="1695">
        <v>766500000</v>
      </c>
      <c r="D316" s="1695">
        <v>730000000</v>
      </c>
      <c r="E316" s="1695">
        <v>16</v>
      </c>
      <c r="F316" s="1695">
        <v>10</v>
      </c>
      <c r="G316" s="1695">
        <v>2</v>
      </c>
      <c r="H316" s="1695">
        <v>12</v>
      </c>
      <c r="I316" s="1643">
        <v>42095</v>
      </c>
      <c r="J316" s="1596" t="e">
        <f>VLOOKUP(A316,Target!$E$166:$K$224,7,0)</f>
        <v>#N/A</v>
      </c>
      <c r="K316" s="1596" t="e">
        <f t="shared" ref="K316:K323" si="2">J316*1000000=D316</f>
        <v>#N/A</v>
      </c>
    </row>
    <row r="317" spans="1:11">
      <c r="A317" s="1596" t="s">
        <v>1301</v>
      </c>
      <c r="B317" s="1596">
        <v>10086</v>
      </c>
      <c r="C317" s="1695">
        <v>1276000000</v>
      </c>
      <c r="D317" s="1695">
        <v>1212000000</v>
      </c>
      <c r="E317" s="1695">
        <v>52</v>
      </c>
      <c r="F317" s="1695">
        <v>30</v>
      </c>
      <c r="G317" s="1695">
        <v>2</v>
      </c>
      <c r="H317" s="1695">
        <v>32</v>
      </c>
      <c r="I317" s="1643">
        <v>42095</v>
      </c>
      <c r="J317" s="1596" t="e">
        <f>VLOOKUP(A317,Target!$E$166:$K$224,7,0)</f>
        <v>#N/A</v>
      </c>
      <c r="K317" s="1596" t="e">
        <f t="shared" si="2"/>
        <v>#N/A</v>
      </c>
    </row>
    <row r="318" spans="1:11">
      <c r="A318" s="1596" t="s">
        <v>1302</v>
      </c>
      <c r="B318" s="1596">
        <v>10087</v>
      </c>
      <c r="C318" s="1695">
        <v>3559500000</v>
      </c>
      <c r="D318" s="1695">
        <v>3390000000</v>
      </c>
      <c r="E318" s="1695">
        <v>161</v>
      </c>
      <c r="F318" s="1695">
        <v>93</v>
      </c>
      <c r="G318" s="1695">
        <v>14</v>
      </c>
      <c r="H318" s="1695">
        <v>107</v>
      </c>
      <c r="I318" s="1643">
        <v>42095</v>
      </c>
      <c r="J318" s="1596" t="e">
        <f>VLOOKUP(A318,Target!$E$166:$K$224,7,0)</f>
        <v>#N/A</v>
      </c>
      <c r="K318" s="1596" t="e">
        <f t="shared" si="2"/>
        <v>#N/A</v>
      </c>
    </row>
    <row r="319" spans="1:11">
      <c r="A319" s="1596" t="s">
        <v>1303</v>
      </c>
      <c r="B319" s="1596">
        <v>10091</v>
      </c>
      <c r="C319" s="1695">
        <v>399000000</v>
      </c>
      <c r="D319" s="1695">
        <v>380000000</v>
      </c>
      <c r="E319" s="1695">
        <v>15</v>
      </c>
      <c r="F319" s="1695">
        <v>10</v>
      </c>
      <c r="G319" s="1695">
        <v>5</v>
      </c>
      <c r="H319" s="1695">
        <v>15</v>
      </c>
      <c r="I319" s="1643">
        <v>42095</v>
      </c>
      <c r="J319" s="1596" t="e">
        <f>VLOOKUP(A319,Target!$E$166:$K$224,7,0)</f>
        <v>#N/A</v>
      </c>
      <c r="K319" s="1596" t="e">
        <f t="shared" si="2"/>
        <v>#N/A</v>
      </c>
    </row>
    <row r="320" spans="1:11">
      <c r="A320" s="1596" t="s">
        <v>1422</v>
      </c>
      <c r="B320" s="1596">
        <v>10095</v>
      </c>
      <c r="C320" s="1695">
        <v>546000000</v>
      </c>
      <c r="D320" s="1695">
        <v>519000000</v>
      </c>
      <c r="E320" s="1695">
        <v>31</v>
      </c>
      <c r="F320" s="1695">
        <v>39</v>
      </c>
      <c r="G320" s="1695">
        <v>8</v>
      </c>
      <c r="H320" s="1695">
        <v>47</v>
      </c>
      <c r="I320" s="1643">
        <v>42095</v>
      </c>
      <c r="J320" s="1596" t="e">
        <f>VLOOKUP(A320,Target!$E$166:$K$224,7,0)</f>
        <v>#N/A</v>
      </c>
      <c r="K320" s="1596" t="e">
        <f t="shared" si="2"/>
        <v>#N/A</v>
      </c>
    </row>
    <row r="321" spans="1:11">
      <c r="A321" s="1596" t="s">
        <v>1305</v>
      </c>
      <c r="B321" s="1596">
        <v>10102</v>
      </c>
      <c r="C321" s="1695">
        <v>693000000</v>
      </c>
      <c r="D321" s="1695">
        <v>660000000</v>
      </c>
      <c r="E321" s="1695">
        <v>28</v>
      </c>
      <c r="F321" s="1695">
        <v>30</v>
      </c>
      <c r="G321" s="1695">
        <v>10</v>
      </c>
      <c r="H321" s="1695">
        <v>40</v>
      </c>
      <c r="I321" s="1643">
        <v>42095</v>
      </c>
      <c r="J321" s="1596" t="e">
        <f>VLOOKUP(A321,Target!$E$166:$K$224,7,0)</f>
        <v>#N/A</v>
      </c>
      <c r="K321" s="1596" t="e">
        <f t="shared" si="2"/>
        <v>#N/A</v>
      </c>
    </row>
    <row r="322" spans="1:11">
      <c r="A322" s="1596" t="s">
        <v>1423</v>
      </c>
      <c r="B322" s="1596">
        <v>10116</v>
      </c>
      <c r="C322" s="1695">
        <v>515000000</v>
      </c>
      <c r="D322" s="1695">
        <v>489000000</v>
      </c>
      <c r="E322" s="1695">
        <v>21</v>
      </c>
      <c r="F322" s="1695">
        <v>10</v>
      </c>
      <c r="G322" s="1695">
        <v>0</v>
      </c>
      <c r="H322" s="1695">
        <v>10</v>
      </c>
      <c r="I322" s="1643">
        <v>42095</v>
      </c>
      <c r="J322" s="1596" t="e">
        <f>VLOOKUP(A322,Target!$E$166:$K$224,7,0)</f>
        <v>#N/A</v>
      </c>
      <c r="K322" s="1596" t="e">
        <f t="shared" si="2"/>
        <v>#N/A</v>
      </c>
    </row>
    <row r="323" spans="1:11">
      <c r="A323" s="1596" t="s">
        <v>1424</v>
      </c>
      <c r="B323" s="1596">
        <v>10118</v>
      </c>
      <c r="C323" s="1695">
        <v>73000000</v>
      </c>
      <c r="D323" s="1695">
        <v>69000000</v>
      </c>
      <c r="E323" s="1695">
        <v>4</v>
      </c>
      <c r="F323" s="1695">
        <v>5</v>
      </c>
      <c r="G323" s="1695">
        <v>5</v>
      </c>
      <c r="H323" s="1695">
        <v>10</v>
      </c>
      <c r="I323" s="1643">
        <v>42095</v>
      </c>
      <c r="J323" s="1596" t="e">
        <f>VLOOKUP(A323,Target!$E$166:$K$224,7,0)</f>
        <v>#N/A</v>
      </c>
      <c r="K323" s="1596" t="e">
        <f t="shared" si="2"/>
        <v>#N/A</v>
      </c>
    </row>
    <row r="325" spans="1:11">
      <c r="A325" s="1660" t="s">
        <v>1578</v>
      </c>
    </row>
    <row r="326" spans="1:11">
      <c r="A326" s="1596" t="s">
        <v>1109</v>
      </c>
      <c r="B326" s="1596" t="s">
        <v>1110</v>
      </c>
      <c r="C326" s="1695" t="s">
        <v>1</v>
      </c>
      <c r="D326" s="1697" t="s">
        <v>1108</v>
      </c>
      <c r="E326" s="1695" t="s">
        <v>1105</v>
      </c>
      <c r="F326" s="1695" t="s">
        <v>1106</v>
      </c>
      <c r="G326" s="1695" t="s">
        <v>1107</v>
      </c>
      <c r="H326" s="1695" t="s">
        <v>2</v>
      </c>
      <c r="I326" s="1596" t="s">
        <v>1160</v>
      </c>
    </row>
    <row r="327" spans="1:11">
      <c r="A327" s="1596" t="s">
        <v>47</v>
      </c>
      <c r="B327" s="1596">
        <v>10004</v>
      </c>
      <c r="C327" s="1695">
        <v>840000000</v>
      </c>
      <c r="D327" s="1695">
        <v>34</v>
      </c>
      <c r="E327" s="1695">
        <v>15</v>
      </c>
      <c r="F327" s="1695">
        <v>2</v>
      </c>
      <c r="G327" s="1695">
        <v>13</v>
      </c>
      <c r="H327" s="1695">
        <v>800000000</v>
      </c>
      <c r="I327" s="1643">
        <v>42125</v>
      </c>
    </row>
    <row r="328" spans="1:11">
      <c r="A328" s="1596" t="s">
        <v>91</v>
      </c>
      <c r="B328" s="1596">
        <v>10009</v>
      </c>
      <c r="C328" s="1695">
        <v>1092000000</v>
      </c>
      <c r="D328" s="1695">
        <v>45</v>
      </c>
      <c r="E328" s="1695">
        <v>15</v>
      </c>
      <c r="F328" s="1695">
        <v>2</v>
      </c>
      <c r="G328" s="1695">
        <v>13</v>
      </c>
      <c r="H328" s="1695">
        <v>1040000000</v>
      </c>
      <c r="I328" s="1643">
        <v>42125</v>
      </c>
    </row>
    <row r="329" spans="1:11">
      <c r="A329" s="1596" t="s">
        <v>177</v>
      </c>
      <c r="B329" s="1596">
        <v>10013</v>
      </c>
      <c r="C329" s="1695">
        <v>876000000</v>
      </c>
      <c r="D329" s="1695">
        <v>34</v>
      </c>
      <c r="E329" s="1695">
        <v>15</v>
      </c>
      <c r="F329" s="1695">
        <v>1</v>
      </c>
      <c r="G329" s="1695">
        <v>14</v>
      </c>
      <c r="H329" s="1695">
        <v>832000000</v>
      </c>
      <c r="I329" s="1643">
        <v>42125</v>
      </c>
    </row>
    <row r="330" spans="1:11">
      <c r="A330" s="1596" t="s">
        <v>185</v>
      </c>
      <c r="B330" s="1596">
        <v>10014</v>
      </c>
      <c r="C330" s="1695">
        <v>499000000</v>
      </c>
      <c r="D330" s="1695">
        <v>20</v>
      </c>
      <c r="E330" s="1695">
        <v>13</v>
      </c>
      <c r="F330" s="1695">
        <v>0</v>
      </c>
      <c r="G330" s="1695">
        <v>13</v>
      </c>
      <c r="H330" s="1695">
        <v>474000000</v>
      </c>
      <c r="I330" s="1643">
        <v>42125</v>
      </c>
    </row>
    <row r="331" spans="1:11">
      <c r="A331" s="1596" t="s">
        <v>179</v>
      </c>
      <c r="B331" s="1596">
        <v>10015</v>
      </c>
      <c r="C331" s="1695">
        <v>1091000000</v>
      </c>
      <c r="D331" s="1695">
        <v>44</v>
      </c>
      <c r="E331" s="1695">
        <v>20</v>
      </c>
      <c r="F331" s="1695">
        <v>2</v>
      </c>
      <c r="G331" s="1695">
        <v>18</v>
      </c>
      <c r="H331" s="1695">
        <v>1036000000</v>
      </c>
      <c r="I331" s="1643">
        <v>42125</v>
      </c>
    </row>
    <row r="332" spans="1:11">
      <c r="A332" s="1596" t="s">
        <v>176</v>
      </c>
      <c r="B332" s="1596">
        <v>10017</v>
      </c>
      <c r="C332" s="1695">
        <v>1368000000</v>
      </c>
      <c r="D332" s="1695">
        <v>55</v>
      </c>
      <c r="E332" s="1695">
        <v>33</v>
      </c>
      <c r="F332" s="1695">
        <v>3</v>
      </c>
      <c r="G332" s="1695">
        <v>30</v>
      </c>
      <c r="H332" s="1695">
        <v>1299000000</v>
      </c>
      <c r="I332" s="1643">
        <v>42125</v>
      </c>
    </row>
    <row r="333" spans="1:11">
      <c r="A333" s="1596" t="s">
        <v>187</v>
      </c>
      <c r="B333" s="1596">
        <v>10018</v>
      </c>
      <c r="C333" s="1695">
        <v>672000000</v>
      </c>
      <c r="D333" s="1695">
        <v>28</v>
      </c>
      <c r="E333" s="1695">
        <v>15</v>
      </c>
      <c r="F333" s="1695">
        <v>2</v>
      </c>
      <c r="G333" s="1695">
        <v>13</v>
      </c>
      <c r="H333" s="1695">
        <v>640000000</v>
      </c>
      <c r="I333" s="1643">
        <v>42125</v>
      </c>
    </row>
    <row r="334" spans="1:11">
      <c r="A334" s="1596" t="s">
        <v>630</v>
      </c>
      <c r="B334" s="1596">
        <v>10031</v>
      </c>
      <c r="C334" s="1695">
        <v>588000000</v>
      </c>
      <c r="D334" s="1695">
        <v>34</v>
      </c>
      <c r="E334" s="1695">
        <v>14</v>
      </c>
      <c r="F334" s="1695">
        <v>2</v>
      </c>
      <c r="G334" s="1695">
        <v>12</v>
      </c>
      <c r="H334" s="1695">
        <v>560000000</v>
      </c>
      <c r="I334" s="1643">
        <v>42125</v>
      </c>
    </row>
    <row r="335" spans="1:11">
      <c r="A335" s="1596" t="s">
        <v>661</v>
      </c>
      <c r="B335" s="1596">
        <v>10032</v>
      </c>
      <c r="C335" s="1695">
        <v>499000000</v>
      </c>
      <c r="D335" s="1695">
        <v>20</v>
      </c>
      <c r="E335" s="1695">
        <v>13</v>
      </c>
      <c r="F335" s="1695">
        <v>0</v>
      </c>
      <c r="G335" s="1695">
        <v>13</v>
      </c>
      <c r="H335" s="1695">
        <v>474000000</v>
      </c>
      <c r="I335" s="1643">
        <v>42125</v>
      </c>
    </row>
    <row r="336" spans="1:11">
      <c r="A336" s="1596" t="s">
        <v>557</v>
      </c>
      <c r="B336" s="1596">
        <v>10033</v>
      </c>
      <c r="C336" s="1695">
        <v>378000000</v>
      </c>
      <c r="D336" s="1695">
        <v>32</v>
      </c>
      <c r="E336" s="1695">
        <v>14</v>
      </c>
      <c r="F336" s="1695">
        <v>2</v>
      </c>
      <c r="G336" s="1695">
        <v>12</v>
      </c>
      <c r="H336" s="1695">
        <v>360000000</v>
      </c>
      <c r="I336" s="1643">
        <v>42125</v>
      </c>
    </row>
    <row r="337" spans="1:9">
      <c r="A337" s="1596" t="s">
        <v>628</v>
      </c>
      <c r="B337" s="1596">
        <v>10036</v>
      </c>
      <c r="C337" s="1695">
        <v>588000000</v>
      </c>
      <c r="D337" s="1695">
        <v>30</v>
      </c>
      <c r="E337" s="1695">
        <v>14</v>
      </c>
      <c r="F337" s="1695">
        <v>2</v>
      </c>
      <c r="G337" s="1695">
        <v>12</v>
      </c>
      <c r="H337" s="1695">
        <v>560000000</v>
      </c>
      <c r="I337" s="1643">
        <v>42125</v>
      </c>
    </row>
    <row r="338" spans="1:9">
      <c r="A338" s="1596" t="s">
        <v>650</v>
      </c>
      <c r="B338" s="1596">
        <v>10037</v>
      </c>
      <c r="C338" s="1695">
        <v>588000000</v>
      </c>
      <c r="D338" s="1695">
        <v>28</v>
      </c>
      <c r="E338" s="1695">
        <v>15</v>
      </c>
      <c r="F338" s="1695">
        <v>2</v>
      </c>
      <c r="G338" s="1695">
        <v>13</v>
      </c>
      <c r="H338" s="1695">
        <v>560000000</v>
      </c>
      <c r="I338" s="1643">
        <v>42125</v>
      </c>
    </row>
    <row r="339" spans="1:9">
      <c r="A339" s="1596" t="s">
        <v>660</v>
      </c>
      <c r="B339" s="1596">
        <v>10038</v>
      </c>
      <c r="C339" s="1695">
        <v>499000000</v>
      </c>
      <c r="D339" s="1695">
        <v>20</v>
      </c>
      <c r="E339" s="1695">
        <v>13</v>
      </c>
      <c r="F339" s="1695">
        <v>0</v>
      </c>
      <c r="G339" s="1695">
        <v>13</v>
      </c>
      <c r="H339" s="1695">
        <v>474000000</v>
      </c>
      <c r="I339" s="1643">
        <v>42125</v>
      </c>
    </row>
    <row r="340" spans="1:9">
      <c r="A340" s="1596" t="s">
        <v>648</v>
      </c>
      <c r="B340" s="1596">
        <v>10039</v>
      </c>
      <c r="C340" s="1695">
        <v>588000000</v>
      </c>
      <c r="D340" s="1695">
        <v>27</v>
      </c>
      <c r="E340" s="1695">
        <v>16</v>
      </c>
      <c r="F340" s="1695">
        <v>2</v>
      </c>
      <c r="G340" s="1695">
        <v>14</v>
      </c>
      <c r="H340" s="1695">
        <v>560000000</v>
      </c>
      <c r="I340" s="1643">
        <v>42125</v>
      </c>
    </row>
    <row r="341" spans="1:9">
      <c r="A341" s="1596" t="s">
        <v>647</v>
      </c>
      <c r="B341" s="1596">
        <v>10040</v>
      </c>
      <c r="C341" s="1695">
        <v>588000000</v>
      </c>
      <c r="D341" s="1695">
        <v>28</v>
      </c>
      <c r="E341" s="1695">
        <v>16</v>
      </c>
      <c r="F341" s="1695">
        <v>2</v>
      </c>
      <c r="G341" s="1695">
        <v>14</v>
      </c>
      <c r="H341" s="1695">
        <v>560000000</v>
      </c>
      <c r="I341" s="1643">
        <v>42125</v>
      </c>
    </row>
    <row r="342" spans="1:9">
      <c r="A342" s="1596" t="s">
        <v>659</v>
      </c>
      <c r="B342" s="1596">
        <v>10043</v>
      </c>
      <c r="C342" s="1695">
        <v>931000000</v>
      </c>
      <c r="D342" s="1695">
        <v>38</v>
      </c>
      <c r="E342" s="1695">
        <v>15</v>
      </c>
      <c r="F342" s="1695">
        <v>0</v>
      </c>
      <c r="G342" s="1695">
        <v>15</v>
      </c>
      <c r="H342" s="1695">
        <v>885000000</v>
      </c>
      <c r="I342" s="1643">
        <v>42125</v>
      </c>
    </row>
    <row r="343" spans="1:9">
      <c r="A343" s="1596" t="s">
        <v>662</v>
      </c>
      <c r="B343" s="1596">
        <v>10044</v>
      </c>
      <c r="C343" s="1695">
        <v>499000000</v>
      </c>
      <c r="D343" s="1695">
        <v>20</v>
      </c>
      <c r="E343" s="1695">
        <v>13</v>
      </c>
      <c r="F343" s="1695">
        <v>0</v>
      </c>
      <c r="G343" s="1695">
        <v>13</v>
      </c>
      <c r="H343" s="1695">
        <v>474000000</v>
      </c>
      <c r="I343" s="1643">
        <v>42125</v>
      </c>
    </row>
    <row r="344" spans="1:9">
      <c r="A344" s="1596" t="s">
        <v>649</v>
      </c>
      <c r="B344" s="1596">
        <v>10045</v>
      </c>
      <c r="C344" s="1695">
        <v>672000000</v>
      </c>
      <c r="D344" s="1695">
        <v>29</v>
      </c>
      <c r="E344" s="1695">
        <v>15</v>
      </c>
      <c r="F344" s="1695">
        <v>2</v>
      </c>
      <c r="G344" s="1695">
        <v>13</v>
      </c>
      <c r="H344" s="1695">
        <v>640000000</v>
      </c>
      <c r="I344" s="1643">
        <v>42125</v>
      </c>
    </row>
    <row r="345" spans="1:9">
      <c r="A345" s="1596" t="s">
        <v>642</v>
      </c>
      <c r="B345" s="1596">
        <v>10046</v>
      </c>
      <c r="C345" s="1695">
        <v>546000000</v>
      </c>
      <c r="D345" s="1695">
        <v>28</v>
      </c>
      <c r="E345" s="1695">
        <v>14</v>
      </c>
      <c r="F345" s="1695">
        <v>2</v>
      </c>
      <c r="G345" s="1695">
        <v>12</v>
      </c>
      <c r="H345" s="1695">
        <v>520000000</v>
      </c>
      <c r="I345" s="1643">
        <v>42125</v>
      </c>
    </row>
    <row r="346" spans="1:9">
      <c r="A346" s="1596" t="s">
        <v>736</v>
      </c>
      <c r="B346" s="1596">
        <v>10048</v>
      </c>
      <c r="C346" s="1695">
        <v>630000000</v>
      </c>
      <c r="D346" s="1695">
        <v>38</v>
      </c>
      <c r="E346" s="1695">
        <v>14</v>
      </c>
      <c r="F346" s="1695">
        <v>2</v>
      </c>
      <c r="G346" s="1695">
        <v>12</v>
      </c>
      <c r="H346" s="1695">
        <v>600000000</v>
      </c>
      <c r="I346" s="1643">
        <v>42125</v>
      </c>
    </row>
    <row r="347" spans="1:9">
      <c r="A347" s="1596" t="s">
        <v>699</v>
      </c>
      <c r="B347" s="1596">
        <v>10052</v>
      </c>
      <c r="C347" s="1695">
        <v>450000000</v>
      </c>
      <c r="D347" s="1695">
        <v>15</v>
      </c>
      <c r="E347" s="1695">
        <v>15</v>
      </c>
      <c r="F347" s="1695">
        <v>2</v>
      </c>
      <c r="G347" s="1695">
        <v>13</v>
      </c>
      <c r="H347" s="1695">
        <v>428000000</v>
      </c>
      <c r="I347" s="1643">
        <v>42125</v>
      </c>
    </row>
    <row r="348" spans="1:9">
      <c r="A348" s="1596" t="s">
        <v>737</v>
      </c>
      <c r="B348" s="1596">
        <v>10053</v>
      </c>
      <c r="C348" s="1695">
        <v>450000000</v>
      </c>
      <c r="D348" s="1695">
        <v>15</v>
      </c>
      <c r="E348" s="1695">
        <v>15</v>
      </c>
      <c r="F348" s="1695">
        <v>2</v>
      </c>
      <c r="G348" s="1695">
        <v>13</v>
      </c>
      <c r="H348" s="1695">
        <v>428000000</v>
      </c>
      <c r="I348" s="1643">
        <v>42125</v>
      </c>
    </row>
    <row r="349" spans="1:9">
      <c r="A349" s="1596" t="s">
        <v>735</v>
      </c>
      <c r="B349" s="1596">
        <v>10055</v>
      </c>
      <c r="C349" s="1695">
        <v>1344000000</v>
      </c>
      <c r="D349" s="1695">
        <v>20</v>
      </c>
      <c r="E349" s="1695">
        <v>10</v>
      </c>
      <c r="F349" s="1695">
        <v>2</v>
      </c>
      <c r="G349" s="1695">
        <v>8</v>
      </c>
      <c r="H349" s="1695">
        <v>1280000000</v>
      </c>
      <c r="I349" s="1643">
        <v>42125</v>
      </c>
    </row>
    <row r="350" spans="1:9">
      <c r="A350" s="1596" t="s">
        <v>734</v>
      </c>
      <c r="B350" s="1596">
        <v>10059</v>
      </c>
      <c r="C350" s="1695">
        <v>840000000</v>
      </c>
      <c r="D350" s="1695">
        <v>34</v>
      </c>
      <c r="E350" s="1695">
        <v>10</v>
      </c>
      <c r="F350" s="1695">
        <v>2</v>
      </c>
      <c r="G350" s="1695">
        <v>8</v>
      </c>
      <c r="H350" s="1695">
        <v>800000000</v>
      </c>
      <c r="I350" s="1643">
        <v>42125</v>
      </c>
    </row>
    <row r="351" spans="1:9">
      <c r="A351" s="1596" t="s">
        <v>798</v>
      </c>
      <c r="B351" s="1596">
        <v>10073</v>
      </c>
      <c r="C351" s="1695">
        <v>840000000</v>
      </c>
      <c r="D351" s="1695">
        <v>18</v>
      </c>
      <c r="E351" s="1695">
        <v>12</v>
      </c>
      <c r="F351" s="1695">
        <v>2</v>
      </c>
      <c r="G351" s="1695">
        <v>10</v>
      </c>
      <c r="H351" s="1695">
        <v>800000000</v>
      </c>
      <c r="I351" s="1643">
        <v>42125</v>
      </c>
    </row>
    <row r="352" spans="1:9">
      <c r="A352" s="1596" t="s">
        <v>796</v>
      </c>
      <c r="B352" s="1596">
        <v>10074</v>
      </c>
      <c r="C352" s="1695">
        <v>714000000</v>
      </c>
      <c r="D352" s="1695">
        <v>30</v>
      </c>
      <c r="E352" s="1695">
        <v>14</v>
      </c>
      <c r="F352" s="1695">
        <v>2</v>
      </c>
      <c r="G352" s="1695">
        <v>12</v>
      </c>
      <c r="H352" s="1695">
        <v>680000000</v>
      </c>
      <c r="I352" s="1643">
        <v>42125</v>
      </c>
    </row>
    <row r="353" spans="1:9">
      <c r="A353" s="1596" t="s">
        <v>799</v>
      </c>
      <c r="B353" s="1596">
        <v>10075</v>
      </c>
      <c r="C353" s="1695">
        <v>484000000</v>
      </c>
      <c r="D353" s="1695">
        <v>16</v>
      </c>
      <c r="E353" s="1695">
        <v>13</v>
      </c>
      <c r="F353" s="1695">
        <v>1</v>
      </c>
      <c r="G353" s="1695">
        <v>12</v>
      </c>
      <c r="H353" s="1695">
        <v>460000000</v>
      </c>
      <c r="I353" s="1643">
        <v>42125</v>
      </c>
    </row>
    <row r="354" spans="1:9">
      <c r="A354" s="1596" t="s">
        <v>825</v>
      </c>
      <c r="B354" s="1596">
        <v>10077</v>
      </c>
      <c r="C354" s="1695">
        <v>505000000</v>
      </c>
      <c r="D354" s="1695">
        <v>18</v>
      </c>
      <c r="E354" s="1695">
        <v>10</v>
      </c>
      <c r="F354" s="1695">
        <v>1</v>
      </c>
      <c r="G354" s="1695">
        <v>9</v>
      </c>
      <c r="H354" s="1695">
        <v>480000000</v>
      </c>
      <c r="I354" s="1643">
        <v>42125</v>
      </c>
    </row>
    <row r="355" spans="1:9">
      <c r="A355" s="1596" t="s">
        <v>905</v>
      </c>
      <c r="B355" s="1596">
        <v>10084</v>
      </c>
      <c r="C355" s="1695">
        <v>588000000</v>
      </c>
      <c r="D355" s="1695">
        <v>23</v>
      </c>
      <c r="E355" s="1695">
        <v>14</v>
      </c>
      <c r="F355" s="1695">
        <v>2</v>
      </c>
      <c r="G355" s="1695">
        <v>12</v>
      </c>
      <c r="H355" s="1695">
        <v>560000000</v>
      </c>
      <c r="I355" s="1643">
        <v>42125</v>
      </c>
    </row>
    <row r="356" spans="1:9">
      <c r="A356" s="1596" t="s">
        <v>903</v>
      </c>
      <c r="B356" s="1596">
        <v>10088</v>
      </c>
      <c r="C356" s="1695">
        <v>420000000</v>
      </c>
      <c r="D356" s="1695">
        <v>22</v>
      </c>
      <c r="E356" s="1695">
        <v>15</v>
      </c>
      <c r="F356" s="1695">
        <v>2</v>
      </c>
      <c r="G356" s="1695">
        <v>13</v>
      </c>
      <c r="H356" s="1695">
        <v>400000000</v>
      </c>
      <c r="I356" s="1643">
        <v>42125</v>
      </c>
    </row>
    <row r="357" spans="1:9">
      <c r="A357" s="1596" t="s">
        <v>902</v>
      </c>
      <c r="B357" s="1596">
        <v>10089</v>
      </c>
      <c r="C357" s="1695">
        <v>420000000</v>
      </c>
      <c r="D357" s="1695">
        <v>22</v>
      </c>
      <c r="E357" s="1695">
        <v>15</v>
      </c>
      <c r="F357" s="1695">
        <v>2</v>
      </c>
      <c r="G357" s="1695">
        <v>13</v>
      </c>
      <c r="H357" s="1695">
        <v>400000000</v>
      </c>
      <c r="I357" s="1643">
        <v>42125</v>
      </c>
    </row>
    <row r="358" spans="1:9">
      <c r="A358" s="1596" t="s">
        <v>900</v>
      </c>
      <c r="B358" s="1596">
        <v>10090</v>
      </c>
      <c r="C358" s="1695">
        <v>504000000</v>
      </c>
      <c r="D358" s="1695">
        <v>21</v>
      </c>
      <c r="E358" s="1695">
        <v>16</v>
      </c>
      <c r="F358" s="1695">
        <v>2</v>
      </c>
      <c r="G358" s="1695">
        <v>14</v>
      </c>
      <c r="H358" s="1695">
        <v>480000000</v>
      </c>
      <c r="I358" s="1643">
        <v>42125</v>
      </c>
    </row>
    <row r="359" spans="1:9">
      <c r="A359" s="1596" t="s">
        <v>949</v>
      </c>
      <c r="B359" s="1596">
        <v>10092</v>
      </c>
      <c r="C359" s="1695">
        <v>420000000</v>
      </c>
      <c r="D359" s="1695">
        <v>18</v>
      </c>
      <c r="E359" s="1695">
        <v>15</v>
      </c>
      <c r="F359" s="1695">
        <v>5</v>
      </c>
      <c r="G359" s="1695">
        <v>10</v>
      </c>
      <c r="H359" s="1695">
        <v>400000000</v>
      </c>
      <c r="I359" s="1643">
        <v>42125</v>
      </c>
    </row>
    <row r="360" spans="1:9">
      <c r="A360" s="1596" t="s">
        <v>1104</v>
      </c>
      <c r="B360" s="1596">
        <v>10096</v>
      </c>
      <c r="C360" s="1695">
        <v>286000000</v>
      </c>
      <c r="D360" s="1695">
        <v>17</v>
      </c>
      <c r="E360" s="1695">
        <v>17</v>
      </c>
      <c r="F360" s="1695">
        <v>2</v>
      </c>
      <c r="G360" s="1695">
        <v>15</v>
      </c>
      <c r="H360" s="1695">
        <v>272000000</v>
      </c>
      <c r="I360" s="1643">
        <v>42125</v>
      </c>
    </row>
    <row r="361" spans="1:9">
      <c r="A361" s="1596" t="s">
        <v>1015</v>
      </c>
      <c r="B361" s="1596">
        <v>10097</v>
      </c>
      <c r="C361" s="1695">
        <v>189000000</v>
      </c>
      <c r="D361" s="1695">
        <v>9</v>
      </c>
      <c r="E361" s="1695">
        <v>16</v>
      </c>
      <c r="F361" s="1695">
        <v>3</v>
      </c>
      <c r="G361" s="1695">
        <v>13</v>
      </c>
      <c r="H361" s="1695">
        <v>180000000</v>
      </c>
      <c r="I361" s="1643">
        <v>42125</v>
      </c>
    </row>
    <row r="362" spans="1:9">
      <c r="A362" s="1596" t="s">
        <v>1103</v>
      </c>
      <c r="B362" s="1596">
        <v>10098</v>
      </c>
      <c r="C362" s="1695">
        <v>386000000</v>
      </c>
      <c r="D362" s="1695">
        <v>23</v>
      </c>
      <c r="E362" s="1695">
        <v>17</v>
      </c>
      <c r="F362" s="1695">
        <v>2</v>
      </c>
      <c r="G362" s="1695">
        <v>15</v>
      </c>
      <c r="H362" s="1695">
        <v>367000000</v>
      </c>
      <c r="I362" s="1643">
        <v>42125</v>
      </c>
    </row>
    <row r="363" spans="1:9">
      <c r="A363" s="1596" t="s">
        <v>1102</v>
      </c>
      <c r="B363" s="1596">
        <v>10103</v>
      </c>
      <c r="C363" s="1695">
        <v>378000000</v>
      </c>
      <c r="D363" s="1695">
        <v>18</v>
      </c>
      <c r="E363" s="1695">
        <v>20</v>
      </c>
      <c r="F363" s="1695">
        <v>5</v>
      </c>
      <c r="G363" s="1695">
        <v>15</v>
      </c>
      <c r="H363" s="1695">
        <v>360000000</v>
      </c>
      <c r="I363" s="1643">
        <v>42125</v>
      </c>
    </row>
    <row r="364" spans="1:9">
      <c r="A364" s="1596" t="s">
        <v>1101</v>
      </c>
      <c r="B364" s="1596">
        <v>10104</v>
      </c>
      <c r="C364" s="1695">
        <v>378000000</v>
      </c>
      <c r="D364" s="1695">
        <v>18</v>
      </c>
      <c r="E364" s="1695">
        <v>20</v>
      </c>
      <c r="F364" s="1695">
        <v>5</v>
      </c>
      <c r="G364" s="1695">
        <v>15</v>
      </c>
      <c r="H364" s="1695">
        <v>360000000</v>
      </c>
      <c r="I364" s="1643">
        <v>42125</v>
      </c>
    </row>
    <row r="365" spans="1:9">
      <c r="A365" s="1596" t="s">
        <v>1100</v>
      </c>
      <c r="B365" s="1596">
        <v>10105</v>
      </c>
      <c r="C365" s="1695">
        <v>473000000</v>
      </c>
      <c r="D365" s="1695">
        <v>20</v>
      </c>
      <c r="E365" s="1695">
        <v>10</v>
      </c>
      <c r="F365" s="1695">
        <v>1</v>
      </c>
      <c r="G365" s="1695">
        <v>9</v>
      </c>
      <c r="H365" s="1695">
        <v>450000000</v>
      </c>
      <c r="I365" s="1643">
        <v>42125</v>
      </c>
    </row>
    <row r="366" spans="1:9">
      <c r="A366" s="1596" t="s">
        <v>1099</v>
      </c>
      <c r="B366" s="1596">
        <v>10106</v>
      </c>
      <c r="C366" s="1695">
        <v>504000000</v>
      </c>
      <c r="D366" s="1695">
        <v>20</v>
      </c>
      <c r="E366" s="1695">
        <v>16</v>
      </c>
      <c r="F366" s="1695">
        <v>2</v>
      </c>
      <c r="G366" s="1695">
        <v>14</v>
      </c>
      <c r="H366" s="1695">
        <v>480000000</v>
      </c>
      <c r="I366" s="1643">
        <v>42125</v>
      </c>
    </row>
    <row r="367" spans="1:9">
      <c r="A367" s="1596" t="s">
        <v>1419</v>
      </c>
      <c r="B367" s="1596">
        <v>10119</v>
      </c>
      <c r="C367" s="1695">
        <v>127000000</v>
      </c>
      <c r="D367" s="1695">
        <v>7</v>
      </c>
      <c r="E367" s="1695">
        <v>13</v>
      </c>
      <c r="F367" s="1695">
        <v>3</v>
      </c>
      <c r="G367" s="1695">
        <v>10</v>
      </c>
      <c r="H367" s="1695">
        <v>121000000</v>
      </c>
      <c r="I367" s="1643">
        <v>42125</v>
      </c>
    </row>
    <row r="368" spans="1:9">
      <c r="A368" s="1648" t="s">
        <v>1563</v>
      </c>
      <c r="B368" s="1596">
        <v>10117</v>
      </c>
      <c r="C368" s="1695">
        <v>126000000</v>
      </c>
      <c r="D368" s="1695">
        <v>4</v>
      </c>
      <c r="E368" s="1695">
        <v>12</v>
      </c>
      <c r="F368" s="1695">
        <v>4</v>
      </c>
      <c r="G368" s="1695">
        <v>8</v>
      </c>
      <c r="H368" s="1695">
        <v>120000000</v>
      </c>
      <c r="I368" s="1643">
        <v>42125</v>
      </c>
    </row>
    <row r="369" spans="1:9">
      <c r="A369" s="1648" t="s">
        <v>1418</v>
      </c>
      <c r="B369" s="1596">
        <v>10121</v>
      </c>
      <c r="C369" s="1695">
        <v>84000000</v>
      </c>
      <c r="D369" s="1695">
        <v>4</v>
      </c>
      <c r="E369" s="1695">
        <v>12</v>
      </c>
      <c r="F369" s="1695">
        <v>4</v>
      </c>
      <c r="G369" s="1695">
        <v>8</v>
      </c>
      <c r="H369" s="1695">
        <v>80000000</v>
      </c>
      <c r="I369" s="1643">
        <v>42125</v>
      </c>
    </row>
    <row r="370" spans="1:9">
      <c r="A370" s="1648" t="s">
        <v>1568</v>
      </c>
      <c r="B370" s="1596">
        <v>10124</v>
      </c>
      <c r="C370" s="1695">
        <v>201000000</v>
      </c>
      <c r="D370" s="1695">
        <v>12</v>
      </c>
      <c r="E370" s="1695">
        <v>5</v>
      </c>
      <c r="F370" s="1695">
        <v>0</v>
      </c>
      <c r="G370" s="1695">
        <v>5</v>
      </c>
      <c r="H370" s="1695">
        <v>191000000</v>
      </c>
      <c r="I370" s="1643">
        <v>42125</v>
      </c>
    </row>
    <row r="371" spans="1:9">
      <c r="A371" s="1648" t="s">
        <v>1567</v>
      </c>
      <c r="B371" s="1596">
        <v>10123</v>
      </c>
      <c r="C371" s="1695">
        <v>230000000</v>
      </c>
      <c r="D371" s="1695">
        <v>9</v>
      </c>
      <c r="E371" s="1695">
        <v>6</v>
      </c>
      <c r="F371" s="1695">
        <v>2</v>
      </c>
      <c r="G371" s="1695">
        <v>4</v>
      </c>
      <c r="H371" s="1695">
        <v>218000000</v>
      </c>
      <c r="I371" s="1643">
        <v>42125</v>
      </c>
    </row>
    <row r="372" spans="1:9">
      <c r="A372" s="1596" t="s">
        <v>1565</v>
      </c>
      <c r="B372" s="1596">
        <v>10125</v>
      </c>
      <c r="C372" s="1695">
        <v>0</v>
      </c>
      <c r="D372" s="1695">
        <v>0</v>
      </c>
      <c r="E372" s="1695">
        <v>2</v>
      </c>
      <c r="F372" s="1695">
        <v>2</v>
      </c>
      <c r="G372" s="1695">
        <v>0</v>
      </c>
      <c r="H372" s="1695">
        <v>0</v>
      </c>
      <c r="I372" s="1643">
        <v>42125</v>
      </c>
    </row>
    <row r="373" spans="1:9">
      <c r="A373" s="1596" t="s">
        <v>1570</v>
      </c>
      <c r="B373" s="1596">
        <v>10120</v>
      </c>
      <c r="C373" s="1695">
        <v>0</v>
      </c>
      <c r="D373" s="1695">
        <v>0</v>
      </c>
      <c r="E373" s="1695">
        <v>2</v>
      </c>
      <c r="F373" s="1695">
        <v>2</v>
      </c>
      <c r="G373" s="1695">
        <v>0</v>
      </c>
      <c r="H373" s="1695">
        <v>0</v>
      </c>
      <c r="I373" s="1643">
        <v>42125</v>
      </c>
    </row>
    <row r="374" spans="1:9">
      <c r="A374" s="1648" t="s">
        <v>1572</v>
      </c>
      <c r="B374" s="1596">
        <v>10122</v>
      </c>
      <c r="C374" s="1695">
        <v>84000000</v>
      </c>
      <c r="D374" s="1695">
        <v>4</v>
      </c>
      <c r="E374" s="1695">
        <v>10</v>
      </c>
      <c r="F374" s="1695">
        <v>5</v>
      </c>
      <c r="G374" s="1695">
        <v>5</v>
      </c>
      <c r="H374" s="1695">
        <v>80000000</v>
      </c>
      <c r="I374" s="1643">
        <v>42125</v>
      </c>
    </row>
    <row r="375" spans="1:9">
      <c r="A375" s="1596" t="s">
        <v>1148</v>
      </c>
      <c r="B375" s="1596">
        <v>10002</v>
      </c>
      <c r="C375" s="1695">
        <v>3318000000</v>
      </c>
      <c r="D375" s="1695">
        <v>142</v>
      </c>
      <c r="E375" s="1695">
        <v>70</v>
      </c>
      <c r="F375" s="1695">
        <v>10</v>
      </c>
      <c r="G375" s="1695">
        <v>60</v>
      </c>
      <c r="H375" s="1695">
        <v>3160000000</v>
      </c>
      <c r="I375" s="1643">
        <v>42125</v>
      </c>
    </row>
    <row r="376" spans="1:9">
      <c r="A376" s="1596" t="s">
        <v>1149</v>
      </c>
      <c r="B376" s="1596">
        <v>10011</v>
      </c>
      <c r="C376" s="1695">
        <v>3020000000</v>
      </c>
      <c r="D376" s="1695">
        <v>122</v>
      </c>
      <c r="E376" s="1695">
        <v>61</v>
      </c>
      <c r="F376" s="1695">
        <v>2</v>
      </c>
      <c r="G376" s="1695">
        <v>59</v>
      </c>
      <c r="H376" s="1695">
        <v>2869000000</v>
      </c>
      <c r="I376" s="1643">
        <v>42125</v>
      </c>
    </row>
    <row r="377" spans="1:9">
      <c r="A377" s="1596" t="s">
        <v>1150</v>
      </c>
      <c r="B377" s="1596">
        <v>10023</v>
      </c>
      <c r="C377" s="1695">
        <v>2675000000</v>
      </c>
      <c r="D377" s="1695">
        <v>110</v>
      </c>
      <c r="E377" s="1695">
        <v>59</v>
      </c>
      <c r="F377" s="1695">
        <v>6</v>
      </c>
      <c r="G377" s="1695">
        <v>53</v>
      </c>
      <c r="H377" s="1695">
        <v>2540000000</v>
      </c>
      <c r="I377" s="1643">
        <v>42125</v>
      </c>
    </row>
    <row r="378" spans="1:9">
      <c r="A378" s="1596" t="s">
        <v>1151</v>
      </c>
      <c r="B378" s="1596">
        <v>10034</v>
      </c>
      <c r="C378" s="1695">
        <v>4200000000</v>
      </c>
      <c r="D378" s="1695">
        <v>148</v>
      </c>
      <c r="E378" s="1695">
        <v>83</v>
      </c>
      <c r="F378" s="1695">
        <v>15</v>
      </c>
      <c r="G378" s="1695">
        <v>68</v>
      </c>
      <c r="H378" s="1695">
        <v>4000000000</v>
      </c>
      <c r="I378" s="1643">
        <v>42125</v>
      </c>
    </row>
    <row r="379" spans="1:9">
      <c r="A379" s="1596" t="s">
        <v>1152</v>
      </c>
      <c r="B379" s="1596">
        <v>10041</v>
      </c>
      <c r="C379" s="1695">
        <v>998000000</v>
      </c>
      <c r="D379" s="1695">
        <v>40</v>
      </c>
      <c r="E379" s="1695">
        <v>26</v>
      </c>
      <c r="F379" s="1695">
        <v>0</v>
      </c>
      <c r="G379" s="1695">
        <v>26</v>
      </c>
      <c r="H379" s="1695">
        <v>948000000</v>
      </c>
      <c r="I379" s="1643">
        <v>42125</v>
      </c>
    </row>
    <row r="380" spans="1:9">
      <c r="A380" s="1596" t="s">
        <v>1153</v>
      </c>
      <c r="B380" s="1596">
        <v>10050</v>
      </c>
      <c r="C380" s="1695">
        <v>3434000000</v>
      </c>
      <c r="D380" s="1695">
        <v>144</v>
      </c>
      <c r="E380" s="1695">
        <v>138</v>
      </c>
      <c r="F380" s="1695">
        <v>24</v>
      </c>
      <c r="G380" s="1695">
        <v>114</v>
      </c>
      <c r="H380" s="1695">
        <v>3266000000</v>
      </c>
      <c r="I380" s="1643">
        <v>42125</v>
      </c>
    </row>
    <row r="381" spans="1:9">
      <c r="A381" s="1596" t="s">
        <v>1154</v>
      </c>
      <c r="B381" s="1596">
        <v>10057</v>
      </c>
      <c r="C381" s="1695">
        <v>840000000</v>
      </c>
      <c r="D381" s="1695">
        <v>34</v>
      </c>
      <c r="E381" s="1695">
        <v>10</v>
      </c>
      <c r="F381" s="1695">
        <v>2</v>
      </c>
      <c r="G381" s="1695">
        <v>8</v>
      </c>
      <c r="H381" s="1695">
        <v>800000000</v>
      </c>
      <c r="I381" s="1643">
        <v>42125</v>
      </c>
    </row>
    <row r="382" spans="1:9">
      <c r="A382" s="1596" t="s">
        <v>1155</v>
      </c>
      <c r="B382" s="1596">
        <v>10085</v>
      </c>
      <c r="C382" s="1695">
        <v>6216000000</v>
      </c>
      <c r="D382" s="1695">
        <v>293</v>
      </c>
      <c r="E382" s="1695">
        <v>177</v>
      </c>
      <c r="F382" s="1695">
        <v>30</v>
      </c>
      <c r="G382" s="1695">
        <v>147</v>
      </c>
      <c r="H382" s="1695">
        <v>5920000000</v>
      </c>
      <c r="I382" s="1643">
        <v>42125</v>
      </c>
    </row>
    <row r="383" spans="1:9">
      <c r="A383" s="1596" t="s">
        <v>1156</v>
      </c>
      <c r="B383" s="1596">
        <v>10101</v>
      </c>
      <c r="C383" s="1695">
        <v>756000000</v>
      </c>
      <c r="D383" s="1695">
        <v>36</v>
      </c>
      <c r="E383" s="1695">
        <v>40</v>
      </c>
      <c r="F383" s="1695">
        <v>10</v>
      </c>
      <c r="G383" s="1695">
        <v>30</v>
      </c>
      <c r="H383" s="1695">
        <v>720000000</v>
      </c>
      <c r="I383" s="1643">
        <v>42125</v>
      </c>
    </row>
    <row r="384" spans="1:9">
      <c r="A384" s="1596" t="s">
        <v>792</v>
      </c>
      <c r="B384" s="1596">
        <v>10001</v>
      </c>
      <c r="C384" s="1695">
        <v>13734000000</v>
      </c>
      <c r="D384" s="1695">
        <v>583</v>
      </c>
      <c r="E384" s="1695">
        <v>330</v>
      </c>
      <c r="F384" s="1695">
        <v>55</v>
      </c>
      <c r="G384" s="1695">
        <v>275</v>
      </c>
      <c r="H384" s="1695">
        <v>13080000000</v>
      </c>
      <c r="I384" s="1643">
        <v>42125</v>
      </c>
    </row>
    <row r="385" spans="1:9">
      <c r="A385" s="1596" t="s">
        <v>794</v>
      </c>
      <c r="B385" s="1596">
        <v>10010</v>
      </c>
      <c r="C385" s="1695">
        <v>6693000000</v>
      </c>
      <c r="D385" s="1695">
        <v>272</v>
      </c>
      <c r="E385" s="1695">
        <v>146</v>
      </c>
      <c r="F385" s="1695">
        <v>8</v>
      </c>
      <c r="G385" s="1695">
        <v>138</v>
      </c>
      <c r="H385" s="1695">
        <v>6357000000</v>
      </c>
      <c r="I385" s="1643">
        <v>42125</v>
      </c>
    </row>
    <row r="386" spans="1:9">
      <c r="A386" s="1596" t="s">
        <v>793</v>
      </c>
      <c r="B386" s="1596">
        <v>10049</v>
      </c>
      <c r="C386" s="1695">
        <v>3434000000</v>
      </c>
      <c r="D386" s="1695">
        <v>144</v>
      </c>
      <c r="E386" s="1695">
        <v>138</v>
      </c>
      <c r="F386" s="1695">
        <v>24</v>
      </c>
      <c r="G386" s="1695">
        <v>114</v>
      </c>
      <c r="H386" s="1695">
        <v>3266000000</v>
      </c>
      <c r="I386" s="1643">
        <v>42125</v>
      </c>
    </row>
    <row r="387" spans="1:9">
      <c r="A387" s="1596" t="s">
        <v>458</v>
      </c>
      <c r="B387" s="1596">
        <v>10056</v>
      </c>
      <c r="C387" s="1695">
        <v>1596000000</v>
      </c>
      <c r="D387" s="1695">
        <v>70</v>
      </c>
      <c r="E387" s="1695">
        <v>50</v>
      </c>
      <c r="F387" s="1695">
        <v>12</v>
      </c>
      <c r="G387" s="1695">
        <v>38</v>
      </c>
      <c r="H387" s="1695">
        <v>1520000000</v>
      </c>
      <c r="I387" s="1643">
        <v>42125</v>
      </c>
    </row>
    <row r="388" spans="1:9">
      <c r="A388" s="1596" t="s">
        <v>1158</v>
      </c>
      <c r="B388" s="1596" t="s">
        <v>1159</v>
      </c>
      <c r="C388" s="1695">
        <v>25457000000</v>
      </c>
      <c r="D388" s="1695">
        <v>1069</v>
      </c>
      <c r="E388" s="1695">
        <v>664</v>
      </c>
      <c r="F388" s="1695">
        <v>99</v>
      </c>
      <c r="G388" s="1695">
        <v>565</v>
      </c>
      <c r="H388" s="1695">
        <v>24223000000</v>
      </c>
      <c r="I388" s="1643">
        <v>42125</v>
      </c>
    </row>
    <row r="389" spans="1:9">
      <c r="A389" s="1596" t="s">
        <v>1291</v>
      </c>
      <c r="B389" s="1596">
        <v>10003</v>
      </c>
      <c r="C389" s="1695">
        <v>2142000000</v>
      </c>
      <c r="D389" s="1695">
        <v>105</v>
      </c>
      <c r="E389" s="1695">
        <v>46</v>
      </c>
      <c r="F389" s="1695">
        <v>8</v>
      </c>
      <c r="G389" s="1695">
        <v>38</v>
      </c>
      <c r="H389" s="1695">
        <v>2040000000</v>
      </c>
      <c r="I389" s="1643">
        <v>42125</v>
      </c>
    </row>
    <row r="390" spans="1:9">
      <c r="A390" s="1596" t="s">
        <v>1292</v>
      </c>
      <c r="B390" s="1596">
        <v>10012</v>
      </c>
      <c r="C390" s="1695">
        <v>3020000000</v>
      </c>
      <c r="D390" s="1695">
        <v>122</v>
      </c>
      <c r="E390" s="1695">
        <v>61</v>
      </c>
      <c r="F390" s="1695">
        <v>2</v>
      </c>
      <c r="G390" s="1695">
        <v>59</v>
      </c>
      <c r="H390" s="1695">
        <v>2869000000</v>
      </c>
      <c r="I390" s="1643">
        <v>42125</v>
      </c>
    </row>
    <row r="391" spans="1:9">
      <c r="A391" s="1596" t="s">
        <v>1293</v>
      </c>
      <c r="B391" s="1596">
        <v>10024</v>
      </c>
      <c r="C391" s="1695">
        <v>876000000</v>
      </c>
      <c r="D391" s="1695">
        <v>34</v>
      </c>
      <c r="E391" s="1695">
        <v>15</v>
      </c>
      <c r="F391" s="1695">
        <v>1</v>
      </c>
      <c r="G391" s="1695">
        <v>14</v>
      </c>
      <c r="H391" s="1695">
        <v>832000000</v>
      </c>
      <c r="I391" s="1643">
        <v>42125</v>
      </c>
    </row>
    <row r="392" spans="1:9">
      <c r="A392" s="1596" t="s">
        <v>1294</v>
      </c>
      <c r="B392" s="1596">
        <v>10035</v>
      </c>
      <c r="C392" s="1695">
        <v>2436000000</v>
      </c>
      <c r="D392" s="1695">
        <v>110</v>
      </c>
      <c r="E392" s="1695">
        <v>58</v>
      </c>
      <c r="F392" s="1695">
        <v>8</v>
      </c>
      <c r="G392" s="1695">
        <v>50</v>
      </c>
      <c r="H392" s="1695">
        <v>2320000000</v>
      </c>
      <c r="I392" s="1643">
        <v>42125</v>
      </c>
    </row>
    <row r="393" spans="1:9">
      <c r="A393" s="1596" t="s">
        <v>1295</v>
      </c>
      <c r="B393" s="1596">
        <v>10042</v>
      </c>
      <c r="C393" s="1695">
        <v>998000000</v>
      </c>
      <c r="D393" s="1695">
        <v>40</v>
      </c>
      <c r="E393" s="1695">
        <v>26</v>
      </c>
      <c r="F393" s="1695">
        <v>0</v>
      </c>
      <c r="G393" s="1695">
        <v>26</v>
      </c>
      <c r="H393" s="1695">
        <v>948000000</v>
      </c>
      <c r="I393" s="1643">
        <v>42125</v>
      </c>
    </row>
    <row r="394" spans="1:9">
      <c r="A394" s="1596" t="s">
        <v>1296</v>
      </c>
      <c r="B394" s="1596">
        <v>10047</v>
      </c>
      <c r="C394" s="1695">
        <v>2478000000</v>
      </c>
      <c r="D394" s="1695">
        <v>124</v>
      </c>
      <c r="E394" s="1695">
        <v>58</v>
      </c>
      <c r="F394" s="1695">
        <v>8</v>
      </c>
      <c r="G394" s="1695">
        <v>50</v>
      </c>
      <c r="H394" s="1695">
        <v>2360000000</v>
      </c>
      <c r="I394" s="1643">
        <v>42125</v>
      </c>
    </row>
    <row r="395" spans="1:9">
      <c r="A395" s="1596" t="s">
        <v>1297</v>
      </c>
      <c r="B395" s="1596">
        <v>10051</v>
      </c>
      <c r="C395" s="1695">
        <v>1973000000</v>
      </c>
      <c r="D395" s="1695">
        <v>68</v>
      </c>
      <c r="E395" s="1695">
        <v>65</v>
      </c>
      <c r="F395" s="1695">
        <v>13</v>
      </c>
      <c r="G395" s="1695">
        <v>52</v>
      </c>
      <c r="H395" s="1695">
        <v>1876000000</v>
      </c>
      <c r="I395" s="1643">
        <v>42125</v>
      </c>
    </row>
    <row r="396" spans="1:9">
      <c r="A396" s="1596" t="s">
        <v>1298</v>
      </c>
      <c r="B396" s="1596">
        <v>10054</v>
      </c>
      <c r="C396" s="1695">
        <v>1344000000</v>
      </c>
      <c r="D396" s="1695">
        <v>20</v>
      </c>
      <c r="E396" s="1695">
        <v>10</v>
      </c>
      <c r="F396" s="1695">
        <v>2</v>
      </c>
      <c r="G396" s="1695">
        <v>8</v>
      </c>
      <c r="H396" s="1695">
        <v>1280000000</v>
      </c>
      <c r="I396" s="1643">
        <v>42125</v>
      </c>
    </row>
    <row r="397" spans="1:9">
      <c r="A397" s="1596" t="s">
        <v>1299</v>
      </c>
      <c r="B397" s="1596">
        <v>10058</v>
      </c>
      <c r="C397" s="1695">
        <v>840000000</v>
      </c>
      <c r="D397" s="1695">
        <v>34</v>
      </c>
      <c r="E397" s="1695">
        <v>10</v>
      </c>
      <c r="F397" s="1695">
        <v>2</v>
      </c>
      <c r="G397" s="1695">
        <v>8</v>
      </c>
      <c r="H397" s="1695">
        <v>800000000</v>
      </c>
      <c r="I397" s="1643">
        <v>42125</v>
      </c>
    </row>
    <row r="398" spans="1:9">
      <c r="A398" s="1596" t="s">
        <v>1300</v>
      </c>
      <c r="B398" s="1596">
        <v>10072</v>
      </c>
      <c r="C398" s="1695">
        <v>840000000</v>
      </c>
      <c r="D398" s="1695">
        <v>18</v>
      </c>
      <c r="E398" s="1695">
        <v>12</v>
      </c>
      <c r="F398" s="1695">
        <v>2</v>
      </c>
      <c r="G398" s="1695">
        <v>10</v>
      </c>
      <c r="H398" s="1695">
        <v>800000000</v>
      </c>
      <c r="I398" s="1643">
        <v>42125</v>
      </c>
    </row>
    <row r="399" spans="1:9">
      <c r="A399" s="1596" t="s">
        <v>1301</v>
      </c>
      <c r="B399" s="1596">
        <v>10086</v>
      </c>
      <c r="C399" s="1695">
        <v>1799000000</v>
      </c>
      <c r="D399" s="1695">
        <v>76</v>
      </c>
      <c r="E399" s="1695">
        <v>44</v>
      </c>
      <c r="F399" s="1695">
        <v>5</v>
      </c>
      <c r="G399" s="1695">
        <v>39</v>
      </c>
      <c r="H399" s="1695">
        <v>1708000000</v>
      </c>
      <c r="I399" s="1643">
        <v>42125</v>
      </c>
    </row>
    <row r="400" spans="1:9">
      <c r="A400" s="1596" t="s">
        <v>1302</v>
      </c>
      <c r="B400" s="1596">
        <v>10087</v>
      </c>
      <c r="C400" s="1695">
        <v>4074000000</v>
      </c>
      <c r="D400" s="1695">
        <v>188</v>
      </c>
      <c r="E400" s="1695">
        <v>131</v>
      </c>
      <c r="F400" s="1695">
        <v>22</v>
      </c>
      <c r="G400" s="1695">
        <v>109</v>
      </c>
      <c r="H400" s="1695">
        <v>3880000000</v>
      </c>
      <c r="I400" s="1643">
        <v>42125</v>
      </c>
    </row>
    <row r="401" spans="1:9">
      <c r="A401" s="1596" t="s">
        <v>1303</v>
      </c>
      <c r="B401" s="1596">
        <v>10091</v>
      </c>
      <c r="C401" s="1695">
        <v>420000000</v>
      </c>
      <c r="D401" s="1695">
        <v>18</v>
      </c>
      <c r="E401" s="1695">
        <v>15</v>
      </c>
      <c r="F401" s="1695">
        <v>5</v>
      </c>
      <c r="G401" s="1695">
        <v>10</v>
      </c>
      <c r="H401" s="1695">
        <v>400000000</v>
      </c>
      <c r="I401" s="1643">
        <v>42125</v>
      </c>
    </row>
    <row r="402" spans="1:9">
      <c r="A402" s="1596" t="s">
        <v>1422</v>
      </c>
      <c r="B402" s="1596">
        <v>10095</v>
      </c>
      <c r="C402" s="1695">
        <v>861000000</v>
      </c>
      <c r="D402" s="1695">
        <v>49</v>
      </c>
      <c r="E402" s="1695">
        <v>50</v>
      </c>
      <c r="F402" s="1695">
        <v>7</v>
      </c>
      <c r="G402" s="1695">
        <v>43</v>
      </c>
      <c r="H402" s="1695">
        <v>819000000</v>
      </c>
      <c r="I402" s="1643">
        <v>42125</v>
      </c>
    </row>
    <row r="403" spans="1:9">
      <c r="A403" s="1596" t="s">
        <v>1305</v>
      </c>
      <c r="B403" s="1596">
        <v>10102</v>
      </c>
      <c r="C403" s="1695">
        <v>756000000</v>
      </c>
      <c r="D403" s="1695">
        <v>36</v>
      </c>
      <c r="E403" s="1695">
        <v>40</v>
      </c>
      <c r="F403" s="1695">
        <v>10</v>
      </c>
      <c r="G403" s="1695">
        <v>30</v>
      </c>
      <c r="H403" s="1695">
        <v>720000000</v>
      </c>
      <c r="I403" s="1643">
        <v>42125</v>
      </c>
    </row>
    <row r="404" spans="1:9">
      <c r="A404" s="1596" t="s">
        <v>1423</v>
      </c>
      <c r="B404" s="1596">
        <v>10116</v>
      </c>
      <c r="C404" s="1695">
        <v>473000000</v>
      </c>
      <c r="D404" s="1695">
        <v>20</v>
      </c>
      <c r="E404" s="1695">
        <v>10</v>
      </c>
      <c r="F404" s="1695">
        <v>1</v>
      </c>
      <c r="G404" s="1695">
        <v>9</v>
      </c>
      <c r="H404" s="1695">
        <v>450000000</v>
      </c>
      <c r="I404" s="1643">
        <v>42125</v>
      </c>
    </row>
    <row r="405" spans="1:9">
      <c r="A405" s="1596" t="s">
        <v>1424</v>
      </c>
      <c r="B405" s="1596">
        <v>10118</v>
      </c>
      <c r="C405" s="1695">
        <v>127000000</v>
      </c>
      <c r="D405" s="1695">
        <v>7</v>
      </c>
      <c r="E405" s="1695">
        <v>13</v>
      </c>
      <c r="F405" s="1695">
        <v>3</v>
      </c>
      <c r="G405" s="1695">
        <v>10</v>
      </c>
      <c r="H405" s="1695">
        <v>121000000</v>
      </c>
      <c r="I405" s="1643">
        <v>42125</v>
      </c>
    </row>
    <row r="407" spans="1:9">
      <c r="A407" s="1681" t="s">
        <v>1674</v>
      </c>
    </row>
    <row r="408" spans="1:9">
      <c r="A408" s="1596" t="s">
        <v>1109</v>
      </c>
      <c r="B408" s="1596" t="s">
        <v>1110</v>
      </c>
      <c r="C408" s="1695" t="s">
        <v>1</v>
      </c>
      <c r="D408" s="1695" t="s">
        <v>2</v>
      </c>
      <c r="E408" s="1695" t="s">
        <v>1108</v>
      </c>
      <c r="F408" s="1695" t="s">
        <v>1107</v>
      </c>
      <c r="G408" s="1695" t="s">
        <v>1106</v>
      </c>
      <c r="H408" s="1695" t="s">
        <v>1105</v>
      </c>
      <c r="I408" s="1596" t="s">
        <v>1160</v>
      </c>
    </row>
    <row r="409" spans="1:9">
      <c r="A409" s="1596" t="s">
        <v>47</v>
      </c>
      <c r="B409" s="1596">
        <v>10004</v>
      </c>
      <c r="C409" s="1695">
        <v>945000000</v>
      </c>
      <c r="D409" s="1695">
        <v>900000000</v>
      </c>
      <c r="E409" s="1695">
        <v>36</v>
      </c>
      <c r="F409" s="1695">
        <v>13</v>
      </c>
      <c r="G409" s="1695">
        <v>2</v>
      </c>
      <c r="H409" s="1695">
        <v>15</v>
      </c>
      <c r="I409" s="1643">
        <v>42156</v>
      </c>
    </row>
    <row r="410" spans="1:9">
      <c r="A410" s="1596" t="s">
        <v>91</v>
      </c>
      <c r="B410" s="1596">
        <v>10009</v>
      </c>
      <c r="C410" s="1695">
        <v>1228500000</v>
      </c>
      <c r="D410" s="1695">
        <v>1170000000</v>
      </c>
      <c r="E410" s="1695">
        <v>48</v>
      </c>
      <c r="F410" s="1695">
        <v>13</v>
      </c>
      <c r="G410" s="1695">
        <v>2</v>
      </c>
      <c r="H410" s="1695">
        <v>15</v>
      </c>
      <c r="I410" s="1643">
        <v>42156</v>
      </c>
    </row>
    <row r="411" spans="1:9">
      <c r="A411" s="1596" t="s">
        <v>177</v>
      </c>
      <c r="B411" s="1596">
        <v>10013</v>
      </c>
      <c r="C411" s="1695">
        <v>1184000000</v>
      </c>
      <c r="D411" s="1695">
        <v>1125000000</v>
      </c>
      <c r="E411" s="1695">
        <v>45</v>
      </c>
      <c r="F411" s="1695">
        <v>8</v>
      </c>
      <c r="G411" s="1695">
        <v>0</v>
      </c>
      <c r="H411" s="1695">
        <v>8</v>
      </c>
      <c r="I411" s="1643">
        <v>42156</v>
      </c>
    </row>
    <row r="412" spans="1:9">
      <c r="A412" s="1596" t="s">
        <v>185</v>
      </c>
      <c r="B412" s="1596">
        <v>10014</v>
      </c>
      <c r="C412" s="1695">
        <v>710000000</v>
      </c>
      <c r="D412" s="1695">
        <v>675000000</v>
      </c>
      <c r="E412" s="1695">
        <v>29</v>
      </c>
      <c r="F412" s="1695">
        <v>15</v>
      </c>
      <c r="G412" s="1695">
        <v>3</v>
      </c>
      <c r="H412" s="1695">
        <v>18</v>
      </c>
      <c r="I412" s="1643">
        <v>42156</v>
      </c>
    </row>
    <row r="413" spans="1:9">
      <c r="A413" s="1596" t="s">
        <v>179</v>
      </c>
      <c r="B413" s="1596">
        <v>10015</v>
      </c>
      <c r="C413" s="1695">
        <v>1427000000</v>
      </c>
      <c r="D413" s="1695">
        <v>1355000000</v>
      </c>
      <c r="E413" s="1695">
        <v>58</v>
      </c>
      <c r="F413" s="1695">
        <v>15</v>
      </c>
      <c r="G413" s="1695">
        <v>0</v>
      </c>
      <c r="H413" s="1695">
        <v>15</v>
      </c>
      <c r="I413" s="1643">
        <v>42156</v>
      </c>
    </row>
    <row r="414" spans="1:9">
      <c r="A414" s="1596" t="s">
        <v>176</v>
      </c>
      <c r="B414" s="1596">
        <v>10017</v>
      </c>
      <c r="C414" s="1695">
        <v>1527000000</v>
      </c>
      <c r="D414" s="1695">
        <v>1451000000</v>
      </c>
      <c r="E414" s="1695">
        <v>62</v>
      </c>
      <c r="F414" s="1695">
        <v>25</v>
      </c>
      <c r="G414" s="1695">
        <v>0</v>
      </c>
      <c r="H414" s="1695">
        <v>25</v>
      </c>
      <c r="I414" s="1643">
        <v>42156</v>
      </c>
    </row>
    <row r="415" spans="1:9">
      <c r="A415" s="1596" t="s">
        <v>187</v>
      </c>
      <c r="B415" s="1596">
        <v>10018</v>
      </c>
      <c r="C415" s="1695">
        <v>756000000</v>
      </c>
      <c r="D415" s="1695">
        <v>720000000</v>
      </c>
      <c r="E415" s="1695">
        <v>30</v>
      </c>
      <c r="F415" s="1695">
        <v>13</v>
      </c>
      <c r="G415" s="1695">
        <v>2</v>
      </c>
      <c r="H415" s="1695">
        <v>15</v>
      </c>
      <c r="I415" s="1643">
        <v>42156</v>
      </c>
    </row>
    <row r="416" spans="1:9">
      <c r="A416" s="1596" t="s">
        <v>630</v>
      </c>
      <c r="B416" s="1596">
        <v>10031</v>
      </c>
      <c r="C416" s="1695">
        <v>661500000</v>
      </c>
      <c r="D416" s="1695">
        <v>630000000</v>
      </c>
      <c r="E416" s="1695">
        <v>36</v>
      </c>
      <c r="F416" s="1695">
        <v>12</v>
      </c>
      <c r="G416" s="1695">
        <v>2</v>
      </c>
      <c r="H416" s="1695">
        <v>14</v>
      </c>
      <c r="I416" s="1643">
        <v>42156</v>
      </c>
    </row>
    <row r="417" spans="1:9">
      <c r="A417" s="1596" t="s">
        <v>661</v>
      </c>
      <c r="B417" s="1596">
        <v>10032</v>
      </c>
      <c r="C417" s="1695">
        <v>710000000</v>
      </c>
      <c r="D417" s="1695">
        <v>675000000</v>
      </c>
      <c r="E417" s="1695">
        <v>29</v>
      </c>
      <c r="F417" s="1695">
        <v>15</v>
      </c>
      <c r="G417" s="1695">
        <v>3</v>
      </c>
      <c r="H417" s="1695">
        <v>18</v>
      </c>
      <c r="I417" s="1643">
        <v>42156</v>
      </c>
    </row>
    <row r="418" spans="1:9">
      <c r="A418" s="1596" t="s">
        <v>557</v>
      </c>
      <c r="B418" s="1596">
        <v>10033</v>
      </c>
      <c r="C418" s="1695">
        <v>493500000</v>
      </c>
      <c r="D418" s="1695">
        <v>470000000</v>
      </c>
      <c r="E418" s="1695">
        <v>34</v>
      </c>
      <c r="F418" s="1695">
        <v>12</v>
      </c>
      <c r="G418" s="1695">
        <v>2</v>
      </c>
      <c r="H418" s="1695">
        <v>14</v>
      </c>
      <c r="I418" s="1643">
        <v>42156</v>
      </c>
    </row>
    <row r="419" spans="1:9">
      <c r="A419" s="1596" t="s">
        <v>628</v>
      </c>
      <c r="B419" s="1596">
        <v>10036</v>
      </c>
      <c r="C419" s="1695">
        <v>661500000</v>
      </c>
      <c r="D419" s="1695">
        <v>630000000</v>
      </c>
      <c r="E419" s="1695">
        <v>32</v>
      </c>
      <c r="F419" s="1695">
        <v>12</v>
      </c>
      <c r="G419" s="1695">
        <v>2</v>
      </c>
      <c r="H419" s="1695">
        <v>14</v>
      </c>
      <c r="I419" s="1643">
        <v>42156</v>
      </c>
    </row>
    <row r="420" spans="1:9">
      <c r="A420" s="1596" t="s">
        <v>650</v>
      </c>
      <c r="B420" s="1596">
        <v>10037</v>
      </c>
      <c r="C420" s="1695">
        <v>661500000</v>
      </c>
      <c r="D420" s="1695">
        <v>630000000</v>
      </c>
      <c r="E420" s="1695">
        <v>31</v>
      </c>
      <c r="F420" s="1695">
        <v>13</v>
      </c>
      <c r="G420" s="1695">
        <v>2</v>
      </c>
      <c r="H420" s="1695">
        <v>15</v>
      </c>
      <c r="I420" s="1643">
        <v>42156</v>
      </c>
    </row>
    <row r="421" spans="1:9">
      <c r="A421" s="1596" t="s">
        <v>660</v>
      </c>
      <c r="B421" s="1596">
        <v>10038</v>
      </c>
      <c r="C421" s="1695">
        <v>710000000</v>
      </c>
      <c r="D421" s="1695">
        <v>675000000</v>
      </c>
      <c r="E421" s="1695">
        <v>29</v>
      </c>
      <c r="F421" s="1695">
        <v>15</v>
      </c>
      <c r="G421" s="1695">
        <v>3</v>
      </c>
      <c r="H421" s="1695">
        <v>18</v>
      </c>
      <c r="I421" s="1643">
        <v>42156</v>
      </c>
    </row>
    <row r="422" spans="1:9">
      <c r="A422" s="1596" t="s">
        <v>648</v>
      </c>
      <c r="B422" s="1596">
        <v>10039</v>
      </c>
      <c r="C422" s="1695">
        <v>661500000</v>
      </c>
      <c r="D422" s="1695">
        <v>630000000</v>
      </c>
      <c r="E422" s="1695">
        <v>30</v>
      </c>
      <c r="F422" s="1695">
        <v>14</v>
      </c>
      <c r="G422" s="1695">
        <v>2</v>
      </c>
      <c r="H422" s="1695">
        <v>16</v>
      </c>
      <c r="I422" s="1643">
        <v>42156</v>
      </c>
    </row>
    <row r="423" spans="1:9">
      <c r="A423" s="1596" t="s">
        <v>647</v>
      </c>
      <c r="B423" s="1596">
        <v>10040</v>
      </c>
      <c r="C423" s="1695">
        <v>661500000</v>
      </c>
      <c r="D423" s="1695">
        <v>630000000</v>
      </c>
      <c r="E423" s="1695">
        <v>30</v>
      </c>
      <c r="F423" s="1695">
        <v>14</v>
      </c>
      <c r="G423" s="1695">
        <v>2</v>
      </c>
      <c r="H423" s="1695">
        <v>16</v>
      </c>
      <c r="I423" s="1643">
        <v>42156</v>
      </c>
    </row>
    <row r="424" spans="1:9">
      <c r="A424" s="1596" t="s">
        <v>659</v>
      </c>
      <c r="B424" s="1596">
        <v>10043</v>
      </c>
      <c r="C424" s="1695">
        <v>1246000000</v>
      </c>
      <c r="D424" s="1695">
        <v>1184000000</v>
      </c>
      <c r="E424" s="1695">
        <v>50</v>
      </c>
      <c r="F424" s="1695">
        <v>15</v>
      </c>
      <c r="G424" s="1695">
        <v>0</v>
      </c>
      <c r="H424" s="1695">
        <v>15</v>
      </c>
      <c r="I424" s="1643">
        <v>42156</v>
      </c>
    </row>
    <row r="425" spans="1:9">
      <c r="A425" s="1596" t="s">
        <v>662</v>
      </c>
      <c r="B425" s="1596">
        <v>10044</v>
      </c>
      <c r="C425" s="1695">
        <v>710000000</v>
      </c>
      <c r="D425" s="1695">
        <v>675000000</v>
      </c>
      <c r="E425" s="1695">
        <v>29</v>
      </c>
      <c r="F425" s="1695">
        <v>15</v>
      </c>
      <c r="G425" s="1695">
        <v>3</v>
      </c>
      <c r="H425" s="1695">
        <v>18</v>
      </c>
      <c r="I425" s="1643">
        <v>42156</v>
      </c>
    </row>
    <row r="426" spans="1:9">
      <c r="A426" s="1596" t="s">
        <v>649</v>
      </c>
      <c r="B426" s="1596">
        <v>10045</v>
      </c>
      <c r="C426" s="1695">
        <v>756000000</v>
      </c>
      <c r="D426" s="1695">
        <v>720000000</v>
      </c>
      <c r="E426" s="1695">
        <v>31</v>
      </c>
      <c r="F426" s="1695">
        <v>13</v>
      </c>
      <c r="G426" s="1695">
        <v>2</v>
      </c>
      <c r="H426" s="1695">
        <v>15</v>
      </c>
      <c r="I426" s="1643">
        <v>42156</v>
      </c>
    </row>
    <row r="427" spans="1:9">
      <c r="A427" s="1596" t="s">
        <v>642</v>
      </c>
      <c r="B427" s="1596">
        <v>10046</v>
      </c>
      <c r="C427" s="1695">
        <v>614250000</v>
      </c>
      <c r="D427" s="1695">
        <v>585000000</v>
      </c>
      <c r="E427" s="1695">
        <v>31</v>
      </c>
      <c r="F427" s="1695">
        <v>12</v>
      </c>
      <c r="G427" s="1695">
        <v>2</v>
      </c>
      <c r="H427" s="1695">
        <v>14</v>
      </c>
      <c r="I427" s="1643">
        <v>42156</v>
      </c>
    </row>
    <row r="428" spans="1:9">
      <c r="A428" s="1596" t="s">
        <v>736</v>
      </c>
      <c r="B428" s="1596">
        <v>10048</v>
      </c>
      <c r="C428" s="1695">
        <v>1470000000</v>
      </c>
      <c r="D428" s="1695">
        <v>1400000000</v>
      </c>
      <c r="E428" s="1695">
        <v>39</v>
      </c>
      <c r="F428" s="1695">
        <v>12</v>
      </c>
      <c r="G428" s="1695">
        <v>2</v>
      </c>
      <c r="H428" s="1695">
        <v>14</v>
      </c>
      <c r="I428" s="1643">
        <v>42156</v>
      </c>
    </row>
    <row r="429" spans="1:9">
      <c r="A429" s="1596" t="s">
        <v>699</v>
      </c>
      <c r="B429" s="1596">
        <v>10052</v>
      </c>
      <c r="C429" s="1695">
        <v>634000000</v>
      </c>
      <c r="D429" s="1695">
        <v>602000000</v>
      </c>
      <c r="E429" s="1695">
        <v>25</v>
      </c>
      <c r="F429" s="1695">
        <v>15</v>
      </c>
      <c r="G429" s="1695">
        <v>0</v>
      </c>
      <c r="H429" s="1695">
        <v>15</v>
      </c>
      <c r="I429" s="1643">
        <v>42156</v>
      </c>
    </row>
    <row r="430" spans="1:9">
      <c r="A430" s="1596" t="s">
        <v>737</v>
      </c>
      <c r="B430" s="1596">
        <v>10053</v>
      </c>
      <c r="C430" s="1695">
        <v>634000000</v>
      </c>
      <c r="D430" s="1695">
        <v>602000000</v>
      </c>
      <c r="E430" s="1695">
        <v>29</v>
      </c>
      <c r="F430" s="1695">
        <v>15</v>
      </c>
      <c r="G430" s="1695">
        <v>0</v>
      </c>
      <c r="H430" s="1695">
        <v>15</v>
      </c>
      <c r="I430" s="1643">
        <v>42156</v>
      </c>
    </row>
    <row r="431" spans="1:9">
      <c r="A431" s="1596" t="s">
        <v>735</v>
      </c>
      <c r="B431" s="1596">
        <v>10055</v>
      </c>
      <c r="C431" s="1695">
        <v>1512000000</v>
      </c>
      <c r="D431" s="1695">
        <v>1440000000</v>
      </c>
      <c r="E431" s="1695">
        <v>22</v>
      </c>
      <c r="F431" s="1695">
        <v>8</v>
      </c>
      <c r="G431" s="1695">
        <v>2</v>
      </c>
      <c r="H431" s="1695">
        <v>10</v>
      </c>
      <c r="I431" s="1643">
        <v>42156</v>
      </c>
    </row>
    <row r="432" spans="1:9">
      <c r="A432" s="1596" t="s">
        <v>734</v>
      </c>
      <c r="B432" s="1596">
        <v>10059</v>
      </c>
      <c r="C432" s="1695">
        <v>945000000</v>
      </c>
      <c r="D432" s="1695">
        <v>900000000</v>
      </c>
      <c r="E432" s="1695">
        <v>35</v>
      </c>
      <c r="F432" s="1695">
        <v>8</v>
      </c>
      <c r="G432" s="1695">
        <v>2</v>
      </c>
      <c r="H432" s="1695">
        <v>10</v>
      </c>
      <c r="I432" s="1643">
        <v>42156</v>
      </c>
    </row>
    <row r="433" spans="1:9">
      <c r="A433" s="1596" t="s">
        <v>798</v>
      </c>
      <c r="B433" s="1596">
        <v>10073</v>
      </c>
      <c r="C433" s="1695">
        <v>945000000</v>
      </c>
      <c r="D433" s="1695">
        <v>900000000</v>
      </c>
      <c r="E433" s="1695">
        <v>20</v>
      </c>
      <c r="F433" s="1695">
        <v>10</v>
      </c>
      <c r="G433" s="1695">
        <v>2</v>
      </c>
      <c r="H433" s="1695">
        <v>12</v>
      </c>
      <c r="I433" s="1643">
        <v>42156</v>
      </c>
    </row>
    <row r="434" spans="1:9">
      <c r="A434" s="1596" t="s">
        <v>796</v>
      </c>
      <c r="B434" s="1596">
        <v>10074</v>
      </c>
      <c r="C434" s="1695">
        <v>803250000</v>
      </c>
      <c r="D434" s="1695">
        <v>765000000</v>
      </c>
      <c r="E434" s="1695">
        <v>32</v>
      </c>
      <c r="F434" s="1695">
        <v>12</v>
      </c>
      <c r="G434" s="1695">
        <v>2</v>
      </c>
      <c r="H434" s="1695">
        <v>14</v>
      </c>
      <c r="I434" s="1643">
        <v>42156</v>
      </c>
    </row>
    <row r="435" spans="1:9">
      <c r="A435" s="1596" t="s">
        <v>799</v>
      </c>
      <c r="B435" s="1596">
        <v>10075</v>
      </c>
      <c r="C435" s="1695">
        <v>664000000</v>
      </c>
      <c r="D435" s="1695">
        <v>630000000</v>
      </c>
      <c r="E435" s="1695">
        <v>31</v>
      </c>
      <c r="F435" s="1695">
        <v>14</v>
      </c>
      <c r="G435" s="1695">
        <v>0</v>
      </c>
      <c r="H435" s="1695">
        <v>14</v>
      </c>
      <c r="I435" s="1643">
        <v>42156</v>
      </c>
    </row>
    <row r="436" spans="1:9">
      <c r="A436" s="1596" t="s">
        <v>825</v>
      </c>
      <c r="B436" s="1596">
        <v>10077</v>
      </c>
      <c r="C436" s="1695">
        <v>568000000</v>
      </c>
      <c r="D436" s="1695">
        <v>540000000</v>
      </c>
      <c r="E436" s="1695">
        <v>25</v>
      </c>
      <c r="F436" s="1695">
        <v>9</v>
      </c>
      <c r="G436" s="1695">
        <v>0</v>
      </c>
      <c r="H436" s="1695">
        <v>9</v>
      </c>
      <c r="I436" s="1643">
        <v>42156</v>
      </c>
    </row>
    <row r="437" spans="1:9">
      <c r="A437" s="1596" t="s">
        <v>905</v>
      </c>
      <c r="B437" s="1596">
        <v>10084</v>
      </c>
      <c r="C437" s="1695">
        <v>661500000</v>
      </c>
      <c r="D437" s="1695">
        <v>630000000</v>
      </c>
      <c r="E437" s="1695">
        <v>25</v>
      </c>
      <c r="F437" s="1695">
        <v>12</v>
      </c>
      <c r="G437" s="1695">
        <v>2</v>
      </c>
      <c r="H437" s="1695">
        <v>14</v>
      </c>
      <c r="I437" s="1643">
        <v>42156</v>
      </c>
    </row>
    <row r="438" spans="1:9">
      <c r="A438" s="1596" t="s">
        <v>903</v>
      </c>
      <c r="B438" s="1596">
        <v>10088</v>
      </c>
      <c r="C438" s="1695">
        <v>472500000</v>
      </c>
      <c r="D438" s="1695">
        <v>450000000</v>
      </c>
      <c r="E438" s="1695">
        <v>25</v>
      </c>
      <c r="F438" s="1695">
        <v>13</v>
      </c>
      <c r="G438" s="1695">
        <v>2</v>
      </c>
      <c r="H438" s="1695">
        <v>15</v>
      </c>
      <c r="I438" s="1643">
        <v>42156</v>
      </c>
    </row>
    <row r="439" spans="1:9">
      <c r="A439" s="1596" t="s">
        <v>902</v>
      </c>
      <c r="B439" s="1596">
        <v>10089</v>
      </c>
      <c r="C439" s="1695">
        <v>472500000</v>
      </c>
      <c r="D439" s="1695">
        <v>450000000</v>
      </c>
      <c r="E439" s="1695">
        <v>24</v>
      </c>
      <c r="F439" s="1695">
        <v>13</v>
      </c>
      <c r="G439" s="1695">
        <v>2</v>
      </c>
      <c r="H439" s="1695">
        <v>15</v>
      </c>
      <c r="I439" s="1643">
        <v>42156</v>
      </c>
    </row>
    <row r="440" spans="1:9">
      <c r="A440" s="1596" t="s">
        <v>900</v>
      </c>
      <c r="B440" s="1596">
        <v>10090</v>
      </c>
      <c r="C440" s="1695">
        <v>567000000</v>
      </c>
      <c r="D440" s="1695">
        <v>540000000</v>
      </c>
      <c r="E440" s="1695">
        <v>24</v>
      </c>
      <c r="F440" s="1695">
        <v>14</v>
      </c>
      <c r="G440" s="1695">
        <v>2</v>
      </c>
      <c r="H440" s="1695">
        <v>16</v>
      </c>
      <c r="I440" s="1643">
        <v>42156</v>
      </c>
    </row>
    <row r="441" spans="1:9">
      <c r="A441" s="1596" t="s">
        <v>1104</v>
      </c>
      <c r="B441" s="1596">
        <v>10096</v>
      </c>
      <c r="C441" s="1695">
        <v>420000000</v>
      </c>
      <c r="D441" s="1695">
        <v>399000000</v>
      </c>
      <c r="E441" s="1695">
        <v>25</v>
      </c>
      <c r="F441" s="1695">
        <v>15</v>
      </c>
      <c r="G441" s="1695">
        <v>2</v>
      </c>
      <c r="H441" s="1695">
        <v>17</v>
      </c>
      <c r="I441" s="1643">
        <v>42156</v>
      </c>
    </row>
    <row r="442" spans="1:9">
      <c r="A442" s="1596" t="s">
        <v>1015</v>
      </c>
      <c r="B442" s="1596">
        <v>10097</v>
      </c>
      <c r="C442" s="1695">
        <v>315000000</v>
      </c>
      <c r="D442" s="1695">
        <v>299000000</v>
      </c>
      <c r="E442" s="1695">
        <v>15</v>
      </c>
      <c r="F442" s="1695">
        <v>13</v>
      </c>
      <c r="G442" s="1695">
        <v>2</v>
      </c>
      <c r="H442" s="1695">
        <v>15</v>
      </c>
      <c r="I442" s="1643">
        <v>42156</v>
      </c>
    </row>
    <row r="443" spans="1:9">
      <c r="A443" s="1596" t="s">
        <v>1103</v>
      </c>
      <c r="B443" s="1596">
        <v>10098</v>
      </c>
      <c r="C443" s="1695">
        <v>403000000</v>
      </c>
      <c r="D443" s="1695">
        <v>383000000</v>
      </c>
      <c r="E443" s="1695">
        <v>24</v>
      </c>
      <c r="F443" s="1695">
        <v>15</v>
      </c>
      <c r="G443" s="1695">
        <v>0</v>
      </c>
      <c r="H443" s="1695">
        <v>15</v>
      </c>
      <c r="I443" s="1643">
        <v>42156</v>
      </c>
    </row>
    <row r="444" spans="1:9">
      <c r="A444" s="1596" t="s">
        <v>1102</v>
      </c>
      <c r="B444" s="1596">
        <v>10103</v>
      </c>
      <c r="C444" s="1695">
        <v>425250000</v>
      </c>
      <c r="D444" s="1695">
        <v>405000000</v>
      </c>
      <c r="E444" s="1695">
        <v>22</v>
      </c>
      <c r="F444" s="1695">
        <v>15</v>
      </c>
      <c r="G444" s="1695">
        <v>5</v>
      </c>
      <c r="H444" s="1695">
        <v>20</v>
      </c>
      <c r="I444" s="1643">
        <v>42156</v>
      </c>
    </row>
    <row r="445" spans="1:9">
      <c r="A445" s="1596" t="s">
        <v>1101</v>
      </c>
      <c r="B445" s="1596">
        <v>10104</v>
      </c>
      <c r="C445" s="1695">
        <v>425250000</v>
      </c>
      <c r="D445" s="1695">
        <v>405000000</v>
      </c>
      <c r="E445" s="1695">
        <v>22</v>
      </c>
      <c r="F445" s="1695">
        <v>15</v>
      </c>
      <c r="G445" s="1695">
        <v>5</v>
      </c>
      <c r="H445" s="1695">
        <v>20</v>
      </c>
      <c r="I445" s="1643">
        <v>42156</v>
      </c>
    </row>
    <row r="446" spans="1:9">
      <c r="A446" s="1596" t="s">
        <v>1100</v>
      </c>
      <c r="B446" s="1596">
        <v>10105</v>
      </c>
      <c r="C446" s="1695">
        <v>568000000</v>
      </c>
      <c r="D446" s="1695">
        <v>540000000</v>
      </c>
      <c r="E446" s="1695">
        <v>21</v>
      </c>
      <c r="F446" s="1695">
        <v>9</v>
      </c>
      <c r="G446" s="1695">
        <v>0</v>
      </c>
      <c r="H446" s="1695">
        <v>9</v>
      </c>
      <c r="I446" s="1643">
        <v>42156</v>
      </c>
    </row>
    <row r="447" spans="1:9">
      <c r="A447" s="1596" t="s">
        <v>1099</v>
      </c>
      <c r="B447" s="1596">
        <v>10106</v>
      </c>
      <c r="C447" s="1695">
        <v>567000000</v>
      </c>
      <c r="D447" s="1695">
        <v>540000000</v>
      </c>
      <c r="E447" s="1695">
        <v>24</v>
      </c>
      <c r="F447" s="1695">
        <v>14</v>
      </c>
      <c r="G447" s="1695">
        <v>2</v>
      </c>
      <c r="H447" s="1695">
        <v>16</v>
      </c>
      <c r="I447" s="1643">
        <v>42156</v>
      </c>
    </row>
    <row r="448" spans="1:9">
      <c r="A448" s="1596" t="s">
        <v>1419</v>
      </c>
      <c r="B448" s="1596">
        <v>10119</v>
      </c>
      <c r="C448" s="1695">
        <v>218000000</v>
      </c>
      <c r="D448" s="1695">
        <v>207000000</v>
      </c>
      <c r="E448" s="1695">
        <v>12</v>
      </c>
      <c r="F448" s="1695">
        <v>15</v>
      </c>
      <c r="G448" s="1695">
        <v>3</v>
      </c>
      <c r="H448" s="1695">
        <v>18</v>
      </c>
      <c r="I448" s="1643">
        <v>42156</v>
      </c>
    </row>
    <row r="449" spans="1:9">
      <c r="A449" s="1596" t="s">
        <v>1563</v>
      </c>
      <c r="B449" s="1596">
        <v>10117</v>
      </c>
      <c r="C449" s="1695">
        <v>84000000</v>
      </c>
      <c r="D449" s="1695">
        <v>80000000</v>
      </c>
      <c r="E449" s="1695">
        <v>5</v>
      </c>
      <c r="F449" s="1695">
        <v>12</v>
      </c>
      <c r="G449" s="1695">
        <v>4</v>
      </c>
      <c r="H449" s="1695">
        <v>16</v>
      </c>
      <c r="I449" s="1643">
        <v>42156</v>
      </c>
    </row>
    <row r="450" spans="1:9">
      <c r="A450" s="1596" t="s">
        <v>1418</v>
      </c>
      <c r="B450" s="1596">
        <v>10121</v>
      </c>
      <c r="C450" s="1695">
        <v>84000000</v>
      </c>
      <c r="D450" s="1695">
        <v>80000000</v>
      </c>
      <c r="E450" s="1695">
        <v>5</v>
      </c>
      <c r="F450" s="1695">
        <v>12</v>
      </c>
      <c r="G450" s="1695">
        <v>4</v>
      </c>
      <c r="H450" s="1695">
        <v>16</v>
      </c>
      <c r="I450" s="1643">
        <v>42156</v>
      </c>
    </row>
    <row r="451" spans="1:9">
      <c r="A451" s="1596" t="s">
        <v>1568</v>
      </c>
      <c r="B451" s="1596">
        <v>10124</v>
      </c>
      <c r="C451" s="1695">
        <v>231000000</v>
      </c>
      <c r="D451" s="1695">
        <v>219000000</v>
      </c>
      <c r="E451" s="1695">
        <v>14</v>
      </c>
      <c r="F451" s="1695">
        <v>5</v>
      </c>
      <c r="G451" s="1695">
        <v>2</v>
      </c>
      <c r="H451" s="1695">
        <v>7</v>
      </c>
      <c r="I451" s="1643">
        <v>42156</v>
      </c>
    </row>
    <row r="452" spans="1:9">
      <c r="A452" s="1596" t="s">
        <v>1567</v>
      </c>
      <c r="B452" s="1596">
        <v>10123</v>
      </c>
      <c r="C452" s="1695">
        <v>254000000</v>
      </c>
      <c r="D452" s="1695">
        <v>242000000</v>
      </c>
      <c r="E452" s="1695">
        <v>11</v>
      </c>
      <c r="F452" s="1695">
        <v>9</v>
      </c>
      <c r="G452" s="1695">
        <v>2</v>
      </c>
      <c r="H452" s="1695">
        <v>11</v>
      </c>
      <c r="I452" s="1643">
        <v>42156</v>
      </c>
    </row>
    <row r="453" spans="1:9">
      <c r="A453" s="1648" t="s">
        <v>1565</v>
      </c>
      <c r="B453" s="1596">
        <v>10125</v>
      </c>
      <c r="C453" s="1695">
        <v>84000000</v>
      </c>
      <c r="D453" s="1695">
        <v>80000000</v>
      </c>
      <c r="E453" s="1695">
        <v>4</v>
      </c>
      <c r="F453" s="1695">
        <v>5</v>
      </c>
      <c r="G453" s="1695">
        <v>3</v>
      </c>
      <c r="H453" s="1695">
        <v>8</v>
      </c>
      <c r="I453" s="1643">
        <v>42156</v>
      </c>
    </row>
    <row r="454" spans="1:9">
      <c r="A454" s="1648" t="s">
        <v>1570</v>
      </c>
      <c r="B454" s="1596">
        <v>10120</v>
      </c>
      <c r="C454" s="1695">
        <v>84000000</v>
      </c>
      <c r="D454" s="1695">
        <v>80000000</v>
      </c>
      <c r="E454" s="1695">
        <v>4</v>
      </c>
      <c r="F454" s="1695">
        <v>5</v>
      </c>
      <c r="G454" s="1695">
        <v>3</v>
      </c>
      <c r="H454" s="1695">
        <v>8</v>
      </c>
      <c r="I454" s="1643">
        <v>42156</v>
      </c>
    </row>
    <row r="455" spans="1:9">
      <c r="A455" s="1596" t="s">
        <v>1572</v>
      </c>
      <c r="B455" s="1596">
        <v>10122</v>
      </c>
      <c r="C455" s="1695">
        <v>126000000</v>
      </c>
      <c r="D455" s="1695">
        <v>120000000</v>
      </c>
      <c r="E455" s="1695">
        <v>6</v>
      </c>
      <c r="F455" s="1695">
        <v>9</v>
      </c>
      <c r="G455" s="1695">
        <v>3</v>
      </c>
      <c r="H455" s="1695">
        <v>12</v>
      </c>
      <c r="I455" s="1643">
        <v>42156</v>
      </c>
    </row>
    <row r="456" spans="1:9">
      <c r="A456" s="1648" t="s">
        <v>1669</v>
      </c>
      <c r="B456" s="1596">
        <v>10127</v>
      </c>
      <c r="C456" s="1695">
        <v>0</v>
      </c>
      <c r="D456" s="1695">
        <v>0</v>
      </c>
      <c r="E456" s="1695">
        <v>0</v>
      </c>
      <c r="F456" s="1695">
        <v>0</v>
      </c>
      <c r="G456" s="1695">
        <v>2</v>
      </c>
      <c r="H456" s="1695">
        <v>2</v>
      </c>
      <c r="I456" s="1643">
        <v>42156</v>
      </c>
    </row>
    <row r="457" spans="1:9">
      <c r="A457" s="1596" t="s">
        <v>1148</v>
      </c>
      <c r="B457" s="1596">
        <v>10002</v>
      </c>
      <c r="C457" s="1695">
        <v>4494000000</v>
      </c>
      <c r="D457" s="1695">
        <v>4280000000</v>
      </c>
      <c r="E457" s="1695">
        <v>152</v>
      </c>
      <c r="F457" s="1695">
        <v>60</v>
      </c>
      <c r="G457" s="1695">
        <v>12</v>
      </c>
      <c r="H457" s="1695">
        <v>72</v>
      </c>
      <c r="I457" s="1643">
        <v>42156</v>
      </c>
    </row>
    <row r="458" spans="1:9">
      <c r="A458" s="1596" t="s">
        <v>1149</v>
      </c>
      <c r="B458" s="1596">
        <v>10011</v>
      </c>
      <c r="C458" s="1695">
        <v>4093000000</v>
      </c>
      <c r="D458" s="1695">
        <v>3889000000</v>
      </c>
      <c r="E458" s="1695">
        <v>166</v>
      </c>
      <c r="F458" s="1695">
        <v>60</v>
      </c>
      <c r="G458" s="1695">
        <v>6</v>
      </c>
      <c r="H458" s="1695">
        <v>66</v>
      </c>
      <c r="I458" s="1643">
        <v>42156</v>
      </c>
    </row>
    <row r="459" spans="1:9">
      <c r="A459" s="1596" t="s">
        <v>1150</v>
      </c>
      <c r="B459" s="1596">
        <v>10023</v>
      </c>
      <c r="C459" s="1695">
        <v>3196000000</v>
      </c>
      <c r="D459" s="1695">
        <v>3037000000</v>
      </c>
      <c r="E459" s="1695">
        <v>132</v>
      </c>
      <c r="F459" s="1695">
        <v>47</v>
      </c>
      <c r="G459" s="1695">
        <v>4</v>
      </c>
      <c r="H459" s="1695">
        <v>51</v>
      </c>
      <c r="I459" s="1643">
        <v>42156</v>
      </c>
    </row>
    <row r="460" spans="1:9">
      <c r="A460" s="1596" t="s">
        <v>1152</v>
      </c>
      <c r="B460" s="1596">
        <v>10041</v>
      </c>
      <c r="C460" s="1695">
        <v>1420000000</v>
      </c>
      <c r="D460" s="1695">
        <v>1350000000</v>
      </c>
      <c r="E460" s="1695">
        <v>58</v>
      </c>
      <c r="F460" s="1695">
        <v>30</v>
      </c>
      <c r="G460" s="1695">
        <v>6</v>
      </c>
      <c r="H460" s="1695">
        <v>36</v>
      </c>
      <c r="I460" s="1643">
        <v>42156</v>
      </c>
    </row>
    <row r="461" spans="1:9">
      <c r="A461" s="1596" t="s">
        <v>1153</v>
      </c>
      <c r="B461" s="1596">
        <v>10050</v>
      </c>
      <c r="C461" s="1695">
        <v>4634000000</v>
      </c>
      <c r="D461" s="1695">
        <v>4402000000</v>
      </c>
      <c r="E461" s="1695">
        <v>217</v>
      </c>
      <c r="F461" s="1695">
        <v>134</v>
      </c>
      <c r="G461" s="1695">
        <v>13</v>
      </c>
      <c r="H461" s="1695">
        <v>147</v>
      </c>
      <c r="I461" s="1643">
        <v>42156</v>
      </c>
    </row>
    <row r="462" spans="1:9">
      <c r="A462" s="1596" t="s">
        <v>1155</v>
      </c>
      <c r="B462" s="1596">
        <v>10085</v>
      </c>
      <c r="C462" s="1695">
        <v>7077000000</v>
      </c>
      <c r="D462" s="1695">
        <v>6740000000</v>
      </c>
      <c r="E462" s="1695">
        <v>325</v>
      </c>
      <c r="F462" s="1695">
        <v>160</v>
      </c>
      <c r="G462" s="1695">
        <v>31</v>
      </c>
      <c r="H462" s="1695">
        <v>191</v>
      </c>
      <c r="I462" s="1643">
        <v>42156</v>
      </c>
    </row>
    <row r="463" spans="1:9">
      <c r="A463" s="1596" t="s">
        <v>1156</v>
      </c>
      <c r="B463" s="1596">
        <v>10101</v>
      </c>
      <c r="C463" s="1695">
        <v>850500000</v>
      </c>
      <c r="D463" s="1695">
        <v>810000000</v>
      </c>
      <c r="E463" s="1695">
        <v>44</v>
      </c>
      <c r="F463" s="1695">
        <v>30</v>
      </c>
      <c r="G463" s="1695">
        <v>10</v>
      </c>
      <c r="H463" s="1695">
        <v>40</v>
      </c>
      <c r="I463" s="1643">
        <v>42156</v>
      </c>
    </row>
    <row r="464" spans="1:9">
      <c r="A464" s="1596" t="s">
        <v>794</v>
      </c>
      <c r="B464" s="1596">
        <v>10010</v>
      </c>
      <c r="C464" s="1695">
        <v>8709000000</v>
      </c>
      <c r="D464" s="1695">
        <v>8276000000</v>
      </c>
      <c r="E464" s="1695">
        <v>356</v>
      </c>
      <c r="F464" s="1695">
        <v>137</v>
      </c>
      <c r="G464" s="1695">
        <v>16</v>
      </c>
      <c r="H464" s="1695">
        <v>153</v>
      </c>
      <c r="I464" s="1643">
        <v>42156</v>
      </c>
    </row>
    <row r="465" spans="1:9">
      <c r="A465" s="1596" t="s">
        <v>793</v>
      </c>
      <c r="B465" s="1596">
        <v>10049</v>
      </c>
      <c r="C465" s="1695">
        <v>4634000000</v>
      </c>
      <c r="D465" s="1695">
        <v>4402000000</v>
      </c>
      <c r="E465" s="1695">
        <v>217</v>
      </c>
      <c r="F465" s="1695">
        <v>134</v>
      </c>
      <c r="G465" s="1695">
        <v>13</v>
      </c>
      <c r="H465" s="1695">
        <v>147</v>
      </c>
      <c r="I465" s="1643">
        <v>42156</v>
      </c>
    </row>
    <row r="466" spans="1:9">
      <c r="A466" s="1596" t="s">
        <v>1158</v>
      </c>
      <c r="B466" s="1596" t="s">
        <v>1159</v>
      </c>
      <c r="C466" s="1695">
        <v>31434500000</v>
      </c>
      <c r="D466" s="1695">
        <v>29908000000</v>
      </c>
      <c r="E466" s="1695">
        <v>1290</v>
      </c>
      <c r="F466" s="1695">
        <v>597</v>
      </c>
      <c r="G466" s="1695">
        <v>99</v>
      </c>
      <c r="H466" s="1695">
        <v>696</v>
      </c>
      <c r="I466" s="1643">
        <v>42156</v>
      </c>
    </row>
    <row r="467" spans="1:9">
      <c r="A467" s="1596" t="s">
        <v>792</v>
      </c>
      <c r="B467" s="1596">
        <v>10001</v>
      </c>
      <c r="C467" s="1695">
        <v>15823500000</v>
      </c>
      <c r="D467" s="1695">
        <v>15070000000</v>
      </c>
      <c r="E467" s="1695">
        <v>618</v>
      </c>
      <c r="F467" s="1695">
        <v>278</v>
      </c>
      <c r="G467" s="1695">
        <v>53</v>
      </c>
      <c r="H467" s="1695">
        <v>331</v>
      </c>
      <c r="I467" s="1643">
        <v>42156</v>
      </c>
    </row>
    <row r="468" spans="1:9">
      <c r="A468" s="1596" t="s">
        <v>1151</v>
      </c>
      <c r="B468" s="1596">
        <v>10034</v>
      </c>
      <c r="C468" s="1695">
        <v>4252500000</v>
      </c>
      <c r="D468" s="1695">
        <v>4050000000</v>
      </c>
      <c r="E468" s="1695">
        <v>141</v>
      </c>
      <c r="F468" s="1695">
        <v>58</v>
      </c>
      <c r="G468" s="1695">
        <v>10</v>
      </c>
      <c r="H468" s="1695">
        <v>68</v>
      </c>
      <c r="I468" s="1643">
        <v>42156</v>
      </c>
    </row>
    <row r="469" spans="1:9">
      <c r="A469" s="1596" t="s">
        <v>949</v>
      </c>
      <c r="B469" s="1596">
        <v>10092</v>
      </c>
      <c r="C469" s="1695">
        <v>472500000</v>
      </c>
      <c r="D469" s="1695">
        <v>450000000</v>
      </c>
      <c r="E469" s="1695">
        <v>20</v>
      </c>
      <c r="F469" s="1695">
        <v>10</v>
      </c>
      <c r="G469" s="1695">
        <v>5</v>
      </c>
      <c r="H469" s="1695">
        <v>15</v>
      </c>
      <c r="I469" s="1643">
        <v>42156</v>
      </c>
    </row>
    <row r="470" spans="1:9">
      <c r="A470" s="1596" t="s">
        <v>458</v>
      </c>
      <c r="B470" s="1596">
        <v>10056</v>
      </c>
      <c r="C470" s="1695">
        <v>2268000000</v>
      </c>
      <c r="D470" s="1695">
        <v>2160000000</v>
      </c>
      <c r="E470" s="1695">
        <v>99</v>
      </c>
      <c r="F470" s="1695">
        <v>48</v>
      </c>
      <c r="G470" s="1695">
        <v>17</v>
      </c>
      <c r="H470" s="1695">
        <v>65</v>
      </c>
      <c r="I470" s="1643">
        <v>42156</v>
      </c>
    </row>
    <row r="471" spans="1:9">
      <c r="A471" s="1596" t="s">
        <v>1154</v>
      </c>
      <c r="B471" s="1596">
        <v>10057</v>
      </c>
      <c r="C471" s="1695">
        <v>945000000</v>
      </c>
      <c r="D471" s="1695">
        <v>900000000</v>
      </c>
      <c r="E471" s="1695">
        <v>35</v>
      </c>
      <c r="F471" s="1695">
        <v>8</v>
      </c>
      <c r="G471" s="1695">
        <v>2</v>
      </c>
      <c r="H471" s="1695">
        <v>10</v>
      </c>
      <c r="I471" s="1643">
        <v>42156</v>
      </c>
    </row>
    <row r="472" spans="1:9">
      <c r="A472" s="1596" t="s">
        <v>1675</v>
      </c>
      <c r="B472" s="1596">
        <v>10126</v>
      </c>
      <c r="C472" s="1695">
        <v>472500000</v>
      </c>
      <c r="D472" s="1695">
        <v>450000000</v>
      </c>
      <c r="E472" s="1695">
        <v>20</v>
      </c>
      <c r="F472" s="1695">
        <v>10</v>
      </c>
      <c r="G472" s="1695">
        <v>5</v>
      </c>
      <c r="H472" s="1695">
        <v>15</v>
      </c>
      <c r="I472" s="1643">
        <v>42156</v>
      </c>
    </row>
    <row r="473" spans="1:9">
      <c r="A473" s="1596" t="s">
        <v>1291</v>
      </c>
      <c r="B473" s="1596">
        <v>10003</v>
      </c>
      <c r="C473" s="1695">
        <v>2562000000</v>
      </c>
      <c r="D473" s="1695">
        <v>2440000000</v>
      </c>
      <c r="E473" s="1695">
        <v>116</v>
      </c>
      <c r="F473" s="1695">
        <v>43</v>
      </c>
      <c r="G473" s="1695">
        <v>9</v>
      </c>
      <c r="H473" s="1695">
        <v>52</v>
      </c>
      <c r="I473" s="1643">
        <v>42156</v>
      </c>
    </row>
    <row r="474" spans="1:9">
      <c r="A474" s="1596" t="s">
        <v>1292</v>
      </c>
      <c r="B474" s="1596">
        <v>10012</v>
      </c>
      <c r="C474" s="1695">
        <v>4093000000</v>
      </c>
      <c r="D474" s="1695">
        <v>3889000000</v>
      </c>
      <c r="E474" s="1695">
        <v>166</v>
      </c>
      <c r="F474" s="1695">
        <v>60</v>
      </c>
      <c r="G474" s="1695">
        <v>6</v>
      </c>
      <c r="H474" s="1695">
        <v>66</v>
      </c>
      <c r="I474" s="1643">
        <v>42156</v>
      </c>
    </row>
    <row r="475" spans="1:9">
      <c r="A475" s="1596" t="s">
        <v>1293</v>
      </c>
      <c r="B475" s="1596">
        <v>10024</v>
      </c>
      <c r="C475" s="1695">
        <v>1184000000</v>
      </c>
      <c r="D475" s="1695">
        <v>1125000000</v>
      </c>
      <c r="E475" s="1695">
        <v>45</v>
      </c>
      <c r="F475" s="1695">
        <v>8</v>
      </c>
      <c r="G475" s="1695">
        <v>0</v>
      </c>
      <c r="H475" s="1695">
        <v>8</v>
      </c>
      <c r="I475" s="1643">
        <v>42156</v>
      </c>
    </row>
    <row r="476" spans="1:9">
      <c r="A476" s="1596" t="s">
        <v>1294</v>
      </c>
      <c r="B476" s="1596">
        <v>10035</v>
      </c>
      <c r="C476" s="1695">
        <v>2740500000</v>
      </c>
      <c r="D476" s="1695">
        <v>2610000000</v>
      </c>
      <c r="E476" s="1695">
        <v>119</v>
      </c>
      <c r="F476" s="1695">
        <v>50</v>
      </c>
      <c r="G476" s="1695">
        <v>8</v>
      </c>
      <c r="H476" s="1695">
        <v>58</v>
      </c>
      <c r="I476" s="1643">
        <v>42156</v>
      </c>
    </row>
    <row r="477" spans="1:9">
      <c r="A477" s="1596" t="s">
        <v>1295</v>
      </c>
      <c r="B477" s="1596">
        <v>10042</v>
      </c>
      <c r="C477" s="1695">
        <v>1420000000</v>
      </c>
      <c r="D477" s="1695">
        <v>1350000000</v>
      </c>
      <c r="E477" s="1695">
        <v>58</v>
      </c>
      <c r="F477" s="1695">
        <v>30</v>
      </c>
      <c r="G477" s="1695">
        <v>6</v>
      </c>
      <c r="H477" s="1695">
        <v>36</v>
      </c>
      <c r="I477" s="1643">
        <v>42156</v>
      </c>
    </row>
    <row r="478" spans="1:9">
      <c r="A478" s="1596" t="s">
        <v>1296</v>
      </c>
      <c r="B478" s="1596">
        <v>10047</v>
      </c>
      <c r="C478" s="1695">
        <v>3549000000</v>
      </c>
      <c r="D478" s="1695">
        <v>3380000000</v>
      </c>
      <c r="E478" s="1695">
        <v>132</v>
      </c>
      <c r="F478" s="1695">
        <v>50</v>
      </c>
      <c r="G478" s="1695">
        <v>12</v>
      </c>
      <c r="H478" s="1695">
        <v>62</v>
      </c>
      <c r="I478" s="1643">
        <v>42156</v>
      </c>
    </row>
    <row r="479" spans="1:9">
      <c r="A479" s="1596" t="s">
        <v>1297</v>
      </c>
      <c r="B479" s="1596">
        <v>10051</v>
      </c>
      <c r="C479" s="1695">
        <v>2710000000</v>
      </c>
      <c r="D479" s="1695">
        <v>2574000000</v>
      </c>
      <c r="E479" s="1695">
        <v>120</v>
      </c>
      <c r="F479" s="1695">
        <v>67</v>
      </c>
      <c r="G479" s="1695">
        <v>6</v>
      </c>
      <c r="H479" s="1695">
        <v>73</v>
      </c>
      <c r="I479" s="1643">
        <v>42156</v>
      </c>
    </row>
    <row r="480" spans="1:9">
      <c r="A480" s="1596" t="s">
        <v>1298</v>
      </c>
      <c r="B480" s="1596">
        <v>10054</v>
      </c>
      <c r="C480" s="1695">
        <v>1512000000</v>
      </c>
      <c r="D480" s="1695">
        <v>1440000000</v>
      </c>
      <c r="E480" s="1695">
        <v>22</v>
      </c>
      <c r="F480" s="1695">
        <v>8</v>
      </c>
      <c r="G480" s="1695">
        <v>2</v>
      </c>
      <c r="H480" s="1695">
        <v>10</v>
      </c>
      <c r="I480" s="1643">
        <v>42156</v>
      </c>
    </row>
    <row r="481" spans="1:9">
      <c r="A481" s="1596" t="s">
        <v>1299</v>
      </c>
      <c r="B481" s="1596">
        <v>10058</v>
      </c>
      <c r="C481" s="1695">
        <v>945000000</v>
      </c>
      <c r="D481" s="1695">
        <v>900000000</v>
      </c>
      <c r="E481" s="1695">
        <v>35</v>
      </c>
      <c r="F481" s="1695">
        <v>8</v>
      </c>
      <c r="G481" s="1695">
        <v>2</v>
      </c>
      <c r="H481" s="1695">
        <v>10</v>
      </c>
      <c r="I481" s="1643">
        <v>42156</v>
      </c>
    </row>
    <row r="482" spans="1:9">
      <c r="A482" s="1596" t="s">
        <v>1300</v>
      </c>
      <c r="B482" s="1596">
        <v>10072</v>
      </c>
      <c r="C482" s="1695">
        <v>945000000</v>
      </c>
      <c r="D482" s="1695">
        <v>900000000</v>
      </c>
      <c r="E482" s="1695">
        <v>20</v>
      </c>
      <c r="F482" s="1695">
        <v>10</v>
      </c>
      <c r="G482" s="1695">
        <v>2</v>
      </c>
      <c r="H482" s="1695">
        <v>12</v>
      </c>
      <c r="I482" s="1643">
        <v>42156</v>
      </c>
    </row>
    <row r="483" spans="1:9">
      <c r="A483" s="1596" t="s">
        <v>1301</v>
      </c>
      <c r="B483" s="1596">
        <v>10086</v>
      </c>
      <c r="C483" s="1695">
        <v>2012000000</v>
      </c>
      <c r="D483" s="1695">
        <v>1912000000</v>
      </c>
      <c r="E483" s="1695">
        <v>87</v>
      </c>
      <c r="F483" s="1695">
        <v>39</v>
      </c>
      <c r="G483" s="1695">
        <v>4</v>
      </c>
      <c r="H483" s="1695">
        <v>43</v>
      </c>
      <c r="I483" s="1643">
        <v>42156</v>
      </c>
    </row>
    <row r="484" spans="1:9">
      <c r="A484" s="1596" t="s">
        <v>1302</v>
      </c>
      <c r="B484" s="1596">
        <v>10087</v>
      </c>
      <c r="C484" s="1695">
        <v>4515000000</v>
      </c>
      <c r="D484" s="1695">
        <v>4300000000</v>
      </c>
      <c r="E484" s="1695">
        <v>209</v>
      </c>
      <c r="F484" s="1695">
        <v>117</v>
      </c>
      <c r="G484" s="1695">
        <v>22</v>
      </c>
      <c r="H484" s="1695">
        <v>139</v>
      </c>
      <c r="I484" s="1643">
        <v>42156</v>
      </c>
    </row>
    <row r="485" spans="1:9">
      <c r="A485" s="1596" t="s">
        <v>1303</v>
      </c>
      <c r="B485" s="1596">
        <v>10091</v>
      </c>
      <c r="C485" s="1695">
        <v>472500000</v>
      </c>
      <c r="D485" s="1695">
        <v>450000000</v>
      </c>
      <c r="E485" s="1695">
        <v>20</v>
      </c>
      <c r="F485" s="1695">
        <v>10</v>
      </c>
      <c r="G485" s="1695">
        <v>5</v>
      </c>
      <c r="H485" s="1695">
        <v>15</v>
      </c>
      <c r="I485" s="1643">
        <v>42156</v>
      </c>
    </row>
    <row r="486" spans="1:9">
      <c r="A486" s="1596" t="s">
        <v>1422</v>
      </c>
      <c r="B486" s="1596">
        <v>10095</v>
      </c>
      <c r="C486" s="1695">
        <v>1138000000</v>
      </c>
      <c r="D486" s="1695">
        <v>1081000000</v>
      </c>
      <c r="E486" s="1695">
        <v>64</v>
      </c>
      <c r="F486" s="1695">
        <v>43</v>
      </c>
      <c r="G486" s="1695">
        <v>4</v>
      </c>
      <c r="H486" s="1695">
        <v>47</v>
      </c>
      <c r="I486" s="1643">
        <v>42156</v>
      </c>
    </row>
    <row r="487" spans="1:9">
      <c r="A487" s="1596" t="s">
        <v>1305</v>
      </c>
      <c r="B487" s="1596">
        <v>10102</v>
      </c>
      <c r="C487" s="1695">
        <v>850500000</v>
      </c>
      <c r="D487" s="1695">
        <v>810000000</v>
      </c>
      <c r="E487" s="1695">
        <v>44</v>
      </c>
      <c r="F487" s="1695">
        <v>30</v>
      </c>
      <c r="G487" s="1695">
        <v>10</v>
      </c>
      <c r="H487" s="1695">
        <v>40</v>
      </c>
      <c r="I487" s="1643">
        <v>42156</v>
      </c>
    </row>
    <row r="488" spans="1:9">
      <c r="A488" s="1596" t="s">
        <v>1423</v>
      </c>
      <c r="B488" s="1596">
        <v>10116</v>
      </c>
      <c r="C488" s="1695">
        <v>568000000</v>
      </c>
      <c r="D488" s="1695">
        <v>540000000</v>
      </c>
      <c r="E488" s="1695">
        <v>21</v>
      </c>
      <c r="F488" s="1695">
        <v>9</v>
      </c>
      <c r="G488" s="1695">
        <v>0</v>
      </c>
      <c r="H488" s="1695">
        <v>9</v>
      </c>
      <c r="I488" s="1643">
        <v>42156</v>
      </c>
    </row>
    <row r="489" spans="1:9">
      <c r="A489" s="1596" t="s">
        <v>1424</v>
      </c>
      <c r="B489" s="1596">
        <v>10118</v>
      </c>
      <c r="C489" s="1695">
        <v>218000000</v>
      </c>
      <c r="D489" s="1695">
        <v>207000000</v>
      </c>
      <c r="E489" s="1695">
        <v>12</v>
      </c>
      <c r="F489" s="1695">
        <v>15</v>
      </c>
      <c r="G489" s="1695">
        <v>3</v>
      </c>
      <c r="H489" s="1695">
        <v>18</v>
      </c>
      <c r="I489" s="1643">
        <v>42156</v>
      </c>
    </row>
    <row r="492" spans="1:9">
      <c r="A492" s="1691" t="s">
        <v>1779</v>
      </c>
    </row>
    <row r="493" spans="1:9">
      <c r="A493" s="1692" t="s">
        <v>1109</v>
      </c>
      <c r="B493" s="1692" t="s">
        <v>1110</v>
      </c>
      <c r="C493" s="1699" t="s">
        <v>1</v>
      </c>
      <c r="D493" s="1699" t="s">
        <v>2</v>
      </c>
      <c r="E493" s="1699" t="s">
        <v>1108</v>
      </c>
      <c r="F493" s="1699" t="s">
        <v>1107</v>
      </c>
      <c r="G493" s="1699" t="s">
        <v>1106</v>
      </c>
      <c r="H493" s="1699" t="s">
        <v>1105</v>
      </c>
      <c r="I493" s="1692" t="s">
        <v>1160</v>
      </c>
    </row>
    <row r="494" spans="1:9">
      <c r="A494" s="1693" t="s">
        <v>47</v>
      </c>
      <c r="B494" s="1693" t="s">
        <v>1780</v>
      </c>
      <c r="C494" s="1700">
        <v>456750000</v>
      </c>
      <c r="D494" s="1700">
        <v>435000000</v>
      </c>
      <c r="E494" s="1700">
        <v>18</v>
      </c>
      <c r="F494" s="1700">
        <v>8</v>
      </c>
      <c r="G494" s="1700">
        <v>0</v>
      </c>
      <c r="H494" s="1700">
        <v>8</v>
      </c>
      <c r="I494" s="1694">
        <v>42186</v>
      </c>
    </row>
    <row r="495" spans="1:9">
      <c r="A495" s="1693" t="s">
        <v>91</v>
      </c>
      <c r="B495" s="1693" t="s">
        <v>1781</v>
      </c>
      <c r="C495" s="1700">
        <v>1176000000</v>
      </c>
      <c r="D495" s="1700">
        <v>1120000000</v>
      </c>
      <c r="E495" s="1700">
        <v>30</v>
      </c>
      <c r="F495" s="1700">
        <v>8</v>
      </c>
      <c r="G495" s="1700">
        <v>0</v>
      </c>
      <c r="H495" s="1700">
        <v>8</v>
      </c>
      <c r="I495" s="1694">
        <v>42186</v>
      </c>
    </row>
    <row r="496" spans="1:9">
      <c r="A496" s="1693" t="s">
        <v>177</v>
      </c>
      <c r="B496" s="1693" t="s">
        <v>1782</v>
      </c>
      <c r="C496" s="1700">
        <v>803520000</v>
      </c>
      <c r="D496" s="1700">
        <v>763343999.99999988</v>
      </c>
      <c r="E496" s="1700">
        <v>30</v>
      </c>
      <c r="F496" s="1700">
        <v>15</v>
      </c>
      <c r="G496" s="1700">
        <v>1</v>
      </c>
      <c r="H496" s="1700">
        <v>16</v>
      </c>
      <c r="I496" s="1694">
        <v>42186</v>
      </c>
    </row>
    <row r="497" spans="1:9">
      <c r="A497" s="1693" t="s">
        <v>185</v>
      </c>
      <c r="B497" s="1693" t="s">
        <v>1783</v>
      </c>
      <c r="C497" s="1700">
        <v>638400000.00000012</v>
      </c>
      <c r="D497" s="1700">
        <v>606480000</v>
      </c>
      <c r="E497" s="1700">
        <v>19</v>
      </c>
      <c r="F497" s="1700">
        <v>12</v>
      </c>
      <c r="G497" s="1700">
        <v>3</v>
      </c>
      <c r="H497" s="1700">
        <v>15</v>
      </c>
      <c r="I497" s="1694">
        <v>42186</v>
      </c>
    </row>
    <row r="498" spans="1:9">
      <c r="A498" s="1693" t="s">
        <v>179</v>
      </c>
      <c r="B498" s="1693" t="s">
        <v>1784</v>
      </c>
      <c r="C498" s="1700">
        <v>1130415000.0000002</v>
      </c>
      <c r="D498" s="1700">
        <v>1073894250</v>
      </c>
      <c r="E498" s="1700">
        <v>69</v>
      </c>
      <c r="F498" s="1700">
        <v>10</v>
      </c>
      <c r="G498" s="1700">
        <v>4</v>
      </c>
      <c r="H498" s="1700">
        <v>14</v>
      </c>
      <c r="I498" s="1694">
        <v>42186</v>
      </c>
    </row>
    <row r="499" spans="1:9">
      <c r="A499" s="1693" t="s">
        <v>176</v>
      </c>
      <c r="B499" s="1693" t="s">
        <v>1785</v>
      </c>
      <c r="C499" s="1700">
        <v>1339758000</v>
      </c>
      <c r="D499" s="1700">
        <v>1272770100</v>
      </c>
      <c r="E499" s="1700">
        <v>53</v>
      </c>
      <c r="F499" s="1700">
        <v>20</v>
      </c>
      <c r="G499" s="1700">
        <v>2</v>
      </c>
      <c r="H499" s="1700">
        <v>22</v>
      </c>
      <c r="I499" s="1694">
        <v>42186</v>
      </c>
    </row>
    <row r="500" spans="1:9">
      <c r="A500" s="1693" t="s">
        <v>187</v>
      </c>
      <c r="B500" s="1693" t="s">
        <v>1786</v>
      </c>
      <c r="C500" s="1700">
        <v>504000000</v>
      </c>
      <c r="D500" s="1700">
        <v>480000000</v>
      </c>
      <c r="E500" s="1700">
        <v>24</v>
      </c>
      <c r="F500" s="1700">
        <v>8</v>
      </c>
      <c r="G500" s="1700">
        <v>0</v>
      </c>
      <c r="H500" s="1700">
        <v>8</v>
      </c>
      <c r="I500" s="1694">
        <v>42186</v>
      </c>
    </row>
    <row r="501" spans="1:9">
      <c r="A501" s="1693" t="s">
        <v>630</v>
      </c>
      <c r="B501" s="1693" t="s">
        <v>1787</v>
      </c>
      <c r="C501" s="1700">
        <v>441000000</v>
      </c>
      <c r="D501" s="1700">
        <v>420000000</v>
      </c>
      <c r="E501" s="1700">
        <v>27</v>
      </c>
      <c r="F501" s="1700">
        <v>8</v>
      </c>
      <c r="G501" s="1700">
        <v>0</v>
      </c>
      <c r="H501" s="1700">
        <v>8</v>
      </c>
      <c r="I501" s="1694">
        <v>42186</v>
      </c>
    </row>
    <row r="502" spans="1:9">
      <c r="A502" s="1693" t="s">
        <v>661</v>
      </c>
      <c r="B502" s="1693" t="s">
        <v>1788</v>
      </c>
      <c r="C502" s="1700">
        <v>219000000</v>
      </c>
      <c r="D502" s="1700">
        <v>208000000</v>
      </c>
      <c r="E502" s="1700">
        <v>10</v>
      </c>
      <c r="F502" s="1700">
        <v>0</v>
      </c>
      <c r="G502" s="1700">
        <v>0</v>
      </c>
      <c r="H502" s="1700">
        <v>0</v>
      </c>
      <c r="I502" s="1694">
        <v>42186</v>
      </c>
    </row>
    <row r="503" spans="1:9">
      <c r="A503" s="1693" t="s">
        <v>628</v>
      </c>
      <c r="B503" s="1693" t="s">
        <v>1789</v>
      </c>
      <c r="C503" s="1700">
        <v>441000000</v>
      </c>
      <c r="D503" s="1700">
        <v>420000000</v>
      </c>
      <c r="E503" s="1700">
        <v>19</v>
      </c>
      <c r="F503" s="1700">
        <v>8</v>
      </c>
      <c r="G503" s="1700">
        <v>0</v>
      </c>
      <c r="H503" s="1700">
        <v>8</v>
      </c>
      <c r="I503" s="1694">
        <v>42186</v>
      </c>
    </row>
    <row r="504" spans="1:9">
      <c r="A504" s="1693" t="s">
        <v>650</v>
      </c>
      <c r="B504" s="1693" t="s">
        <v>1790</v>
      </c>
      <c r="C504" s="1700">
        <v>441000000</v>
      </c>
      <c r="D504" s="1700">
        <v>420000000</v>
      </c>
      <c r="E504" s="1700">
        <v>21</v>
      </c>
      <c r="F504" s="1700">
        <v>8</v>
      </c>
      <c r="G504" s="1700">
        <v>0</v>
      </c>
      <c r="H504" s="1700">
        <v>8</v>
      </c>
      <c r="I504" s="1694">
        <v>42186</v>
      </c>
    </row>
    <row r="505" spans="1:9">
      <c r="A505" s="1693" t="s">
        <v>660</v>
      </c>
      <c r="B505" s="1693" t="s">
        <v>1791</v>
      </c>
      <c r="C505" s="1700">
        <v>652800000.00000012</v>
      </c>
      <c r="D505" s="1700">
        <v>620160000.00000012</v>
      </c>
      <c r="E505" s="1700">
        <v>27</v>
      </c>
      <c r="F505" s="1700">
        <v>15</v>
      </c>
      <c r="G505" s="1700">
        <v>0</v>
      </c>
      <c r="H505" s="1700">
        <v>15</v>
      </c>
      <c r="I505" s="1694">
        <v>42186</v>
      </c>
    </row>
    <row r="506" spans="1:9">
      <c r="A506" s="1693" t="s">
        <v>648</v>
      </c>
      <c r="B506" s="1693" t="s">
        <v>1792</v>
      </c>
      <c r="C506" s="1700">
        <v>441000000</v>
      </c>
      <c r="D506" s="1700">
        <v>420000000</v>
      </c>
      <c r="E506" s="1700">
        <v>22</v>
      </c>
      <c r="F506" s="1700">
        <v>8</v>
      </c>
      <c r="G506" s="1700">
        <v>0</v>
      </c>
      <c r="H506" s="1700">
        <v>8</v>
      </c>
      <c r="I506" s="1694">
        <v>42186</v>
      </c>
    </row>
    <row r="507" spans="1:9">
      <c r="A507" s="1693" t="s">
        <v>659</v>
      </c>
      <c r="B507" s="1693" t="s">
        <v>1793</v>
      </c>
      <c r="C507" s="1700">
        <v>936319999.99999988</v>
      </c>
      <c r="D507" s="1700">
        <v>889503999.99999988</v>
      </c>
      <c r="E507" s="1700">
        <v>37</v>
      </c>
      <c r="F507" s="1700">
        <v>15</v>
      </c>
      <c r="G507" s="1700">
        <v>1</v>
      </c>
      <c r="H507" s="1700">
        <v>16</v>
      </c>
      <c r="I507" s="1694">
        <v>42186</v>
      </c>
    </row>
    <row r="508" spans="1:9">
      <c r="A508" s="1693" t="s">
        <v>649</v>
      </c>
      <c r="B508" s="1693" t="s">
        <v>1794</v>
      </c>
      <c r="C508" s="1700">
        <v>525000000</v>
      </c>
      <c r="D508" s="1700">
        <v>500000000</v>
      </c>
      <c r="E508" s="1700">
        <v>19</v>
      </c>
      <c r="F508" s="1700">
        <v>8</v>
      </c>
      <c r="G508" s="1700">
        <v>0</v>
      </c>
      <c r="H508" s="1700">
        <v>8</v>
      </c>
      <c r="I508" s="1694">
        <v>42186</v>
      </c>
    </row>
    <row r="509" spans="1:9">
      <c r="A509" s="1693" t="s">
        <v>642</v>
      </c>
      <c r="B509" s="1693" t="s">
        <v>1795</v>
      </c>
      <c r="C509" s="1700">
        <v>409500000</v>
      </c>
      <c r="D509" s="1700">
        <v>390000000</v>
      </c>
      <c r="E509" s="1700">
        <v>18</v>
      </c>
      <c r="F509" s="1700">
        <v>8</v>
      </c>
      <c r="G509" s="1700">
        <v>0</v>
      </c>
      <c r="H509" s="1700">
        <v>8</v>
      </c>
      <c r="I509" s="1694">
        <v>42186</v>
      </c>
    </row>
    <row r="510" spans="1:9">
      <c r="A510" s="1693" t="s">
        <v>736</v>
      </c>
      <c r="B510" s="1693" t="s">
        <v>1796</v>
      </c>
      <c r="C510" s="1700">
        <v>546000000</v>
      </c>
      <c r="D510" s="1700">
        <v>520000000</v>
      </c>
      <c r="E510" s="1700">
        <v>34</v>
      </c>
      <c r="F510" s="1700">
        <v>7</v>
      </c>
      <c r="G510" s="1700">
        <v>0</v>
      </c>
      <c r="H510" s="1700">
        <v>7</v>
      </c>
      <c r="I510" s="1694">
        <v>42186</v>
      </c>
    </row>
    <row r="511" spans="1:9">
      <c r="A511" s="1693" t="s">
        <v>699</v>
      </c>
      <c r="B511" s="1693" t="s">
        <v>1797</v>
      </c>
      <c r="C511" s="1700">
        <v>369152000</v>
      </c>
      <c r="D511" s="1700">
        <v>350694400</v>
      </c>
      <c r="E511" s="1700">
        <v>16</v>
      </c>
      <c r="F511" s="1700">
        <v>10</v>
      </c>
      <c r="G511" s="1700">
        <v>0</v>
      </c>
      <c r="H511" s="1700">
        <v>10</v>
      </c>
      <c r="I511" s="1694">
        <v>42186</v>
      </c>
    </row>
    <row r="512" spans="1:9">
      <c r="A512" s="1693" t="s">
        <v>737</v>
      </c>
      <c r="B512" s="1693" t="s">
        <v>1798</v>
      </c>
      <c r="C512" s="1700">
        <v>0</v>
      </c>
      <c r="D512" s="1700">
        <v>0</v>
      </c>
      <c r="E512" s="1700">
        <v>0</v>
      </c>
      <c r="F512" s="1700">
        <v>0</v>
      </c>
      <c r="G512" s="1700">
        <v>0</v>
      </c>
      <c r="H512" s="1700">
        <v>0</v>
      </c>
      <c r="I512" s="1694">
        <v>42186</v>
      </c>
    </row>
    <row r="513" spans="1:9">
      <c r="A513" s="1693" t="s">
        <v>735</v>
      </c>
      <c r="B513" s="1693" t="s">
        <v>1799</v>
      </c>
      <c r="C513" s="1700">
        <v>1008000000</v>
      </c>
      <c r="D513" s="1700">
        <v>960000000</v>
      </c>
      <c r="E513" s="1700">
        <v>24</v>
      </c>
      <c r="F513" s="1700">
        <v>8</v>
      </c>
      <c r="G513" s="1700">
        <v>0</v>
      </c>
      <c r="H513" s="1700">
        <v>8</v>
      </c>
      <c r="I513" s="1694">
        <v>42186</v>
      </c>
    </row>
    <row r="514" spans="1:9">
      <c r="A514" s="1693" t="s">
        <v>734</v>
      </c>
      <c r="B514" s="1693" t="s">
        <v>1800</v>
      </c>
      <c r="C514" s="1700">
        <v>630000000</v>
      </c>
      <c r="D514" s="1700">
        <v>600000000</v>
      </c>
      <c r="E514" s="1700">
        <v>49</v>
      </c>
      <c r="F514" s="1700">
        <v>8</v>
      </c>
      <c r="G514" s="1700">
        <v>0</v>
      </c>
      <c r="H514" s="1700">
        <v>8</v>
      </c>
      <c r="I514" s="1694">
        <v>42186</v>
      </c>
    </row>
    <row r="515" spans="1:9">
      <c r="A515" s="1693" t="s">
        <v>798</v>
      </c>
      <c r="B515" s="1693" t="s">
        <v>1801</v>
      </c>
      <c r="C515" s="1700">
        <v>630000000</v>
      </c>
      <c r="D515" s="1700">
        <v>600000000</v>
      </c>
      <c r="E515" s="1700">
        <v>14</v>
      </c>
      <c r="F515" s="1700">
        <v>8</v>
      </c>
      <c r="G515" s="1700">
        <v>0</v>
      </c>
      <c r="H515" s="1700">
        <v>8</v>
      </c>
      <c r="I515" s="1694">
        <v>42186</v>
      </c>
    </row>
    <row r="516" spans="1:9">
      <c r="A516" s="1693" t="s">
        <v>796</v>
      </c>
      <c r="B516" s="1693" t="s">
        <v>1802</v>
      </c>
      <c r="C516" s="1700">
        <v>798000000</v>
      </c>
      <c r="D516" s="1700">
        <v>760000000</v>
      </c>
      <c r="E516" s="1700">
        <v>26</v>
      </c>
      <c r="F516" s="1700">
        <v>8</v>
      </c>
      <c r="G516" s="1700">
        <v>0</v>
      </c>
      <c r="H516" s="1700">
        <v>8</v>
      </c>
      <c r="I516" s="1694">
        <v>42186</v>
      </c>
    </row>
    <row r="517" spans="1:9">
      <c r="A517" s="1693" t="s">
        <v>799</v>
      </c>
      <c r="B517" s="1693" t="s">
        <v>1803</v>
      </c>
      <c r="C517" s="1700">
        <v>591360000</v>
      </c>
      <c r="D517" s="1700">
        <v>561792000</v>
      </c>
      <c r="E517" s="1700">
        <v>24</v>
      </c>
      <c r="F517" s="1700">
        <v>15</v>
      </c>
      <c r="G517" s="1700">
        <v>2</v>
      </c>
      <c r="H517" s="1700">
        <v>17</v>
      </c>
      <c r="I517" s="1694">
        <v>42186</v>
      </c>
    </row>
    <row r="518" spans="1:9">
      <c r="A518" s="1693" t="s">
        <v>825</v>
      </c>
      <c r="B518" s="1693" t="s">
        <v>1804</v>
      </c>
      <c r="C518" s="1700">
        <v>424612500</v>
      </c>
      <c r="D518" s="1700">
        <v>403381875</v>
      </c>
      <c r="E518" s="1700">
        <v>22</v>
      </c>
      <c r="F518" s="1700">
        <v>8</v>
      </c>
      <c r="G518" s="1700">
        <v>1</v>
      </c>
      <c r="H518" s="1700">
        <v>9</v>
      </c>
      <c r="I518" s="1694">
        <v>42186</v>
      </c>
    </row>
    <row r="519" spans="1:9">
      <c r="A519" s="1693" t="s">
        <v>905</v>
      </c>
      <c r="B519" s="1693" t="s">
        <v>1805</v>
      </c>
      <c r="C519" s="1700">
        <v>892500000</v>
      </c>
      <c r="D519" s="1700">
        <v>850000000</v>
      </c>
      <c r="E519" s="1700">
        <v>21</v>
      </c>
      <c r="F519" s="1700">
        <v>8</v>
      </c>
      <c r="G519" s="1700">
        <v>0</v>
      </c>
      <c r="H519" s="1700">
        <v>8</v>
      </c>
      <c r="I519" s="1694">
        <v>42186</v>
      </c>
    </row>
    <row r="520" spans="1:9">
      <c r="A520" s="1693" t="s">
        <v>903</v>
      </c>
      <c r="B520" s="1693" t="s">
        <v>1806</v>
      </c>
      <c r="C520" s="1700">
        <v>315000000</v>
      </c>
      <c r="D520" s="1700">
        <v>300000000</v>
      </c>
      <c r="E520" s="1700">
        <v>27</v>
      </c>
      <c r="F520" s="1700">
        <v>8</v>
      </c>
      <c r="G520" s="1700">
        <v>0</v>
      </c>
      <c r="H520" s="1700">
        <v>8</v>
      </c>
      <c r="I520" s="1694">
        <v>42186</v>
      </c>
    </row>
    <row r="521" spans="1:9">
      <c r="A521" s="1693" t="s">
        <v>902</v>
      </c>
      <c r="B521" s="1693" t="s">
        <v>1807</v>
      </c>
      <c r="C521" s="1700">
        <v>315000000</v>
      </c>
      <c r="D521" s="1700">
        <v>300000000</v>
      </c>
      <c r="E521" s="1700">
        <v>27</v>
      </c>
      <c r="F521" s="1700">
        <v>8</v>
      </c>
      <c r="G521" s="1700">
        <v>0</v>
      </c>
      <c r="H521" s="1700">
        <v>8</v>
      </c>
      <c r="I521" s="1694">
        <v>42186</v>
      </c>
    </row>
    <row r="522" spans="1:9">
      <c r="A522" s="1693" t="s">
        <v>900</v>
      </c>
      <c r="B522" s="1693" t="s">
        <v>1808</v>
      </c>
      <c r="C522" s="1700">
        <v>378000000</v>
      </c>
      <c r="D522" s="1700">
        <v>360000000</v>
      </c>
      <c r="E522" s="1700">
        <v>19</v>
      </c>
      <c r="F522" s="1700">
        <v>8</v>
      </c>
      <c r="G522" s="1700">
        <v>0</v>
      </c>
      <c r="H522" s="1700">
        <v>8</v>
      </c>
      <c r="I522" s="1694">
        <v>42186</v>
      </c>
    </row>
    <row r="523" spans="1:9">
      <c r="A523" s="1693" t="s">
        <v>949</v>
      </c>
      <c r="B523" s="1693" t="s">
        <v>1809</v>
      </c>
      <c r="C523" s="1700">
        <v>315000000</v>
      </c>
      <c r="D523" s="1700">
        <v>300000000</v>
      </c>
      <c r="E523" s="1700">
        <v>29</v>
      </c>
      <c r="F523" s="1700">
        <v>8</v>
      </c>
      <c r="G523" s="1700">
        <v>0</v>
      </c>
      <c r="H523" s="1700">
        <v>8</v>
      </c>
      <c r="I523" s="1694">
        <v>42186</v>
      </c>
    </row>
    <row r="524" spans="1:9">
      <c r="A524" s="1693" t="s">
        <v>1104</v>
      </c>
      <c r="B524" s="1693" t="s">
        <v>1810</v>
      </c>
      <c r="C524" s="1700">
        <v>423360000.00000012</v>
      </c>
      <c r="D524" s="1700">
        <v>402192000.00000012</v>
      </c>
      <c r="E524" s="1700">
        <v>20</v>
      </c>
      <c r="F524" s="1700">
        <v>10</v>
      </c>
      <c r="G524" s="1700">
        <v>0</v>
      </c>
      <c r="H524" s="1700">
        <v>10</v>
      </c>
      <c r="I524" s="1694">
        <v>42186</v>
      </c>
    </row>
    <row r="525" spans="1:9">
      <c r="A525" s="1693" t="s">
        <v>1015</v>
      </c>
      <c r="B525" s="1693" t="s">
        <v>1811</v>
      </c>
      <c r="C525" s="1700">
        <v>336000000</v>
      </c>
      <c r="D525" s="1700">
        <v>319000000</v>
      </c>
      <c r="E525" s="1700">
        <v>16</v>
      </c>
      <c r="F525" s="1700">
        <v>13</v>
      </c>
      <c r="G525" s="1700">
        <v>2</v>
      </c>
      <c r="H525" s="1700">
        <v>15</v>
      </c>
      <c r="I525" s="1694">
        <v>42186</v>
      </c>
    </row>
    <row r="526" spans="1:9">
      <c r="A526" s="1693" t="s">
        <v>1103</v>
      </c>
      <c r="B526" s="1693" t="s">
        <v>1812</v>
      </c>
      <c r="C526" s="1700">
        <v>386000000</v>
      </c>
      <c r="D526" s="1700">
        <v>367000000</v>
      </c>
      <c r="E526" s="1700">
        <v>23</v>
      </c>
      <c r="F526" s="1700">
        <v>15</v>
      </c>
      <c r="G526" s="1700">
        <v>0</v>
      </c>
      <c r="H526" s="1700">
        <v>15</v>
      </c>
      <c r="I526" s="1694">
        <v>42186</v>
      </c>
    </row>
    <row r="527" spans="1:9">
      <c r="A527" s="1693" t="s">
        <v>1102</v>
      </c>
      <c r="B527" s="1693" t="s">
        <v>1813</v>
      </c>
      <c r="C527" s="1700">
        <v>283500000</v>
      </c>
      <c r="D527" s="1700">
        <v>270000000</v>
      </c>
      <c r="E527" s="1700">
        <v>27</v>
      </c>
      <c r="F527" s="1700">
        <v>10</v>
      </c>
      <c r="G527" s="1700">
        <v>0</v>
      </c>
      <c r="H527" s="1700">
        <v>10</v>
      </c>
      <c r="I527" s="1694">
        <v>42186</v>
      </c>
    </row>
    <row r="528" spans="1:9">
      <c r="A528" s="1693" t="s">
        <v>1101</v>
      </c>
      <c r="B528" s="1693" t="s">
        <v>1814</v>
      </c>
      <c r="C528" s="1700">
        <v>283500000</v>
      </c>
      <c r="D528" s="1700">
        <v>270000000</v>
      </c>
      <c r="E528" s="1700">
        <v>13</v>
      </c>
      <c r="F528" s="1700">
        <v>10</v>
      </c>
      <c r="G528" s="1700">
        <v>0</v>
      </c>
      <c r="H528" s="1700">
        <v>10</v>
      </c>
      <c r="I528" s="1694">
        <v>42186</v>
      </c>
    </row>
    <row r="529" spans="1:9">
      <c r="A529" s="1693" t="s">
        <v>1100</v>
      </c>
      <c r="B529" s="1693" t="s">
        <v>1815</v>
      </c>
      <c r="C529" s="1700">
        <v>424612500</v>
      </c>
      <c r="D529" s="1700">
        <v>403381875</v>
      </c>
      <c r="E529" s="1700">
        <v>22</v>
      </c>
      <c r="F529" s="1700">
        <v>8</v>
      </c>
      <c r="G529" s="1700">
        <v>1</v>
      </c>
      <c r="H529" s="1700">
        <v>9</v>
      </c>
      <c r="I529" s="1694">
        <v>42186</v>
      </c>
    </row>
    <row r="530" spans="1:9">
      <c r="A530" s="1693" t="s">
        <v>1099</v>
      </c>
      <c r="B530" s="1693" t="s">
        <v>1816</v>
      </c>
      <c r="C530" s="1700">
        <v>378000000</v>
      </c>
      <c r="D530" s="1700">
        <v>360000000</v>
      </c>
      <c r="E530" s="1700">
        <v>23</v>
      </c>
      <c r="F530" s="1700">
        <v>8</v>
      </c>
      <c r="G530" s="1700">
        <v>0</v>
      </c>
      <c r="H530" s="1700">
        <v>8</v>
      </c>
      <c r="I530" s="1694">
        <v>42186</v>
      </c>
    </row>
    <row r="531" spans="1:9">
      <c r="A531" s="1693" t="s">
        <v>1419</v>
      </c>
      <c r="B531" s="1693" t="s">
        <v>1817</v>
      </c>
      <c r="C531" s="1700">
        <v>413489999.99999994</v>
      </c>
      <c r="D531" s="1700">
        <v>392815499.99999994</v>
      </c>
      <c r="E531" s="1700">
        <v>15</v>
      </c>
      <c r="F531" s="1700">
        <v>15</v>
      </c>
      <c r="G531" s="1700">
        <v>2</v>
      </c>
      <c r="H531" s="1700">
        <v>17</v>
      </c>
      <c r="I531" s="1694">
        <v>42186</v>
      </c>
    </row>
    <row r="532" spans="1:9">
      <c r="A532" s="1693" t="s">
        <v>1563</v>
      </c>
      <c r="B532" s="1693" t="s">
        <v>1818</v>
      </c>
      <c r="C532" s="1700">
        <v>168000000</v>
      </c>
      <c r="D532" s="1700">
        <v>160000000</v>
      </c>
      <c r="E532" s="1700">
        <v>13</v>
      </c>
      <c r="F532" s="1700">
        <v>13</v>
      </c>
      <c r="G532" s="1700">
        <v>3</v>
      </c>
      <c r="H532" s="1700">
        <v>16</v>
      </c>
      <c r="I532" s="1694">
        <v>42186</v>
      </c>
    </row>
    <row r="533" spans="1:9">
      <c r="A533" s="1693" t="s">
        <v>1418</v>
      </c>
      <c r="B533" s="1693" t="s">
        <v>1819</v>
      </c>
      <c r="C533" s="1700">
        <v>168000000</v>
      </c>
      <c r="D533" s="1700">
        <v>160000000</v>
      </c>
      <c r="E533" s="1700">
        <v>12</v>
      </c>
      <c r="F533" s="1700">
        <v>13</v>
      </c>
      <c r="G533" s="1700">
        <v>3</v>
      </c>
      <c r="H533" s="1700">
        <v>16</v>
      </c>
      <c r="I533" s="1694">
        <v>42186</v>
      </c>
    </row>
    <row r="534" spans="1:9">
      <c r="A534" s="1693" t="s">
        <v>1568</v>
      </c>
      <c r="B534" s="1693" t="s">
        <v>1820</v>
      </c>
      <c r="C534" s="1700">
        <v>278880000</v>
      </c>
      <c r="D534" s="1700">
        <v>264935999.99999997</v>
      </c>
      <c r="E534" s="1700">
        <v>17</v>
      </c>
      <c r="F534" s="1700">
        <v>10</v>
      </c>
      <c r="G534" s="1700">
        <v>2</v>
      </c>
      <c r="H534" s="1700">
        <v>12</v>
      </c>
      <c r="I534" s="1694">
        <v>42186</v>
      </c>
    </row>
    <row r="535" spans="1:9">
      <c r="A535" s="1693" t="s">
        <v>1567</v>
      </c>
      <c r="B535" s="1693" t="s">
        <v>1821</v>
      </c>
      <c r="C535" s="1700">
        <v>270000000</v>
      </c>
      <c r="D535" s="1700">
        <v>256500000</v>
      </c>
      <c r="E535" s="1700">
        <v>11</v>
      </c>
      <c r="F535" s="1700">
        <v>9</v>
      </c>
      <c r="G535" s="1700">
        <v>2</v>
      </c>
      <c r="H535" s="1700">
        <v>11</v>
      </c>
      <c r="I535" s="1694">
        <v>42186</v>
      </c>
    </row>
    <row r="536" spans="1:9">
      <c r="A536" s="1693" t="s">
        <v>1565</v>
      </c>
      <c r="B536" s="1693" t="s">
        <v>1822</v>
      </c>
      <c r="C536" s="1700">
        <v>126000000</v>
      </c>
      <c r="D536" s="1700">
        <v>120000000</v>
      </c>
      <c r="E536" s="1700">
        <v>2</v>
      </c>
      <c r="F536" s="1700">
        <v>9</v>
      </c>
      <c r="G536" s="1700">
        <v>3</v>
      </c>
      <c r="H536" s="1700">
        <v>12</v>
      </c>
      <c r="I536" s="1694">
        <v>42186</v>
      </c>
    </row>
    <row r="537" spans="1:9">
      <c r="A537" s="1693" t="s">
        <v>1570</v>
      </c>
      <c r="B537" s="1693" t="s">
        <v>1823</v>
      </c>
      <c r="C537" s="1700">
        <v>217800000</v>
      </c>
      <c r="D537" s="1700">
        <v>206910000</v>
      </c>
      <c r="E537" s="1700">
        <v>9</v>
      </c>
      <c r="F537" s="1700">
        <v>9</v>
      </c>
      <c r="G537" s="1700">
        <v>3</v>
      </c>
      <c r="H537" s="1700">
        <v>12</v>
      </c>
      <c r="I537" s="1694">
        <v>42186</v>
      </c>
    </row>
    <row r="538" spans="1:9">
      <c r="A538" s="1693" t="s">
        <v>1572</v>
      </c>
      <c r="B538" s="1693" t="s">
        <v>1824</v>
      </c>
      <c r="C538" s="1700">
        <v>229950000</v>
      </c>
      <c r="D538" s="1700">
        <v>218452500</v>
      </c>
      <c r="E538" s="1700">
        <v>8</v>
      </c>
      <c r="F538" s="1700">
        <v>12</v>
      </c>
      <c r="G538" s="1700">
        <v>3</v>
      </c>
      <c r="H538" s="1700">
        <v>15</v>
      </c>
      <c r="I538" s="1694">
        <v>42186</v>
      </c>
    </row>
    <row r="539" spans="1:9">
      <c r="A539" s="1693" t="s">
        <v>1669</v>
      </c>
      <c r="B539" s="1693" t="s">
        <v>1825</v>
      </c>
      <c r="C539" s="1700">
        <v>84000000</v>
      </c>
      <c r="D539" s="1700">
        <v>80000000</v>
      </c>
      <c r="E539" s="1700">
        <v>4</v>
      </c>
      <c r="F539" s="1700">
        <v>5</v>
      </c>
      <c r="G539" s="1700">
        <v>3</v>
      </c>
      <c r="H539" s="1700">
        <v>8</v>
      </c>
      <c r="I539" s="1694">
        <v>42186</v>
      </c>
    </row>
    <row r="540" spans="1:9">
      <c r="A540" s="1693" t="s">
        <v>1148</v>
      </c>
      <c r="B540" s="1693" t="s">
        <v>1826</v>
      </c>
      <c r="C540" s="1700">
        <v>2467500000</v>
      </c>
      <c r="D540" s="1700">
        <v>2350000000</v>
      </c>
      <c r="E540" s="1700">
        <v>96</v>
      </c>
      <c r="F540" s="1700">
        <v>36</v>
      </c>
      <c r="G540" s="1700">
        <v>3</v>
      </c>
      <c r="H540" s="1700">
        <v>39</v>
      </c>
      <c r="I540" s="1694">
        <v>42186</v>
      </c>
    </row>
    <row r="541" spans="1:9">
      <c r="A541" s="1693" t="s">
        <v>1149</v>
      </c>
      <c r="B541" s="1693" t="s">
        <v>1827</v>
      </c>
      <c r="C541" s="1700">
        <v>3576935000.0000005</v>
      </c>
      <c r="D541" s="1700">
        <v>3398038250</v>
      </c>
      <c r="E541" s="1700">
        <v>162</v>
      </c>
      <c r="F541" s="1700">
        <v>52</v>
      </c>
      <c r="G541" s="1700">
        <v>8</v>
      </c>
      <c r="H541" s="1700">
        <v>60</v>
      </c>
      <c r="I541" s="1694">
        <v>42186</v>
      </c>
    </row>
    <row r="542" spans="1:9">
      <c r="A542" s="1693" t="s">
        <v>1150</v>
      </c>
      <c r="B542" s="1693" t="s">
        <v>1828</v>
      </c>
      <c r="C542" s="1700">
        <v>2692158000.0000005</v>
      </c>
      <c r="D542" s="1700">
        <v>2557550100</v>
      </c>
      <c r="E542" s="1700">
        <v>111</v>
      </c>
      <c r="F542" s="1700">
        <v>54</v>
      </c>
      <c r="G542" s="1700">
        <v>7</v>
      </c>
      <c r="H542" s="1700">
        <v>61</v>
      </c>
      <c r="I542" s="1694">
        <v>42186</v>
      </c>
    </row>
    <row r="543" spans="1:9">
      <c r="A543" s="1693" t="s">
        <v>1151</v>
      </c>
      <c r="B543" s="1693" t="s">
        <v>1829</v>
      </c>
      <c r="C543" s="1700">
        <v>3307500000</v>
      </c>
      <c r="D543" s="1700">
        <v>3150000000</v>
      </c>
      <c r="E543" s="1700">
        <v>104</v>
      </c>
      <c r="F543" s="1700">
        <v>40</v>
      </c>
      <c r="G543" s="1700">
        <v>0</v>
      </c>
      <c r="H543" s="1700">
        <v>40</v>
      </c>
      <c r="I543" s="1694">
        <v>42186</v>
      </c>
    </row>
    <row r="544" spans="1:9">
      <c r="A544" s="1693" t="s">
        <v>1153</v>
      </c>
      <c r="B544" s="1693" t="s">
        <v>1830</v>
      </c>
      <c r="C544" s="1700">
        <v>3816337000</v>
      </c>
      <c r="D544" s="1700">
        <v>3625620149.9999995</v>
      </c>
      <c r="E544" s="1700">
        <v>175</v>
      </c>
      <c r="F544" s="1700">
        <v>115</v>
      </c>
      <c r="G544" s="1700">
        <v>14</v>
      </c>
      <c r="H544" s="1700">
        <v>129</v>
      </c>
      <c r="I544" s="1694">
        <v>42186</v>
      </c>
    </row>
    <row r="545" spans="1:9">
      <c r="A545" s="1693" t="s">
        <v>1154</v>
      </c>
      <c r="B545" s="1693" t="s">
        <v>1831</v>
      </c>
      <c r="C545" s="1700">
        <v>630000000</v>
      </c>
      <c r="D545" s="1700">
        <v>600000000</v>
      </c>
      <c r="E545" s="1700">
        <v>49</v>
      </c>
      <c r="F545" s="1700">
        <v>8</v>
      </c>
      <c r="G545" s="1700">
        <v>0</v>
      </c>
      <c r="H545" s="1700">
        <v>8</v>
      </c>
      <c r="I545" s="1694">
        <v>42186</v>
      </c>
    </row>
    <row r="546" spans="1:9">
      <c r="A546" s="1693" t="s">
        <v>1675</v>
      </c>
      <c r="B546" s="1693" t="s">
        <v>1832</v>
      </c>
      <c r="C546" s="1700">
        <v>315000000</v>
      </c>
      <c r="D546" s="1700">
        <v>300000000</v>
      </c>
      <c r="E546" s="1700">
        <v>29</v>
      </c>
      <c r="F546" s="1700">
        <v>8</v>
      </c>
      <c r="G546" s="1700">
        <v>0</v>
      </c>
      <c r="H546" s="1700">
        <v>8</v>
      </c>
      <c r="I546" s="1694">
        <v>42186</v>
      </c>
    </row>
    <row r="547" spans="1:9">
      <c r="A547" s="1693" t="s">
        <v>1155</v>
      </c>
      <c r="B547" s="1693" t="s">
        <v>1833</v>
      </c>
      <c r="C547" s="1700">
        <v>4866750000</v>
      </c>
      <c r="D547" s="1700">
        <v>4635000000</v>
      </c>
      <c r="E547" s="1700">
        <v>244</v>
      </c>
      <c r="F547" s="1700">
        <v>107</v>
      </c>
      <c r="G547" s="1700">
        <v>9</v>
      </c>
      <c r="H547" s="1700">
        <v>116</v>
      </c>
      <c r="I547" s="1694">
        <v>42186</v>
      </c>
    </row>
    <row r="548" spans="1:9">
      <c r="A548" s="1693" t="s">
        <v>1156</v>
      </c>
      <c r="B548" s="1693" t="s">
        <v>1834</v>
      </c>
      <c r="C548" s="1700">
        <v>567000000</v>
      </c>
      <c r="D548" s="1700">
        <v>540000000</v>
      </c>
      <c r="E548" s="1700">
        <v>40</v>
      </c>
      <c r="F548" s="1700">
        <v>20</v>
      </c>
      <c r="G548" s="1700">
        <v>0</v>
      </c>
      <c r="H548" s="1700">
        <v>20</v>
      </c>
      <c r="I548" s="1694">
        <v>42186</v>
      </c>
    </row>
    <row r="549" spans="1:9">
      <c r="A549" s="1693" t="s">
        <v>792</v>
      </c>
      <c r="B549" s="1693" t="s">
        <v>1835</v>
      </c>
      <c r="C549" s="1700">
        <v>10641750000</v>
      </c>
      <c r="D549" s="1700">
        <v>10135000000</v>
      </c>
      <c r="E549" s="1700">
        <v>444</v>
      </c>
      <c r="F549" s="1700">
        <v>183</v>
      </c>
      <c r="G549" s="1700">
        <v>12</v>
      </c>
      <c r="H549" s="1700">
        <v>195</v>
      </c>
      <c r="I549" s="1694">
        <v>42186</v>
      </c>
    </row>
    <row r="550" spans="1:9">
      <c r="A550" s="1693" t="s">
        <v>794</v>
      </c>
      <c r="B550" s="1693" t="s">
        <v>1836</v>
      </c>
      <c r="C550" s="1700">
        <v>6269093000.000001</v>
      </c>
      <c r="D550" s="1700">
        <v>5955588350</v>
      </c>
      <c r="E550" s="1700">
        <v>273</v>
      </c>
      <c r="F550" s="1700">
        <v>106</v>
      </c>
      <c r="G550" s="1700">
        <v>15</v>
      </c>
      <c r="H550" s="1700">
        <v>121</v>
      </c>
      <c r="I550" s="1694">
        <v>42186</v>
      </c>
    </row>
    <row r="551" spans="1:9">
      <c r="A551" s="1693" t="s">
        <v>793</v>
      </c>
      <c r="B551" s="1693" t="s">
        <v>1837</v>
      </c>
      <c r="C551" s="1700">
        <v>3816337000</v>
      </c>
      <c r="D551" s="1700">
        <v>3625620149.9999995</v>
      </c>
      <c r="E551" s="1700">
        <v>175</v>
      </c>
      <c r="F551" s="1700">
        <v>115</v>
      </c>
      <c r="G551" s="1700">
        <v>14</v>
      </c>
      <c r="H551" s="1700">
        <v>129</v>
      </c>
      <c r="I551" s="1694">
        <v>42186</v>
      </c>
    </row>
    <row r="552" spans="1:9">
      <c r="A552" s="1693" t="s">
        <v>458</v>
      </c>
      <c r="B552" s="1693" t="s">
        <v>1838</v>
      </c>
      <c r="C552" s="1700">
        <v>1512000000</v>
      </c>
      <c r="D552" s="1700">
        <v>1440000000</v>
      </c>
      <c r="E552" s="1700">
        <v>118</v>
      </c>
      <c r="F552" s="1700">
        <v>36</v>
      </c>
      <c r="G552" s="1700">
        <v>0</v>
      </c>
      <c r="H552" s="1700">
        <v>36</v>
      </c>
      <c r="I552" s="1694">
        <v>42186</v>
      </c>
    </row>
    <row r="553" spans="1:9">
      <c r="A553" s="1693" t="s">
        <v>1158</v>
      </c>
      <c r="B553" s="1693" t="s">
        <v>1159</v>
      </c>
      <c r="C553" s="1700">
        <v>22239180000</v>
      </c>
      <c r="D553" s="1700">
        <v>21156208500</v>
      </c>
      <c r="E553" s="1700">
        <v>1010</v>
      </c>
      <c r="F553" s="1700">
        <v>440</v>
      </c>
      <c r="G553" s="1700">
        <v>41</v>
      </c>
      <c r="H553" s="1700">
        <v>481</v>
      </c>
      <c r="I553" s="1694">
        <v>42186</v>
      </c>
    </row>
    <row r="554" spans="1:9" ht="30">
      <c r="A554" s="1693" t="s">
        <v>1291</v>
      </c>
      <c r="B554" s="1693" t="s">
        <v>1839</v>
      </c>
      <c r="C554" s="1700">
        <v>1806000000</v>
      </c>
      <c r="D554" s="1700">
        <v>1720000000</v>
      </c>
      <c r="E554" s="1700">
        <v>56</v>
      </c>
      <c r="F554" s="1700">
        <v>25</v>
      </c>
      <c r="G554" s="1700">
        <v>3</v>
      </c>
      <c r="H554" s="1700">
        <v>28</v>
      </c>
      <c r="I554" s="1694">
        <v>42186</v>
      </c>
    </row>
    <row r="555" spans="1:9">
      <c r="A555" s="1693" t="s">
        <v>1292</v>
      </c>
      <c r="B555" s="1693" t="s">
        <v>1840</v>
      </c>
      <c r="C555" s="1700">
        <v>3357935000.0000005</v>
      </c>
      <c r="D555" s="1700">
        <v>3190038250</v>
      </c>
      <c r="E555" s="1700">
        <v>152</v>
      </c>
      <c r="F555" s="1700">
        <v>52</v>
      </c>
      <c r="G555" s="1700">
        <v>8</v>
      </c>
      <c r="H555" s="1700">
        <v>60</v>
      </c>
      <c r="I555" s="1694">
        <v>42186</v>
      </c>
    </row>
    <row r="556" spans="1:9">
      <c r="A556" s="1693" t="s">
        <v>1293</v>
      </c>
      <c r="B556" s="1693" t="s">
        <v>1841</v>
      </c>
      <c r="C556" s="1700">
        <v>803520000</v>
      </c>
      <c r="D556" s="1700">
        <v>763343999.99999988</v>
      </c>
      <c r="E556" s="1700">
        <v>30</v>
      </c>
      <c r="F556" s="1700">
        <v>15</v>
      </c>
      <c r="G556" s="1700">
        <v>1</v>
      </c>
      <c r="H556" s="1700">
        <v>16</v>
      </c>
      <c r="I556" s="1694">
        <v>42186</v>
      </c>
    </row>
    <row r="557" spans="1:9">
      <c r="A557" s="1693" t="s">
        <v>1294</v>
      </c>
      <c r="B557" s="1693" t="s">
        <v>1842</v>
      </c>
      <c r="C557" s="1700">
        <v>2299500000</v>
      </c>
      <c r="D557" s="1700">
        <v>2190000000</v>
      </c>
      <c r="E557" s="1700">
        <v>80</v>
      </c>
      <c r="F557" s="1700">
        <v>32</v>
      </c>
      <c r="G557" s="1700">
        <v>0</v>
      </c>
      <c r="H557" s="1700">
        <v>32</v>
      </c>
      <c r="I557" s="1694">
        <v>42186</v>
      </c>
    </row>
    <row r="558" spans="1:9">
      <c r="A558" s="1693" t="s">
        <v>1295</v>
      </c>
      <c r="B558" s="1693" t="s">
        <v>1843</v>
      </c>
      <c r="C558" s="1700">
        <v>219000000</v>
      </c>
      <c r="D558" s="1700">
        <v>208000000</v>
      </c>
      <c r="E558" s="1700">
        <v>10</v>
      </c>
      <c r="F558" s="1700">
        <v>0</v>
      </c>
      <c r="G558" s="1700">
        <v>0</v>
      </c>
      <c r="H558" s="1700">
        <v>0</v>
      </c>
      <c r="I558" s="1694">
        <v>42186</v>
      </c>
    </row>
    <row r="559" spans="1:9">
      <c r="A559" s="1693" t="s">
        <v>1296</v>
      </c>
      <c r="B559" s="1693" t="s">
        <v>1844</v>
      </c>
      <c r="C559" s="1700">
        <v>1837500000</v>
      </c>
      <c r="D559" s="1700">
        <v>1750000000</v>
      </c>
      <c r="E559" s="1700">
        <v>82</v>
      </c>
      <c r="F559" s="1700">
        <v>28</v>
      </c>
      <c r="G559" s="1700">
        <v>3</v>
      </c>
      <c r="H559" s="1700">
        <v>31</v>
      </c>
      <c r="I559" s="1694">
        <v>42186</v>
      </c>
    </row>
    <row r="560" spans="1:9">
      <c r="A560" s="1693" t="s">
        <v>1297</v>
      </c>
      <c r="B560" s="1693" t="s">
        <v>1845</v>
      </c>
      <c r="C560" s="1700">
        <v>1832874500</v>
      </c>
      <c r="D560" s="1700">
        <v>1741230775</v>
      </c>
      <c r="E560" s="1700">
        <v>79</v>
      </c>
      <c r="F560" s="1700">
        <v>54</v>
      </c>
      <c r="G560" s="1700">
        <v>9</v>
      </c>
      <c r="H560" s="1700">
        <v>63</v>
      </c>
      <c r="I560" s="1694">
        <v>42186</v>
      </c>
    </row>
    <row r="561" spans="1:9">
      <c r="A561" s="1693" t="s">
        <v>1298</v>
      </c>
      <c r="B561" s="1693" t="s">
        <v>1846</v>
      </c>
      <c r="C561" s="1700">
        <v>1008000000</v>
      </c>
      <c r="D561" s="1700">
        <v>960000000</v>
      </c>
      <c r="E561" s="1700">
        <v>24</v>
      </c>
      <c r="F561" s="1700">
        <v>8</v>
      </c>
      <c r="G561" s="1700">
        <v>0</v>
      </c>
      <c r="H561" s="1700">
        <v>8</v>
      </c>
      <c r="I561" s="1694">
        <v>42186</v>
      </c>
    </row>
    <row r="562" spans="1:9">
      <c r="A562" s="1693" t="s">
        <v>1299</v>
      </c>
      <c r="B562" s="1693" t="s">
        <v>1847</v>
      </c>
      <c r="C562" s="1700">
        <v>630000000</v>
      </c>
      <c r="D562" s="1700">
        <v>600000000</v>
      </c>
      <c r="E562" s="1700">
        <v>49</v>
      </c>
      <c r="F562" s="1700">
        <v>8</v>
      </c>
      <c r="G562" s="1700">
        <v>0</v>
      </c>
      <c r="H562" s="1700">
        <v>8</v>
      </c>
      <c r="I562" s="1694">
        <v>42186</v>
      </c>
    </row>
    <row r="563" spans="1:9">
      <c r="A563" s="1693" t="s">
        <v>1300</v>
      </c>
      <c r="B563" s="1693" t="s">
        <v>1848</v>
      </c>
      <c r="C563" s="1700">
        <v>630000000</v>
      </c>
      <c r="D563" s="1700">
        <v>600000000</v>
      </c>
      <c r="E563" s="1700">
        <v>14</v>
      </c>
      <c r="F563" s="1700">
        <v>8</v>
      </c>
      <c r="G563" s="1700">
        <v>0</v>
      </c>
      <c r="H563" s="1700">
        <v>8</v>
      </c>
      <c r="I563" s="1694">
        <v>42186</v>
      </c>
    </row>
    <row r="564" spans="1:9" ht="30">
      <c r="A564" s="1693" t="s">
        <v>1301</v>
      </c>
      <c r="B564" s="1693" t="s">
        <v>1849</v>
      </c>
      <c r="C564" s="1700">
        <v>1888638000</v>
      </c>
      <c r="D564" s="1700">
        <v>1794206100</v>
      </c>
      <c r="E564" s="1700">
        <v>81</v>
      </c>
      <c r="F564" s="1700">
        <v>39</v>
      </c>
      <c r="G564" s="1700">
        <v>6</v>
      </c>
      <c r="H564" s="1700">
        <v>45</v>
      </c>
      <c r="I564" s="1694">
        <v>42186</v>
      </c>
    </row>
    <row r="565" spans="1:9">
      <c r="A565" s="1693" t="s">
        <v>1302</v>
      </c>
      <c r="B565" s="1693" t="s">
        <v>1850</v>
      </c>
      <c r="C565" s="1700">
        <v>3060750000</v>
      </c>
      <c r="D565" s="1700">
        <v>2915000000</v>
      </c>
      <c r="E565" s="1700">
        <v>188</v>
      </c>
      <c r="F565" s="1700">
        <v>82</v>
      </c>
      <c r="G565" s="1700">
        <v>6</v>
      </c>
      <c r="H565" s="1700">
        <v>88</v>
      </c>
      <c r="I565" s="1694">
        <v>42186</v>
      </c>
    </row>
    <row r="566" spans="1:9">
      <c r="A566" s="1693" t="s">
        <v>1303</v>
      </c>
      <c r="B566" s="1693" t="s">
        <v>1851</v>
      </c>
      <c r="C566" s="1700">
        <v>315000000</v>
      </c>
      <c r="D566" s="1700">
        <v>300000000</v>
      </c>
      <c r="E566" s="1700">
        <v>29</v>
      </c>
      <c r="F566" s="1700">
        <v>8</v>
      </c>
      <c r="G566" s="1700">
        <v>0</v>
      </c>
      <c r="H566" s="1700">
        <v>8</v>
      </c>
      <c r="I566" s="1694">
        <v>42186</v>
      </c>
    </row>
    <row r="567" spans="1:9">
      <c r="A567" s="1693" t="s">
        <v>1422</v>
      </c>
      <c r="B567" s="1693" t="s">
        <v>1852</v>
      </c>
      <c r="C567" s="1700">
        <v>1145360000</v>
      </c>
      <c r="D567" s="1700">
        <v>1088192000</v>
      </c>
      <c r="E567" s="1700">
        <v>59</v>
      </c>
      <c r="F567" s="1700">
        <v>38</v>
      </c>
      <c r="G567" s="1700">
        <v>2</v>
      </c>
      <c r="H567" s="1700">
        <v>40</v>
      </c>
      <c r="I567" s="1694">
        <v>42186</v>
      </c>
    </row>
    <row r="568" spans="1:9">
      <c r="A568" s="1693" t="s">
        <v>1305</v>
      </c>
      <c r="B568" s="1693" t="s">
        <v>1853</v>
      </c>
      <c r="C568" s="1700">
        <v>567000000</v>
      </c>
      <c r="D568" s="1700">
        <v>540000000</v>
      </c>
      <c r="E568" s="1700">
        <v>40</v>
      </c>
      <c r="F568" s="1700">
        <v>20</v>
      </c>
      <c r="G568" s="1700">
        <v>0</v>
      </c>
      <c r="H568" s="1700">
        <v>20</v>
      </c>
      <c r="I568" s="1694">
        <v>42186</v>
      </c>
    </row>
    <row r="569" spans="1:9">
      <c r="A569" s="1693" t="s">
        <v>1423</v>
      </c>
      <c r="B569" s="1693" t="s">
        <v>1854</v>
      </c>
      <c r="C569" s="1700">
        <v>424612500</v>
      </c>
      <c r="D569" s="1700">
        <v>403381875</v>
      </c>
      <c r="E569" s="1700">
        <v>22</v>
      </c>
      <c r="F569" s="1700">
        <v>8</v>
      </c>
      <c r="G569" s="1700">
        <v>1</v>
      </c>
      <c r="H569" s="1700">
        <v>9</v>
      </c>
      <c r="I569" s="1694">
        <v>42186</v>
      </c>
    </row>
    <row r="570" spans="1:9">
      <c r="A570" s="1693" t="s">
        <v>1424</v>
      </c>
      <c r="B570" s="1693" t="s">
        <v>1855</v>
      </c>
      <c r="C570" s="1700">
        <v>413489999.99999994</v>
      </c>
      <c r="D570" s="1700">
        <v>392815499.99999994</v>
      </c>
      <c r="E570" s="1700">
        <v>15</v>
      </c>
      <c r="F570" s="1700">
        <v>15</v>
      </c>
      <c r="G570" s="1700">
        <v>2</v>
      </c>
      <c r="H570" s="1700">
        <v>17</v>
      </c>
      <c r="I570" s="1694">
        <v>42186</v>
      </c>
    </row>
    <row r="572" spans="1:9">
      <c r="A572" s="1702" t="s">
        <v>1949</v>
      </c>
    </row>
    <row r="573" spans="1:9">
      <c r="A573" s="1692" t="s">
        <v>1109</v>
      </c>
      <c r="B573" s="1692" t="s">
        <v>1110</v>
      </c>
      <c r="C573" s="1699" t="s">
        <v>1</v>
      </c>
      <c r="D573" s="1699" t="s">
        <v>2</v>
      </c>
      <c r="E573" s="1699" t="s">
        <v>1108</v>
      </c>
      <c r="F573" s="1699" t="s">
        <v>1107</v>
      </c>
      <c r="G573" s="1699" t="s">
        <v>1106</v>
      </c>
      <c r="H573" s="1699" t="s">
        <v>1105</v>
      </c>
      <c r="I573" s="1692" t="s">
        <v>1160</v>
      </c>
    </row>
    <row r="574" spans="1:9">
      <c r="A574" s="1693" t="s">
        <v>47</v>
      </c>
      <c r="B574" s="1693" t="s">
        <v>1780</v>
      </c>
      <c r="C574" s="1700">
        <v>735000000.00000012</v>
      </c>
      <c r="D574" s="1700">
        <v>700000000.00000012</v>
      </c>
      <c r="E574" s="1700">
        <v>20</v>
      </c>
      <c r="F574" s="1700">
        <v>8</v>
      </c>
      <c r="G574" s="1700">
        <v>0</v>
      </c>
      <c r="H574" s="1700">
        <v>8</v>
      </c>
      <c r="I574" s="1694">
        <v>42217</v>
      </c>
    </row>
    <row r="575" spans="1:9">
      <c r="A575" s="1693" t="s">
        <v>91</v>
      </c>
      <c r="B575" s="1693" t="s">
        <v>1781</v>
      </c>
      <c r="C575" s="1700">
        <v>1312500000</v>
      </c>
      <c r="D575" s="1700">
        <v>1250000000</v>
      </c>
      <c r="E575" s="1700">
        <v>32</v>
      </c>
      <c r="F575" s="1700">
        <v>8</v>
      </c>
      <c r="G575" s="1700">
        <v>0</v>
      </c>
      <c r="H575" s="1700">
        <v>8</v>
      </c>
      <c r="I575" s="1694">
        <v>42217</v>
      </c>
    </row>
    <row r="576" spans="1:9">
      <c r="A576" s="1693" t="s">
        <v>177</v>
      </c>
      <c r="B576" s="1693" t="s">
        <v>1782</v>
      </c>
      <c r="C576" s="1700">
        <v>868000000</v>
      </c>
      <c r="D576" s="1700">
        <v>825000000</v>
      </c>
      <c r="E576" s="1700">
        <v>32</v>
      </c>
      <c r="F576" s="1700">
        <v>15</v>
      </c>
      <c r="G576" s="1700">
        <v>0</v>
      </c>
      <c r="H576" s="1700">
        <v>15</v>
      </c>
      <c r="I576" s="1694">
        <v>42217</v>
      </c>
    </row>
    <row r="577" spans="1:9">
      <c r="A577" s="1693" t="s">
        <v>185</v>
      </c>
      <c r="B577" s="1693" t="s">
        <v>1783</v>
      </c>
      <c r="C577" s="1700">
        <v>653000000</v>
      </c>
      <c r="D577" s="1700">
        <v>621000000</v>
      </c>
      <c r="E577" s="1700">
        <v>23</v>
      </c>
      <c r="F577" s="1700">
        <v>15</v>
      </c>
      <c r="G577" s="1700">
        <v>2</v>
      </c>
      <c r="H577" s="1700">
        <v>17</v>
      </c>
      <c r="I577" s="1694">
        <v>42217</v>
      </c>
    </row>
    <row r="578" spans="1:9">
      <c r="A578" s="1693" t="s">
        <v>179</v>
      </c>
      <c r="B578" s="1693" t="s">
        <v>1784</v>
      </c>
      <c r="C578" s="1700">
        <v>1134000000</v>
      </c>
      <c r="D578" s="1700">
        <v>1077000000</v>
      </c>
      <c r="E578" s="1700">
        <v>63</v>
      </c>
      <c r="F578" s="1700">
        <v>10</v>
      </c>
      <c r="G578" s="1700">
        <v>3</v>
      </c>
      <c r="H578" s="1700">
        <v>13</v>
      </c>
      <c r="I578" s="1694">
        <v>42217</v>
      </c>
    </row>
    <row r="579" spans="1:9">
      <c r="A579" s="1693" t="s">
        <v>176</v>
      </c>
      <c r="B579" s="1693" t="s">
        <v>1785</v>
      </c>
      <c r="C579" s="1700">
        <v>1353000000</v>
      </c>
      <c r="D579" s="1700">
        <v>1286000000</v>
      </c>
      <c r="E579" s="1700">
        <v>54</v>
      </c>
      <c r="F579" s="1700">
        <v>20</v>
      </c>
      <c r="G579" s="1700">
        <v>3</v>
      </c>
      <c r="H579" s="1700">
        <v>23</v>
      </c>
      <c r="I579" s="1694">
        <v>42217</v>
      </c>
    </row>
    <row r="580" spans="1:9">
      <c r="A580" s="1693" t="s">
        <v>187</v>
      </c>
      <c r="B580" s="1693" t="s">
        <v>1786</v>
      </c>
      <c r="C580" s="1700">
        <v>588000000</v>
      </c>
      <c r="D580" s="1700">
        <v>560000000</v>
      </c>
      <c r="E580" s="1700">
        <v>26</v>
      </c>
      <c r="F580" s="1700">
        <v>8</v>
      </c>
      <c r="G580" s="1700">
        <v>0</v>
      </c>
      <c r="H580" s="1700">
        <v>8</v>
      </c>
      <c r="I580" s="1694">
        <v>42217</v>
      </c>
    </row>
    <row r="581" spans="1:9">
      <c r="A581" s="1693" t="s">
        <v>630</v>
      </c>
      <c r="B581" s="1693" t="s">
        <v>1787</v>
      </c>
      <c r="C581" s="1700">
        <v>514500000.00000012</v>
      </c>
      <c r="D581" s="1700">
        <v>490000000.00000006</v>
      </c>
      <c r="E581" s="1700">
        <v>29</v>
      </c>
      <c r="F581" s="1700">
        <v>8</v>
      </c>
      <c r="G581" s="1700">
        <v>0</v>
      </c>
      <c r="H581" s="1700">
        <v>8</v>
      </c>
      <c r="I581" s="1694">
        <v>42217</v>
      </c>
    </row>
    <row r="582" spans="1:9">
      <c r="A582" s="1693" t="s">
        <v>661</v>
      </c>
      <c r="B582" s="1693" t="s">
        <v>1788</v>
      </c>
      <c r="C582" s="1700">
        <v>401000000</v>
      </c>
      <c r="D582" s="1700">
        <v>381000000</v>
      </c>
      <c r="E582" s="1700">
        <v>19</v>
      </c>
      <c r="F582" s="1700">
        <v>10</v>
      </c>
      <c r="G582" s="1700">
        <v>0</v>
      </c>
      <c r="H582" s="1700">
        <v>10</v>
      </c>
      <c r="I582" s="1694">
        <v>42217</v>
      </c>
    </row>
    <row r="583" spans="1:9">
      <c r="A583" s="1693" t="s">
        <v>628</v>
      </c>
      <c r="B583" s="1693" t="s">
        <v>1789</v>
      </c>
      <c r="C583" s="1700">
        <v>525000000.00000012</v>
      </c>
      <c r="D583" s="1700">
        <v>500000000.00000006</v>
      </c>
      <c r="E583" s="1700">
        <v>20</v>
      </c>
      <c r="F583" s="1700">
        <v>8</v>
      </c>
      <c r="G583" s="1700">
        <v>0</v>
      </c>
      <c r="H583" s="1700">
        <v>8</v>
      </c>
      <c r="I583" s="1694">
        <v>42217</v>
      </c>
    </row>
    <row r="584" spans="1:9">
      <c r="A584" s="1693" t="s">
        <v>650</v>
      </c>
      <c r="B584" s="1693" t="s">
        <v>1790</v>
      </c>
      <c r="C584" s="1700">
        <v>514500000.00000012</v>
      </c>
      <c r="D584" s="1700">
        <v>490000000.00000006</v>
      </c>
      <c r="E584" s="1700">
        <v>23</v>
      </c>
      <c r="F584" s="1700">
        <v>8</v>
      </c>
      <c r="G584" s="1700">
        <v>0</v>
      </c>
      <c r="H584" s="1700">
        <v>8</v>
      </c>
      <c r="I584" s="1694">
        <v>42217</v>
      </c>
    </row>
    <row r="585" spans="1:9">
      <c r="A585" s="1693" t="s">
        <v>660</v>
      </c>
      <c r="B585" s="1693" t="s">
        <v>1791</v>
      </c>
      <c r="C585" s="1700">
        <v>726000000</v>
      </c>
      <c r="D585" s="1700">
        <v>689000000</v>
      </c>
      <c r="E585" s="1700">
        <v>30</v>
      </c>
      <c r="F585" s="1700">
        <v>12</v>
      </c>
      <c r="G585" s="1700">
        <v>0</v>
      </c>
      <c r="H585" s="1700">
        <v>12</v>
      </c>
      <c r="I585" s="1694">
        <v>42217</v>
      </c>
    </row>
    <row r="586" spans="1:9">
      <c r="A586" s="1693" t="s">
        <v>648</v>
      </c>
      <c r="B586" s="1693" t="s">
        <v>1792</v>
      </c>
      <c r="C586" s="1700">
        <v>514500000.00000012</v>
      </c>
      <c r="D586" s="1700">
        <v>490000000.00000006</v>
      </c>
      <c r="E586" s="1700">
        <v>24</v>
      </c>
      <c r="F586" s="1700">
        <v>8</v>
      </c>
      <c r="G586" s="1700">
        <v>0</v>
      </c>
      <c r="H586" s="1700">
        <v>8</v>
      </c>
      <c r="I586" s="1694">
        <v>42217</v>
      </c>
    </row>
    <row r="587" spans="1:9">
      <c r="A587" s="1693" t="s">
        <v>659</v>
      </c>
      <c r="B587" s="1693" t="s">
        <v>1793</v>
      </c>
      <c r="C587" s="1700">
        <v>1053000000</v>
      </c>
      <c r="D587" s="1700">
        <v>1000000000</v>
      </c>
      <c r="E587" s="1700">
        <v>41</v>
      </c>
      <c r="F587" s="1700">
        <v>20</v>
      </c>
      <c r="G587" s="1700">
        <v>0</v>
      </c>
      <c r="H587" s="1700">
        <v>20</v>
      </c>
      <c r="I587" s="1694">
        <v>42217</v>
      </c>
    </row>
    <row r="588" spans="1:9">
      <c r="A588" s="1693" t="s">
        <v>649</v>
      </c>
      <c r="B588" s="1693" t="s">
        <v>1794</v>
      </c>
      <c r="C588" s="1700">
        <v>661500000</v>
      </c>
      <c r="D588" s="1700">
        <v>630000000</v>
      </c>
      <c r="E588" s="1700">
        <v>20</v>
      </c>
      <c r="F588" s="1700">
        <v>8</v>
      </c>
      <c r="G588" s="1700">
        <v>0</v>
      </c>
      <c r="H588" s="1700">
        <v>8</v>
      </c>
      <c r="I588" s="1694">
        <v>42217</v>
      </c>
    </row>
    <row r="589" spans="1:9">
      <c r="A589" s="1693" t="s">
        <v>642</v>
      </c>
      <c r="B589" s="1693" t="s">
        <v>1795</v>
      </c>
      <c r="C589" s="1700">
        <v>477750000.00000006</v>
      </c>
      <c r="D589" s="1700">
        <v>455000000.00000006</v>
      </c>
      <c r="E589" s="1700">
        <v>17</v>
      </c>
      <c r="F589" s="1700">
        <v>8</v>
      </c>
      <c r="G589" s="1700">
        <v>0</v>
      </c>
      <c r="H589" s="1700">
        <v>8</v>
      </c>
      <c r="I589" s="1694">
        <v>42217</v>
      </c>
    </row>
    <row r="590" spans="1:9">
      <c r="A590" s="1693" t="s">
        <v>736</v>
      </c>
      <c r="B590" s="1693" t="s">
        <v>1796</v>
      </c>
      <c r="C590" s="1700">
        <v>525000000</v>
      </c>
      <c r="D590" s="1700">
        <v>500000000</v>
      </c>
      <c r="E590" s="1700">
        <v>35</v>
      </c>
      <c r="F590" s="1700">
        <v>7</v>
      </c>
      <c r="G590" s="1700">
        <v>0</v>
      </c>
      <c r="H590" s="1700">
        <v>7</v>
      </c>
      <c r="I590" s="1694">
        <v>42217</v>
      </c>
    </row>
    <row r="591" spans="1:9">
      <c r="A591" s="1693" t="s">
        <v>699</v>
      </c>
      <c r="B591" s="1693" t="s">
        <v>1797</v>
      </c>
      <c r="C591" s="1700">
        <v>313000000</v>
      </c>
      <c r="D591" s="1700">
        <v>298000000</v>
      </c>
      <c r="E591" s="1700">
        <v>17</v>
      </c>
      <c r="F591" s="1700">
        <v>12</v>
      </c>
      <c r="G591" s="1700">
        <v>2</v>
      </c>
      <c r="H591" s="1700">
        <v>14</v>
      </c>
      <c r="I591" s="1694">
        <v>42217</v>
      </c>
    </row>
    <row r="592" spans="1:9">
      <c r="A592" s="1693" t="s">
        <v>735</v>
      </c>
      <c r="B592" s="1693" t="s">
        <v>1799</v>
      </c>
      <c r="C592" s="1700">
        <v>1176000000</v>
      </c>
      <c r="D592" s="1700">
        <v>1120000000</v>
      </c>
      <c r="E592" s="1700">
        <v>26</v>
      </c>
      <c r="F592" s="1700">
        <v>8</v>
      </c>
      <c r="G592" s="1700">
        <v>0</v>
      </c>
      <c r="H592" s="1700">
        <v>8</v>
      </c>
      <c r="I592" s="1694">
        <v>42217</v>
      </c>
    </row>
    <row r="593" spans="1:9">
      <c r="A593" s="1693" t="s">
        <v>734</v>
      </c>
      <c r="B593" s="1693" t="s">
        <v>1800</v>
      </c>
      <c r="C593" s="1700">
        <v>735000000.00000012</v>
      </c>
      <c r="D593" s="1700">
        <v>700000000.00000012</v>
      </c>
      <c r="E593" s="1700">
        <v>51</v>
      </c>
      <c r="F593" s="1700">
        <v>8</v>
      </c>
      <c r="G593" s="1700">
        <v>0</v>
      </c>
      <c r="H593" s="1700">
        <v>8</v>
      </c>
      <c r="I593" s="1694">
        <v>42217</v>
      </c>
    </row>
    <row r="594" spans="1:9">
      <c r="A594" s="1693" t="s">
        <v>798</v>
      </c>
      <c r="B594" s="1693" t="s">
        <v>1801</v>
      </c>
      <c r="C594" s="1700">
        <v>735000000.00000012</v>
      </c>
      <c r="D594" s="1700">
        <v>700000000.00000012</v>
      </c>
      <c r="E594" s="1700">
        <v>15</v>
      </c>
      <c r="F594" s="1700">
        <v>8</v>
      </c>
      <c r="G594" s="1700">
        <v>0</v>
      </c>
      <c r="H594" s="1700">
        <v>8</v>
      </c>
      <c r="I594" s="1694">
        <v>42217</v>
      </c>
    </row>
    <row r="595" spans="1:9">
      <c r="A595" s="1693" t="s">
        <v>796</v>
      </c>
      <c r="B595" s="1693" t="s">
        <v>1802</v>
      </c>
      <c r="C595" s="1700">
        <v>887250000</v>
      </c>
      <c r="D595" s="1700">
        <v>845000000</v>
      </c>
      <c r="E595" s="1700">
        <v>27</v>
      </c>
      <c r="F595" s="1700">
        <v>8</v>
      </c>
      <c r="G595" s="1700">
        <v>0</v>
      </c>
      <c r="H595" s="1700">
        <v>8</v>
      </c>
      <c r="I595" s="1694">
        <v>42217</v>
      </c>
    </row>
    <row r="596" spans="1:9">
      <c r="A596" s="1693" t="s">
        <v>799</v>
      </c>
      <c r="B596" s="1693" t="s">
        <v>1803</v>
      </c>
      <c r="C596" s="1700">
        <v>665000000</v>
      </c>
      <c r="D596" s="1700">
        <v>632000000</v>
      </c>
      <c r="E596" s="1700">
        <v>32</v>
      </c>
      <c r="F596" s="1700">
        <v>15</v>
      </c>
      <c r="G596" s="1700">
        <v>2</v>
      </c>
      <c r="H596" s="1700">
        <v>17</v>
      </c>
      <c r="I596" s="1694">
        <v>42217</v>
      </c>
    </row>
    <row r="597" spans="1:9">
      <c r="A597" s="1693" t="s">
        <v>825</v>
      </c>
      <c r="B597" s="1693" t="s">
        <v>1804</v>
      </c>
      <c r="C597" s="1700">
        <v>351000000</v>
      </c>
      <c r="D597" s="1700">
        <v>334000000</v>
      </c>
      <c r="E597" s="1700">
        <v>19</v>
      </c>
      <c r="F597" s="1700">
        <v>7</v>
      </c>
      <c r="G597" s="1700">
        <v>0</v>
      </c>
      <c r="H597" s="1700">
        <v>7</v>
      </c>
      <c r="I597" s="1694">
        <v>42217</v>
      </c>
    </row>
    <row r="598" spans="1:9">
      <c r="A598" s="1693" t="s">
        <v>905</v>
      </c>
      <c r="B598" s="1693" t="s">
        <v>1805</v>
      </c>
      <c r="C598" s="1700">
        <v>682500000</v>
      </c>
      <c r="D598" s="1700">
        <v>650000000</v>
      </c>
      <c r="E598" s="1700">
        <v>23</v>
      </c>
      <c r="F598" s="1700">
        <v>8</v>
      </c>
      <c r="G598" s="1700">
        <v>0</v>
      </c>
      <c r="H598" s="1700">
        <v>8</v>
      </c>
      <c r="I598" s="1694">
        <v>42217</v>
      </c>
    </row>
    <row r="599" spans="1:9">
      <c r="A599" s="1693" t="s">
        <v>903</v>
      </c>
      <c r="B599" s="1693" t="s">
        <v>1806</v>
      </c>
      <c r="C599" s="1700">
        <v>367500000.00000006</v>
      </c>
      <c r="D599" s="1700">
        <v>350000000.00000006</v>
      </c>
      <c r="E599" s="1700">
        <v>29</v>
      </c>
      <c r="F599" s="1700">
        <v>8</v>
      </c>
      <c r="G599" s="1700">
        <v>0</v>
      </c>
      <c r="H599" s="1700">
        <v>8</v>
      </c>
      <c r="I599" s="1694">
        <v>42217</v>
      </c>
    </row>
    <row r="600" spans="1:9">
      <c r="A600" s="1693" t="s">
        <v>902</v>
      </c>
      <c r="B600" s="1693" t="s">
        <v>1807</v>
      </c>
      <c r="C600" s="1700">
        <v>367500000.00000006</v>
      </c>
      <c r="D600" s="1700">
        <v>350000000.00000006</v>
      </c>
      <c r="E600" s="1700">
        <v>29</v>
      </c>
      <c r="F600" s="1700">
        <v>8</v>
      </c>
      <c r="G600" s="1700">
        <v>0</v>
      </c>
      <c r="H600" s="1700">
        <v>8</v>
      </c>
      <c r="I600" s="1694">
        <v>42217</v>
      </c>
    </row>
    <row r="601" spans="1:9">
      <c r="A601" s="1693" t="s">
        <v>900</v>
      </c>
      <c r="B601" s="1693" t="s">
        <v>1808</v>
      </c>
      <c r="C601" s="1700">
        <v>441000000.00000006</v>
      </c>
      <c r="D601" s="1700">
        <v>420000000.00000006</v>
      </c>
      <c r="E601" s="1700">
        <v>23</v>
      </c>
      <c r="F601" s="1700">
        <v>8</v>
      </c>
      <c r="G601" s="1700">
        <v>0</v>
      </c>
      <c r="H601" s="1700">
        <v>8</v>
      </c>
      <c r="I601" s="1694">
        <v>42217</v>
      </c>
    </row>
    <row r="602" spans="1:9">
      <c r="A602" s="1693" t="s">
        <v>949</v>
      </c>
      <c r="B602" s="1693" t="s">
        <v>1809</v>
      </c>
      <c r="C602" s="1700">
        <v>577500000</v>
      </c>
      <c r="D602" s="1700">
        <v>550000000</v>
      </c>
      <c r="E602" s="1700">
        <v>30</v>
      </c>
      <c r="F602" s="1700">
        <v>8</v>
      </c>
      <c r="G602" s="1700">
        <v>0</v>
      </c>
      <c r="H602" s="1700">
        <v>8</v>
      </c>
      <c r="I602" s="1694">
        <v>42217</v>
      </c>
    </row>
    <row r="603" spans="1:9">
      <c r="A603" s="1693" t="s">
        <v>1104</v>
      </c>
      <c r="B603" s="1693" t="s">
        <v>1810</v>
      </c>
      <c r="C603" s="1700">
        <v>499000000</v>
      </c>
      <c r="D603" s="1700">
        <v>474000000</v>
      </c>
      <c r="E603" s="1700">
        <v>30</v>
      </c>
      <c r="F603" s="1700">
        <v>10</v>
      </c>
      <c r="G603" s="1700">
        <v>0</v>
      </c>
      <c r="H603" s="1700">
        <v>10</v>
      </c>
      <c r="I603" s="1694">
        <v>42217</v>
      </c>
    </row>
    <row r="604" spans="1:9">
      <c r="A604" s="1693" t="s">
        <v>1015</v>
      </c>
      <c r="B604" s="1693" t="s">
        <v>1811</v>
      </c>
      <c r="C604" s="1700">
        <v>419000000</v>
      </c>
      <c r="D604" s="1700">
        <v>398000000</v>
      </c>
      <c r="E604" s="1700">
        <v>20</v>
      </c>
      <c r="F604" s="1700">
        <v>13</v>
      </c>
      <c r="G604" s="1700">
        <v>0</v>
      </c>
      <c r="H604" s="1700">
        <v>13</v>
      </c>
      <c r="I604" s="1694">
        <v>42217</v>
      </c>
    </row>
    <row r="605" spans="1:9">
      <c r="A605" s="1693" t="s">
        <v>1103</v>
      </c>
      <c r="B605" s="1693" t="s">
        <v>1812</v>
      </c>
      <c r="C605" s="1700">
        <v>470000000</v>
      </c>
      <c r="D605" s="1700">
        <v>447000000</v>
      </c>
      <c r="E605" s="1700">
        <v>28</v>
      </c>
      <c r="F605" s="1700">
        <v>15</v>
      </c>
      <c r="G605" s="1700">
        <v>0</v>
      </c>
      <c r="H605" s="1700">
        <v>15</v>
      </c>
      <c r="I605" s="1694">
        <v>42217</v>
      </c>
    </row>
    <row r="606" spans="1:9">
      <c r="A606" s="1693" t="s">
        <v>1102</v>
      </c>
      <c r="B606" s="1693" t="s">
        <v>1813</v>
      </c>
      <c r="C606" s="1700">
        <v>330750000.00000006</v>
      </c>
      <c r="D606" s="1700">
        <v>315000000.00000006</v>
      </c>
      <c r="E606" s="1700">
        <v>28</v>
      </c>
      <c r="F606" s="1700">
        <v>10</v>
      </c>
      <c r="G606" s="1700">
        <v>0</v>
      </c>
      <c r="H606" s="1700">
        <v>10</v>
      </c>
      <c r="I606" s="1694">
        <v>42217</v>
      </c>
    </row>
    <row r="607" spans="1:9">
      <c r="A607" s="1693" t="s">
        <v>1101</v>
      </c>
      <c r="B607" s="1693" t="s">
        <v>1814</v>
      </c>
      <c r="C607" s="1700">
        <v>330750000.00000006</v>
      </c>
      <c r="D607" s="1700">
        <v>315000000.00000006</v>
      </c>
      <c r="E607" s="1700">
        <v>15</v>
      </c>
      <c r="F607" s="1700">
        <v>10</v>
      </c>
      <c r="G607" s="1700">
        <v>0</v>
      </c>
      <c r="H607" s="1700">
        <v>10</v>
      </c>
      <c r="I607" s="1694">
        <v>42217</v>
      </c>
    </row>
    <row r="608" spans="1:9">
      <c r="A608" s="1693" t="s">
        <v>1100</v>
      </c>
      <c r="B608" s="1693" t="s">
        <v>1815</v>
      </c>
      <c r="C608" s="1700">
        <v>554000000</v>
      </c>
      <c r="D608" s="1700">
        <v>527000000</v>
      </c>
      <c r="E608" s="1700">
        <v>41</v>
      </c>
      <c r="F608" s="1700">
        <v>7</v>
      </c>
      <c r="G608" s="1700">
        <v>0</v>
      </c>
      <c r="H608" s="1700">
        <v>7</v>
      </c>
      <c r="I608" s="1694">
        <v>42217</v>
      </c>
    </row>
    <row r="609" spans="1:9">
      <c r="A609" s="1693" t="s">
        <v>1099</v>
      </c>
      <c r="B609" s="1693" t="s">
        <v>1816</v>
      </c>
      <c r="C609" s="1700">
        <v>441000000.00000006</v>
      </c>
      <c r="D609" s="1700">
        <v>420000000.00000006</v>
      </c>
      <c r="E609" s="1700">
        <v>24</v>
      </c>
      <c r="F609" s="1700">
        <v>8</v>
      </c>
      <c r="G609" s="1700">
        <v>0</v>
      </c>
      <c r="H609" s="1700">
        <v>8</v>
      </c>
      <c r="I609" s="1694">
        <v>42217</v>
      </c>
    </row>
    <row r="610" spans="1:9">
      <c r="A610" s="1693" t="s">
        <v>1419</v>
      </c>
      <c r="B610" s="1693" t="s">
        <v>1817</v>
      </c>
      <c r="C610" s="1700">
        <v>441000000</v>
      </c>
      <c r="D610" s="1700">
        <v>419000000</v>
      </c>
      <c r="E610" s="1700">
        <v>29</v>
      </c>
      <c r="F610" s="1700">
        <v>15</v>
      </c>
      <c r="G610" s="1700">
        <v>2</v>
      </c>
      <c r="H610" s="1700">
        <v>17</v>
      </c>
      <c r="I610" s="1694">
        <v>42217</v>
      </c>
    </row>
    <row r="611" spans="1:9">
      <c r="A611" s="1693" t="s">
        <v>1563</v>
      </c>
      <c r="B611" s="1693" t="s">
        <v>1818</v>
      </c>
      <c r="C611" s="1700">
        <v>292950000</v>
      </c>
      <c r="D611" s="1700">
        <v>279000000</v>
      </c>
      <c r="E611" s="1700">
        <v>17</v>
      </c>
      <c r="F611" s="1700">
        <v>13</v>
      </c>
      <c r="G611" s="1700">
        <v>2</v>
      </c>
      <c r="H611" s="1700">
        <v>15</v>
      </c>
      <c r="I611" s="1694">
        <v>42217</v>
      </c>
    </row>
    <row r="612" spans="1:9">
      <c r="A612" s="1693" t="s">
        <v>1418</v>
      </c>
      <c r="B612" s="1693" t="s">
        <v>1819</v>
      </c>
      <c r="C612" s="1700">
        <v>292950000</v>
      </c>
      <c r="D612" s="1700">
        <v>279000000</v>
      </c>
      <c r="E612" s="1700">
        <v>16</v>
      </c>
      <c r="F612" s="1700">
        <v>13</v>
      </c>
      <c r="G612" s="1700">
        <v>2</v>
      </c>
      <c r="H612" s="1700">
        <v>15</v>
      </c>
      <c r="I612" s="1694">
        <v>42217</v>
      </c>
    </row>
    <row r="613" spans="1:9">
      <c r="A613" s="1693" t="s">
        <v>1568</v>
      </c>
      <c r="B613" s="1693" t="s">
        <v>1820</v>
      </c>
      <c r="C613" s="1700">
        <v>352000000</v>
      </c>
      <c r="D613" s="1700">
        <v>334000000</v>
      </c>
      <c r="E613" s="1700">
        <v>21</v>
      </c>
      <c r="F613" s="1700">
        <v>15</v>
      </c>
      <c r="G613" s="1700">
        <v>2</v>
      </c>
      <c r="H613" s="1700">
        <v>17</v>
      </c>
      <c r="I613" s="1694">
        <v>42217</v>
      </c>
    </row>
    <row r="614" spans="1:9">
      <c r="A614" s="1693" t="s">
        <v>1567</v>
      </c>
      <c r="B614" s="1693" t="s">
        <v>1821</v>
      </c>
      <c r="C614" s="1700">
        <v>333000000</v>
      </c>
      <c r="D614" s="1700">
        <v>316000000</v>
      </c>
      <c r="E614" s="1700">
        <v>16</v>
      </c>
      <c r="F614" s="1700">
        <v>10</v>
      </c>
      <c r="G614" s="1700">
        <v>3</v>
      </c>
      <c r="H614" s="1700">
        <v>13</v>
      </c>
      <c r="I614" s="1694">
        <v>42217</v>
      </c>
    </row>
    <row r="615" spans="1:9">
      <c r="A615" s="1693" t="s">
        <v>1565</v>
      </c>
      <c r="B615" s="1693" t="s">
        <v>1822</v>
      </c>
      <c r="C615" s="1700">
        <v>168000000</v>
      </c>
      <c r="D615" s="1700">
        <v>160000000</v>
      </c>
      <c r="E615" s="1700">
        <v>7</v>
      </c>
      <c r="F615" s="1700">
        <v>13</v>
      </c>
      <c r="G615" s="1700">
        <v>2</v>
      </c>
      <c r="H615" s="1700">
        <v>15</v>
      </c>
      <c r="I615" s="1694">
        <v>42217</v>
      </c>
    </row>
    <row r="616" spans="1:9">
      <c r="A616" s="1693" t="s">
        <v>1570</v>
      </c>
      <c r="B616" s="1693" t="s">
        <v>1823</v>
      </c>
      <c r="C616" s="1700">
        <v>256000000</v>
      </c>
      <c r="D616" s="1700">
        <v>243000000</v>
      </c>
      <c r="E616" s="1700">
        <v>10</v>
      </c>
      <c r="F616" s="1700">
        <v>10</v>
      </c>
      <c r="G616" s="1700">
        <v>3</v>
      </c>
      <c r="H616" s="1700">
        <v>13</v>
      </c>
      <c r="I616" s="1694">
        <v>42217</v>
      </c>
    </row>
    <row r="617" spans="1:9">
      <c r="A617" s="1693" t="s">
        <v>1572</v>
      </c>
      <c r="B617" s="1693" t="s">
        <v>1824</v>
      </c>
      <c r="C617" s="1700">
        <v>336000000</v>
      </c>
      <c r="D617" s="1700">
        <v>319000000</v>
      </c>
      <c r="E617" s="1700">
        <v>16</v>
      </c>
      <c r="F617" s="1700">
        <v>10</v>
      </c>
      <c r="G617" s="1700">
        <v>2</v>
      </c>
      <c r="H617" s="1700">
        <v>12</v>
      </c>
      <c r="I617" s="1694">
        <v>42217</v>
      </c>
    </row>
    <row r="618" spans="1:9">
      <c r="A618" s="1693" t="s">
        <v>1669</v>
      </c>
      <c r="B618" s="1693" t="s">
        <v>1825</v>
      </c>
      <c r="C618" s="1700">
        <v>126000000</v>
      </c>
      <c r="D618" s="1700">
        <v>120000000</v>
      </c>
      <c r="E618" s="1700">
        <v>8</v>
      </c>
      <c r="F618" s="1700">
        <v>9</v>
      </c>
      <c r="G618" s="1700">
        <v>3</v>
      </c>
      <c r="H618" s="1700">
        <v>12</v>
      </c>
      <c r="I618" s="1694">
        <v>42217</v>
      </c>
    </row>
    <row r="619" spans="1:9">
      <c r="A619" s="1693" t="s">
        <v>1148</v>
      </c>
      <c r="B619" s="1693" t="s">
        <v>1826</v>
      </c>
      <c r="C619" s="1700">
        <v>2751000000</v>
      </c>
      <c r="D619" s="1700">
        <v>2620000000</v>
      </c>
      <c r="E619" s="1700">
        <v>102</v>
      </c>
      <c r="F619" s="1700">
        <v>40</v>
      </c>
      <c r="G619" s="1700">
        <v>3</v>
      </c>
      <c r="H619" s="1700">
        <v>43</v>
      </c>
      <c r="I619" s="1694">
        <v>42217</v>
      </c>
    </row>
    <row r="620" spans="1:9">
      <c r="A620" s="1693" t="s">
        <v>1149</v>
      </c>
      <c r="B620" s="1693" t="s">
        <v>1827</v>
      </c>
      <c r="C620" s="1700">
        <v>3967000000</v>
      </c>
      <c r="D620" s="1700">
        <v>3768000000</v>
      </c>
      <c r="E620" s="1700">
        <v>176</v>
      </c>
      <c r="F620" s="1700">
        <v>67</v>
      </c>
      <c r="G620" s="1700">
        <v>5</v>
      </c>
      <c r="H620" s="1700">
        <v>72</v>
      </c>
      <c r="I620" s="1694">
        <v>42217</v>
      </c>
    </row>
    <row r="621" spans="1:9">
      <c r="A621" s="1693" t="s">
        <v>1150</v>
      </c>
      <c r="B621" s="1693" t="s">
        <v>1828</v>
      </c>
      <c r="C621" s="1700">
        <v>2906000000</v>
      </c>
      <c r="D621" s="1700">
        <v>2761000000</v>
      </c>
      <c r="E621" s="1700">
        <v>123</v>
      </c>
      <c r="F621" s="1700">
        <v>60</v>
      </c>
      <c r="G621" s="1700">
        <v>8</v>
      </c>
      <c r="H621" s="1700">
        <v>68</v>
      </c>
      <c r="I621" s="1694">
        <v>42217</v>
      </c>
    </row>
    <row r="622" spans="1:9">
      <c r="A622" s="1693" t="s">
        <v>1151</v>
      </c>
      <c r="B622" s="1693" t="s">
        <v>1829</v>
      </c>
      <c r="C622" s="1700">
        <v>3559500000</v>
      </c>
      <c r="D622" s="1700">
        <v>3390000000</v>
      </c>
      <c r="E622" s="1700">
        <v>112</v>
      </c>
      <c r="F622" s="1700">
        <v>40</v>
      </c>
      <c r="G622" s="1700">
        <v>0</v>
      </c>
      <c r="H622" s="1700">
        <v>40</v>
      </c>
      <c r="I622" s="1694">
        <v>42217</v>
      </c>
    </row>
    <row r="623" spans="1:9">
      <c r="A623" s="1693" t="s">
        <v>1153</v>
      </c>
      <c r="B623" s="1693" t="s">
        <v>1830</v>
      </c>
      <c r="C623" s="1700">
        <v>4304000000</v>
      </c>
      <c r="D623" s="1700">
        <v>4091000000</v>
      </c>
      <c r="E623" s="1700">
        <v>242</v>
      </c>
      <c r="F623" s="1700">
        <v>114</v>
      </c>
      <c r="G623" s="1700">
        <v>11</v>
      </c>
      <c r="H623" s="1700">
        <v>125</v>
      </c>
      <c r="I623" s="1694">
        <v>42217</v>
      </c>
    </row>
    <row r="624" spans="1:9">
      <c r="A624" s="1693" t="s">
        <v>1154</v>
      </c>
      <c r="B624" s="1693" t="s">
        <v>1831</v>
      </c>
      <c r="C624" s="1700">
        <v>735000000.00000012</v>
      </c>
      <c r="D624" s="1700">
        <v>700000000.00000012</v>
      </c>
      <c r="E624" s="1700">
        <v>51</v>
      </c>
      <c r="F624" s="1700">
        <v>8</v>
      </c>
      <c r="G624" s="1700">
        <v>0</v>
      </c>
      <c r="H624" s="1700">
        <v>8</v>
      </c>
      <c r="I624" s="1694">
        <v>42217</v>
      </c>
    </row>
    <row r="625" spans="1:9">
      <c r="A625" s="1693" t="s">
        <v>1675</v>
      </c>
      <c r="B625" s="1693" t="s">
        <v>1832</v>
      </c>
      <c r="C625" s="1700">
        <v>577500000</v>
      </c>
      <c r="D625" s="1700">
        <v>550000000</v>
      </c>
      <c r="E625" s="1700">
        <v>30</v>
      </c>
      <c r="F625" s="1700">
        <v>8</v>
      </c>
      <c r="G625" s="1700">
        <v>0</v>
      </c>
      <c r="H625" s="1700">
        <v>8</v>
      </c>
      <c r="I625" s="1694">
        <v>42217</v>
      </c>
    </row>
    <row r="626" spans="1:9">
      <c r="A626" s="1693" t="s">
        <v>1155</v>
      </c>
      <c r="B626" s="1693" t="s">
        <v>1833</v>
      </c>
      <c r="C626" s="1700">
        <v>6035400000</v>
      </c>
      <c r="D626" s="1700">
        <v>5748000000</v>
      </c>
      <c r="E626" s="1700">
        <v>276</v>
      </c>
      <c r="F626" s="1700">
        <v>111</v>
      </c>
      <c r="G626" s="1700">
        <v>6</v>
      </c>
      <c r="H626" s="1700">
        <v>117</v>
      </c>
      <c r="I626" s="1694">
        <v>42217</v>
      </c>
    </row>
    <row r="627" spans="1:9">
      <c r="A627" s="1693" t="s">
        <v>1156</v>
      </c>
      <c r="B627" s="1693" t="s">
        <v>1834</v>
      </c>
      <c r="C627" s="1700">
        <v>661500000.00000012</v>
      </c>
      <c r="D627" s="1700">
        <v>630000000.00000012</v>
      </c>
      <c r="E627" s="1700">
        <v>43</v>
      </c>
      <c r="F627" s="1700">
        <v>20</v>
      </c>
      <c r="G627" s="1700">
        <v>0</v>
      </c>
      <c r="H627" s="1700">
        <v>20</v>
      </c>
      <c r="I627" s="1694">
        <v>42217</v>
      </c>
    </row>
    <row r="628" spans="1:9">
      <c r="A628" s="1693" t="s">
        <v>792</v>
      </c>
      <c r="B628" s="1693" t="s">
        <v>1835</v>
      </c>
      <c r="C628" s="1700">
        <v>12345900000</v>
      </c>
      <c r="D628" s="1700">
        <v>11758000000</v>
      </c>
      <c r="E628" s="1700">
        <v>490</v>
      </c>
      <c r="F628" s="1700">
        <v>191</v>
      </c>
      <c r="G628" s="1700">
        <v>9</v>
      </c>
      <c r="H628" s="1700">
        <v>200</v>
      </c>
      <c r="I628" s="1694">
        <v>42217</v>
      </c>
    </row>
    <row r="629" spans="1:9">
      <c r="A629" s="1693" t="s">
        <v>794</v>
      </c>
      <c r="B629" s="1693" t="s">
        <v>1836</v>
      </c>
      <c r="C629" s="1700">
        <v>6873000000</v>
      </c>
      <c r="D629" s="1700">
        <v>6529000000</v>
      </c>
      <c r="E629" s="1700">
        <v>299</v>
      </c>
      <c r="F629" s="1700">
        <v>127</v>
      </c>
      <c r="G629" s="1700">
        <v>13</v>
      </c>
      <c r="H629" s="1700">
        <v>140</v>
      </c>
      <c r="I629" s="1694">
        <v>42217</v>
      </c>
    </row>
    <row r="630" spans="1:9">
      <c r="A630" s="1693" t="s">
        <v>793</v>
      </c>
      <c r="B630" s="1693" t="s">
        <v>1837</v>
      </c>
      <c r="C630" s="1700">
        <v>4304000000</v>
      </c>
      <c r="D630" s="1700">
        <v>4091000000</v>
      </c>
      <c r="E630" s="1700">
        <v>242</v>
      </c>
      <c r="F630" s="1700">
        <v>114</v>
      </c>
      <c r="G630" s="1700">
        <v>11</v>
      </c>
      <c r="H630" s="1700">
        <v>125</v>
      </c>
      <c r="I630" s="1694">
        <v>42217</v>
      </c>
    </row>
    <row r="631" spans="1:9">
      <c r="A631" s="1693" t="s">
        <v>458</v>
      </c>
      <c r="B631" s="1693" t="s">
        <v>1838</v>
      </c>
      <c r="C631" s="1700">
        <v>1974000000</v>
      </c>
      <c r="D631" s="1700">
        <v>1880000000</v>
      </c>
      <c r="E631" s="1700">
        <v>124</v>
      </c>
      <c r="F631" s="1700">
        <v>36</v>
      </c>
      <c r="G631" s="1700">
        <v>0</v>
      </c>
      <c r="H631" s="1700">
        <v>36</v>
      </c>
      <c r="I631" s="1694">
        <v>42217</v>
      </c>
    </row>
    <row r="632" spans="1:9">
      <c r="A632" s="1693" t="s">
        <v>1158</v>
      </c>
      <c r="B632" s="1693" t="s">
        <v>1159</v>
      </c>
      <c r="C632" s="1700">
        <v>25496900000</v>
      </c>
      <c r="D632" s="1700">
        <v>24258000000</v>
      </c>
      <c r="E632" s="1700">
        <v>1155</v>
      </c>
      <c r="F632" s="1700">
        <v>468</v>
      </c>
      <c r="G632" s="1700">
        <v>33</v>
      </c>
      <c r="H632" s="1700">
        <v>501</v>
      </c>
      <c r="I632" s="1694">
        <v>42217</v>
      </c>
    </row>
    <row r="633" spans="1:9" ht="30">
      <c r="A633" s="1693" t="s">
        <v>1291</v>
      </c>
      <c r="B633" s="1693" t="s">
        <v>1839</v>
      </c>
      <c r="C633" s="1700">
        <v>2068500000</v>
      </c>
      <c r="D633" s="1700">
        <v>1970000000</v>
      </c>
      <c r="E633" s="1700">
        <v>65</v>
      </c>
      <c r="F633" s="1700">
        <v>29</v>
      </c>
      <c r="G633" s="1700">
        <v>2</v>
      </c>
      <c r="H633" s="1700">
        <v>31</v>
      </c>
      <c r="I633" s="1694">
        <v>42217</v>
      </c>
    </row>
    <row r="634" spans="1:9">
      <c r="A634" s="1693" t="s">
        <v>1292</v>
      </c>
      <c r="B634" s="1693" t="s">
        <v>1840</v>
      </c>
      <c r="C634" s="1700">
        <v>3967000000</v>
      </c>
      <c r="D634" s="1700">
        <v>3768000000</v>
      </c>
      <c r="E634" s="1700">
        <v>176</v>
      </c>
      <c r="F634" s="1700">
        <v>67</v>
      </c>
      <c r="G634" s="1700">
        <v>5</v>
      </c>
      <c r="H634" s="1700">
        <v>72</v>
      </c>
      <c r="I634" s="1694">
        <v>42217</v>
      </c>
    </row>
    <row r="635" spans="1:9">
      <c r="A635" s="1693" t="s">
        <v>1293</v>
      </c>
      <c r="B635" s="1693" t="s">
        <v>1841</v>
      </c>
      <c r="C635" s="1700">
        <v>868000000</v>
      </c>
      <c r="D635" s="1700">
        <v>825000000</v>
      </c>
      <c r="E635" s="1700">
        <v>32</v>
      </c>
      <c r="F635" s="1700">
        <v>15</v>
      </c>
      <c r="G635" s="1700">
        <v>0</v>
      </c>
      <c r="H635" s="1700">
        <v>15</v>
      </c>
      <c r="I635" s="1694">
        <v>42217</v>
      </c>
    </row>
    <row r="636" spans="1:9">
      <c r="A636" s="1693" t="s">
        <v>1294</v>
      </c>
      <c r="B636" s="1693" t="s">
        <v>1842</v>
      </c>
      <c r="C636" s="1700">
        <v>2383500000</v>
      </c>
      <c r="D636" s="1700">
        <v>2270000000</v>
      </c>
      <c r="E636" s="1700">
        <v>86</v>
      </c>
      <c r="F636" s="1700">
        <v>32</v>
      </c>
      <c r="G636" s="1700">
        <v>0</v>
      </c>
      <c r="H636" s="1700">
        <v>32</v>
      </c>
      <c r="I636" s="1694">
        <v>42217</v>
      </c>
    </row>
    <row r="637" spans="1:9">
      <c r="A637" s="1693" t="s">
        <v>1296</v>
      </c>
      <c r="B637" s="1693" t="s">
        <v>1844</v>
      </c>
      <c r="C637" s="1700">
        <v>2016000000</v>
      </c>
      <c r="D637" s="1700">
        <v>1920000000</v>
      </c>
      <c r="E637" s="1700">
        <v>87</v>
      </c>
      <c r="F637" s="1700">
        <v>32</v>
      </c>
      <c r="G637" s="1700">
        <v>3</v>
      </c>
      <c r="H637" s="1700">
        <v>35</v>
      </c>
      <c r="I637" s="1694">
        <v>42217</v>
      </c>
    </row>
    <row r="638" spans="1:9">
      <c r="A638" s="1693" t="s">
        <v>1297</v>
      </c>
      <c r="B638" s="1693" t="s">
        <v>1845</v>
      </c>
      <c r="C638" s="1700">
        <v>1921000000</v>
      </c>
      <c r="D638" s="1700">
        <v>1826000000</v>
      </c>
      <c r="E638" s="1700">
        <v>94</v>
      </c>
      <c r="F638" s="1700">
        <v>54</v>
      </c>
      <c r="G638" s="1700">
        <v>9</v>
      </c>
      <c r="H638" s="1700">
        <v>63</v>
      </c>
      <c r="I638" s="1694">
        <v>42217</v>
      </c>
    </row>
    <row r="639" spans="1:9">
      <c r="A639" s="1693" t="s">
        <v>1298</v>
      </c>
      <c r="B639" s="1693" t="s">
        <v>1846</v>
      </c>
      <c r="C639" s="1700">
        <v>1176000000</v>
      </c>
      <c r="D639" s="1700">
        <v>1120000000</v>
      </c>
      <c r="E639" s="1700">
        <v>26</v>
      </c>
      <c r="F639" s="1700">
        <v>8</v>
      </c>
      <c r="G639" s="1700">
        <v>0</v>
      </c>
      <c r="H639" s="1700">
        <v>8</v>
      </c>
      <c r="I639" s="1694">
        <v>42217</v>
      </c>
    </row>
    <row r="640" spans="1:9">
      <c r="A640" s="1693" t="s">
        <v>1299</v>
      </c>
      <c r="B640" s="1693" t="s">
        <v>1847</v>
      </c>
      <c r="C640" s="1700">
        <v>735000000.00000012</v>
      </c>
      <c r="D640" s="1700">
        <v>700000000.00000012</v>
      </c>
      <c r="E640" s="1700">
        <v>51</v>
      </c>
      <c r="F640" s="1700">
        <v>8</v>
      </c>
      <c r="G640" s="1700">
        <v>0</v>
      </c>
      <c r="H640" s="1700">
        <v>8</v>
      </c>
      <c r="I640" s="1694">
        <v>42217</v>
      </c>
    </row>
    <row r="641" spans="1:9">
      <c r="A641" s="1693" t="s">
        <v>1300</v>
      </c>
      <c r="B641" s="1693" t="s">
        <v>1848</v>
      </c>
      <c r="C641" s="1700">
        <v>735000000.00000012</v>
      </c>
      <c r="D641" s="1700">
        <v>700000000.00000012</v>
      </c>
      <c r="E641" s="1700">
        <v>15</v>
      </c>
      <c r="F641" s="1700">
        <v>8</v>
      </c>
      <c r="G641" s="1700">
        <v>0</v>
      </c>
      <c r="H641" s="1700">
        <v>8</v>
      </c>
      <c r="I641" s="1694">
        <v>42217</v>
      </c>
    </row>
    <row r="642" spans="1:9" ht="30">
      <c r="A642" s="1693" t="s">
        <v>1301</v>
      </c>
      <c r="B642" s="1693" t="s">
        <v>1849</v>
      </c>
      <c r="C642" s="1700">
        <v>2038000000</v>
      </c>
      <c r="D642" s="1700">
        <v>1936000000</v>
      </c>
      <c r="E642" s="1700">
        <v>91</v>
      </c>
      <c r="F642" s="1700">
        <v>45</v>
      </c>
      <c r="G642" s="1700">
        <v>8</v>
      </c>
      <c r="H642" s="1700">
        <v>53</v>
      </c>
      <c r="I642" s="1694">
        <v>42217</v>
      </c>
    </row>
    <row r="643" spans="1:9">
      <c r="A643" s="1693" t="s">
        <v>1302</v>
      </c>
      <c r="B643" s="1693" t="s">
        <v>1850</v>
      </c>
      <c r="C643" s="1700">
        <v>3966900000.0000005</v>
      </c>
      <c r="D643" s="1700">
        <v>3778000000.0000005</v>
      </c>
      <c r="E643" s="1700">
        <v>211</v>
      </c>
      <c r="F643" s="1700">
        <v>82</v>
      </c>
      <c r="G643" s="1700">
        <v>4</v>
      </c>
      <c r="H643" s="1700">
        <v>86</v>
      </c>
      <c r="I643" s="1694">
        <v>42217</v>
      </c>
    </row>
    <row r="644" spans="1:9">
      <c r="A644" s="1693" t="s">
        <v>1303</v>
      </c>
      <c r="B644" s="1693" t="s">
        <v>1851</v>
      </c>
      <c r="C644" s="1700">
        <v>577500000</v>
      </c>
      <c r="D644" s="1700">
        <v>550000000</v>
      </c>
      <c r="E644" s="1700">
        <v>30</v>
      </c>
      <c r="F644" s="1700">
        <v>8</v>
      </c>
      <c r="G644" s="1700">
        <v>0</v>
      </c>
      <c r="H644" s="1700">
        <v>8</v>
      </c>
      <c r="I644" s="1694">
        <v>42217</v>
      </c>
    </row>
    <row r="645" spans="1:9">
      <c r="A645" s="1693" t="s">
        <v>1422</v>
      </c>
      <c r="B645" s="1693" t="s">
        <v>1852</v>
      </c>
      <c r="C645" s="1700">
        <v>1388000000</v>
      </c>
      <c r="D645" s="1700">
        <v>1319000000</v>
      </c>
      <c r="E645" s="1700">
        <v>78</v>
      </c>
      <c r="F645" s="1700">
        <v>38</v>
      </c>
      <c r="G645" s="1700">
        <v>0</v>
      </c>
      <c r="H645" s="1700">
        <v>38</v>
      </c>
      <c r="I645" s="1694">
        <v>42217</v>
      </c>
    </row>
    <row r="646" spans="1:9">
      <c r="A646" s="1693" t="s">
        <v>1305</v>
      </c>
      <c r="B646" s="1693" t="s">
        <v>1853</v>
      </c>
      <c r="C646" s="1700">
        <v>661500000.00000012</v>
      </c>
      <c r="D646" s="1700">
        <v>630000000.00000012</v>
      </c>
      <c r="E646" s="1700">
        <v>43</v>
      </c>
      <c r="F646" s="1700">
        <v>20</v>
      </c>
      <c r="G646" s="1700">
        <v>0</v>
      </c>
      <c r="H646" s="1700">
        <v>20</v>
      </c>
      <c r="I646" s="1694">
        <v>42217</v>
      </c>
    </row>
    <row r="647" spans="1:9">
      <c r="A647" s="1693" t="s">
        <v>1423</v>
      </c>
      <c r="B647" s="1693" t="s">
        <v>1854</v>
      </c>
      <c r="C647" s="1700">
        <v>554000000</v>
      </c>
      <c r="D647" s="1700">
        <v>527000000</v>
      </c>
      <c r="E647" s="1700">
        <v>41</v>
      </c>
      <c r="F647" s="1700">
        <v>7</v>
      </c>
      <c r="G647" s="1700">
        <v>0</v>
      </c>
      <c r="H647" s="1700">
        <v>7</v>
      </c>
      <c r="I647" s="1694">
        <v>42217</v>
      </c>
    </row>
    <row r="648" spans="1:9">
      <c r="A648" s="1693" t="s">
        <v>1424</v>
      </c>
      <c r="B648" s="1693" t="s">
        <v>1855</v>
      </c>
      <c r="C648" s="1700">
        <v>441000000</v>
      </c>
      <c r="D648" s="1700">
        <v>419000000</v>
      </c>
      <c r="E648" s="1700">
        <v>29</v>
      </c>
      <c r="F648" s="1700">
        <v>15</v>
      </c>
      <c r="G648" s="1700">
        <v>2</v>
      </c>
      <c r="H648" s="1700">
        <v>17</v>
      </c>
      <c r="I648" s="1694">
        <v>42217</v>
      </c>
    </row>
    <row r="651" spans="1:9">
      <c r="A651" s="1704" t="s">
        <v>2045</v>
      </c>
    </row>
    <row r="652" spans="1:9">
      <c r="A652" s="1705" t="s">
        <v>1109</v>
      </c>
      <c r="B652" s="1705" t="s">
        <v>1110</v>
      </c>
      <c r="C652" s="1715" t="s">
        <v>1</v>
      </c>
      <c r="D652" s="1715" t="s">
        <v>2</v>
      </c>
      <c r="E652" s="1715" t="s">
        <v>1108</v>
      </c>
      <c r="F652" s="1715" t="s">
        <v>1107</v>
      </c>
      <c r="G652" s="1715" t="s">
        <v>1106</v>
      </c>
      <c r="H652" s="1715" t="s">
        <v>1105</v>
      </c>
      <c r="I652" s="1705" t="s">
        <v>1160</v>
      </c>
    </row>
    <row r="653" spans="1:9">
      <c r="A653" s="1706" t="s">
        <v>47</v>
      </c>
      <c r="B653" s="1706" t="s">
        <v>1780</v>
      </c>
      <c r="C653" s="1716">
        <v>840000000</v>
      </c>
      <c r="D653" s="1716">
        <v>800000000</v>
      </c>
      <c r="E653" s="1716">
        <v>22</v>
      </c>
      <c r="F653" s="1716">
        <v>8</v>
      </c>
      <c r="G653" s="1716">
        <v>0</v>
      </c>
      <c r="H653" s="1716">
        <v>8</v>
      </c>
      <c r="I653" s="1707">
        <v>42248</v>
      </c>
    </row>
    <row r="654" spans="1:9">
      <c r="A654" s="1706" t="s">
        <v>91</v>
      </c>
      <c r="B654" s="1706" t="s">
        <v>1781</v>
      </c>
      <c r="C654" s="1716">
        <v>1774500000</v>
      </c>
      <c r="D654" s="1716">
        <v>1690000000</v>
      </c>
      <c r="E654" s="1716">
        <v>34</v>
      </c>
      <c r="F654" s="1716">
        <v>8</v>
      </c>
      <c r="G654" s="1716">
        <v>0</v>
      </c>
      <c r="H654" s="1716">
        <v>8</v>
      </c>
      <c r="I654" s="1707">
        <v>42248</v>
      </c>
    </row>
    <row r="655" spans="1:9">
      <c r="A655" s="1706" t="s">
        <v>177</v>
      </c>
      <c r="B655" s="1706" t="s">
        <v>1782</v>
      </c>
      <c r="C655" s="1716">
        <v>1324000000</v>
      </c>
      <c r="D655" s="1716">
        <v>1258000000</v>
      </c>
      <c r="E655" s="1716">
        <v>38</v>
      </c>
      <c r="F655" s="1716">
        <v>15</v>
      </c>
      <c r="G655" s="1716">
        <v>0</v>
      </c>
      <c r="H655" s="1716">
        <v>15</v>
      </c>
      <c r="I655" s="1707">
        <v>42248</v>
      </c>
    </row>
    <row r="656" spans="1:9">
      <c r="A656" s="1706" t="s">
        <v>185</v>
      </c>
      <c r="B656" s="1706" t="s">
        <v>1783</v>
      </c>
      <c r="C656" s="1716">
        <v>912000000</v>
      </c>
      <c r="D656" s="1716">
        <v>866000000</v>
      </c>
      <c r="E656" s="1716">
        <v>31</v>
      </c>
      <c r="F656" s="1716">
        <v>15</v>
      </c>
      <c r="G656" s="1716">
        <v>2</v>
      </c>
      <c r="H656" s="1716">
        <v>17</v>
      </c>
      <c r="I656" s="1707">
        <v>42248</v>
      </c>
    </row>
    <row r="657" spans="1:9">
      <c r="A657" s="1706" t="s">
        <v>179</v>
      </c>
      <c r="B657" s="1706" t="s">
        <v>1784</v>
      </c>
      <c r="C657" s="1716">
        <v>1348000000</v>
      </c>
      <c r="D657" s="1716">
        <v>1281000000</v>
      </c>
      <c r="E657" s="1716">
        <v>58</v>
      </c>
      <c r="F657" s="1716">
        <v>12</v>
      </c>
      <c r="G657" s="1716">
        <v>3</v>
      </c>
      <c r="H657" s="1716">
        <v>15</v>
      </c>
      <c r="I657" s="1707">
        <v>42248</v>
      </c>
    </row>
    <row r="658" spans="1:9">
      <c r="A658" s="1706" t="s">
        <v>176</v>
      </c>
      <c r="B658" s="1706" t="s">
        <v>1785</v>
      </c>
      <c r="C658" s="1716">
        <v>1994000000</v>
      </c>
      <c r="D658" s="1716">
        <v>1895000000</v>
      </c>
      <c r="E658" s="1716">
        <v>59</v>
      </c>
      <c r="F658" s="1716">
        <v>20</v>
      </c>
      <c r="G658" s="1716">
        <v>0</v>
      </c>
      <c r="H658" s="1716">
        <v>20</v>
      </c>
      <c r="I658" s="1707">
        <v>42248</v>
      </c>
    </row>
    <row r="659" spans="1:9">
      <c r="A659" s="1706" t="s">
        <v>187</v>
      </c>
      <c r="B659" s="1706" t="s">
        <v>1786</v>
      </c>
      <c r="C659" s="1716">
        <v>840000000</v>
      </c>
      <c r="D659" s="1716">
        <v>800000000</v>
      </c>
      <c r="E659" s="1716">
        <v>27</v>
      </c>
      <c r="F659" s="1716">
        <v>8</v>
      </c>
      <c r="G659" s="1716">
        <v>0</v>
      </c>
      <c r="H659" s="1716">
        <v>8</v>
      </c>
      <c r="I659" s="1707">
        <v>42248</v>
      </c>
    </row>
    <row r="660" spans="1:9">
      <c r="A660" s="1706" t="s">
        <v>630</v>
      </c>
      <c r="B660" s="1706" t="s">
        <v>1787</v>
      </c>
      <c r="C660" s="1716">
        <v>735000000</v>
      </c>
      <c r="D660" s="1716">
        <v>700000000</v>
      </c>
      <c r="E660" s="1716">
        <v>30</v>
      </c>
      <c r="F660" s="1716">
        <v>8</v>
      </c>
      <c r="G660" s="1716">
        <v>0</v>
      </c>
      <c r="H660" s="1716">
        <v>8</v>
      </c>
      <c r="I660" s="1707">
        <v>42248</v>
      </c>
    </row>
    <row r="661" spans="1:9">
      <c r="A661" s="1706" t="s">
        <v>661</v>
      </c>
      <c r="B661" s="1706" t="s">
        <v>1788</v>
      </c>
      <c r="C661" s="1716">
        <v>543000000</v>
      </c>
      <c r="D661" s="1716">
        <v>515000000</v>
      </c>
      <c r="E661" s="1716">
        <v>27</v>
      </c>
      <c r="F661" s="1716">
        <v>5</v>
      </c>
      <c r="G661" s="1716">
        <v>0</v>
      </c>
      <c r="H661" s="1716">
        <v>5</v>
      </c>
      <c r="I661" s="1707">
        <v>42248</v>
      </c>
    </row>
    <row r="662" spans="1:9">
      <c r="A662" s="1706" t="s">
        <v>628</v>
      </c>
      <c r="B662" s="1706" t="s">
        <v>1789</v>
      </c>
      <c r="C662" s="1716">
        <v>777000000</v>
      </c>
      <c r="D662" s="1716">
        <v>740000000</v>
      </c>
      <c r="E662" s="1716">
        <v>22</v>
      </c>
      <c r="F662" s="1716">
        <v>8</v>
      </c>
      <c r="G662" s="1716">
        <v>0</v>
      </c>
      <c r="H662" s="1716">
        <v>8</v>
      </c>
      <c r="I662" s="1707">
        <v>42248</v>
      </c>
    </row>
    <row r="663" spans="1:9">
      <c r="A663" s="1706" t="s">
        <v>650</v>
      </c>
      <c r="B663" s="1706" t="s">
        <v>1790</v>
      </c>
      <c r="C663" s="1716">
        <v>735000000</v>
      </c>
      <c r="D663" s="1716">
        <v>700000000</v>
      </c>
      <c r="E663" s="1716">
        <v>24</v>
      </c>
      <c r="F663" s="1716">
        <v>8</v>
      </c>
      <c r="G663" s="1716">
        <v>0</v>
      </c>
      <c r="H663" s="1716">
        <v>8</v>
      </c>
      <c r="I663" s="1707">
        <v>42248</v>
      </c>
    </row>
    <row r="664" spans="1:9">
      <c r="A664" s="1706" t="s">
        <v>660</v>
      </c>
      <c r="B664" s="1706" t="s">
        <v>1791</v>
      </c>
      <c r="C664" s="1716">
        <v>984000000</v>
      </c>
      <c r="D664" s="1716">
        <v>935000000</v>
      </c>
      <c r="E664" s="1716">
        <v>41</v>
      </c>
      <c r="F664" s="1716">
        <v>15</v>
      </c>
      <c r="G664" s="1716">
        <v>2</v>
      </c>
      <c r="H664" s="1716">
        <v>17</v>
      </c>
      <c r="I664" s="1707">
        <v>42248</v>
      </c>
    </row>
    <row r="665" spans="1:9">
      <c r="A665" s="1706" t="s">
        <v>648</v>
      </c>
      <c r="B665" s="1706" t="s">
        <v>1792</v>
      </c>
      <c r="C665" s="1716">
        <v>735000000</v>
      </c>
      <c r="D665" s="1716">
        <v>700000000</v>
      </c>
      <c r="E665" s="1716">
        <v>25</v>
      </c>
      <c r="F665" s="1716">
        <v>8</v>
      </c>
      <c r="G665" s="1716">
        <v>0</v>
      </c>
      <c r="H665" s="1716">
        <v>8</v>
      </c>
      <c r="I665" s="1707">
        <v>42248</v>
      </c>
    </row>
    <row r="666" spans="1:9">
      <c r="A666" s="1706" t="s">
        <v>659</v>
      </c>
      <c r="B666" s="1706" t="s">
        <v>1793</v>
      </c>
      <c r="C666" s="1716">
        <v>1579000000</v>
      </c>
      <c r="D666" s="1716">
        <v>1500000000</v>
      </c>
      <c r="E666" s="1716">
        <v>47</v>
      </c>
      <c r="F666" s="1716">
        <v>20</v>
      </c>
      <c r="G666" s="1716">
        <v>2</v>
      </c>
      <c r="H666" s="1716">
        <v>22</v>
      </c>
      <c r="I666" s="1707">
        <v>42248</v>
      </c>
    </row>
    <row r="667" spans="1:9">
      <c r="A667" s="1706" t="s">
        <v>649</v>
      </c>
      <c r="B667" s="1706" t="s">
        <v>1794</v>
      </c>
      <c r="C667" s="1716">
        <v>840000000</v>
      </c>
      <c r="D667" s="1716">
        <v>800000000</v>
      </c>
      <c r="E667" s="1716">
        <v>22</v>
      </c>
      <c r="F667" s="1716">
        <v>8</v>
      </c>
      <c r="G667" s="1716">
        <v>0</v>
      </c>
      <c r="H667" s="1716">
        <v>8</v>
      </c>
      <c r="I667" s="1707">
        <v>42248</v>
      </c>
    </row>
    <row r="668" spans="1:9">
      <c r="A668" s="1706" t="s">
        <v>642</v>
      </c>
      <c r="B668" s="1706" t="s">
        <v>1795</v>
      </c>
      <c r="C668" s="1716">
        <v>682500000</v>
      </c>
      <c r="D668" s="1716">
        <v>650000000</v>
      </c>
      <c r="E668" s="1716">
        <v>19</v>
      </c>
      <c r="F668" s="1716">
        <v>8</v>
      </c>
      <c r="G668" s="1716">
        <v>0</v>
      </c>
      <c r="H668" s="1716">
        <v>8</v>
      </c>
      <c r="I668" s="1707">
        <v>42248</v>
      </c>
    </row>
    <row r="669" spans="1:9">
      <c r="A669" s="1706" t="s">
        <v>736</v>
      </c>
      <c r="B669" s="1706" t="s">
        <v>1796</v>
      </c>
      <c r="C669" s="1716">
        <v>1260000000</v>
      </c>
      <c r="D669" s="1716">
        <v>1200000000</v>
      </c>
      <c r="E669" s="1716">
        <v>36</v>
      </c>
      <c r="F669" s="1716">
        <v>7</v>
      </c>
      <c r="G669" s="1716">
        <v>0</v>
      </c>
      <c r="H669" s="1716">
        <v>7</v>
      </c>
      <c r="I669" s="1707">
        <v>42248</v>
      </c>
    </row>
    <row r="670" spans="1:9">
      <c r="A670" s="1706" t="s">
        <v>699</v>
      </c>
      <c r="B670" s="1706" t="s">
        <v>1797</v>
      </c>
      <c r="C670" s="1716">
        <v>371000000</v>
      </c>
      <c r="D670" s="1716">
        <v>353000000</v>
      </c>
      <c r="E670" s="1716">
        <v>20</v>
      </c>
      <c r="F670" s="1716">
        <v>12</v>
      </c>
      <c r="G670" s="1716">
        <v>0</v>
      </c>
      <c r="H670" s="1716">
        <v>12</v>
      </c>
      <c r="I670" s="1707">
        <v>42248</v>
      </c>
    </row>
    <row r="671" spans="1:9">
      <c r="A671" s="1706" t="s">
        <v>737</v>
      </c>
      <c r="B671" s="1706" t="s">
        <v>1798</v>
      </c>
      <c r="C671" s="1716">
        <v>0</v>
      </c>
      <c r="D671" s="1716">
        <v>0</v>
      </c>
      <c r="E671" s="1716">
        <v>0</v>
      </c>
      <c r="F671" s="1716">
        <v>0</v>
      </c>
      <c r="G671" s="1716">
        <v>0</v>
      </c>
      <c r="H671" s="1716">
        <v>0</v>
      </c>
      <c r="I671" s="1707">
        <v>42248</v>
      </c>
    </row>
    <row r="672" spans="1:9">
      <c r="A672" s="1706" t="s">
        <v>735</v>
      </c>
      <c r="B672" s="1706" t="s">
        <v>1799</v>
      </c>
      <c r="C672" s="1716">
        <v>1680000000</v>
      </c>
      <c r="D672" s="1716">
        <v>1600000000</v>
      </c>
      <c r="E672" s="1716">
        <v>27</v>
      </c>
      <c r="F672" s="1716">
        <v>8</v>
      </c>
      <c r="G672" s="1716">
        <v>0</v>
      </c>
      <c r="H672" s="1716">
        <v>8</v>
      </c>
      <c r="I672" s="1707">
        <v>42248</v>
      </c>
    </row>
    <row r="673" spans="1:9">
      <c r="A673" s="1706" t="s">
        <v>734</v>
      </c>
      <c r="B673" s="1706" t="s">
        <v>1800</v>
      </c>
      <c r="C673" s="1716">
        <v>1050000000</v>
      </c>
      <c r="D673" s="1716">
        <v>1000000000</v>
      </c>
      <c r="E673" s="1716">
        <v>52</v>
      </c>
      <c r="F673" s="1716">
        <v>8</v>
      </c>
      <c r="G673" s="1716">
        <v>0</v>
      </c>
      <c r="H673" s="1716">
        <v>8</v>
      </c>
      <c r="I673" s="1707">
        <v>42248</v>
      </c>
    </row>
    <row r="674" spans="1:9">
      <c r="A674" s="1706" t="s">
        <v>798</v>
      </c>
      <c r="B674" s="1706" t="s">
        <v>1801</v>
      </c>
      <c r="C674" s="1716">
        <v>1050000000</v>
      </c>
      <c r="D674" s="1716">
        <v>1000000000</v>
      </c>
      <c r="E674" s="1716">
        <v>17</v>
      </c>
      <c r="F674" s="1716">
        <v>8</v>
      </c>
      <c r="G674" s="1716">
        <v>0</v>
      </c>
      <c r="H674" s="1716">
        <v>8</v>
      </c>
      <c r="I674" s="1707">
        <v>42248</v>
      </c>
    </row>
    <row r="675" spans="1:9">
      <c r="A675" s="1706" t="s">
        <v>796</v>
      </c>
      <c r="B675" s="1706" t="s">
        <v>1802</v>
      </c>
      <c r="C675" s="1716">
        <v>1155000000</v>
      </c>
      <c r="D675" s="1716">
        <v>1100000000</v>
      </c>
      <c r="E675" s="1716">
        <v>29</v>
      </c>
      <c r="F675" s="1716">
        <v>8</v>
      </c>
      <c r="G675" s="1716">
        <v>0</v>
      </c>
      <c r="H675" s="1716">
        <v>8</v>
      </c>
      <c r="I675" s="1707">
        <v>42248</v>
      </c>
    </row>
    <row r="676" spans="1:9">
      <c r="A676" s="1706" t="s">
        <v>799</v>
      </c>
      <c r="B676" s="1706" t="s">
        <v>1803</v>
      </c>
      <c r="C676" s="1716">
        <v>903000000</v>
      </c>
      <c r="D676" s="1716">
        <v>858000000</v>
      </c>
      <c r="E676" s="1716">
        <v>43</v>
      </c>
      <c r="F676" s="1716">
        <v>15</v>
      </c>
      <c r="G676" s="1716">
        <v>0</v>
      </c>
      <c r="H676" s="1716">
        <v>15</v>
      </c>
      <c r="I676" s="1707">
        <v>42248</v>
      </c>
    </row>
    <row r="677" spans="1:9">
      <c r="A677" s="1706" t="s">
        <v>825</v>
      </c>
      <c r="B677" s="1706" t="s">
        <v>1804</v>
      </c>
      <c r="C677" s="1716">
        <v>500000000</v>
      </c>
      <c r="D677" s="1716">
        <v>475000000</v>
      </c>
      <c r="E677" s="1716">
        <v>22</v>
      </c>
      <c r="F677" s="1716">
        <v>8</v>
      </c>
      <c r="G677" s="1716">
        <v>0</v>
      </c>
      <c r="H677" s="1716">
        <v>8</v>
      </c>
      <c r="I677" s="1707">
        <v>42248</v>
      </c>
    </row>
    <row r="678" spans="1:9">
      <c r="A678" s="1706" t="s">
        <v>905</v>
      </c>
      <c r="B678" s="1706" t="s">
        <v>1805</v>
      </c>
      <c r="C678" s="1716">
        <v>976500000</v>
      </c>
      <c r="D678" s="1716">
        <v>930000000</v>
      </c>
      <c r="E678" s="1716">
        <v>25</v>
      </c>
      <c r="F678" s="1716">
        <v>8</v>
      </c>
      <c r="G678" s="1716">
        <v>0</v>
      </c>
      <c r="H678" s="1716">
        <v>8</v>
      </c>
      <c r="I678" s="1707">
        <v>42248</v>
      </c>
    </row>
    <row r="679" spans="1:9">
      <c r="A679" s="1706" t="s">
        <v>903</v>
      </c>
      <c r="B679" s="1706" t="s">
        <v>1806</v>
      </c>
      <c r="C679" s="1716">
        <v>525000000</v>
      </c>
      <c r="D679" s="1716">
        <v>500000000</v>
      </c>
      <c r="E679" s="1716">
        <v>24</v>
      </c>
      <c r="F679" s="1716">
        <v>8</v>
      </c>
      <c r="G679" s="1716">
        <v>0</v>
      </c>
      <c r="H679" s="1716">
        <v>8</v>
      </c>
      <c r="I679" s="1707">
        <v>42248</v>
      </c>
    </row>
    <row r="680" spans="1:9">
      <c r="A680" s="1706" t="s">
        <v>902</v>
      </c>
      <c r="B680" s="1706" t="s">
        <v>1807</v>
      </c>
      <c r="C680" s="1716">
        <v>525000000</v>
      </c>
      <c r="D680" s="1716">
        <v>500000000</v>
      </c>
      <c r="E680" s="1716">
        <v>30</v>
      </c>
      <c r="F680" s="1716">
        <v>8</v>
      </c>
      <c r="G680" s="1716">
        <v>0</v>
      </c>
      <c r="H680" s="1716">
        <v>8</v>
      </c>
      <c r="I680" s="1707">
        <v>42248</v>
      </c>
    </row>
    <row r="681" spans="1:9">
      <c r="A681" s="1706" t="s">
        <v>900</v>
      </c>
      <c r="B681" s="1706" t="s">
        <v>1808</v>
      </c>
      <c r="C681" s="1716">
        <v>630000000</v>
      </c>
      <c r="D681" s="1716">
        <v>600000000</v>
      </c>
      <c r="E681" s="1716">
        <v>26</v>
      </c>
      <c r="F681" s="1716">
        <v>8</v>
      </c>
      <c r="G681" s="1716">
        <v>0</v>
      </c>
      <c r="H681" s="1716">
        <v>8</v>
      </c>
      <c r="I681" s="1707">
        <v>42248</v>
      </c>
    </row>
    <row r="682" spans="1:9">
      <c r="A682" s="1706" t="s">
        <v>949</v>
      </c>
      <c r="B682" s="1706" t="s">
        <v>1809</v>
      </c>
      <c r="C682" s="1716">
        <v>735000000</v>
      </c>
      <c r="D682" s="1716">
        <v>700000000</v>
      </c>
      <c r="E682" s="1716">
        <v>32</v>
      </c>
      <c r="F682" s="1716">
        <v>8</v>
      </c>
      <c r="G682" s="1716">
        <v>0</v>
      </c>
      <c r="H682" s="1716">
        <v>8</v>
      </c>
      <c r="I682" s="1707">
        <v>42248</v>
      </c>
    </row>
    <row r="683" spans="1:9">
      <c r="A683" s="1706" t="s">
        <v>1104</v>
      </c>
      <c r="B683" s="1706" t="s">
        <v>1810</v>
      </c>
      <c r="C683" s="1716">
        <v>564000000</v>
      </c>
      <c r="D683" s="1716">
        <v>536000000</v>
      </c>
      <c r="E683" s="1716">
        <v>34</v>
      </c>
      <c r="F683" s="1716">
        <v>10</v>
      </c>
      <c r="G683" s="1716">
        <v>0</v>
      </c>
      <c r="H683" s="1716">
        <v>10</v>
      </c>
      <c r="I683" s="1707">
        <v>42248</v>
      </c>
    </row>
    <row r="684" spans="1:9">
      <c r="A684" s="1706" t="s">
        <v>1015</v>
      </c>
      <c r="B684" s="1706" t="s">
        <v>1811</v>
      </c>
      <c r="C684" s="1716">
        <v>474000000</v>
      </c>
      <c r="D684" s="1716">
        <v>450000000</v>
      </c>
      <c r="E684" s="1716">
        <v>23</v>
      </c>
      <c r="F684" s="1716">
        <v>13</v>
      </c>
      <c r="G684" s="1716">
        <v>0</v>
      </c>
      <c r="H684" s="1716">
        <v>13</v>
      </c>
      <c r="I684" s="1707">
        <v>42248</v>
      </c>
    </row>
    <row r="685" spans="1:9">
      <c r="A685" s="1706" t="s">
        <v>1103</v>
      </c>
      <c r="B685" s="1706" t="s">
        <v>1812</v>
      </c>
      <c r="C685" s="1716">
        <v>554000000</v>
      </c>
      <c r="D685" s="1716">
        <v>526000000</v>
      </c>
      <c r="E685" s="1716">
        <v>33</v>
      </c>
      <c r="F685" s="1716">
        <v>15</v>
      </c>
      <c r="G685" s="1716">
        <v>0</v>
      </c>
      <c r="H685" s="1716">
        <v>15</v>
      </c>
      <c r="I685" s="1707">
        <v>42248</v>
      </c>
    </row>
    <row r="686" spans="1:9">
      <c r="A686" s="1706" t="s">
        <v>1102</v>
      </c>
      <c r="B686" s="1706" t="s">
        <v>1813</v>
      </c>
      <c r="C686" s="1716">
        <v>472500000</v>
      </c>
      <c r="D686" s="1716">
        <v>450000000</v>
      </c>
      <c r="E686" s="1716">
        <v>30</v>
      </c>
      <c r="F686" s="1716">
        <v>10</v>
      </c>
      <c r="G686" s="1716">
        <v>2</v>
      </c>
      <c r="H686" s="1716">
        <v>12</v>
      </c>
      <c r="I686" s="1707">
        <v>42248</v>
      </c>
    </row>
    <row r="687" spans="1:9">
      <c r="A687" s="1706" t="s">
        <v>1101</v>
      </c>
      <c r="B687" s="1706" t="s">
        <v>1814</v>
      </c>
      <c r="C687" s="1716">
        <v>472500000</v>
      </c>
      <c r="D687" s="1716">
        <v>450000000</v>
      </c>
      <c r="E687" s="1716">
        <v>18</v>
      </c>
      <c r="F687" s="1716">
        <v>10</v>
      </c>
      <c r="G687" s="1716">
        <v>2</v>
      </c>
      <c r="H687" s="1716">
        <v>12</v>
      </c>
      <c r="I687" s="1707">
        <v>42248</v>
      </c>
    </row>
    <row r="688" spans="1:9">
      <c r="A688" s="1706" t="s">
        <v>1100</v>
      </c>
      <c r="B688" s="1706" t="s">
        <v>1815</v>
      </c>
      <c r="C688" s="1716">
        <v>761000000</v>
      </c>
      <c r="D688" s="1716">
        <v>723000000</v>
      </c>
      <c r="E688" s="1716">
        <v>47</v>
      </c>
      <c r="F688" s="1716">
        <v>8</v>
      </c>
      <c r="G688" s="1716">
        <v>0</v>
      </c>
      <c r="H688" s="1716">
        <v>8</v>
      </c>
      <c r="I688" s="1707">
        <v>42248</v>
      </c>
    </row>
    <row r="689" spans="1:9">
      <c r="A689" s="1706" t="s">
        <v>1099</v>
      </c>
      <c r="B689" s="1706" t="s">
        <v>1816</v>
      </c>
      <c r="C689" s="1716">
        <v>630000000</v>
      </c>
      <c r="D689" s="1716">
        <v>600000000</v>
      </c>
      <c r="E689" s="1716">
        <v>26</v>
      </c>
      <c r="F689" s="1716">
        <v>8</v>
      </c>
      <c r="G689" s="1716">
        <v>0</v>
      </c>
      <c r="H689" s="1716">
        <v>8</v>
      </c>
      <c r="I689" s="1707">
        <v>42248</v>
      </c>
    </row>
    <row r="690" spans="1:9">
      <c r="A690" s="1706" t="s">
        <v>1419</v>
      </c>
      <c r="B690" s="1706" t="s">
        <v>1817</v>
      </c>
      <c r="C690" s="1716">
        <v>509000000</v>
      </c>
      <c r="D690" s="1716">
        <v>484000000</v>
      </c>
      <c r="E690" s="1716">
        <v>30</v>
      </c>
      <c r="F690" s="1716">
        <v>18</v>
      </c>
      <c r="G690" s="1716">
        <v>0</v>
      </c>
      <c r="H690" s="1716">
        <v>18</v>
      </c>
      <c r="I690" s="1707">
        <v>42248</v>
      </c>
    </row>
    <row r="691" spans="1:9">
      <c r="A691" s="1706" t="s">
        <v>1563</v>
      </c>
      <c r="B691" s="1706" t="s">
        <v>1818</v>
      </c>
      <c r="C691" s="1716">
        <v>418950000</v>
      </c>
      <c r="D691" s="1716">
        <v>399000000</v>
      </c>
      <c r="E691" s="1716">
        <v>20</v>
      </c>
      <c r="F691" s="1716">
        <v>13</v>
      </c>
      <c r="G691" s="1716">
        <v>2</v>
      </c>
      <c r="H691" s="1716">
        <v>15</v>
      </c>
      <c r="I691" s="1707">
        <v>42248</v>
      </c>
    </row>
    <row r="692" spans="1:9">
      <c r="A692" s="1706" t="s">
        <v>1418</v>
      </c>
      <c r="B692" s="1706" t="s">
        <v>1819</v>
      </c>
      <c r="C692" s="1716">
        <v>418950000</v>
      </c>
      <c r="D692" s="1716">
        <v>399000000</v>
      </c>
      <c r="E692" s="1716">
        <v>19</v>
      </c>
      <c r="F692" s="1716">
        <v>13</v>
      </c>
      <c r="G692" s="1716">
        <v>2</v>
      </c>
      <c r="H692" s="1716">
        <v>15</v>
      </c>
      <c r="I692" s="1707">
        <v>42248</v>
      </c>
    </row>
    <row r="693" spans="1:9">
      <c r="A693" s="1706" t="s">
        <v>1568</v>
      </c>
      <c r="B693" s="1706" t="s">
        <v>1820</v>
      </c>
      <c r="C693" s="1716">
        <v>461000000</v>
      </c>
      <c r="D693" s="1716">
        <v>438000000</v>
      </c>
      <c r="E693" s="1716">
        <v>27</v>
      </c>
      <c r="F693" s="1716">
        <v>15</v>
      </c>
      <c r="G693" s="1716">
        <v>0</v>
      </c>
      <c r="H693" s="1716">
        <v>15</v>
      </c>
      <c r="I693" s="1707">
        <v>42248</v>
      </c>
    </row>
    <row r="694" spans="1:9">
      <c r="A694" s="1706" t="s">
        <v>1567</v>
      </c>
      <c r="B694" s="1706" t="s">
        <v>1821</v>
      </c>
      <c r="C694" s="1716">
        <v>394000000</v>
      </c>
      <c r="D694" s="1716">
        <v>374000000</v>
      </c>
      <c r="E694" s="1716">
        <v>19</v>
      </c>
      <c r="F694" s="1716">
        <v>10</v>
      </c>
      <c r="G694" s="1716">
        <v>3</v>
      </c>
      <c r="H694" s="1716">
        <v>13</v>
      </c>
      <c r="I694" s="1707">
        <v>42248</v>
      </c>
    </row>
    <row r="695" spans="1:9">
      <c r="A695" s="1706" t="s">
        <v>1565</v>
      </c>
      <c r="B695" s="1706" t="s">
        <v>1822</v>
      </c>
      <c r="C695" s="1716">
        <v>292950000</v>
      </c>
      <c r="D695" s="1716">
        <v>279000000</v>
      </c>
      <c r="E695" s="1716">
        <v>11</v>
      </c>
      <c r="F695" s="1716">
        <v>13</v>
      </c>
      <c r="G695" s="1716">
        <v>2</v>
      </c>
      <c r="H695" s="1716">
        <v>15</v>
      </c>
      <c r="I695" s="1707">
        <v>42248</v>
      </c>
    </row>
    <row r="696" spans="1:9">
      <c r="A696" s="1706" t="s">
        <v>1570</v>
      </c>
      <c r="B696" s="1706" t="s">
        <v>1823</v>
      </c>
      <c r="C696" s="1716">
        <v>384000000</v>
      </c>
      <c r="D696" s="1716">
        <v>365000000</v>
      </c>
      <c r="E696" s="1716">
        <v>16</v>
      </c>
      <c r="F696" s="1716">
        <v>10</v>
      </c>
      <c r="G696" s="1716">
        <v>2</v>
      </c>
      <c r="H696" s="1716">
        <v>12</v>
      </c>
      <c r="I696" s="1707">
        <v>42248</v>
      </c>
    </row>
    <row r="697" spans="1:9">
      <c r="A697" s="1706" t="s">
        <v>1572</v>
      </c>
      <c r="B697" s="1706" t="s">
        <v>1824</v>
      </c>
      <c r="C697" s="1716">
        <v>430000000</v>
      </c>
      <c r="D697" s="1716">
        <v>408000000</v>
      </c>
      <c r="E697" s="1716">
        <v>20</v>
      </c>
      <c r="F697" s="1716">
        <v>10</v>
      </c>
      <c r="G697" s="1716">
        <v>2</v>
      </c>
      <c r="H697" s="1716">
        <v>12</v>
      </c>
      <c r="I697" s="1707">
        <v>42248</v>
      </c>
    </row>
    <row r="698" spans="1:9">
      <c r="A698" s="1706" t="s">
        <v>1669</v>
      </c>
      <c r="B698" s="1706" t="s">
        <v>1825</v>
      </c>
      <c r="C698" s="1716">
        <v>168000000</v>
      </c>
      <c r="D698" s="1716">
        <v>160000000</v>
      </c>
      <c r="E698" s="1716">
        <v>13</v>
      </c>
      <c r="F698" s="1716">
        <v>13</v>
      </c>
      <c r="G698" s="1716">
        <v>3</v>
      </c>
      <c r="H698" s="1716">
        <v>16</v>
      </c>
      <c r="I698" s="1707">
        <v>42248</v>
      </c>
    </row>
    <row r="699" spans="1:9">
      <c r="A699" s="1706" t="s">
        <v>1148</v>
      </c>
      <c r="B699" s="1706" t="s">
        <v>1826</v>
      </c>
      <c r="C699" s="1716">
        <v>4315500000</v>
      </c>
      <c r="D699" s="1716">
        <v>4110000000</v>
      </c>
      <c r="E699" s="1716">
        <v>114</v>
      </c>
      <c r="F699" s="1716">
        <v>44</v>
      </c>
      <c r="G699" s="1716">
        <v>3</v>
      </c>
      <c r="H699" s="1716">
        <v>47</v>
      </c>
      <c r="I699" s="1707">
        <v>42248</v>
      </c>
    </row>
    <row r="700" spans="1:9">
      <c r="A700" s="1706" t="s">
        <v>1149</v>
      </c>
      <c r="B700" s="1706" t="s">
        <v>1827</v>
      </c>
      <c r="C700" s="1716">
        <v>5366000000</v>
      </c>
      <c r="D700" s="1716">
        <v>5097000000</v>
      </c>
      <c r="E700" s="1716">
        <v>204</v>
      </c>
      <c r="F700" s="1716">
        <v>67</v>
      </c>
      <c r="G700" s="1716">
        <v>9</v>
      </c>
      <c r="H700" s="1716">
        <v>76</v>
      </c>
      <c r="I700" s="1707">
        <v>42248</v>
      </c>
    </row>
    <row r="701" spans="1:9">
      <c r="A701" s="1706" t="s">
        <v>1150</v>
      </c>
      <c r="B701" s="1706" t="s">
        <v>1828</v>
      </c>
      <c r="C701" s="1716">
        <v>4173000000</v>
      </c>
      <c r="D701" s="1716">
        <v>3965000000</v>
      </c>
      <c r="E701" s="1716">
        <v>143</v>
      </c>
      <c r="F701" s="1716">
        <v>60</v>
      </c>
      <c r="G701" s="1716">
        <v>3</v>
      </c>
      <c r="H701" s="1716">
        <v>63</v>
      </c>
      <c r="I701" s="1707">
        <v>42248</v>
      </c>
    </row>
    <row r="702" spans="1:9">
      <c r="A702" s="1706" t="s">
        <v>1151</v>
      </c>
      <c r="B702" s="1706" t="s">
        <v>1829</v>
      </c>
      <c r="C702" s="1716">
        <v>5008500000</v>
      </c>
      <c r="D702" s="1716">
        <v>4770000000</v>
      </c>
      <c r="E702" s="1716">
        <v>120</v>
      </c>
      <c r="F702" s="1716">
        <v>40</v>
      </c>
      <c r="G702" s="1716">
        <v>0</v>
      </c>
      <c r="H702" s="1716">
        <v>40</v>
      </c>
      <c r="I702" s="1707">
        <v>42248</v>
      </c>
    </row>
    <row r="703" spans="1:9">
      <c r="A703" s="1706" t="s">
        <v>1153</v>
      </c>
      <c r="B703" s="1706" t="s">
        <v>1830</v>
      </c>
      <c r="C703" s="1716">
        <v>5450000000</v>
      </c>
      <c r="D703" s="1716">
        <v>5178000000</v>
      </c>
      <c r="E703" s="1716">
        <v>288</v>
      </c>
      <c r="F703" s="1716">
        <v>119</v>
      </c>
      <c r="G703" s="1716">
        <v>4</v>
      </c>
      <c r="H703" s="1716">
        <v>123</v>
      </c>
      <c r="I703" s="1707">
        <v>42248</v>
      </c>
    </row>
    <row r="704" spans="1:9">
      <c r="A704" s="1706" t="s">
        <v>1154</v>
      </c>
      <c r="B704" s="1706" t="s">
        <v>1831</v>
      </c>
      <c r="C704" s="1716">
        <v>1050000000</v>
      </c>
      <c r="D704" s="1716">
        <v>1000000000</v>
      </c>
      <c r="E704" s="1716">
        <v>52</v>
      </c>
      <c r="F704" s="1716">
        <v>8</v>
      </c>
      <c r="G704" s="1716">
        <v>0</v>
      </c>
      <c r="H704" s="1716">
        <v>8</v>
      </c>
      <c r="I704" s="1707">
        <v>42248</v>
      </c>
    </row>
    <row r="705" spans="1:9">
      <c r="A705" s="1706" t="s">
        <v>1675</v>
      </c>
      <c r="B705" s="1706" t="s">
        <v>1832</v>
      </c>
      <c r="C705" s="1716">
        <v>735000000</v>
      </c>
      <c r="D705" s="1716">
        <v>700000000</v>
      </c>
      <c r="E705" s="1716">
        <v>32</v>
      </c>
      <c r="F705" s="1716">
        <v>8</v>
      </c>
      <c r="G705" s="1716">
        <v>0</v>
      </c>
      <c r="H705" s="1716">
        <v>8</v>
      </c>
      <c r="I705" s="1707">
        <v>42248</v>
      </c>
    </row>
    <row r="706" spans="1:9">
      <c r="A706" s="1706" t="s">
        <v>1155</v>
      </c>
      <c r="B706" s="1706" t="s">
        <v>1833</v>
      </c>
      <c r="C706" s="1716">
        <v>8365350000</v>
      </c>
      <c r="D706" s="1716">
        <v>7967000000</v>
      </c>
      <c r="E706" s="1716">
        <v>294</v>
      </c>
      <c r="F706" s="1716">
        <v>111</v>
      </c>
      <c r="G706" s="1716">
        <v>6</v>
      </c>
      <c r="H706" s="1716">
        <v>117</v>
      </c>
      <c r="I706" s="1707">
        <v>42248</v>
      </c>
    </row>
    <row r="707" spans="1:9">
      <c r="A707" s="1706" t="s">
        <v>1156</v>
      </c>
      <c r="B707" s="1706" t="s">
        <v>1834</v>
      </c>
      <c r="C707" s="1716">
        <v>945000000</v>
      </c>
      <c r="D707" s="1716">
        <v>900000000</v>
      </c>
      <c r="E707" s="1716">
        <v>48</v>
      </c>
      <c r="F707" s="1716">
        <v>20</v>
      </c>
      <c r="G707" s="1716">
        <v>4</v>
      </c>
      <c r="H707" s="1716">
        <v>24</v>
      </c>
      <c r="I707" s="1707">
        <v>42248</v>
      </c>
    </row>
    <row r="708" spans="1:9">
      <c r="A708" s="1706" t="s">
        <v>792</v>
      </c>
      <c r="B708" s="1706" t="s">
        <v>1835</v>
      </c>
      <c r="C708" s="1716">
        <v>17689350000</v>
      </c>
      <c r="D708" s="1716">
        <v>16847000000</v>
      </c>
      <c r="E708" s="1716">
        <v>528</v>
      </c>
      <c r="F708" s="1716">
        <v>195</v>
      </c>
      <c r="G708" s="1716">
        <v>9</v>
      </c>
      <c r="H708" s="1716">
        <v>204</v>
      </c>
      <c r="I708" s="1707">
        <v>42248</v>
      </c>
    </row>
    <row r="709" spans="1:9">
      <c r="A709" s="1706" t="s">
        <v>794</v>
      </c>
      <c r="B709" s="1706" t="s">
        <v>1836</v>
      </c>
      <c r="C709" s="1716">
        <v>9539000000</v>
      </c>
      <c r="D709" s="1716">
        <v>9062000000</v>
      </c>
      <c r="E709" s="1716">
        <v>347</v>
      </c>
      <c r="F709" s="1716">
        <v>127</v>
      </c>
      <c r="G709" s="1716">
        <v>12</v>
      </c>
      <c r="H709" s="1716">
        <v>139</v>
      </c>
      <c r="I709" s="1707">
        <v>42248</v>
      </c>
    </row>
    <row r="710" spans="1:9">
      <c r="A710" s="1706" t="s">
        <v>793</v>
      </c>
      <c r="B710" s="1706" t="s">
        <v>1837</v>
      </c>
      <c r="C710" s="1716">
        <v>5450000000</v>
      </c>
      <c r="D710" s="1716">
        <v>5178000000</v>
      </c>
      <c r="E710" s="1716">
        <v>288</v>
      </c>
      <c r="F710" s="1716">
        <v>119</v>
      </c>
      <c r="G710" s="1716">
        <v>4</v>
      </c>
      <c r="H710" s="1716">
        <v>123</v>
      </c>
      <c r="I710" s="1707">
        <v>42248</v>
      </c>
    </row>
    <row r="711" spans="1:9">
      <c r="A711" s="1706" t="s">
        <v>458</v>
      </c>
      <c r="B711" s="1706" t="s">
        <v>1838</v>
      </c>
      <c r="C711" s="1716">
        <v>2730000000</v>
      </c>
      <c r="D711" s="1716">
        <v>2600000000</v>
      </c>
      <c r="E711" s="1716">
        <v>132</v>
      </c>
      <c r="F711" s="1716">
        <v>36</v>
      </c>
      <c r="G711" s="1716">
        <v>4</v>
      </c>
      <c r="H711" s="1716">
        <v>40</v>
      </c>
      <c r="I711" s="1707">
        <v>42248</v>
      </c>
    </row>
    <row r="712" spans="1:9">
      <c r="A712" s="1706" t="s">
        <v>1158</v>
      </c>
      <c r="B712" s="1706" t="s">
        <v>1159</v>
      </c>
      <c r="C712" s="1716">
        <v>35408350000</v>
      </c>
      <c r="D712" s="1716">
        <v>33687000000</v>
      </c>
      <c r="E712" s="1716">
        <v>1295</v>
      </c>
      <c r="F712" s="1716">
        <v>477</v>
      </c>
      <c r="G712" s="1716">
        <v>31</v>
      </c>
      <c r="H712" s="1716">
        <v>508</v>
      </c>
      <c r="I712" s="1707">
        <v>42248</v>
      </c>
    </row>
    <row r="713" spans="1:9" ht="30">
      <c r="A713" s="1706" t="s">
        <v>1291</v>
      </c>
      <c r="B713" s="1706" t="s">
        <v>1839</v>
      </c>
      <c r="C713" s="1716">
        <v>2907450000</v>
      </c>
      <c r="D713" s="1716">
        <v>2769000000</v>
      </c>
      <c r="E713" s="1716">
        <v>72</v>
      </c>
      <c r="F713" s="1716">
        <v>29</v>
      </c>
      <c r="G713" s="1716">
        <v>2</v>
      </c>
      <c r="H713" s="1716">
        <v>31</v>
      </c>
      <c r="I713" s="1707">
        <v>42248</v>
      </c>
    </row>
    <row r="714" spans="1:9">
      <c r="A714" s="1706" t="s">
        <v>1292</v>
      </c>
      <c r="B714" s="1706" t="s">
        <v>1840</v>
      </c>
      <c r="C714" s="1716">
        <v>5366000000</v>
      </c>
      <c r="D714" s="1716">
        <v>5097000000</v>
      </c>
      <c r="E714" s="1716">
        <v>204</v>
      </c>
      <c r="F714" s="1716">
        <v>67</v>
      </c>
      <c r="G714" s="1716">
        <v>9</v>
      </c>
      <c r="H714" s="1716">
        <v>76</v>
      </c>
      <c r="I714" s="1707">
        <v>42248</v>
      </c>
    </row>
    <row r="715" spans="1:9">
      <c r="A715" s="1706" t="s">
        <v>1293</v>
      </c>
      <c r="B715" s="1706" t="s">
        <v>1841</v>
      </c>
      <c r="C715" s="1716">
        <v>1324000000</v>
      </c>
      <c r="D715" s="1716">
        <v>1258000000</v>
      </c>
      <c r="E715" s="1716">
        <v>38</v>
      </c>
      <c r="F715" s="1716">
        <v>15</v>
      </c>
      <c r="G715" s="1716">
        <v>0</v>
      </c>
      <c r="H715" s="1716">
        <v>15</v>
      </c>
      <c r="I715" s="1707">
        <v>42248</v>
      </c>
    </row>
    <row r="716" spans="1:9">
      <c r="A716" s="1706" t="s">
        <v>1294</v>
      </c>
      <c r="B716" s="1706" t="s">
        <v>1842</v>
      </c>
      <c r="C716" s="1716">
        <v>3328500000</v>
      </c>
      <c r="D716" s="1716">
        <v>3170000000</v>
      </c>
      <c r="E716" s="1716">
        <v>93</v>
      </c>
      <c r="F716" s="1716">
        <v>32</v>
      </c>
      <c r="G716" s="1716">
        <v>0</v>
      </c>
      <c r="H716" s="1716">
        <v>32</v>
      </c>
      <c r="I716" s="1707">
        <v>42248</v>
      </c>
    </row>
    <row r="717" spans="1:9">
      <c r="A717" s="1706" t="s">
        <v>1296</v>
      </c>
      <c r="B717" s="1706" t="s">
        <v>1844</v>
      </c>
      <c r="C717" s="1716">
        <v>3265500000</v>
      </c>
      <c r="D717" s="1716">
        <v>3110000000</v>
      </c>
      <c r="E717" s="1716">
        <v>97</v>
      </c>
      <c r="F717" s="1716">
        <v>36</v>
      </c>
      <c r="G717" s="1716">
        <v>3</v>
      </c>
      <c r="H717" s="1716">
        <v>39</v>
      </c>
      <c r="I717" s="1707">
        <v>42248</v>
      </c>
    </row>
    <row r="718" spans="1:9">
      <c r="A718" s="1706" t="s">
        <v>1297</v>
      </c>
      <c r="B718" s="1706" t="s">
        <v>1845</v>
      </c>
      <c r="C718" s="1716">
        <v>2588000000</v>
      </c>
      <c r="D718" s="1716">
        <v>2459000000</v>
      </c>
      <c r="E718" s="1716">
        <v>121</v>
      </c>
      <c r="F718" s="1716">
        <v>55</v>
      </c>
      <c r="G718" s="1716">
        <v>4</v>
      </c>
      <c r="H718" s="1716">
        <v>59</v>
      </c>
      <c r="I718" s="1707">
        <v>42248</v>
      </c>
    </row>
    <row r="719" spans="1:9">
      <c r="A719" s="1706" t="s">
        <v>1298</v>
      </c>
      <c r="B719" s="1706" t="s">
        <v>1846</v>
      </c>
      <c r="C719" s="1716">
        <v>1680000000</v>
      </c>
      <c r="D719" s="1716">
        <v>1600000000</v>
      </c>
      <c r="E719" s="1716">
        <v>27</v>
      </c>
      <c r="F719" s="1716">
        <v>8</v>
      </c>
      <c r="G719" s="1716">
        <v>0</v>
      </c>
      <c r="H719" s="1716">
        <v>8</v>
      </c>
      <c r="I719" s="1707">
        <v>42248</v>
      </c>
    </row>
    <row r="720" spans="1:9">
      <c r="A720" s="1706" t="s">
        <v>1299</v>
      </c>
      <c r="B720" s="1706" t="s">
        <v>1847</v>
      </c>
      <c r="C720" s="1716">
        <v>1050000000</v>
      </c>
      <c r="D720" s="1716">
        <v>1000000000</v>
      </c>
      <c r="E720" s="1716">
        <v>52</v>
      </c>
      <c r="F720" s="1716">
        <v>8</v>
      </c>
      <c r="G720" s="1716">
        <v>0</v>
      </c>
      <c r="H720" s="1716">
        <v>8</v>
      </c>
      <c r="I720" s="1707">
        <v>42248</v>
      </c>
    </row>
    <row r="721" spans="1:9">
      <c r="A721" s="1706" t="s">
        <v>1300</v>
      </c>
      <c r="B721" s="1706" t="s">
        <v>1848</v>
      </c>
      <c r="C721" s="1716">
        <v>1050000000</v>
      </c>
      <c r="D721" s="1716">
        <v>1000000000</v>
      </c>
      <c r="E721" s="1716">
        <v>17</v>
      </c>
      <c r="F721" s="1716">
        <v>8</v>
      </c>
      <c r="G721" s="1716">
        <v>0</v>
      </c>
      <c r="H721" s="1716">
        <v>8</v>
      </c>
      <c r="I721" s="1707">
        <v>42248</v>
      </c>
    </row>
    <row r="722" spans="1:9" ht="30">
      <c r="A722" s="1706" t="s">
        <v>1301</v>
      </c>
      <c r="B722" s="1706" t="s">
        <v>1849</v>
      </c>
      <c r="C722" s="1716">
        <v>2849000000</v>
      </c>
      <c r="D722" s="1716">
        <v>2707000000</v>
      </c>
      <c r="E722" s="1716">
        <v>105</v>
      </c>
      <c r="F722" s="1716">
        <v>45</v>
      </c>
      <c r="G722" s="1716">
        <v>3</v>
      </c>
      <c r="H722" s="1716">
        <v>48</v>
      </c>
      <c r="I722" s="1707">
        <v>42248</v>
      </c>
    </row>
    <row r="723" spans="1:9">
      <c r="A723" s="1706" t="s">
        <v>1302</v>
      </c>
      <c r="B723" s="1706" t="s">
        <v>1850</v>
      </c>
      <c r="C723" s="1716">
        <v>5457900000</v>
      </c>
      <c r="D723" s="1716">
        <v>5198000000</v>
      </c>
      <c r="E723" s="1716">
        <v>222</v>
      </c>
      <c r="F723" s="1716">
        <v>82</v>
      </c>
      <c r="G723" s="1716">
        <v>4</v>
      </c>
      <c r="H723" s="1716">
        <v>86</v>
      </c>
      <c r="I723" s="1707">
        <v>42248</v>
      </c>
    </row>
    <row r="724" spans="1:9">
      <c r="A724" s="1706" t="s">
        <v>1303</v>
      </c>
      <c r="B724" s="1706" t="s">
        <v>1851</v>
      </c>
      <c r="C724" s="1716">
        <v>735000000</v>
      </c>
      <c r="D724" s="1716">
        <v>700000000</v>
      </c>
      <c r="E724" s="1716">
        <v>32</v>
      </c>
      <c r="F724" s="1716">
        <v>8</v>
      </c>
      <c r="G724" s="1716">
        <v>0</v>
      </c>
      <c r="H724" s="1716">
        <v>8</v>
      </c>
      <c r="I724" s="1707">
        <v>42248</v>
      </c>
    </row>
    <row r="725" spans="1:9">
      <c r="A725" s="1706" t="s">
        <v>1422</v>
      </c>
      <c r="B725" s="1706" t="s">
        <v>1852</v>
      </c>
      <c r="C725" s="1716">
        <v>1592000000</v>
      </c>
      <c r="D725" s="1716">
        <v>1512000000</v>
      </c>
      <c r="E725" s="1716">
        <v>90</v>
      </c>
      <c r="F725" s="1716">
        <v>38</v>
      </c>
      <c r="G725" s="1716">
        <v>0</v>
      </c>
      <c r="H725" s="1716">
        <v>38</v>
      </c>
      <c r="I725" s="1707">
        <v>42248</v>
      </c>
    </row>
    <row r="726" spans="1:9">
      <c r="A726" s="1706" t="s">
        <v>1305</v>
      </c>
      <c r="B726" s="1706" t="s">
        <v>1853</v>
      </c>
      <c r="C726" s="1716">
        <v>945000000</v>
      </c>
      <c r="D726" s="1716">
        <v>900000000</v>
      </c>
      <c r="E726" s="1716">
        <v>48</v>
      </c>
      <c r="F726" s="1716">
        <v>20</v>
      </c>
      <c r="G726" s="1716">
        <v>4</v>
      </c>
      <c r="H726" s="1716">
        <v>24</v>
      </c>
      <c r="I726" s="1707">
        <v>42248</v>
      </c>
    </row>
    <row r="727" spans="1:9">
      <c r="A727" s="1706" t="s">
        <v>1423</v>
      </c>
      <c r="B727" s="1706" t="s">
        <v>1854</v>
      </c>
      <c r="C727" s="1716">
        <v>761000000</v>
      </c>
      <c r="D727" s="1716">
        <v>723000000</v>
      </c>
      <c r="E727" s="1716">
        <v>47</v>
      </c>
      <c r="F727" s="1716">
        <v>8</v>
      </c>
      <c r="G727" s="1716">
        <v>0</v>
      </c>
      <c r="H727" s="1716">
        <v>8</v>
      </c>
      <c r="I727" s="1707">
        <v>42248</v>
      </c>
    </row>
    <row r="728" spans="1:9">
      <c r="A728" s="1706" t="s">
        <v>1424</v>
      </c>
      <c r="B728" s="1706" t="s">
        <v>1855</v>
      </c>
      <c r="C728" s="1716">
        <v>509000000</v>
      </c>
      <c r="D728" s="1716">
        <v>484000000</v>
      </c>
      <c r="E728" s="1716">
        <v>30</v>
      </c>
      <c r="F728" s="1716">
        <v>18</v>
      </c>
      <c r="G728" s="1716">
        <v>0</v>
      </c>
      <c r="H728" s="1716">
        <v>18</v>
      </c>
      <c r="I728" s="1707">
        <v>42248</v>
      </c>
    </row>
    <row r="729" spans="1:9">
      <c r="A729" s="1706" t="s">
        <v>2046</v>
      </c>
      <c r="B729" s="1706" t="s">
        <v>2047</v>
      </c>
      <c r="C729" s="1717"/>
      <c r="D729" s="1717"/>
      <c r="E729" s="1717"/>
      <c r="F729" s="1717"/>
      <c r="G729" s="1716">
        <v>2</v>
      </c>
      <c r="H729" s="1716">
        <v>2</v>
      </c>
      <c r="I729" s="1707">
        <v>42248</v>
      </c>
    </row>
    <row r="730" spans="1:9">
      <c r="A730" s="1706" t="s">
        <v>2048</v>
      </c>
      <c r="B730" s="1706" t="s">
        <v>2049</v>
      </c>
      <c r="C730" s="1717"/>
      <c r="D730" s="1717"/>
      <c r="E730" s="1717"/>
      <c r="F730" s="1717"/>
      <c r="G730" s="1716">
        <v>2</v>
      </c>
      <c r="H730" s="1716">
        <v>2</v>
      </c>
      <c r="I730" s="1707">
        <v>42248</v>
      </c>
    </row>
    <row r="731" spans="1:9">
      <c r="A731" s="1706" t="s">
        <v>2048</v>
      </c>
      <c r="B731" s="1706" t="s">
        <v>2050</v>
      </c>
      <c r="C731" s="1717"/>
      <c r="D731" s="1717"/>
      <c r="E731" s="1717"/>
      <c r="F731" s="1717"/>
      <c r="G731" s="1716">
        <v>2</v>
      </c>
      <c r="H731" s="1716">
        <v>2</v>
      </c>
      <c r="I731" s="1707">
        <v>42248</v>
      </c>
    </row>
    <row r="732" spans="1:9">
      <c r="A732" s="1706" t="s">
        <v>2051</v>
      </c>
      <c r="B732" s="1706" t="s">
        <v>2052</v>
      </c>
      <c r="C732" s="1717"/>
      <c r="D732" s="1717"/>
      <c r="E732" s="1717"/>
      <c r="F732" s="1717"/>
      <c r="G732" s="1716">
        <v>2</v>
      </c>
      <c r="H732" s="1716">
        <v>2</v>
      </c>
      <c r="I732" s="1707">
        <v>42248</v>
      </c>
    </row>
    <row r="736" spans="1:9">
      <c r="A736" s="1713" t="s">
        <v>2223</v>
      </c>
    </row>
    <row r="737" spans="1:9">
      <c r="A737" s="1705" t="s">
        <v>1109</v>
      </c>
      <c r="B737" s="1705" t="s">
        <v>1110</v>
      </c>
      <c r="C737" s="1715" t="s">
        <v>1</v>
      </c>
      <c r="D737" s="1715" t="s">
        <v>2</v>
      </c>
      <c r="E737" s="1715" t="s">
        <v>1108</v>
      </c>
      <c r="F737" s="1715" t="s">
        <v>1107</v>
      </c>
      <c r="G737" s="1715" t="s">
        <v>1106</v>
      </c>
      <c r="H737" s="1715" t="s">
        <v>1105</v>
      </c>
      <c r="I737" s="1705" t="s">
        <v>1160</v>
      </c>
    </row>
    <row r="738" spans="1:9">
      <c r="A738" s="1706" t="s">
        <v>793</v>
      </c>
      <c r="B738" s="1706" t="s">
        <v>1837</v>
      </c>
      <c r="C738" s="1716">
        <v>4750000000</v>
      </c>
      <c r="D738" s="1716">
        <v>4514000000</v>
      </c>
      <c r="E738" s="1716">
        <v>254</v>
      </c>
      <c r="F738" s="1716">
        <v>133</v>
      </c>
      <c r="G738" s="1716">
        <v>6</v>
      </c>
      <c r="H738" s="1716">
        <v>139</v>
      </c>
      <c r="I738" s="1707">
        <v>42278</v>
      </c>
    </row>
    <row r="739" spans="1:9">
      <c r="A739" s="1706" t="s">
        <v>1153</v>
      </c>
      <c r="B739" s="1706" t="s">
        <v>1830</v>
      </c>
      <c r="C739" s="1716">
        <v>1395000000</v>
      </c>
      <c r="D739" s="1716">
        <v>1326000000</v>
      </c>
      <c r="E739" s="1716">
        <v>63</v>
      </c>
      <c r="F739" s="1716">
        <v>40</v>
      </c>
      <c r="G739" s="1716">
        <v>4</v>
      </c>
      <c r="H739" s="1716">
        <v>44</v>
      </c>
      <c r="I739" s="1707">
        <v>42278</v>
      </c>
    </row>
    <row r="740" spans="1:9">
      <c r="A740" s="1706" t="s">
        <v>2214</v>
      </c>
      <c r="B740" s="1706" t="s">
        <v>2215</v>
      </c>
      <c r="C740" s="1716">
        <v>1894000000</v>
      </c>
      <c r="D740" s="1716">
        <v>1799000000</v>
      </c>
      <c r="E740" s="1716">
        <v>107</v>
      </c>
      <c r="F740" s="1716">
        <v>60</v>
      </c>
      <c r="G740" s="1716">
        <v>0</v>
      </c>
      <c r="H740" s="1716">
        <v>60</v>
      </c>
      <c r="I740" s="1707">
        <v>42278</v>
      </c>
    </row>
    <row r="741" spans="1:9">
      <c r="A741" s="1706" t="s">
        <v>2216</v>
      </c>
      <c r="B741" s="1706" t="s">
        <v>2217</v>
      </c>
      <c r="C741" s="1716">
        <v>1461000000</v>
      </c>
      <c r="D741" s="1716">
        <v>1389000000</v>
      </c>
      <c r="E741" s="1716">
        <v>84</v>
      </c>
      <c r="F741" s="1716">
        <v>33</v>
      </c>
      <c r="G741" s="1716">
        <v>2</v>
      </c>
      <c r="H741" s="1716">
        <v>35</v>
      </c>
      <c r="I741" s="1707">
        <v>42278</v>
      </c>
    </row>
    <row r="742" spans="1:9">
      <c r="A742" s="1706" t="s">
        <v>902</v>
      </c>
      <c r="B742" s="1706" t="s">
        <v>1807</v>
      </c>
      <c r="C742" s="1716">
        <v>420000000</v>
      </c>
      <c r="D742" s="1716">
        <v>400000000</v>
      </c>
      <c r="E742" s="1716">
        <v>31</v>
      </c>
      <c r="F742" s="1716">
        <v>8</v>
      </c>
      <c r="G742" s="1716">
        <v>0</v>
      </c>
      <c r="H742" s="1716">
        <v>8</v>
      </c>
      <c r="I742" s="1707">
        <v>42278</v>
      </c>
    </row>
    <row r="743" spans="1:9">
      <c r="A743" s="1706" t="s">
        <v>900</v>
      </c>
      <c r="B743" s="1706" t="s">
        <v>1808</v>
      </c>
      <c r="C743" s="1716">
        <v>504000000</v>
      </c>
      <c r="D743" s="1716">
        <v>480000000</v>
      </c>
      <c r="E743" s="1716">
        <v>24</v>
      </c>
      <c r="F743" s="1716">
        <v>8</v>
      </c>
      <c r="G743" s="1716">
        <v>0</v>
      </c>
      <c r="H743" s="1716">
        <v>8</v>
      </c>
      <c r="I743" s="1707">
        <v>42278</v>
      </c>
    </row>
    <row r="744" spans="1:9">
      <c r="A744" s="1706" t="s">
        <v>949</v>
      </c>
      <c r="B744" s="1706" t="s">
        <v>1809</v>
      </c>
      <c r="C744" s="1716">
        <v>630000000</v>
      </c>
      <c r="D744" s="1716">
        <v>600000000</v>
      </c>
      <c r="E744" s="1716">
        <v>33</v>
      </c>
      <c r="F744" s="1716">
        <v>8</v>
      </c>
      <c r="G744" s="1716">
        <v>0</v>
      </c>
      <c r="H744" s="1716">
        <v>8</v>
      </c>
      <c r="I744" s="1707">
        <v>42278</v>
      </c>
    </row>
    <row r="745" spans="1:9">
      <c r="A745" s="1706" t="s">
        <v>1104</v>
      </c>
      <c r="B745" s="1706" t="s">
        <v>1810</v>
      </c>
      <c r="C745" s="1716">
        <v>478000000</v>
      </c>
      <c r="D745" s="1716">
        <v>454000000</v>
      </c>
      <c r="E745" s="1716">
        <v>28</v>
      </c>
      <c r="F745" s="1716">
        <v>12</v>
      </c>
      <c r="G745" s="1716">
        <v>0</v>
      </c>
      <c r="H745" s="1716">
        <v>12</v>
      </c>
      <c r="I745" s="1707">
        <v>42278</v>
      </c>
    </row>
    <row r="746" spans="1:9">
      <c r="A746" s="1706" t="s">
        <v>1015</v>
      </c>
      <c r="B746" s="1706" t="s">
        <v>1811</v>
      </c>
      <c r="C746" s="1716">
        <v>463000000</v>
      </c>
      <c r="D746" s="1716">
        <v>440000000</v>
      </c>
      <c r="E746" s="1716">
        <v>22</v>
      </c>
      <c r="F746" s="1716">
        <v>13</v>
      </c>
      <c r="G746" s="1716">
        <v>0</v>
      </c>
      <c r="H746" s="1716">
        <v>13</v>
      </c>
      <c r="I746" s="1707">
        <v>42278</v>
      </c>
    </row>
    <row r="747" spans="1:9">
      <c r="A747" s="1706" t="s">
        <v>1103</v>
      </c>
      <c r="B747" s="1706" t="s">
        <v>1812</v>
      </c>
      <c r="C747" s="1716">
        <v>487000000</v>
      </c>
      <c r="D747" s="1716">
        <v>463000000</v>
      </c>
      <c r="E747" s="1716">
        <v>29</v>
      </c>
      <c r="F747" s="1716">
        <v>15</v>
      </c>
      <c r="G747" s="1716">
        <v>0</v>
      </c>
      <c r="H747" s="1716">
        <v>15</v>
      </c>
      <c r="I747" s="1707">
        <v>42278</v>
      </c>
    </row>
    <row r="748" spans="1:9">
      <c r="A748" s="1706" t="s">
        <v>1102</v>
      </c>
      <c r="B748" s="1706" t="s">
        <v>1813</v>
      </c>
      <c r="C748" s="1716">
        <v>378000000</v>
      </c>
      <c r="D748" s="1716">
        <v>360000000</v>
      </c>
      <c r="E748" s="1716">
        <v>32</v>
      </c>
      <c r="F748" s="1716">
        <v>10</v>
      </c>
      <c r="G748" s="1716">
        <v>2</v>
      </c>
      <c r="H748" s="1716">
        <v>12</v>
      </c>
      <c r="I748" s="1707">
        <v>42278</v>
      </c>
    </row>
    <row r="749" spans="1:9">
      <c r="A749" s="1706" t="s">
        <v>1101</v>
      </c>
      <c r="B749" s="1706" t="s">
        <v>1814</v>
      </c>
      <c r="C749" s="1716">
        <v>378000000</v>
      </c>
      <c r="D749" s="1716">
        <v>360000000</v>
      </c>
      <c r="E749" s="1716">
        <v>20</v>
      </c>
      <c r="F749" s="1716">
        <v>10</v>
      </c>
      <c r="G749" s="1716">
        <v>2</v>
      </c>
      <c r="H749" s="1716">
        <v>12</v>
      </c>
      <c r="I749" s="1707">
        <v>42278</v>
      </c>
    </row>
    <row r="750" spans="1:9">
      <c r="A750" s="1706" t="s">
        <v>1100</v>
      </c>
      <c r="B750" s="1706" t="s">
        <v>1815</v>
      </c>
      <c r="C750" s="1716">
        <v>649000000</v>
      </c>
      <c r="D750" s="1716">
        <v>617000000</v>
      </c>
      <c r="E750" s="1716">
        <v>45</v>
      </c>
      <c r="F750" s="1716">
        <v>10</v>
      </c>
      <c r="G750" s="1716">
        <v>1</v>
      </c>
      <c r="H750" s="1716">
        <v>11</v>
      </c>
      <c r="I750" s="1707">
        <v>42278</v>
      </c>
    </row>
    <row r="751" spans="1:9">
      <c r="A751" s="1706" t="s">
        <v>1099</v>
      </c>
      <c r="B751" s="1706" t="s">
        <v>1816</v>
      </c>
      <c r="C751" s="1716">
        <v>504000000</v>
      </c>
      <c r="D751" s="1716">
        <v>480000000</v>
      </c>
      <c r="E751" s="1716">
        <v>28</v>
      </c>
      <c r="F751" s="1716">
        <v>8</v>
      </c>
      <c r="G751" s="1716">
        <v>0</v>
      </c>
      <c r="H751" s="1716">
        <v>8</v>
      </c>
      <c r="I751" s="1707">
        <v>42278</v>
      </c>
    </row>
    <row r="752" spans="1:9">
      <c r="A752" s="1706" t="s">
        <v>1419</v>
      </c>
      <c r="B752" s="1706" t="s">
        <v>1817</v>
      </c>
      <c r="C752" s="1716">
        <v>466000000</v>
      </c>
      <c r="D752" s="1716">
        <v>442000000</v>
      </c>
      <c r="E752" s="1716">
        <v>28</v>
      </c>
      <c r="F752" s="1716">
        <v>20</v>
      </c>
      <c r="G752" s="1716">
        <v>0</v>
      </c>
      <c r="H752" s="1716">
        <v>20</v>
      </c>
      <c r="I752" s="1707">
        <v>42278</v>
      </c>
    </row>
    <row r="753" spans="1:9">
      <c r="A753" s="1706" t="s">
        <v>1563</v>
      </c>
      <c r="B753" s="1706" t="s">
        <v>1818</v>
      </c>
      <c r="C753" s="1716">
        <v>376950000</v>
      </c>
      <c r="D753" s="1716">
        <v>359000000</v>
      </c>
      <c r="E753" s="1716">
        <v>24</v>
      </c>
      <c r="F753" s="1716">
        <v>13</v>
      </c>
      <c r="G753" s="1716">
        <v>2</v>
      </c>
      <c r="H753" s="1716">
        <v>15</v>
      </c>
      <c r="I753" s="1707">
        <v>42278</v>
      </c>
    </row>
    <row r="754" spans="1:9">
      <c r="A754" s="1706" t="s">
        <v>1418</v>
      </c>
      <c r="B754" s="1706" t="s">
        <v>1819</v>
      </c>
      <c r="C754" s="1716">
        <v>376950000</v>
      </c>
      <c r="D754" s="1716">
        <v>359000000</v>
      </c>
      <c r="E754" s="1716">
        <v>23</v>
      </c>
      <c r="F754" s="1716">
        <v>13</v>
      </c>
      <c r="G754" s="1716">
        <v>2</v>
      </c>
      <c r="H754" s="1716">
        <v>15</v>
      </c>
      <c r="I754" s="1707">
        <v>42278</v>
      </c>
    </row>
    <row r="755" spans="1:9">
      <c r="A755" s="1706" t="s">
        <v>1568</v>
      </c>
      <c r="B755" s="1706" t="s">
        <v>1820</v>
      </c>
      <c r="C755" s="1716">
        <v>508000000</v>
      </c>
      <c r="D755" s="1716">
        <v>483000000</v>
      </c>
      <c r="E755" s="1716">
        <v>30</v>
      </c>
      <c r="F755" s="1716">
        <v>15</v>
      </c>
      <c r="G755" s="1716">
        <v>0</v>
      </c>
      <c r="H755" s="1716">
        <v>15</v>
      </c>
      <c r="I755" s="1707">
        <v>42278</v>
      </c>
    </row>
    <row r="756" spans="1:9">
      <c r="A756" s="1706" t="s">
        <v>1567</v>
      </c>
      <c r="B756" s="1706" t="s">
        <v>1821</v>
      </c>
      <c r="C756" s="1716">
        <v>466000000</v>
      </c>
      <c r="D756" s="1716">
        <v>443000000</v>
      </c>
      <c r="E756" s="1716">
        <v>22</v>
      </c>
      <c r="F756" s="1716">
        <v>10</v>
      </c>
      <c r="G756" s="1716">
        <v>0</v>
      </c>
      <c r="H756" s="1716">
        <v>10</v>
      </c>
      <c r="I756" s="1707">
        <v>42278</v>
      </c>
    </row>
    <row r="757" spans="1:9">
      <c r="A757" s="1706" t="s">
        <v>1565</v>
      </c>
      <c r="B757" s="1706" t="s">
        <v>1822</v>
      </c>
      <c r="C757" s="1716">
        <v>418950000</v>
      </c>
      <c r="D757" s="1716">
        <v>399000000</v>
      </c>
      <c r="E757" s="1716">
        <v>15</v>
      </c>
      <c r="F757" s="1716">
        <v>13</v>
      </c>
      <c r="G757" s="1716">
        <v>2</v>
      </c>
      <c r="H757" s="1716">
        <v>15</v>
      </c>
      <c r="I757" s="1707">
        <v>42278</v>
      </c>
    </row>
    <row r="758" spans="1:9">
      <c r="A758" s="1706" t="s">
        <v>1570</v>
      </c>
      <c r="B758" s="1706" t="s">
        <v>1823</v>
      </c>
      <c r="C758" s="1716">
        <v>404000000</v>
      </c>
      <c r="D758" s="1716">
        <v>384000000</v>
      </c>
      <c r="E758" s="1716">
        <v>16</v>
      </c>
      <c r="F758" s="1716">
        <v>13</v>
      </c>
      <c r="G758" s="1716">
        <v>2</v>
      </c>
      <c r="H758" s="1716">
        <v>15</v>
      </c>
      <c r="I758" s="1707">
        <v>42278</v>
      </c>
    </row>
    <row r="759" spans="1:9">
      <c r="A759" s="1706" t="s">
        <v>1572</v>
      </c>
      <c r="B759" s="1706" t="s">
        <v>1824</v>
      </c>
      <c r="C759" s="1716">
        <v>394000000</v>
      </c>
      <c r="D759" s="1716">
        <v>375000000</v>
      </c>
      <c r="E759" s="1716">
        <v>19</v>
      </c>
      <c r="F759" s="1716">
        <v>13</v>
      </c>
      <c r="G759" s="1716">
        <v>0</v>
      </c>
      <c r="H759" s="1716">
        <v>13</v>
      </c>
      <c r="I759" s="1707">
        <v>42278</v>
      </c>
    </row>
    <row r="760" spans="1:9">
      <c r="A760" s="1706" t="s">
        <v>1669</v>
      </c>
      <c r="B760" s="1706" t="s">
        <v>1825</v>
      </c>
      <c r="C760" s="1716">
        <v>293000000</v>
      </c>
      <c r="D760" s="1716">
        <v>279000000</v>
      </c>
      <c r="E760" s="1716">
        <v>18</v>
      </c>
      <c r="F760" s="1716">
        <v>13</v>
      </c>
      <c r="G760" s="1716">
        <v>2</v>
      </c>
      <c r="H760" s="1716">
        <v>15</v>
      </c>
      <c r="I760" s="1707">
        <v>42278</v>
      </c>
    </row>
    <row r="761" spans="1:9">
      <c r="A761" s="1706" t="s">
        <v>2046</v>
      </c>
      <c r="B761" s="1706" t="s">
        <v>2047</v>
      </c>
      <c r="C761" s="1716">
        <v>84000000</v>
      </c>
      <c r="D761" s="1716">
        <v>80000000</v>
      </c>
      <c r="E761" s="1716">
        <v>4</v>
      </c>
      <c r="F761" s="1716">
        <v>5</v>
      </c>
      <c r="G761" s="1716">
        <v>3</v>
      </c>
      <c r="H761" s="1716">
        <v>8</v>
      </c>
      <c r="I761" s="1707">
        <v>42278</v>
      </c>
    </row>
    <row r="762" spans="1:9">
      <c r="A762" s="1706" t="s">
        <v>1148</v>
      </c>
      <c r="B762" s="1706" t="s">
        <v>1826</v>
      </c>
      <c r="C762" s="1716">
        <v>3915500000</v>
      </c>
      <c r="D762" s="1716">
        <v>3729000000</v>
      </c>
      <c r="E762" s="1716">
        <v>124</v>
      </c>
      <c r="F762" s="1716">
        <v>44</v>
      </c>
      <c r="G762" s="1716">
        <v>2</v>
      </c>
      <c r="H762" s="1716">
        <v>46</v>
      </c>
      <c r="I762" s="1707">
        <v>42278</v>
      </c>
    </row>
    <row r="763" spans="1:9">
      <c r="A763" s="1706" t="s">
        <v>1149</v>
      </c>
      <c r="B763" s="1706" t="s">
        <v>1827</v>
      </c>
      <c r="C763" s="1716">
        <v>5801000000</v>
      </c>
      <c r="D763" s="1716">
        <v>5510000000</v>
      </c>
      <c r="E763" s="1716">
        <v>204</v>
      </c>
      <c r="F763" s="1716">
        <v>71</v>
      </c>
      <c r="G763" s="1716">
        <v>6</v>
      </c>
      <c r="H763" s="1716">
        <v>77</v>
      </c>
      <c r="I763" s="1707">
        <v>42278</v>
      </c>
    </row>
    <row r="764" spans="1:9">
      <c r="A764" s="1706" t="s">
        <v>1150</v>
      </c>
      <c r="B764" s="1706" t="s">
        <v>1828</v>
      </c>
      <c r="C764" s="1716">
        <v>3456000000</v>
      </c>
      <c r="D764" s="1716">
        <v>3283000000</v>
      </c>
      <c r="E764" s="1716">
        <v>147</v>
      </c>
      <c r="F764" s="1716">
        <v>60</v>
      </c>
      <c r="G764" s="1716">
        <v>5</v>
      </c>
      <c r="H764" s="1716">
        <v>65</v>
      </c>
      <c r="I764" s="1707">
        <v>42278</v>
      </c>
    </row>
    <row r="765" spans="1:9">
      <c r="A765" s="1706" t="s">
        <v>1151</v>
      </c>
      <c r="B765" s="1706" t="s">
        <v>1829</v>
      </c>
      <c r="C765" s="1716">
        <v>4095000000</v>
      </c>
      <c r="D765" s="1716">
        <v>3900000000</v>
      </c>
      <c r="E765" s="1716">
        <v>129</v>
      </c>
      <c r="F765" s="1716">
        <v>40</v>
      </c>
      <c r="G765" s="1716">
        <v>0</v>
      </c>
      <c r="H765" s="1716">
        <v>40</v>
      </c>
      <c r="I765" s="1707">
        <v>42278</v>
      </c>
    </row>
    <row r="766" spans="1:9">
      <c r="A766" s="1706" t="s">
        <v>1154</v>
      </c>
      <c r="B766" s="1706" t="s">
        <v>1831</v>
      </c>
      <c r="C766" s="1716">
        <v>840000000</v>
      </c>
      <c r="D766" s="1716">
        <v>800000000</v>
      </c>
      <c r="E766" s="1716">
        <v>53</v>
      </c>
      <c r="F766" s="1716">
        <v>8</v>
      </c>
      <c r="G766" s="1716">
        <v>0</v>
      </c>
      <c r="H766" s="1716">
        <v>8</v>
      </c>
      <c r="I766" s="1707">
        <v>42278</v>
      </c>
    </row>
    <row r="767" spans="1:9">
      <c r="A767" s="1706" t="s">
        <v>1675</v>
      </c>
      <c r="B767" s="1706" t="s">
        <v>1832</v>
      </c>
      <c r="C767" s="1716">
        <v>630000000</v>
      </c>
      <c r="D767" s="1716">
        <v>600000000</v>
      </c>
      <c r="E767" s="1716">
        <v>33</v>
      </c>
      <c r="F767" s="1716">
        <v>8</v>
      </c>
      <c r="G767" s="1716">
        <v>0</v>
      </c>
      <c r="H767" s="1716">
        <v>8</v>
      </c>
      <c r="I767" s="1707">
        <v>42278</v>
      </c>
    </row>
    <row r="768" spans="1:9">
      <c r="A768" s="1706" t="s">
        <v>1155</v>
      </c>
      <c r="B768" s="1706" t="s">
        <v>1833</v>
      </c>
      <c r="C768" s="1716">
        <v>7394099999.999999</v>
      </c>
      <c r="D768" s="1716">
        <v>7042000000</v>
      </c>
      <c r="E768" s="1716">
        <v>322</v>
      </c>
      <c r="F768" s="1716">
        <v>111</v>
      </c>
      <c r="G768" s="1716">
        <v>6</v>
      </c>
      <c r="H768" s="1716">
        <v>117</v>
      </c>
      <c r="I768" s="1707">
        <v>42278</v>
      </c>
    </row>
    <row r="769" spans="1:9">
      <c r="A769" s="1706" t="s">
        <v>1156</v>
      </c>
      <c r="B769" s="1706" t="s">
        <v>1834</v>
      </c>
      <c r="C769" s="1716">
        <v>756000000</v>
      </c>
      <c r="D769" s="1716">
        <v>720000000</v>
      </c>
      <c r="E769" s="1716">
        <v>52</v>
      </c>
      <c r="F769" s="1716">
        <v>20</v>
      </c>
      <c r="G769" s="1716">
        <v>4</v>
      </c>
      <c r="H769" s="1716">
        <v>24</v>
      </c>
      <c r="I769" s="1707">
        <v>42278</v>
      </c>
    </row>
    <row r="770" spans="1:9">
      <c r="A770" s="1706" t="s">
        <v>2218</v>
      </c>
      <c r="B770" s="1706" t="s">
        <v>2049</v>
      </c>
      <c r="C770" s="1716">
        <v>84000000</v>
      </c>
      <c r="D770" s="1716">
        <v>80000000</v>
      </c>
      <c r="E770" s="1716">
        <v>4</v>
      </c>
      <c r="F770" s="1716">
        <v>5</v>
      </c>
      <c r="G770" s="1716">
        <v>3</v>
      </c>
      <c r="H770" s="1716">
        <v>8</v>
      </c>
      <c r="I770" s="1707">
        <v>42278</v>
      </c>
    </row>
    <row r="771" spans="1:9">
      <c r="A771" s="1706" t="s">
        <v>792</v>
      </c>
      <c r="B771" s="1706" t="s">
        <v>1835</v>
      </c>
      <c r="C771" s="1716">
        <v>15404599999.999998</v>
      </c>
      <c r="D771" s="1716">
        <v>14671000000</v>
      </c>
      <c r="E771" s="1716">
        <v>575</v>
      </c>
      <c r="F771" s="1716">
        <v>195</v>
      </c>
      <c r="G771" s="1716">
        <v>8</v>
      </c>
      <c r="H771" s="1716">
        <v>203</v>
      </c>
      <c r="I771" s="1707">
        <v>42278</v>
      </c>
    </row>
    <row r="772" spans="1:9">
      <c r="A772" s="1706" t="s">
        <v>794</v>
      </c>
      <c r="B772" s="1706" t="s">
        <v>1836</v>
      </c>
      <c r="C772" s="1716">
        <v>9257000000</v>
      </c>
      <c r="D772" s="1716">
        <v>8793000000</v>
      </c>
      <c r="E772" s="1716">
        <v>351</v>
      </c>
      <c r="F772" s="1716">
        <v>131</v>
      </c>
      <c r="G772" s="1716">
        <v>11</v>
      </c>
      <c r="H772" s="1716">
        <v>142</v>
      </c>
      <c r="I772" s="1707">
        <v>42278</v>
      </c>
    </row>
    <row r="773" spans="1:9">
      <c r="A773" s="1706" t="s">
        <v>458</v>
      </c>
      <c r="B773" s="1706" t="s">
        <v>1838</v>
      </c>
      <c r="C773" s="1716">
        <v>2226000000</v>
      </c>
      <c r="D773" s="1716">
        <v>2120000000</v>
      </c>
      <c r="E773" s="1716">
        <v>138</v>
      </c>
      <c r="F773" s="1716">
        <v>36</v>
      </c>
      <c r="G773" s="1716">
        <v>4</v>
      </c>
      <c r="H773" s="1716">
        <v>40</v>
      </c>
      <c r="I773" s="1707">
        <v>42278</v>
      </c>
    </row>
    <row r="774" spans="1:9">
      <c r="A774" s="1706" t="s">
        <v>2048</v>
      </c>
      <c r="B774" s="1706" t="s">
        <v>2050</v>
      </c>
      <c r="C774" s="1716">
        <v>84000000</v>
      </c>
      <c r="D774" s="1716">
        <v>80000000</v>
      </c>
      <c r="E774" s="1716">
        <v>4</v>
      </c>
      <c r="F774" s="1716">
        <v>5</v>
      </c>
      <c r="G774" s="1716">
        <v>3</v>
      </c>
      <c r="H774" s="1716">
        <v>8</v>
      </c>
      <c r="I774" s="1707">
        <v>42278</v>
      </c>
    </row>
    <row r="775" spans="1:9">
      <c r="A775" s="1706" t="s">
        <v>1158</v>
      </c>
      <c r="B775" s="1706" t="s">
        <v>1159</v>
      </c>
      <c r="C775" s="1716">
        <v>31721600000</v>
      </c>
      <c r="D775" s="1716">
        <v>30178000000</v>
      </c>
      <c r="E775" s="1716">
        <v>1322</v>
      </c>
      <c r="F775" s="1716">
        <v>500</v>
      </c>
      <c r="G775" s="1716">
        <v>32</v>
      </c>
      <c r="H775" s="1716">
        <v>532</v>
      </c>
      <c r="I775" s="1707">
        <v>42278</v>
      </c>
    </row>
    <row r="776" spans="1:9" ht="30">
      <c r="A776" s="1706" t="s">
        <v>1291</v>
      </c>
      <c r="B776" s="1706" t="s">
        <v>1839</v>
      </c>
      <c r="C776" s="1716">
        <v>2602950000</v>
      </c>
      <c r="D776" s="1716">
        <v>2479000000</v>
      </c>
      <c r="E776" s="1716">
        <v>80</v>
      </c>
      <c r="F776" s="1716">
        <v>29</v>
      </c>
      <c r="G776" s="1716">
        <v>2</v>
      </c>
      <c r="H776" s="1716">
        <v>31</v>
      </c>
      <c r="I776" s="1707">
        <v>42278</v>
      </c>
    </row>
    <row r="777" spans="1:9">
      <c r="A777" s="1706" t="s">
        <v>1292</v>
      </c>
      <c r="B777" s="1706" t="s">
        <v>1840</v>
      </c>
      <c r="C777" s="1716">
        <v>4952000000</v>
      </c>
      <c r="D777" s="1716">
        <v>4704000000</v>
      </c>
      <c r="E777" s="1716">
        <v>169</v>
      </c>
      <c r="F777" s="1716">
        <v>59</v>
      </c>
      <c r="G777" s="1716">
        <v>6</v>
      </c>
      <c r="H777" s="1716">
        <v>65</v>
      </c>
      <c r="I777" s="1707">
        <v>42278</v>
      </c>
    </row>
    <row r="778" spans="1:9">
      <c r="A778" s="1706" t="s">
        <v>1293</v>
      </c>
      <c r="B778" s="1706" t="s">
        <v>1841</v>
      </c>
      <c r="C778" s="1716">
        <v>1034000000</v>
      </c>
      <c r="D778" s="1716">
        <v>982000000</v>
      </c>
      <c r="E778" s="1716">
        <v>38</v>
      </c>
      <c r="F778" s="1716">
        <v>15</v>
      </c>
      <c r="G778" s="1716">
        <v>3</v>
      </c>
      <c r="H778" s="1716">
        <v>18</v>
      </c>
      <c r="I778" s="1707">
        <v>42278</v>
      </c>
    </row>
    <row r="779" spans="1:9">
      <c r="A779" s="1706" t="s">
        <v>1294</v>
      </c>
      <c r="B779" s="1706" t="s">
        <v>1842</v>
      </c>
      <c r="C779" s="1716">
        <v>2751000000</v>
      </c>
      <c r="D779" s="1716">
        <v>2620000000</v>
      </c>
      <c r="E779" s="1716">
        <v>100</v>
      </c>
      <c r="F779" s="1716">
        <v>32</v>
      </c>
      <c r="G779" s="1716">
        <v>0</v>
      </c>
      <c r="H779" s="1716">
        <v>32</v>
      </c>
      <c r="I779" s="1707">
        <v>42278</v>
      </c>
    </row>
    <row r="780" spans="1:9">
      <c r="A780" s="1706" t="s">
        <v>1296</v>
      </c>
      <c r="B780" s="1706" t="s">
        <v>1844</v>
      </c>
      <c r="C780" s="1716">
        <v>3075500000</v>
      </c>
      <c r="D780" s="1716">
        <v>2929000000</v>
      </c>
      <c r="E780" s="1716">
        <v>105</v>
      </c>
      <c r="F780" s="1716">
        <v>36</v>
      </c>
      <c r="G780" s="1716">
        <v>2</v>
      </c>
      <c r="H780" s="1716">
        <v>38</v>
      </c>
      <c r="I780" s="1707">
        <v>42278</v>
      </c>
    </row>
    <row r="781" spans="1:9">
      <c r="A781" s="1706" t="s">
        <v>1297</v>
      </c>
      <c r="B781" s="1706" t="s">
        <v>1845</v>
      </c>
      <c r="C781" s="1716">
        <v>1395000000</v>
      </c>
      <c r="D781" s="1716">
        <v>1326000000</v>
      </c>
      <c r="E781" s="1716">
        <v>63</v>
      </c>
      <c r="F781" s="1716">
        <v>40</v>
      </c>
      <c r="G781" s="1716">
        <v>4</v>
      </c>
      <c r="H781" s="1716">
        <v>44</v>
      </c>
      <c r="I781" s="1707">
        <v>42278</v>
      </c>
    </row>
    <row r="782" spans="1:9">
      <c r="A782" s="1706" t="s">
        <v>47</v>
      </c>
      <c r="B782" s="1706" t="s">
        <v>1780</v>
      </c>
      <c r="C782" s="1716">
        <v>1013250000</v>
      </c>
      <c r="D782" s="1716">
        <v>965000000</v>
      </c>
      <c r="E782" s="1716">
        <v>24</v>
      </c>
      <c r="F782" s="1716">
        <v>8</v>
      </c>
      <c r="G782" s="1716">
        <v>0</v>
      </c>
      <c r="H782" s="1716">
        <v>8</v>
      </c>
      <c r="I782" s="1707">
        <v>42278</v>
      </c>
    </row>
    <row r="783" spans="1:9">
      <c r="A783" s="1706" t="s">
        <v>91</v>
      </c>
      <c r="B783" s="1706" t="s">
        <v>1781</v>
      </c>
      <c r="C783" s="1716">
        <v>1512000000</v>
      </c>
      <c r="D783" s="1716">
        <v>1440000000</v>
      </c>
      <c r="E783" s="1716">
        <v>36</v>
      </c>
      <c r="F783" s="1716">
        <v>8</v>
      </c>
      <c r="G783" s="1716">
        <v>0</v>
      </c>
      <c r="H783" s="1716">
        <v>8</v>
      </c>
      <c r="I783" s="1707">
        <v>42278</v>
      </c>
    </row>
    <row r="784" spans="1:9">
      <c r="A784" s="1706" t="s">
        <v>177</v>
      </c>
      <c r="B784" s="1706" t="s">
        <v>1782</v>
      </c>
      <c r="C784" s="1716">
        <v>1034000000</v>
      </c>
      <c r="D784" s="1716">
        <v>982000000</v>
      </c>
      <c r="E784" s="1716">
        <v>38</v>
      </c>
      <c r="F784" s="1716">
        <v>15</v>
      </c>
      <c r="G784" s="1716">
        <v>3</v>
      </c>
      <c r="H784" s="1716">
        <v>18</v>
      </c>
      <c r="I784" s="1707">
        <v>42278</v>
      </c>
    </row>
    <row r="785" spans="1:9">
      <c r="A785" s="1706" t="s">
        <v>185</v>
      </c>
      <c r="B785" s="1706" t="s">
        <v>1783</v>
      </c>
      <c r="C785" s="1716">
        <v>973000000</v>
      </c>
      <c r="D785" s="1716">
        <v>924000000</v>
      </c>
      <c r="E785" s="1716">
        <v>32</v>
      </c>
      <c r="F785" s="1716">
        <v>15</v>
      </c>
      <c r="G785" s="1716">
        <v>0</v>
      </c>
      <c r="H785" s="1716">
        <v>15</v>
      </c>
      <c r="I785" s="1707">
        <v>42278</v>
      </c>
    </row>
    <row r="786" spans="1:9">
      <c r="A786" s="1706" t="s">
        <v>179</v>
      </c>
      <c r="B786" s="1706" t="s">
        <v>1784</v>
      </c>
      <c r="C786" s="1716">
        <v>1611000000</v>
      </c>
      <c r="D786" s="1716">
        <v>1530000000</v>
      </c>
      <c r="E786" s="1716">
        <v>57</v>
      </c>
      <c r="F786" s="1716">
        <v>16</v>
      </c>
      <c r="G786" s="1716">
        <v>3</v>
      </c>
      <c r="H786" s="1716">
        <v>19</v>
      </c>
      <c r="I786" s="1707">
        <v>42278</v>
      </c>
    </row>
    <row r="787" spans="1:9">
      <c r="A787" s="1706" t="s">
        <v>176</v>
      </c>
      <c r="B787" s="1706" t="s">
        <v>1785</v>
      </c>
      <c r="C787" s="1716">
        <v>1448000000</v>
      </c>
      <c r="D787" s="1716">
        <v>1375000000</v>
      </c>
      <c r="E787" s="1716">
        <v>57</v>
      </c>
      <c r="F787" s="1716">
        <v>20</v>
      </c>
      <c r="G787" s="1716">
        <v>2</v>
      </c>
      <c r="H787" s="1716">
        <v>22</v>
      </c>
      <c r="I787" s="1707">
        <v>42278</v>
      </c>
    </row>
    <row r="788" spans="1:9">
      <c r="A788" s="1706" t="s">
        <v>187</v>
      </c>
      <c r="B788" s="1706" t="s">
        <v>1786</v>
      </c>
      <c r="C788" s="1716">
        <v>672000000</v>
      </c>
      <c r="D788" s="1716">
        <v>640000000</v>
      </c>
      <c r="E788" s="1716">
        <v>29</v>
      </c>
      <c r="F788" s="1716">
        <v>8</v>
      </c>
      <c r="G788" s="1716">
        <v>0</v>
      </c>
      <c r="H788" s="1716">
        <v>8</v>
      </c>
      <c r="I788" s="1707">
        <v>42278</v>
      </c>
    </row>
    <row r="789" spans="1:9">
      <c r="A789" s="1706" t="s">
        <v>630</v>
      </c>
      <c r="B789" s="1706" t="s">
        <v>1787</v>
      </c>
      <c r="C789" s="1716">
        <v>588000000</v>
      </c>
      <c r="D789" s="1716">
        <v>560000000</v>
      </c>
      <c r="E789" s="1716">
        <v>31</v>
      </c>
      <c r="F789" s="1716">
        <v>8</v>
      </c>
      <c r="G789" s="1716">
        <v>0</v>
      </c>
      <c r="H789" s="1716">
        <v>8</v>
      </c>
      <c r="I789" s="1707">
        <v>42278</v>
      </c>
    </row>
    <row r="790" spans="1:9">
      <c r="A790" s="1706" t="s">
        <v>661</v>
      </c>
      <c r="B790" s="1706" t="s">
        <v>1788</v>
      </c>
      <c r="C790" s="1716">
        <v>441000000</v>
      </c>
      <c r="D790" s="1716">
        <v>419000000</v>
      </c>
      <c r="E790" s="1716">
        <v>21</v>
      </c>
      <c r="F790" s="1716">
        <v>8</v>
      </c>
      <c r="G790" s="1716">
        <v>1</v>
      </c>
      <c r="H790" s="1716">
        <v>9</v>
      </c>
      <c r="I790" s="1707">
        <v>42278</v>
      </c>
    </row>
    <row r="791" spans="1:9">
      <c r="A791" s="1706" t="s">
        <v>628</v>
      </c>
      <c r="B791" s="1706" t="s">
        <v>1789</v>
      </c>
      <c r="C791" s="1716">
        <v>609000000</v>
      </c>
      <c r="D791" s="1716">
        <v>580000000</v>
      </c>
      <c r="E791" s="1716">
        <v>24</v>
      </c>
      <c r="F791" s="1716">
        <v>8</v>
      </c>
      <c r="G791" s="1716">
        <v>0</v>
      </c>
      <c r="H791" s="1716">
        <v>8</v>
      </c>
      <c r="I791" s="1707">
        <v>42278</v>
      </c>
    </row>
    <row r="792" spans="1:9">
      <c r="A792" s="1706" t="s">
        <v>650</v>
      </c>
      <c r="B792" s="1706" t="s">
        <v>1790</v>
      </c>
      <c r="C792" s="1716">
        <v>588000000</v>
      </c>
      <c r="D792" s="1716">
        <v>560000000</v>
      </c>
      <c r="E792" s="1716">
        <v>26</v>
      </c>
      <c r="F792" s="1716">
        <v>8</v>
      </c>
      <c r="G792" s="1716">
        <v>0</v>
      </c>
      <c r="H792" s="1716">
        <v>8</v>
      </c>
      <c r="I792" s="1707">
        <v>42278</v>
      </c>
    </row>
    <row r="793" spans="1:9">
      <c r="A793" s="1706" t="s">
        <v>660</v>
      </c>
      <c r="B793" s="1706" t="s">
        <v>1791</v>
      </c>
      <c r="C793" s="1716">
        <v>849000000</v>
      </c>
      <c r="D793" s="1716">
        <v>806000000</v>
      </c>
      <c r="E793" s="1716">
        <v>35</v>
      </c>
      <c r="F793" s="1716">
        <v>12</v>
      </c>
      <c r="G793" s="1716">
        <v>0</v>
      </c>
      <c r="H793" s="1716">
        <v>12</v>
      </c>
      <c r="I793" s="1707">
        <v>42278</v>
      </c>
    </row>
    <row r="794" spans="1:9">
      <c r="A794" s="1706" t="s">
        <v>648</v>
      </c>
      <c r="B794" s="1706" t="s">
        <v>1792</v>
      </c>
      <c r="C794" s="1716">
        <v>588000000</v>
      </c>
      <c r="D794" s="1716">
        <v>560000000</v>
      </c>
      <c r="E794" s="1716">
        <v>27</v>
      </c>
      <c r="F794" s="1716">
        <v>8</v>
      </c>
      <c r="G794" s="1716">
        <v>0</v>
      </c>
      <c r="H794" s="1716">
        <v>8</v>
      </c>
      <c r="I794" s="1707">
        <v>42278</v>
      </c>
    </row>
    <row r="795" spans="1:9">
      <c r="A795" s="1706" t="s">
        <v>659</v>
      </c>
      <c r="B795" s="1706" t="s">
        <v>1793</v>
      </c>
      <c r="C795" s="1716">
        <v>1927000000</v>
      </c>
      <c r="D795" s="1716">
        <v>1831000000</v>
      </c>
      <c r="E795" s="1716">
        <v>59</v>
      </c>
      <c r="F795" s="1716">
        <v>20</v>
      </c>
      <c r="G795" s="1716">
        <v>2</v>
      </c>
      <c r="H795" s="1716">
        <v>22</v>
      </c>
      <c r="I795" s="1707">
        <v>42278</v>
      </c>
    </row>
    <row r="796" spans="1:9">
      <c r="A796" s="1706" t="s">
        <v>649</v>
      </c>
      <c r="B796" s="1706" t="s">
        <v>1794</v>
      </c>
      <c r="C796" s="1716">
        <v>735000000</v>
      </c>
      <c r="D796" s="1716">
        <v>700000000</v>
      </c>
      <c r="E796" s="1716">
        <v>24</v>
      </c>
      <c r="F796" s="1716">
        <v>8</v>
      </c>
      <c r="G796" s="1716">
        <v>0</v>
      </c>
      <c r="H796" s="1716">
        <v>8</v>
      </c>
      <c r="I796" s="1707">
        <v>42278</v>
      </c>
    </row>
    <row r="797" spans="1:9">
      <c r="A797" s="1706" t="s">
        <v>642</v>
      </c>
      <c r="B797" s="1706" t="s">
        <v>1795</v>
      </c>
      <c r="C797" s="1716">
        <v>546000000</v>
      </c>
      <c r="D797" s="1716">
        <v>520000000</v>
      </c>
      <c r="E797" s="1716">
        <v>21</v>
      </c>
      <c r="F797" s="1716">
        <v>8</v>
      </c>
      <c r="G797" s="1716">
        <v>0</v>
      </c>
      <c r="H797" s="1716">
        <v>8</v>
      </c>
      <c r="I797" s="1707">
        <v>42278</v>
      </c>
    </row>
    <row r="798" spans="1:9">
      <c r="A798" s="1706" t="s">
        <v>736</v>
      </c>
      <c r="B798" s="1706" t="s">
        <v>1796</v>
      </c>
      <c r="C798" s="1716">
        <v>1260000000</v>
      </c>
      <c r="D798" s="1716">
        <v>1200000000</v>
      </c>
      <c r="E798" s="1716">
        <v>36</v>
      </c>
      <c r="F798" s="1716">
        <v>7</v>
      </c>
      <c r="G798" s="1716">
        <v>0</v>
      </c>
      <c r="H798" s="1716">
        <v>7</v>
      </c>
      <c r="I798" s="1707">
        <v>42278</v>
      </c>
    </row>
    <row r="799" spans="1:9">
      <c r="A799" s="1706" t="s">
        <v>699</v>
      </c>
      <c r="B799" s="1706" t="s">
        <v>1797</v>
      </c>
      <c r="C799" s="1716">
        <v>359000000</v>
      </c>
      <c r="D799" s="1716">
        <v>341000000</v>
      </c>
      <c r="E799" s="1716">
        <v>21</v>
      </c>
      <c r="F799" s="1716">
        <v>12</v>
      </c>
      <c r="G799" s="1716">
        <v>0</v>
      </c>
      <c r="H799" s="1716">
        <v>12</v>
      </c>
      <c r="I799" s="1707">
        <v>42278</v>
      </c>
    </row>
    <row r="800" spans="1:9">
      <c r="A800" s="1706" t="s">
        <v>735</v>
      </c>
      <c r="B800" s="1706" t="s">
        <v>1799</v>
      </c>
      <c r="C800" s="1716">
        <v>1344000000</v>
      </c>
      <c r="D800" s="1716">
        <v>1280000000</v>
      </c>
      <c r="E800" s="1716">
        <v>29</v>
      </c>
      <c r="F800" s="1716">
        <v>8</v>
      </c>
      <c r="G800" s="1716">
        <v>0</v>
      </c>
      <c r="H800" s="1716">
        <v>8</v>
      </c>
      <c r="I800" s="1707">
        <v>42278</v>
      </c>
    </row>
    <row r="801" spans="1:9">
      <c r="A801" s="1706" t="s">
        <v>734</v>
      </c>
      <c r="B801" s="1706" t="s">
        <v>1800</v>
      </c>
      <c r="C801" s="1716">
        <v>840000000</v>
      </c>
      <c r="D801" s="1716">
        <v>800000000</v>
      </c>
      <c r="E801" s="1716">
        <v>53</v>
      </c>
      <c r="F801" s="1716">
        <v>8</v>
      </c>
      <c r="G801" s="1716">
        <v>0</v>
      </c>
      <c r="H801" s="1716">
        <v>8</v>
      </c>
      <c r="I801" s="1707">
        <v>42278</v>
      </c>
    </row>
    <row r="802" spans="1:9">
      <c r="A802" s="1706" t="s">
        <v>798</v>
      </c>
      <c r="B802" s="1706" t="s">
        <v>1801</v>
      </c>
      <c r="C802" s="1716">
        <v>840000000</v>
      </c>
      <c r="D802" s="1716">
        <v>800000000</v>
      </c>
      <c r="E802" s="1716">
        <v>19</v>
      </c>
      <c r="F802" s="1716">
        <v>8</v>
      </c>
      <c r="G802" s="1716">
        <v>0</v>
      </c>
      <c r="H802" s="1716">
        <v>8</v>
      </c>
      <c r="I802" s="1707">
        <v>42278</v>
      </c>
    </row>
    <row r="803" spans="1:9">
      <c r="A803" s="1706" t="s">
        <v>796</v>
      </c>
      <c r="B803" s="1706" t="s">
        <v>1802</v>
      </c>
      <c r="C803" s="1716">
        <v>976500000</v>
      </c>
      <c r="D803" s="1716">
        <v>930000000</v>
      </c>
      <c r="E803" s="1716">
        <v>30</v>
      </c>
      <c r="F803" s="1716">
        <v>8</v>
      </c>
      <c r="G803" s="1716">
        <v>0</v>
      </c>
      <c r="H803" s="1716">
        <v>8</v>
      </c>
      <c r="I803" s="1707">
        <v>42278</v>
      </c>
    </row>
    <row r="804" spans="1:9">
      <c r="A804" s="1706" t="s">
        <v>799</v>
      </c>
      <c r="B804" s="1706" t="s">
        <v>1803</v>
      </c>
      <c r="C804" s="1716">
        <v>632000000</v>
      </c>
      <c r="D804" s="1716">
        <v>601000000</v>
      </c>
      <c r="E804" s="1716">
        <v>26</v>
      </c>
      <c r="F804" s="1716">
        <v>15</v>
      </c>
      <c r="G804" s="1716">
        <v>2</v>
      </c>
      <c r="H804" s="1716">
        <v>17</v>
      </c>
      <c r="I804" s="1707">
        <v>42278</v>
      </c>
    </row>
    <row r="805" spans="1:9">
      <c r="A805" s="1706" t="s">
        <v>825</v>
      </c>
      <c r="B805" s="1706" t="s">
        <v>1804</v>
      </c>
      <c r="C805" s="1716">
        <v>418000000</v>
      </c>
      <c r="D805" s="1716">
        <v>397000000</v>
      </c>
      <c r="E805" s="1716">
        <v>20</v>
      </c>
      <c r="F805" s="1716">
        <v>10</v>
      </c>
      <c r="G805" s="1716">
        <v>1</v>
      </c>
      <c r="H805" s="1716">
        <v>11</v>
      </c>
      <c r="I805" s="1707">
        <v>42278</v>
      </c>
    </row>
    <row r="806" spans="1:9">
      <c r="A806" s="1706" t="s">
        <v>905</v>
      </c>
      <c r="B806" s="1706" t="s">
        <v>1805</v>
      </c>
      <c r="C806" s="1716">
        <v>819000000</v>
      </c>
      <c r="D806" s="1716">
        <v>780000000</v>
      </c>
      <c r="E806" s="1716">
        <v>26</v>
      </c>
      <c r="F806" s="1716">
        <v>8</v>
      </c>
      <c r="G806" s="1716">
        <v>0</v>
      </c>
      <c r="H806" s="1716">
        <v>8</v>
      </c>
      <c r="I806" s="1707">
        <v>42278</v>
      </c>
    </row>
    <row r="807" spans="1:9">
      <c r="A807" s="1706" t="s">
        <v>903</v>
      </c>
      <c r="B807" s="1706" t="s">
        <v>1806</v>
      </c>
      <c r="C807" s="1716">
        <v>420000000</v>
      </c>
      <c r="D807" s="1716">
        <v>400000000</v>
      </c>
      <c r="E807" s="1716">
        <v>30</v>
      </c>
      <c r="F807" s="1716">
        <v>8</v>
      </c>
      <c r="G807" s="1716">
        <v>0</v>
      </c>
      <c r="H807" s="1716">
        <v>8</v>
      </c>
      <c r="I807" s="1707">
        <v>42278</v>
      </c>
    </row>
    <row r="808" spans="1:9">
      <c r="A808" s="1706" t="s">
        <v>1298</v>
      </c>
      <c r="B808" s="1706" t="s">
        <v>1846</v>
      </c>
      <c r="C808" s="1716">
        <v>1344000000</v>
      </c>
      <c r="D808" s="1716">
        <v>1280000000</v>
      </c>
      <c r="E808" s="1716">
        <v>29</v>
      </c>
      <c r="F808" s="1716">
        <v>8</v>
      </c>
      <c r="G808" s="1716">
        <v>0</v>
      </c>
      <c r="H808" s="1716">
        <v>8</v>
      </c>
      <c r="I808" s="1707">
        <v>42278</v>
      </c>
    </row>
    <row r="809" spans="1:9">
      <c r="A809" s="1706" t="s">
        <v>2219</v>
      </c>
      <c r="B809" s="1706" t="s">
        <v>2220</v>
      </c>
      <c r="C809" s="1716">
        <v>812000000</v>
      </c>
      <c r="D809" s="1716">
        <v>772000000</v>
      </c>
      <c r="E809" s="1716">
        <v>39</v>
      </c>
      <c r="F809" s="1716">
        <v>23</v>
      </c>
      <c r="G809" s="1716">
        <v>1</v>
      </c>
      <c r="H809" s="1716">
        <v>24</v>
      </c>
      <c r="I809" s="1707">
        <v>42278</v>
      </c>
    </row>
    <row r="810" spans="1:9">
      <c r="A810" s="1706" t="s">
        <v>1299</v>
      </c>
      <c r="B810" s="1706" t="s">
        <v>1847</v>
      </c>
      <c r="C810" s="1716">
        <v>840000000</v>
      </c>
      <c r="D810" s="1716">
        <v>800000000</v>
      </c>
      <c r="E810" s="1716">
        <v>53</v>
      </c>
      <c r="F810" s="1716">
        <v>8</v>
      </c>
      <c r="G810" s="1716">
        <v>0</v>
      </c>
      <c r="H810" s="1716">
        <v>8</v>
      </c>
      <c r="I810" s="1707">
        <v>42278</v>
      </c>
    </row>
    <row r="811" spans="1:9">
      <c r="A811" s="1706" t="s">
        <v>1300</v>
      </c>
      <c r="B811" s="1706" t="s">
        <v>1848</v>
      </c>
      <c r="C811" s="1716">
        <v>840000000</v>
      </c>
      <c r="D811" s="1716">
        <v>800000000</v>
      </c>
      <c r="E811" s="1716">
        <v>19</v>
      </c>
      <c r="F811" s="1716">
        <v>8</v>
      </c>
      <c r="G811" s="1716">
        <v>0</v>
      </c>
      <c r="H811" s="1716">
        <v>8</v>
      </c>
      <c r="I811" s="1707">
        <v>42278</v>
      </c>
    </row>
    <row r="812" spans="1:9" ht="30">
      <c r="A812" s="1706" t="s">
        <v>1301</v>
      </c>
      <c r="B812" s="1706" t="s">
        <v>1849</v>
      </c>
      <c r="C812" s="1716">
        <v>2422000000</v>
      </c>
      <c r="D812" s="1716">
        <v>2301000000</v>
      </c>
      <c r="E812" s="1716">
        <v>109</v>
      </c>
      <c r="F812" s="1716">
        <v>45</v>
      </c>
      <c r="G812" s="1716">
        <v>2</v>
      </c>
      <c r="H812" s="1716">
        <v>47</v>
      </c>
      <c r="I812" s="1707">
        <v>42278</v>
      </c>
    </row>
    <row r="813" spans="1:9">
      <c r="A813" s="1706" t="s">
        <v>1302</v>
      </c>
      <c r="B813" s="1706" t="s">
        <v>1850</v>
      </c>
      <c r="C813" s="1716">
        <v>4791150000</v>
      </c>
      <c r="D813" s="1716">
        <v>4563000000</v>
      </c>
      <c r="E813" s="1716">
        <v>242</v>
      </c>
      <c r="F813" s="1716">
        <v>82</v>
      </c>
      <c r="G813" s="1716">
        <v>4</v>
      </c>
      <c r="H813" s="1716">
        <v>86</v>
      </c>
      <c r="I813" s="1707">
        <v>42278</v>
      </c>
    </row>
    <row r="814" spans="1:9">
      <c r="A814" s="1706" t="s">
        <v>1303</v>
      </c>
      <c r="B814" s="1706" t="s">
        <v>1851</v>
      </c>
      <c r="C814" s="1716">
        <v>630000000</v>
      </c>
      <c r="D814" s="1716">
        <v>600000000</v>
      </c>
      <c r="E814" s="1716">
        <v>33</v>
      </c>
      <c r="F814" s="1716">
        <v>8</v>
      </c>
      <c r="G814" s="1716">
        <v>0</v>
      </c>
      <c r="H814" s="1716">
        <v>8</v>
      </c>
      <c r="I814" s="1707">
        <v>42278</v>
      </c>
    </row>
    <row r="815" spans="1:9">
      <c r="A815" s="1706" t="s">
        <v>1422</v>
      </c>
      <c r="B815" s="1706" t="s">
        <v>1852</v>
      </c>
      <c r="C815" s="1716">
        <v>1428000000</v>
      </c>
      <c r="D815" s="1716">
        <v>1357000000</v>
      </c>
      <c r="E815" s="1716">
        <v>79</v>
      </c>
      <c r="F815" s="1716">
        <v>40</v>
      </c>
      <c r="G815" s="1716">
        <v>0</v>
      </c>
      <c r="H815" s="1716">
        <v>40</v>
      </c>
      <c r="I815" s="1707">
        <v>42278</v>
      </c>
    </row>
    <row r="816" spans="1:9">
      <c r="A816" s="1706" t="s">
        <v>1305</v>
      </c>
      <c r="B816" s="1706" t="s">
        <v>1853</v>
      </c>
      <c r="C816" s="1716">
        <v>756000000</v>
      </c>
      <c r="D816" s="1716">
        <v>720000000</v>
      </c>
      <c r="E816" s="1716">
        <v>52</v>
      </c>
      <c r="F816" s="1716">
        <v>20</v>
      </c>
      <c r="G816" s="1716">
        <v>4</v>
      </c>
      <c r="H816" s="1716">
        <v>24</v>
      </c>
      <c r="I816" s="1707">
        <v>42278</v>
      </c>
    </row>
    <row r="817" spans="1:9">
      <c r="A817" s="1706" t="s">
        <v>1423</v>
      </c>
      <c r="B817" s="1706" t="s">
        <v>1854</v>
      </c>
      <c r="C817" s="1716">
        <v>649000000</v>
      </c>
      <c r="D817" s="1716">
        <v>617000000</v>
      </c>
      <c r="E817" s="1716">
        <v>45</v>
      </c>
      <c r="F817" s="1716">
        <v>10</v>
      </c>
      <c r="G817" s="1716">
        <v>1</v>
      </c>
      <c r="H817" s="1716">
        <v>11</v>
      </c>
      <c r="I817" s="1707">
        <v>42278</v>
      </c>
    </row>
    <row r="818" spans="1:9">
      <c r="A818" s="1706" t="s">
        <v>1424</v>
      </c>
      <c r="B818" s="1706" t="s">
        <v>1855</v>
      </c>
      <c r="C818" s="1716">
        <v>466000000</v>
      </c>
      <c r="D818" s="1716">
        <v>442000000</v>
      </c>
      <c r="E818" s="1716">
        <v>28</v>
      </c>
      <c r="F818" s="1716">
        <v>20</v>
      </c>
      <c r="G818" s="1716">
        <v>0</v>
      </c>
      <c r="H818" s="1716">
        <v>20</v>
      </c>
      <c r="I818" s="1707">
        <v>42278</v>
      </c>
    </row>
    <row r="819" spans="1:9">
      <c r="A819" s="1706" t="s">
        <v>2051</v>
      </c>
      <c r="B819" s="1706" t="s">
        <v>2052</v>
      </c>
      <c r="C819" s="1716">
        <v>84000000</v>
      </c>
      <c r="D819" s="1716">
        <v>80000000</v>
      </c>
      <c r="E819" s="1716">
        <v>4</v>
      </c>
      <c r="F819" s="1716">
        <v>5</v>
      </c>
      <c r="G819" s="1716">
        <v>3</v>
      </c>
      <c r="H819" s="1716">
        <v>8</v>
      </c>
      <c r="I819" s="1707">
        <v>42278</v>
      </c>
    </row>
    <row r="820" spans="1:9">
      <c r="A820" s="1706" t="s">
        <v>2221</v>
      </c>
      <c r="B820" s="1706" t="s">
        <v>2222</v>
      </c>
      <c r="C820" s="1716">
        <v>849000000</v>
      </c>
      <c r="D820" s="1716">
        <v>806000000</v>
      </c>
      <c r="E820" s="1716">
        <v>35</v>
      </c>
      <c r="F820" s="1716">
        <v>12</v>
      </c>
      <c r="G820" s="1716">
        <v>0</v>
      </c>
      <c r="H820" s="1716">
        <v>12</v>
      </c>
      <c r="I820" s="1707">
        <v>42278</v>
      </c>
    </row>
    <row r="824" spans="1:9">
      <c r="A824" s="1723" t="s">
        <v>2313</v>
      </c>
    </row>
    <row r="825" spans="1:9">
      <c r="A825" s="1718" t="s">
        <v>1109</v>
      </c>
      <c r="B825" s="1718" t="s">
        <v>1110</v>
      </c>
      <c r="C825" s="1718" t="s">
        <v>1</v>
      </c>
      <c r="D825" s="1718" t="s">
        <v>2</v>
      </c>
      <c r="E825" s="1718" t="s">
        <v>1108</v>
      </c>
      <c r="F825" s="1718" t="s">
        <v>1107</v>
      </c>
      <c r="G825" s="1718" t="s">
        <v>1106</v>
      </c>
      <c r="H825" s="1718" t="s">
        <v>1105</v>
      </c>
      <c r="I825" s="1718" t="s">
        <v>1160</v>
      </c>
    </row>
    <row r="826" spans="1:9">
      <c r="A826" s="1719" t="s">
        <v>47</v>
      </c>
      <c r="B826" s="1719" t="s">
        <v>1780</v>
      </c>
      <c r="C826" s="1720">
        <v>981750000</v>
      </c>
      <c r="D826" s="1720">
        <v>935000000</v>
      </c>
      <c r="E826" s="1721">
        <v>26</v>
      </c>
      <c r="F826" s="1721">
        <v>10</v>
      </c>
      <c r="G826" s="1721">
        <v>0</v>
      </c>
      <c r="H826" s="1721">
        <v>10</v>
      </c>
      <c r="I826" s="1722">
        <v>42309</v>
      </c>
    </row>
    <row r="827" spans="1:9">
      <c r="A827" s="1719" t="s">
        <v>91</v>
      </c>
      <c r="B827" s="1719" t="s">
        <v>1781</v>
      </c>
      <c r="C827" s="1720">
        <v>1911000000</v>
      </c>
      <c r="D827" s="1720">
        <v>1820000000</v>
      </c>
      <c r="E827" s="1721">
        <v>37</v>
      </c>
      <c r="F827" s="1721">
        <v>10</v>
      </c>
      <c r="G827" s="1721">
        <v>0</v>
      </c>
      <c r="H827" s="1721">
        <v>10</v>
      </c>
      <c r="I827" s="1722">
        <v>42309</v>
      </c>
    </row>
    <row r="828" spans="1:9">
      <c r="A828" s="1719" t="s">
        <v>177</v>
      </c>
      <c r="B828" s="1719" t="s">
        <v>1782</v>
      </c>
      <c r="C828" s="1720">
        <v>1109000000</v>
      </c>
      <c r="D828" s="1720">
        <v>1054000000</v>
      </c>
      <c r="E828" s="1721">
        <v>41</v>
      </c>
      <c r="F828" s="1721">
        <v>15</v>
      </c>
      <c r="G828" s="1721">
        <v>0</v>
      </c>
      <c r="H828" s="1721">
        <v>15</v>
      </c>
      <c r="I828" s="1722">
        <v>42309</v>
      </c>
    </row>
    <row r="829" spans="1:9">
      <c r="A829" s="1719" t="s">
        <v>185</v>
      </c>
      <c r="B829" s="1719" t="s">
        <v>1783</v>
      </c>
      <c r="C829" s="1720">
        <v>1142000000</v>
      </c>
      <c r="D829" s="1720">
        <v>1085000000</v>
      </c>
      <c r="E829" s="1721">
        <v>36</v>
      </c>
      <c r="F829" s="1721">
        <v>15</v>
      </c>
      <c r="G829" s="1721">
        <v>0</v>
      </c>
      <c r="H829" s="1721">
        <v>15</v>
      </c>
      <c r="I829" s="1722">
        <v>42309</v>
      </c>
    </row>
    <row r="830" spans="1:9">
      <c r="A830" s="1719" t="s">
        <v>179</v>
      </c>
      <c r="B830" s="1719" t="s">
        <v>1784</v>
      </c>
      <c r="C830" s="1720">
        <v>1776000000</v>
      </c>
      <c r="D830" s="1720">
        <v>1687000000</v>
      </c>
      <c r="E830" s="1721">
        <v>62</v>
      </c>
      <c r="F830" s="1721">
        <v>17</v>
      </c>
      <c r="G830" s="1721">
        <v>3</v>
      </c>
      <c r="H830" s="1721">
        <v>20</v>
      </c>
      <c r="I830" s="1722">
        <v>42309</v>
      </c>
    </row>
    <row r="831" spans="1:9">
      <c r="A831" s="1719" t="s">
        <v>176</v>
      </c>
      <c r="B831" s="1719" t="s">
        <v>1785</v>
      </c>
      <c r="C831" s="1720">
        <v>1546000000</v>
      </c>
      <c r="D831" s="1720">
        <v>1469000000</v>
      </c>
      <c r="E831" s="1721">
        <v>60</v>
      </c>
      <c r="F831" s="1721">
        <v>20</v>
      </c>
      <c r="G831" s="1721">
        <v>3</v>
      </c>
      <c r="H831" s="1721">
        <v>23</v>
      </c>
      <c r="I831" s="1722">
        <v>42309</v>
      </c>
    </row>
    <row r="832" spans="1:9">
      <c r="A832" s="1719" t="s">
        <v>187</v>
      </c>
      <c r="B832" s="1719" t="s">
        <v>1786</v>
      </c>
      <c r="C832" s="1720">
        <v>924000000</v>
      </c>
      <c r="D832" s="1720">
        <v>880000000</v>
      </c>
      <c r="E832" s="1721">
        <v>31</v>
      </c>
      <c r="F832" s="1721">
        <v>10</v>
      </c>
      <c r="G832" s="1721">
        <v>0</v>
      </c>
      <c r="H832" s="1721">
        <v>10</v>
      </c>
      <c r="I832" s="1722">
        <v>42309</v>
      </c>
    </row>
    <row r="833" spans="1:9">
      <c r="A833" s="1719" t="s">
        <v>630</v>
      </c>
      <c r="B833" s="1719" t="s">
        <v>1787</v>
      </c>
      <c r="C833" s="1720">
        <v>808500000</v>
      </c>
      <c r="D833" s="1720">
        <v>770000000</v>
      </c>
      <c r="E833" s="1721">
        <v>33</v>
      </c>
      <c r="F833" s="1721">
        <v>10</v>
      </c>
      <c r="G833" s="1721">
        <v>0</v>
      </c>
      <c r="H833" s="1721">
        <v>10</v>
      </c>
      <c r="I833" s="1722">
        <v>42309</v>
      </c>
    </row>
    <row r="834" spans="1:9">
      <c r="A834" s="1719" t="s">
        <v>661</v>
      </c>
      <c r="B834" s="1719" t="s">
        <v>1788</v>
      </c>
      <c r="C834" s="1720">
        <v>470000000</v>
      </c>
      <c r="D834" s="1720">
        <v>446000000</v>
      </c>
      <c r="E834" s="1721">
        <v>22</v>
      </c>
      <c r="F834" s="1721">
        <v>8</v>
      </c>
      <c r="G834" s="1721">
        <v>0</v>
      </c>
      <c r="H834" s="1721">
        <v>8</v>
      </c>
      <c r="I834" s="1722">
        <v>42309</v>
      </c>
    </row>
    <row r="835" spans="1:9">
      <c r="A835" s="1719" t="s">
        <v>628</v>
      </c>
      <c r="B835" s="1719" t="s">
        <v>1789</v>
      </c>
      <c r="C835" s="1720">
        <v>840000000</v>
      </c>
      <c r="D835" s="1720">
        <v>800000000</v>
      </c>
      <c r="E835" s="1721">
        <v>26</v>
      </c>
      <c r="F835" s="1721">
        <v>10</v>
      </c>
      <c r="G835" s="1721">
        <v>0</v>
      </c>
      <c r="H835" s="1721">
        <v>10</v>
      </c>
      <c r="I835" s="1722">
        <v>42309</v>
      </c>
    </row>
    <row r="836" spans="1:9">
      <c r="A836" s="1719" t="s">
        <v>650</v>
      </c>
      <c r="B836" s="1719" t="s">
        <v>1790</v>
      </c>
      <c r="C836" s="1720">
        <v>808500000</v>
      </c>
      <c r="D836" s="1720">
        <v>770000000</v>
      </c>
      <c r="E836" s="1721">
        <v>28</v>
      </c>
      <c r="F836" s="1721">
        <v>10</v>
      </c>
      <c r="G836" s="1721">
        <v>0</v>
      </c>
      <c r="H836" s="1721">
        <v>10</v>
      </c>
      <c r="I836" s="1722">
        <v>42309</v>
      </c>
    </row>
    <row r="837" spans="1:9">
      <c r="A837" s="1719" t="s">
        <v>660</v>
      </c>
      <c r="B837" s="1719" t="s">
        <v>1791</v>
      </c>
      <c r="C837" s="1720">
        <v>1000000000</v>
      </c>
      <c r="D837" s="1720">
        <v>950000000</v>
      </c>
      <c r="E837" s="1721">
        <v>42</v>
      </c>
      <c r="F837" s="1721">
        <v>15</v>
      </c>
      <c r="G837" s="1721">
        <v>0</v>
      </c>
      <c r="H837" s="1721">
        <v>15</v>
      </c>
      <c r="I837" s="1722">
        <v>42309</v>
      </c>
    </row>
    <row r="838" spans="1:9">
      <c r="A838" s="1719" t="s">
        <v>648</v>
      </c>
      <c r="B838" s="1719" t="s">
        <v>1792</v>
      </c>
      <c r="C838" s="1720">
        <v>808500000</v>
      </c>
      <c r="D838" s="1720">
        <v>770000000</v>
      </c>
      <c r="E838" s="1721">
        <v>29</v>
      </c>
      <c r="F838" s="1721">
        <v>10</v>
      </c>
      <c r="G838" s="1721">
        <v>0</v>
      </c>
      <c r="H838" s="1721">
        <v>10</v>
      </c>
      <c r="I838" s="1722">
        <v>42309</v>
      </c>
    </row>
    <row r="839" spans="1:9">
      <c r="A839" s="1719" t="s">
        <v>659</v>
      </c>
      <c r="B839" s="1719" t="s">
        <v>1793</v>
      </c>
      <c r="C839" s="1720">
        <v>2184000000</v>
      </c>
      <c r="D839" s="1720">
        <v>2075000000</v>
      </c>
      <c r="E839" s="1721">
        <v>64</v>
      </c>
      <c r="F839" s="1721">
        <v>20</v>
      </c>
      <c r="G839" s="1721">
        <v>2</v>
      </c>
      <c r="H839" s="1721">
        <v>22</v>
      </c>
      <c r="I839" s="1722">
        <v>42309</v>
      </c>
    </row>
    <row r="840" spans="1:9">
      <c r="A840" s="1719" t="s">
        <v>649</v>
      </c>
      <c r="B840" s="1719" t="s">
        <v>1794</v>
      </c>
      <c r="C840" s="1720">
        <v>945000000</v>
      </c>
      <c r="D840" s="1720">
        <v>900000000</v>
      </c>
      <c r="E840" s="1721">
        <v>26</v>
      </c>
      <c r="F840" s="1721">
        <v>10</v>
      </c>
      <c r="G840" s="1721">
        <v>0</v>
      </c>
      <c r="H840" s="1721">
        <v>10</v>
      </c>
      <c r="I840" s="1722">
        <v>42309</v>
      </c>
    </row>
    <row r="841" spans="1:9">
      <c r="A841" s="1719" t="s">
        <v>642</v>
      </c>
      <c r="B841" s="1719" t="s">
        <v>1795</v>
      </c>
      <c r="C841" s="1720">
        <v>750750000</v>
      </c>
      <c r="D841" s="1720">
        <v>715000000</v>
      </c>
      <c r="E841" s="1721">
        <v>24</v>
      </c>
      <c r="F841" s="1721">
        <v>10</v>
      </c>
      <c r="G841" s="1721">
        <v>0</v>
      </c>
      <c r="H841" s="1721">
        <v>10</v>
      </c>
      <c r="I841" s="1722">
        <v>42309</v>
      </c>
    </row>
    <row r="842" spans="1:9">
      <c r="A842" s="1719" t="s">
        <v>736</v>
      </c>
      <c r="B842" s="1719" t="s">
        <v>1796</v>
      </c>
      <c r="C842" s="1720">
        <v>1491000000</v>
      </c>
      <c r="D842" s="1720">
        <v>1420000000</v>
      </c>
      <c r="E842" s="1721">
        <v>38</v>
      </c>
      <c r="F842" s="1721">
        <v>10</v>
      </c>
      <c r="G842" s="1721">
        <v>0</v>
      </c>
      <c r="H842" s="1721">
        <v>10</v>
      </c>
      <c r="I842" s="1722">
        <v>42309</v>
      </c>
    </row>
    <row r="843" spans="1:9">
      <c r="A843" s="1719" t="s">
        <v>699</v>
      </c>
      <c r="B843" s="1719" t="s">
        <v>1797</v>
      </c>
      <c r="C843" s="1720">
        <v>188000000</v>
      </c>
      <c r="D843" s="1720">
        <v>179000000</v>
      </c>
      <c r="E843" s="1721">
        <v>9</v>
      </c>
      <c r="F843" s="1721">
        <v>15</v>
      </c>
      <c r="G843" s="1721">
        <v>2</v>
      </c>
      <c r="H843" s="1721">
        <v>17</v>
      </c>
      <c r="I843" s="1722">
        <v>42309</v>
      </c>
    </row>
    <row r="844" spans="1:9">
      <c r="A844" s="1719" t="s">
        <v>735</v>
      </c>
      <c r="B844" s="1719" t="s">
        <v>1799</v>
      </c>
      <c r="C844" s="1720">
        <v>1848000000</v>
      </c>
      <c r="D844" s="1720">
        <v>1760000000</v>
      </c>
      <c r="E844" s="1721">
        <v>31</v>
      </c>
      <c r="F844" s="1721">
        <v>10</v>
      </c>
      <c r="G844" s="1721">
        <v>0</v>
      </c>
      <c r="H844" s="1721">
        <v>10</v>
      </c>
      <c r="I844" s="1722">
        <v>42309</v>
      </c>
    </row>
    <row r="845" spans="1:9">
      <c r="A845" s="1719" t="s">
        <v>734</v>
      </c>
      <c r="B845" s="1719" t="s">
        <v>1800</v>
      </c>
      <c r="C845" s="1720">
        <v>1155000000</v>
      </c>
      <c r="D845" s="1720">
        <v>1100000000</v>
      </c>
      <c r="E845" s="1721">
        <v>55</v>
      </c>
      <c r="F845" s="1721">
        <v>10</v>
      </c>
      <c r="G845" s="1721">
        <v>0</v>
      </c>
      <c r="H845" s="1721">
        <v>10</v>
      </c>
      <c r="I845" s="1722">
        <v>42309</v>
      </c>
    </row>
    <row r="846" spans="1:9">
      <c r="A846" s="1719" t="s">
        <v>798</v>
      </c>
      <c r="B846" s="1719" t="s">
        <v>1801</v>
      </c>
      <c r="C846" s="1720">
        <v>1155000000</v>
      </c>
      <c r="D846" s="1720">
        <v>1100000000</v>
      </c>
      <c r="E846" s="1721">
        <v>21</v>
      </c>
      <c r="F846" s="1721">
        <v>10</v>
      </c>
      <c r="G846" s="1721">
        <v>0</v>
      </c>
      <c r="H846" s="1721">
        <v>10</v>
      </c>
      <c r="I846" s="1722">
        <v>42309</v>
      </c>
    </row>
    <row r="847" spans="1:9">
      <c r="A847" s="1719" t="s">
        <v>796</v>
      </c>
      <c r="B847" s="1719" t="s">
        <v>1802</v>
      </c>
      <c r="C847" s="1720">
        <v>981750000</v>
      </c>
      <c r="D847" s="1720">
        <v>935000000</v>
      </c>
      <c r="E847" s="1721">
        <v>32</v>
      </c>
      <c r="F847" s="1721">
        <v>10</v>
      </c>
      <c r="G847" s="1721">
        <v>0</v>
      </c>
      <c r="H847" s="1721">
        <v>10</v>
      </c>
      <c r="I847" s="1722">
        <v>42309</v>
      </c>
    </row>
    <row r="848" spans="1:9">
      <c r="A848" s="1719" t="s">
        <v>799</v>
      </c>
      <c r="B848" s="1719" t="s">
        <v>1803</v>
      </c>
      <c r="C848" s="1720">
        <v>733000000</v>
      </c>
      <c r="D848" s="1720">
        <v>696000000</v>
      </c>
      <c r="E848" s="1721">
        <v>31</v>
      </c>
      <c r="F848" s="1721">
        <v>15</v>
      </c>
      <c r="G848" s="1721">
        <v>0</v>
      </c>
      <c r="H848" s="1721">
        <v>15</v>
      </c>
      <c r="I848" s="1722">
        <v>42309</v>
      </c>
    </row>
    <row r="849" spans="1:9">
      <c r="A849" s="1719" t="s">
        <v>825</v>
      </c>
      <c r="B849" s="1719" t="s">
        <v>1804</v>
      </c>
      <c r="C849" s="1720">
        <v>439000000</v>
      </c>
      <c r="D849" s="1720">
        <v>417000000</v>
      </c>
      <c r="E849" s="1721">
        <v>22</v>
      </c>
      <c r="F849" s="1721">
        <v>12</v>
      </c>
      <c r="G849" s="1721">
        <v>0</v>
      </c>
      <c r="H849" s="1721">
        <v>12</v>
      </c>
      <c r="I849" s="1722">
        <v>42309</v>
      </c>
    </row>
    <row r="850" spans="1:9">
      <c r="A850" s="1719" t="s">
        <v>905</v>
      </c>
      <c r="B850" s="1719" t="s">
        <v>1805</v>
      </c>
      <c r="C850" s="1720">
        <v>1071000000</v>
      </c>
      <c r="D850" s="1720">
        <v>1020000000</v>
      </c>
      <c r="E850" s="1721">
        <v>28</v>
      </c>
      <c r="F850" s="1721">
        <v>10</v>
      </c>
      <c r="G850" s="1721">
        <v>0</v>
      </c>
      <c r="H850" s="1721">
        <v>10</v>
      </c>
      <c r="I850" s="1722">
        <v>42309</v>
      </c>
    </row>
    <row r="851" spans="1:9">
      <c r="A851" s="1719" t="s">
        <v>903</v>
      </c>
      <c r="B851" s="1719" t="s">
        <v>1806</v>
      </c>
      <c r="C851" s="1720">
        <v>577500000</v>
      </c>
      <c r="D851" s="1720">
        <v>550000000</v>
      </c>
      <c r="E851" s="1721">
        <v>31</v>
      </c>
      <c r="F851" s="1721">
        <v>10</v>
      </c>
      <c r="G851" s="1721">
        <v>0</v>
      </c>
      <c r="H851" s="1721">
        <v>10</v>
      </c>
      <c r="I851" s="1722">
        <v>42309</v>
      </c>
    </row>
    <row r="852" spans="1:9">
      <c r="A852" s="1719" t="s">
        <v>902</v>
      </c>
      <c r="B852" s="1719" t="s">
        <v>1807</v>
      </c>
      <c r="C852" s="1720">
        <v>577500000</v>
      </c>
      <c r="D852" s="1720">
        <v>550000000</v>
      </c>
      <c r="E852" s="1721">
        <v>33</v>
      </c>
      <c r="F852" s="1721">
        <v>10</v>
      </c>
      <c r="G852" s="1721">
        <v>0</v>
      </c>
      <c r="H852" s="1721">
        <v>10</v>
      </c>
      <c r="I852" s="1722">
        <v>42309</v>
      </c>
    </row>
    <row r="853" spans="1:9" ht="30">
      <c r="A853" s="1719" t="s">
        <v>1291</v>
      </c>
      <c r="B853" s="1719" t="s">
        <v>1839</v>
      </c>
      <c r="C853" s="1720">
        <v>3211950000</v>
      </c>
      <c r="D853" s="1720">
        <v>3059000000</v>
      </c>
      <c r="E853" s="1721">
        <v>86</v>
      </c>
      <c r="F853" s="1721">
        <v>33</v>
      </c>
      <c r="G853" s="1721">
        <v>2</v>
      </c>
      <c r="H853" s="1721">
        <v>35</v>
      </c>
      <c r="I853" s="1722">
        <v>42309</v>
      </c>
    </row>
    <row r="854" spans="1:9">
      <c r="A854" s="1719" t="s">
        <v>1292</v>
      </c>
      <c r="B854" s="1719" t="s">
        <v>1840</v>
      </c>
      <c r="C854" s="1720">
        <v>5572000000</v>
      </c>
      <c r="D854" s="1720">
        <v>5293000000</v>
      </c>
      <c r="E854" s="1721">
        <v>184</v>
      </c>
      <c r="F854" s="1721">
        <v>60</v>
      </c>
      <c r="G854" s="1721">
        <v>5</v>
      </c>
      <c r="H854" s="1721">
        <v>65</v>
      </c>
      <c r="I854" s="1722">
        <v>42309</v>
      </c>
    </row>
    <row r="855" spans="1:9">
      <c r="A855" s="1719" t="s">
        <v>1293</v>
      </c>
      <c r="B855" s="1719" t="s">
        <v>1841</v>
      </c>
      <c r="C855" s="1720">
        <v>2266000000</v>
      </c>
      <c r="D855" s="1720">
        <v>2154000000</v>
      </c>
      <c r="E855" s="1721">
        <v>103</v>
      </c>
      <c r="F855" s="1721">
        <v>40</v>
      </c>
      <c r="G855" s="1721">
        <v>2</v>
      </c>
      <c r="H855" s="1721">
        <v>42</v>
      </c>
      <c r="I855" s="1722">
        <v>42309</v>
      </c>
    </row>
    <row r="856" spans="1:9">
      <c r="A856" s="1719" t="s">
        <v>1294</v>
      </c>
      <c r="B856" s="1719" t="s">
        <v>1842</v>
      </c>
      <c r="C856" s="1720">
        <v>3664500000</v>
      </c>
      <c r="D856" s="1720">
        <v>3490000000</v>
      </c>
      <c r="E856" s="1721">
        <v>108</v>
      </c>
      <c r="F856" s="1721">
        <v>40</v>
      </c>
      <c r="G856" s="1721">
        <v>0</v>
      </c>
      <c r="H856" s="1721">
        <v>40</v>
      </c>
      <c r="I856" s="1722">
        <v>42309</v>
      </c>
    </row>
    <row r="857" spans="1:9">
      <c r="A857" s="1719" t="s">
        <v>1296</v>
      </c>
      <c r="B857" s="1719" t="s">
        <v>1844</v>
      </c>
      <c r="C857" s="1720">
        <v>3642500000</v>
      </c>
      <c r="D857" s="1720">
        <v>3469000000</v>
      </c>
      <c r="E857" s="1721">
        <v>117</v>
      </c>
      <c r="F857" s="1721">
        <v>43</v>
      </c>
      <c r="G857" s="1721">
        <v>2</v>
      </c>
      <c r="H857" s="1721">
        <v>45</v>
      </c>
      <c r="I857" s="1722">
        <v>42309</v>
      </c>
    </row>
    <row r="858" spans="1:9">
      <c r="A858" s="1719" t="s">
        <v>1297</v>
      </c>
      <c r="B858" s="1719" t="s">
        <v>1845</v>
      </c>
      <c r="C858" s="1720">
        <v>1437000000</v>
      </c>
      <c r="D858" s="1720">
        <v>1365000000</v>
      </c>
      <c r="E858" s="1721">
        <v>61</v>
      </c>
      <c r="F858" s="1721">
        <v>43</v>
      </c>
      <c r="G858" s="1721">
        <v>2</v>
      </c>
      <c r="H858" s="1721">
        <v>45</v>
      </c>
      <c r="I858" s="1722">
        <v>42309</v>
      </c>
    </row>
    <row r="859" spans="1:9">
      <c r="A859" s="1719" t="s">
        <v>1298</v>
      </c>
      <c r="B859" s="1719" t="s">
        <v>1846</v>
      </c>
      <c r="C859" s="1720">
        <v>1848000000</v>
      </c>
      <c r="D859" s="1720">
        <v>1760000000</v>
      </c>
      <c r="E859" s="1721">
        <v>31</v>
      </c>
      <c r="F859" s="1721">
        <v>10</v>
      </c>
      <c r="G859" s="1721">
        <v>0</v>
      </c>
      <c r="H859" s="1721">
        <v>10</v>
      </c>
      <c r="I859" s="1722">
        <v>42309</v>
      </c>
    </row>
    <row r="860" spans="1:9">
      <c r="A860" s="1719" t="s">
        <v>1299</v>
      </c>
      <c r="B860" s="1719" t="s">
        <v>1847</v>
      </c>
      <c r="C860" s="1720">
        <v>1155000000</v>
      </c>
      <c r="D860" s="1720">
        <v>1100000000</v>
      </c>
      <c r="E860" s="1721">
        <v>55</v>
      </c>
      <c r="F860" s="1721">
        <v>10</v>
      </c>
      <c r="G860" s="1721">
        <v>0</v>
      </c>
      <c r="H860" s="1721">
        <v>10</v>
      </c>
      <c r="I860" s="1722">
        <v>42309</v>
      </c>
    </row>
    <row r="861" spans="1:9">
      <c r="A861" s="1719" t="s">
        <v>1300</v>
      </c>
      <c r="B861" s="1719" t="s">
        <v>1848</v>
      </c>
      <c r="C861" s="1720">
        <v>1155000000</v>
      </c>
      <c r="D861" s="1720">
        <v>1100000000</v>
      </c>
      <c r="E861" s="1721">
        <v>21</v>
      </c>
      <c r="F861" s="1721">
        <v>10</v>
      </c>
      <c r="G861" s="1721">
        <v>0</v>
      </c>
      <c r="H861" s="1721">
        <v>10</v>
      </c>
      <c r="I861" s="1722">
        <v>42309</v>
      </c>
    </row>
    <row r="862" spans="1:9">
      <c r="A862" s="1719" t="s">
        <v>900</v>
      </c>
      <c r="B862" s="1719" t="s">
        <v>1808</v>
      </c>
      <c r="C862" s="1720">
        <v>693000000</v>
      </c>
      <c r="D862" s="1720">
        <v>660000000</v>
      </c>
      <c r="E862" s="1721">
        <v>27</v>
      </c>
      <c r="F862" s="1721">
        <v>10</v>
      </c>
      <c r="G862" s="1721">
        <v>0</v>
      </c>
      <c r="H862" s="1721">
        <v>10</v>
      </c>
      <c r="I862" s="1722">
        <v>42309</v>
      </c>
    </row>
    <row r="863" spans="1:9">
      <c r="A863" s="1719" t="s">
        <v>949</v>
      </c>
      <c r="B863" s="1719" t="s">
        <v>1809</v>
      </c>
      <c r="C863" s="1720">
        <v>787500000</v>
      </c>
      <c r="D863" s="1720">
        <v>750000000</v>
      </c>
      <c r="E863" s="1721">
        <v>35</v>
      </c>
      <c r="F863" s="1721">
        <v>10</v>
      </c>
      <c r="G863" s="1721">
        <v>0</v>
      </c>
      <c r="H863" s="1721">
        <v>10</v>
      </c>
      <c r="I863" s="1722">
        <v>42309</v>
      </c>
    </row>
    <row r="864" spans="1:9">
      <c r="A864" s="1719" t="s">
        <v>1104</v>
      </c>
      <c r="B864" s="1719" t="s">
        <v>1810</v>
      </c>
      <c r="C864" s="1720">
        <v>560000000</v>
      </c>
      <c r="D864" s="1720">
        <v>532000000</v>
      </c>
      <c r="E864" s="1721">
        <v>33</v>
      </c>
      <c r="F864" s="1721">
        <v>12</v>
      </c>
      <c r="G864" s="1721">
        <v>0</v>
      </c>
      <c r="H864" s="1721">
        <v>12</v>
      </c>
      <c r="I864" s="1722">
        <v>42309</v>
      </c>
    </row>
    <row r="865" spans="1:9">
      <c r="A865" s="1719" t="s">
        <v>1015</v>
      </c>
      <c r="B865" s="1719" t="s">
        <v>1811</v>
      </c>
      <c r="C865" s="1720">
        <v>463000000</v>
      </c>
      <c r="D865" s="1720">
        <v>440000000</v>
      </c>
      <c r="E865" s="1721">
        <v>22</v>
      </c>
      <c r="F865" s="1721">
        <v>12</v>
      </c>
      <c r="G865" s="1721">
        <v>0</v>
      </c>
      <c r="H865" s="1721">
        <v>12</v>
      </c>
      <c r="I865" s="1722">
        <v>42309</v>
      </c>
    </row>
    <row r="866" spans="1:9">
      <c r="A866" s="1719" t="s">
        <v>1103</v>
      </c>
      <c r="B866" s="1719" t="s">
        <v>1812</v>
      </c>
      <c r="C866" s="1720">
        <v>571000000</v>
      </c>
      <c r="D866" s="1720">
        <v>542000000</v>
      </c>
      <c r="E866" s="1721">
        <v>34</v>
      </c>
      <c r="F866" s="1721">
        <v>15</v>
      </c>
      <c r="G866" s="1721">
        <v>0</v>
      </c>
      <c r="H866" s="1721">
        <v>15</v>
      </c>
      <c r="I866" s="1722">
        <v>42309</v>
      </c>
    </row>
    <row r="867" spans="1:9">
      <c r="A867" s="1719" t="s">
        <v>1102</v>
      </c>
      <c r="B867" s="1719" t="s">
        <v>1813</v>
      </c>
      <c r="C867" s="1720">
        <v>519750000</v>
      </c>
      <c r="D867" s="1720">
        <v>495000000</v>
      </c>
      <c r="E867" s="1721">
        <v>34</v>
      </c>
      <c r="F867" s="1721">
        <v>12</v>
      </c>
      <c r="G867" s="1721">
        <v>0</v>
      </c>
      <c r="H867" s="1721">
        <v>12</v>
      </c>
      <c r="I867" s="1722">
        <v>42309</v>
      </c>
    </row>
    <row r="868" spans="1:9">
      <c r="A868" s="1719" t="s">
        <v>1101</v>
      </c>
      <c r="B868" s="1719" t="s">
        <v>1814</v>
      </c>
      <c r="C868" s="1720">
        <v>519750000</v>
      </c>
      <c r="D868" s="1720">
        <v>495000000</v>
      </c>
      <c r="E868" s="1721">
        <v>23</v>
      </c>
      <c r="F868" s="1721">
        <v>12</v>
      </c>
      <c r="G868" s="1721">
        <v>0</v>
      </c>
      <c r="H868" s="1721">
        <v>12</v>
      </c>
      <c r="I868" s="1722">
        <v>42309</v>
      </c>
    </row>
    <row r="869" spans="1:9">
      <c r="A869" s="1719" t="s">
        <v>1100</v>
      </c>
      <c r="B869" s="1719" t="s">
        <v>1815</v>
      </c>
      <c r="C869" s="1720">
        <v>924000000</v>
      </c>
      <c r="D869" s="1720">
        <v>878000000</v>
      </c>
      <c r="E869" s="1721">
        <v>49</v>
      </c>
      <c r="F869" s="1721">
        <v>13</v>
      </c>
      <c r="G869" s="1721">
        <v>0</v>
      </c>
      <c r="H869" s="1721">
        <v>13</v>
      </c>
      <c r="I869" s="1722">
        <v>42309</v>
      </c>
    </row>
    <row r="870" spans="1:9">
      <c r="A870" s="1719" t="s">
        <v>1099</v>
      </c>
      <c r="B870" s="1719" t="s">
        <v>1816</v>
      </c>
      <c r="C870" s="1720">
        <v>693000000</v>
      </c>
      <c r="D870" s="1720">
        <v>660000000</v>
      </c>
      <c r="E870" s="1721">
        <v>30</v>
      </c>
      <c r="F870" s="1721">
        <v>10</v>
      </c>
      <c r="G870" s="1721">
        <v>0</v>
      </c>
      <c r="H870" s="1721">
        <v>10</v>
      </c>
      <c r="I870" s="1722">
        <v>42309</v>
      </c>
    </row>
    <row r="871" spans="1:9">
      <c r="A871" s="1719" t="s">
        <v>1419</v>
      </c>
      <c r="B871" s="1719" t="s">
        <v>1817</v>
      </c>
      <c r="C871" s="1720">
        <v>617000000</v>
      </c>
      <c r="D871" s="1720">
        <v>586000000</v>
      </c>
      <c r="E871" s="1721">
        <v>34</v>
      </c>
      <c r="F871" s="1721">
        <v>20</v>
      </c>
      <c r="G871" s="1721">
        <v>0</v>
      </c>
      <c r="H871" s="1721">
        <v>20</v>
      </c>
      <c r="I871" s="1722">
        <v>42309</v>
      </c>
    </row>
    <row r="872" spans="1:9">
      <c r="A872" s="1719" t="s">
        <v>1563</v>
      </c>
      <c r="B872" s="1719" t="s">
        <v>1818</v>
      </c>
      <c r="C872" s="1720">
        <v>481950000</v>
      </c>
      <c r="D872" s="1720">
        <v>459000000</v>
      </c>
      <c r="E872" s="1721">
        <v>27</v>
      </c>
      <c r="F872" s="1721">
        <v>13</v>
      </c>
      <c r="G872" s="1721">
        <v>2</v>
      </c>
      <c r="H872" s="1721">
        <v>15</v>
      </c>
      <c r="I872" s="1722">
        <v>42309</v>
      </c>
    </row>
    <row r="873" spans="1:9">
      <c r="A873" s="1719" t="s">
        <v>1418</v>
      </c>
      <c r="B873" s="1719" t="s">
        <v>1819</v>
      </c>
      <c r="C873" s="1720">
        <v>481950000</v>
      </c>
      <c r="D873" s="1720">
        <v>459000000</v>
      </c>
      <c r="E873" s="1721">
        <v>26</v>
      </c>
      <c r="F873" s="1721">
        <v>13</v>
      </c>
      <c r="G873" s="1721">
        <v>2</v>
      </c>
      <c r="H873" s="1721">
        <v>15</v>
      </c>
      <c r="I873" s="1722">
        <v>42309</v>
      </c>
    </row>
    <row r="874" spans="1:9">
      <c r="A874" s="1719" t="s">
        <v>1568</v>
      </c>
      <c r="B874" s="1719" t="s">
        <v>1820</v>
      </c>
      <c r="C874" s="1720">
        <v>628000000</v>
      </c>
      <c r="D874" s="1720">
        <v>597000000</v>
      </c>
      <c r="E874" s="1721">
        <v>37</v>
      </c>
      <c r="F874" s="1721">
        <v>15</v>
      </c>
      <c r="G874" s="1721">
        <v>2</v>
      </c>
      <c r="H874" s="1721">
        <v>17</v>
      </c>
      <c r="I874" s="1722">
        <v>42309</v>
      </c>
    </row>
    <row r="875" spans="1:9">
      <c r="A875" s="1719" t="s">
        <v>1567</v>
      </c>
      <c r="B875" s="1719" t="s">
        <v>1821</v>
      </c>
      <c r="C875" s="1720">
        <v>529000000</v>
      </c>
      <c r="D875" s="1720">
        <v>503000000</v>
      </c>
      <c r="E875" s="1721">
        <v>25</v>
      </c>
      <c r="F875" s="1721">
        <v>10</v>
      </c>
      <c r="G875" s="1721">
        <v>0</v>
      </c>
      <c r="H875" s="1721">
        <v>10</v>
      </c>
      <c r="I875" s="1722">
        <v>42309</v>
      </c>
    </row>
    <row r="876" spans="1:9">
      <c r="A876" s="1719" t="s">
        <v>1565</v>
      </c>
      <c r="B876" s="1719" t="s">
        <v>1822</v>
      </c>
      <c r="C876" s="1720">
        <v>376950000</v>
      </c>
      <c r="D876" s="1720">
        <v>359000000</v>
      </c>
      <c r="E876" s="1721">
        <v>18</v>
      </c>
      <c r="F876" s="1721">
        <v>13</v>
      </c>
      <c r="G876" s="1721">
        <v>2</v>
      </c>
      <c r="H876" s="1721">
        <v>15</v>
      </c>
      <c r="I876" s="1722">
        <v>42309</v>
      </c>
    </row>
    <row r="877" spans="1:9">
      <c r="A877" s="1719" t="s">
        <v>1570</v>
      </c>
      <c r="B877" s="1719" t="s">
        <v>1823</v>
      </c>
      <c r="C877" s="1720">
        <v>516000000</v>
      </c>
      <c r="D877" s="1720">
        <v>490000000</v>
      </c>
      <c r="E877" s="1721">
        <v>21</v>
      </c>
      <c r="F877" s="1721">
        <v>13</v>
      </c>
      <c r="G877" s="1721">
        <v>0</v>
      </c>
      <c r="H877" s="1721">
        <v>13</v>
      </c>
      <c r="I877" s="1722">
        <v>42309</v>
      </c>
    </row>
    <row r="878" spans="1:9">
      <c r="A878" s="1719" t="s">
        <v>1572</v>
      </c>
      <c r="B878" s="1719" t="s">
        <v>1824</v>
      </c>
      <c r="C878" s="1720">
        <v>515000000</v>
      </c>
      <c r="D878" s="1720">
        <v>489000000</v>
      </c>
      <c r="E878" s="1721">
        <v>25</v>
      </c>
      <c r="F878" s="1721">
        <v>13</v>
      </c>
      <c r="G878" s="1721">
        <v>0</v>
      </c>
      <c r="H878" s="1721">
        <v>13</v>
      </c>
      <c r="I878" s="1722">
        <v>42309</v>
      </c>
    </row>
    <row r="879" spans="1:9">
      <c r="A879" s="1719" t="s">
        <v>1669</v>
      </c>
      <c r="B879" s="1719" t="s">
        <v>1825</v>
      </c>
      <c r="C879" s="1720">
        <v>419000000</v>
      </c>
      <c r="D879" s="1720">
        <v>399000000</v>
      </c>
      <c r="E879" s="1721">
        <v>23</v>
      </c>
      <c r="F879" s="1721">
        <v>13</v>
      </c>
      <c r="G879" s="1721">
        <v>2</v>
      </c>
      <c r="H879" s="1721">
        <v>15</v>
      </c>
      <c r="I879" s="1722">
        <v>42309</v>
      </c>
    </row>
    <row r="880" spans="1:9">
      <c r="A880" s="1719" t="s">
        <v>2046</v>
      </c>
      <c r="B880" s="1719" t="s">
        <v>2047</v>
      </c>
      <c r="C880" s="1720">
        <v>126000000</v>
      </c>
      <c r="D880" s="1720">
        <v>120000000</v>
      </c>
      <c r="E880" s="1721">
        <v>6</v>
      </c>
      <c r="F880" s="1721">
        <v>9</v>
      </c>
      <c r="G880" s="1721">
        <v>3</v>
      </c>
      <c r="H880" s="1721">
        <v>12</v>
      </c>
      <c r="I880" s="1722">
        <v>42309</v>
      </c>
    </row>
    <row r="881" spans="1:9">
      <c r="A881" s="1719" t="s">
        <v>2314</v>
      </c>
      <c r="B881" s="1719" t="s">
        <v>227</v>
      </c>
      <c r="C881" s="1720">
        <v>0</v>
      </c>
      <c r="D881" s="1720">
        <v>0</v>
      </c>
      <c r="E881" s="1721">
        <v>0</v>
      </c>
      <c r="F881" s="1721">
        <v>0</v>
      </c>
      <c r="G881" s="1721">
        <v>0</v>
      </c>
      <c r="H881" s="1721">
        <v>0</v>
      </c>
      <c r="I881" s="1722">
        <v>42309</v>
      </c>
    </row>
    <row r="882" spans="1:9">
      <c r="A882" s="1719" t="s">
        <v>1148</v>
      </c>
      <c r="B882" s="1719" t="s">
        <v>1826</v>
      </c>
      <c r="C882" s="1720">
        <v>4797500000</v>
      </c>
      <c r="D882" s="1720">
        <v>4569000000</v>
      </c>
      <c r="E882" s="1721">
        <v>138</v>
      </c>
      <c r="F882" s="1721">
        <v>53</v>
      </c>
      <c r="G882" s="1721">
        <v>2</v>
      </c>
      <c r="H882" s="1721">
        <v>55</v>
      </c>
      <c r="I882" s="1722">
        <v>42309</v>
      </c>
    </row>
    <row r="883" spans="1:9">
      <c r="A883" s="1719" t="s">
        <v>1149</v>
      </c>
      <c r="B883" s="1719" t="s">
        <v>1827</v>
      </c>
      <c r="C883" s="1720">
        <v>6572000000</v>
      </c>
      <c r="D883" s="1720">
        <v>6243000000</v>
      </c>
      <c r="E883" s="1721">
        <v>226</v>
      </c>
      <c r="F883" s="1721">
        <v>75</v>
      </c>
      <c r="G883" s="1721">
        <v>5</v>
      </c>
      <c r="H883" s="1721">
        <v>80</v>
      </c>
      <c r="I883" s="1722">
        <v>42309</v>
      </c>
    </row>
    <row r="884" spans="1:9">
      <c r="A884" s="1719" t="s">
        <v>1150</v>
      </c>
      <c r="B884" s="1719" t="s">
        <v>1828</v>
      </c>
      <c r="C884" s="1720">
        <v>3812000000</v>
      </c>
      <c r="D884" s="1720">
        <v>3623000000</v>
      </c>
      <c r="E884" s="1721">
        <v>163</v>
      </c>
      <c r="F884" s="1721">
        <v>60</v>
      </c>
      <c r="G884" s="1721">
        <v>5</v>
      </c>
      <c r="H884" s="1721">
        <v>65</v>
      </c>
      <c r="I884" s="1722">
        <v>42309</v>
      </c>
    </row>
    <row r="885" spans="1:9">
      <c r="A885" s="1719" t="s">
        <v>1151</v>
      </c>
      <c r="B885" s="1719" t="s">
        <v>1829</v>
      </c>
      <c r="C885" s="1720">
        <v>5512500000</v>
      </c>
      <c r="D885" s="1720">
        <v>5250000000</v>
      </c>
      <c r="E885" s="1721">
        <v>139</v>
      </c>
      <c r="F885" s="1721">
        <v>50</v>
      </c>
      <c r="G885" s="1721">
        <v>0</v>
      </c>
      <c r="H885" s="1721">
        <v>50</v>
      </c>
      <c r="I885" s="1722">
        <v>42309</v>
      </c>
    </row>
    <row r="886" spans="1:9">
      <c r="A886" s="1719" t="s">
        <v>1153</v>
      </c>
      <c r="B886" s="1719" t="s">
        <v>1830</v>
      </c>
      <c r="C886" s="1720">
        <v>1437000000</v>
      </c>
      <c r="D886" s="1720">
        <v>1365000000</v>
      </c>
      <c r="E886" s="1721">
        <v>61</v>
      </c>
      <c r="F886" s="1721">
        <v>43</v>
      </c>
      <c r="G886" s="1721">
        <v>2</v>
      </c>
      <c r="H886" s="1721">
        <v>45</v>
      </c>
      <c r="I886" s="1722">
        <v>42309</v>
      </c>
    </row>
    <row r="887" spans="1:9">
      <c r="A887" s="1719" t="s">
        <v>1154</v>
      </c>
      <c r="B887" s="1719" t="s">
        <v>1831</v>
      </c>
      <c r="C887" s="1720">
        <v>1155000000</v>
      </c>
      <c r="D887" s="1720">
        <v>1100000000</v>
      </c>
      <c r="E887" s="1721">
        <v>55</v>
      </c>
      <c r="F887" s="1721">
        <v>10</v>
      </c>
      <c r="G887" s="1721">
        <v>0</v>
      </c>
      <c r="H887" s="1721">
        <v>10</v>
      </c>
      <c r="I887" s="1722">
        <v>42309</v>
      </c>
    </row>
    <row r="888" spans="1:9">
      <c r="A888" s="1719" t="s">
        <v>1675</v>
      </c>
      <c r="B888" s="1719" t="s">
        <v>1832</v>
      </c>
      <c r="C888" s="1720">
        <v>787500000</v>
      </c>
      <c r="D888" s="1720">
        <v>750000000</v>
      </c>
      <c r="E888" s="1721">
        <v>35</v>
      </c>
      <c r="F888" s="1721">
        <v>10</v>
      </c>
      <c r="G888" s="1721">
        <v>0</v>
      </c>
      <c r="H888" s="1721">
        <v>10</v>
      </c>
      <c r="I888" s="1722">
        <v>42309</v>
      </c>
    </row>
    <row r="889" spans="1:9">
      <c r="A889" s="1719" t="s">
        <v>1155</v>
      </c>
      <c r="B889" s="1719" t="s">
        <v>1833</v>
      </c>
      <c r="C889" s="1720">
        <v>9315600000.0000019</v>
      </c>
      <c r="D889" s="1720">
        <v>8872000000</v>
      </c>
      <c r="E889" s="1721">
        <v>348</v>
      </c>
      <c r="F889" s="1721">
        <v>129</v>
      </c>
      <c r="G889" s="1721">
        <v>6</v>
      </c>
      <c r="H889" s="1721">
        <v>135</v>
      </c>
      <c r="I889" s="1722">
        <v>42309</v>
      </c>
    </row>
    <row r="890" spans="1:9">
      <c r="A890" s="1719" t="s">
        <v>1156</v>
      </c>
      <c r="B890" s="1719" t="s">
        <v>1834</v>
      </c>
      <c r="C890" s="1720">
        <v>1039500000</v>
      </c>
      <c r="D890" s="1720">
        <v>990000000</v>
      </c>
      <c r="E890" s="1721">
        <v>57</v>
      </c>
      <c r="F890" s="1721">
        <v>24</v>
      </c>
      <c r="G890" s="1721">
        <v>0</v>
      </c>
      <c r="H890" s="1721">
        <v>24</v>
      </c>
      <c r="I890" s="1722">
        <v>42309</v>
      </c>
    </row>
    <row r="891" spans="1:9">
      <c r="A891" s="1719" t="s">
        <v>2218</v>
      </c>
      <c r="B891" s="1719" t="s">
        <v>2049</v>
      </c>
      <c r="C891" s="1720">
        <v>126000000</v>
      </c>
      <c r="D891" s="1720">
        <v>120000000</v>
      </c>
      <c r="E891" s="1721">
        <v>6</v>
      </c>
      <c r="F891" s="1721">
        <v>9</v>
      </c>
      <c r="G891" s="1721">
        <v>3</v>
      </c>
      <c r="H891" s="1721">
        <v>12</v>
      </c>
      <c r="I891" s="1722">
        <v>42309</v>
      </c>
    </row>
    <row r="892" spans="1:9">
      <c r="A892" s="1719" t="s">
        <v>792</v>
      </c>
      <c r="B892" s="1719" t="s">
        <v>1835</v>
      </c>
      <c r="C892" s="1720">
        <v>19625600000.000004</v>
      </c>
      <c r="D892" s="1720">
        <v>18691000000</v>
      </c>
      <c r="E892" s="1721">
        <v>625</v>
      </c>
      <c r="F892" s="1721">
        <v>232</v>
      </c>
      <c r="G892" s="1721">
        <v>8</v>
      </c>
      <c r="H892" s="1721">
        <v>240</v>
      </c>
      <c r="I892" s="1722">
        <v>42309</v>
      </c>
    </row>
    <row r="893" spans="1:9">
      <c r="A893" s="1719" t="s">
        <v>794</v>
      </c>
      <c r="B893" s="1719" t="s">
        <v>1836</v>
      </c>
      <c r="C893" s="1720">
        <v>10384000000</v>
      </c>
      <c r="D893" s="1720">
        <v>9866000000</v>
      </c>
      <c r="E893" s="1721">
        <v>389</v>
      </c>
      <c r="F893" s="1721">
        <v>135</v>
      </c>
      <c r="G893" s="1721">
        <v>10</v>
      </c>
      <c r="H893" s="1721">
        <v>145</v>
      </c>
      <c r="I893" s="1722">
        <v>42309</v>
      </c>
    </row>
    <row r="894" spans="1:9">
      <c r="A894" s="1719" t="s">
        <v>793</v>
      </c>
      <c r="B894" s="1719" t="s">
        <v>1837</v>
      </c>
      <c r="C894" s="1720">
        <v>5526000000</v>
      </c>
      <c r="D894" s="1720">
        <v>5249000000</v>
      </c>
      <c r="E894" s="1721">
        <v>280</v>
      </c>
      <c r="F894" s="1721">
        <v>140</v>
      </c>
      <c r="G894" s="1721">
        <v>2</v>
      </c>
      <c r="H894" s="1721">
        <v>142</v>
      </c>
      <c r="I894" s="1722">
        <v>42309</v>
      </c>
    </row>
    <row r="895" spans="1:9">
      <c r="A895" s="1719" t="s">
        <v>458</v>
      </c>
      <c r="B895" s="1719" t="s">
        <v>1838</v>
      </c>
      <c r="C895" s="1720">
        <v>2982000000</v>
      </c>
      <c r="D895" s="1720">
        <v>2840000000</v>
      </c>
      <c r="E895" s="1721">
        <v>147</v>
      </c>
      <c r="F895" s="1721">
        <v>44</v>
      </c>
      <c r="G895" s="1721">
        <v>0</v>
      </c>
      <c r="H895" s="1721">
        <v>44</v>
      </c>
      <c r="I895" s="1722">
        <v>42309</v>
      </c>
    </row>
    <row r="896" spans="1:9">
      <c r="A896" s="1719" t="s">
        <v>2048</v>
      </c>
      <c r="B896" s="1719" t="s">
        <v>2050</v>
      </c>
      <c r="C896" s="1720">
        <v>126000000</v>
      </c>
      <c r="D896" s="1720">
        <v>120000000</v>
      </c>
      <c r="E896" s="1721">
        <v>6</v>
      </c>
      <c r="F896" s="1721">
        <v>9</v>
      </c>
      <c r="G896" s="1721">
        <v>3</v>
      </c>
      <c r="H896" s="1721">
        <v>12</v>
      </c>
      <c r="I896" s="1722">
        <v>42309</v>
      </c>
    </row>
    <row r="897" spans="1:9">
      <c r="A897" s="1719" t="s">
        <v>2214</v>
      </c>
      <c r="B897" s="1719" t="s">
        <v>2215</v>
      </c>
      <c r="C897" s="1720">
        <v>2211000000</v>
      </c>
      <c r="D897" s="1720">
        <v>2100000000</v>
      </c>
      <c r="E897" s="1721">
        <v>123</v>
      </c>
      <c r="F897" s="1721">
        <v>59</v>
      </c>
      <c r="G897" s="1721">
        <v>0</v>
      </c>
      <c r="H897" s="1721">
        <v>59</v>
      </c>
      <c r="I897" s="1722">
        <v>42309</v>
      </c>
    </row>
    <row r="898" spans="1:9">
      <c r="A898" s="1719" t="s">
        <v>2216</v>
      </c>
      <c r="B898" s="1719" t="s">
        <v>2217</v>
      </c>
      <c r="C898" s="1720">
        <v>1878000000</v>
      </c>
      <c r="D898" s="1720">
        <v>1784000000</v>
      </c>
      <c r="E898" s="1721">
        <v>96</v>
      </c>
      <c r="F898" s="1721">
        <v>38</v>
      </c>
      <c r="G898" s="1721">
        <v>0</v>
      </c>
      <c r="H898" s="1721">
        <v>38</v>
      </c>
      <c r="I898" s="1722">
        <v>42309</v>
      </c>
    </row>
    <row r="899" spans="1:9">
      <c r="A899" s="1719" t="s">
        <v>1158</v>
      </c>
      <c r="B899" s="1719" t="s">
        <v>1159</v>
      </c>
      <c r="C899" s="1720">
        <v>38643600000.000008</v>
      </c>
      <c r="D899" s="1720">
        <v>36766000000</v>
      </c>
      <c r="E899" s="1721">
        <v>1447</v>
      </c>
      <c r="F899" s="1721">
        <v>560</v>
      </c>
      <c r="G899" s="1721">
        <v>23</v>
      </c>
      <c r="H899" s="1721">
        <v>583</v>
      </c>
      <c r="I899" s="1722">
        <v>42309</v>
      </c>
    </row>
    <row r="900" spans="1:9" ht="30">
      <c r="A900" s="1719" t="s">
        <v>1301</v>
      </c>
      <c r="B900" s="1719" t="s">
        <v>1849</v>
      </c>
      <c r="C900" s="1720">
        <v>1546000000</v>
      </c>
      <c r="D900" s="1720">
        <v>1469000000</v>
      </c>
      <c r="E900" s="1721">
        <v>60</v>
      </c>
      <c r="F900" s="1721">
        <v>20</v>
      </c>
      <c r="G900" s="1721">
        <v>3</v>
      </c>
      <c r="H900" s="1721">
        <v>23</v>
      </c>
      <c r="I900" s="1722">
        <v>42309</v>
      </c>
    </row>
    <row r="901" spans="1:9">
      <c r="A901" s="1719" t="s">
        <v>1302</v>
      </c>
      <c r="B901" s="1719" t="s">
        <v>1850</v>
      </c>
      <c r="C901" s="1720">
        <v>6103650000</v>
      </c>
      <c r="D901" s="1720">
        <v>5813000000</v>
      </c>
      <c r="E901" s="1721">
        <v>262</v>
      </c>
      <c r="F901" s="1721">
        <v>96</v>
      </c>
      <c r="G901" s="1721">
        <v>4</v>
      </c>
      <c r="H901" s="1721">
        <v>100</v>
      </c>
      <c r="I901" s="1722">
        <v>42309</v>
      </c>
    </row>
    <row r="902" spans="1:9">
      <c r="A902" s="1719" t="s">
        <v>1303</v>
      </c>
      <c r="B902" s="1719" t="s">
        <v>1851</v>
      </c>
      <c r="C902" s="1720">
        <v>787500000</v>
      </c>
      <c r="D902" s="1720">
        <v>750000000</v>
      </c>
      <c r="E902" s="1721">
        <v>35</v>
      </c>
      <c r="F902" s="1721">
        <v>10</v>
      </c>
      <c r="G902" s="1721">
        <v>0</v>
      </c>
      <c r="H902" s="1721">
        <v>10</v>
      </c>
      <c r="I902" s="1722">
        <v>42309</v>
      </c>
    </row>
    <row r="903" spans="1:9">
      <c r="A903" s="1719" t="s">
        <v>1422</v>
      </c>
      <c r="B903" s="1719" t="s">
        <v>1852</v>
      </c>
      <c r="C903" s="1720">
        <v>1594000000</v>
      </c>
      <c r="D903" s="1720">
        <v>1514000000</v>
      </c>
      <c r="E903" s="1721">
        <v>89</v>
      </c>
      <c r="F903" s="1721">
        <v>39</v>
      </c>
      <c r="G903" s="1721">
        <v>0</v>
      </c>
      <c r="H903" s="1721">
        <v>39</v>
      </c>
      <c r="I903" s="1722">
        <v>42309</v>
      </c>
    </row>
    <row r="904" spans="1:9">
      <c r="A904" s="1719" t="s">
        <v>1305</v>
      </c>
      <c r="B904" s="1719" t="s">
        <v>1853</v>
      </c>
      <c r="C904" s="1720">
        <v>1039500000</v>
      </c>
      <c r="D904" s="1720">
        <v>990000000</v>
      </c>
      <c r="E904" s="1721">
        <v>57</v>
      </c>
      <c r="F904" s="1721">
        <v>24</v>
      </c>
      <c r="G904" s="1721">
        <v>0</v>
      </c>
      <c r="H904" s="1721">
        <v>24</v>
      </c>
      <c r="I904" s="1722">
        <v>42309</v>
      </c>
    </row>
    <row r="905" spans="1:9">
      <c r="A905" s="1719" t="s">
        <v>1423</v>
      </c>
      <c r="B905" s="1719" t="s">
        <v>1854</v>
      </c>
      <c r="C905" s="1720">
        <v>924000000</v>
      </c>
      <c r="D905" s="1720">
        <v>878000000</v>
      </c>
      <c r="E905" s="1721">
        <v>49</v>
      </c>
      <c r="F905" s="1721">
        <v>13</v>
      </c>
      <c r="G905" s="1721">
        <v>0</v>
      </c>
      <c r="H905" s="1721">
        <v>13</v>
      </c>
      <c r="I905" s="1722">
        <v>42309</v>
      </c>
    </row>
    <row r="906" spans="1:9">
      <c r="A906" s="1719" t="s">
        <v>1424</v>
      </c>
      <c r="B906" s="1719" t="s">
        <v>1855</v>
      </c>
      <c r="C906" s="1720">
        <v>617000000</v>
      </c>
      <c r="D906" s="1720">
        <v>586000000</v>
      </c>
      <c r="E906" s="1721">
        <v>34</v>
      </c>
      <c r="F906" s="1721">
        <v>20</v>
      </c>
      <c r="G906" s="1721">
        <v>0</v>
      </c>
      <c r="H906" s="1721">
        <v>20</v>
      </c>
      <c r="I906" s="1722">
        <v>42309</v>
      </c>
    </row>
    <row r="907" spans="1:9">
      <c r="A907" s="1719" t="s">
        <v>2051</v>
      </c>
      <c r="B907" s="1719" t="s">
        <v>2052</v>
      </c>
      <c r="C907" s="1720">
        <v>126000000</v>
      </c>
      <c r="D907" s="1720">
        <v>120000000</v>
      </c>
      <c r="E907" s="1721">
        <v>6</v>
      </c>
      <c r="F907" s="1721">
        <v>9</v>
      </c>
      <c r="G907" s="1721">
        <v>3</v>
      </c>
      <c r="H907" s="1721">
        <v>12</v>
      </c>
      <c r="I907" s="1722">
        <v>42309</v>
      </c>
    </row>
    <row r="908" spans="1:9">
      <c r="A908" s="1719" t="s">
        <v>2221</v>
      </c>
      <c r="B908" s="1719" t="s">
        <v>2222</v>
      </c>
      <c r="C908" s="1720">
        <v>1000000000</v>
      </c>
      <c r="D908" s="1720">
        <v>950000000</v>
      </c>
      <c r="E908" s="1721">
        <v>42</v>
      </c>
      <c r="F908" s="1721">
        <v>15</v>
      </c>
      <c r="G908" s="1721">
        <v>0</v>
      </c>
      <c r="H908" s="1721">
        <v>15</v>
      </c>
      <c r="I908" s="1722">
        <v>42309</v>
      </c>
    </row>
    <row r="909" spans="1:9">
      <c r="A909" s="1719" t="s">
        <v>2219</v>
      </c>
      <c r="B909" s="1719" t="s">
        <v>2220</v>
      </c>
      <c r="C909" s="1720">
        <v>954000000</v>
      </c>
      <c r="D909" s="1720">
        <v>906000000</v>
      </c>
      <c r="E909" s="1721">
        <v>47</v>
      </c>
      <c r="F909" s="1721">
        <v>25</v>
      </c>
      <c r="G909" s="1721">
        <v>0</v>
      </c>
      <c r="H909" s="1721">
        <v>25</v>
      </c>
      <c r="I909" s="1722">
        <v>42309</v>
      </c>
    </row>
    <row r="911" spans="1:9">
      <c r="A911" s="1744" t="s">
        <v>2441</v>
      </c>
    </row>
    <row r="912" spans="1:9">
      <c r="A912" s="1739" t="s">
        <v>1109</v>
      </c>
      <c r="B912" s="1739" t="s">
        <v>1110</v>
      </c>
      <c r="C912" s="1739" t="s">
        <v>1</v>
      </c>
      <c r="D912" s="1739" t="s">
        <v>2</v>
      </c>
      <c r="E912" s="1739" t="s">
        <v>1108</v>
      </c>
      <c r="F912" s="1739" t="s">
        <v>1107</v>
      </c>
      <c r="G912" s="1739" t="s">
        <v>1106</v>
      </c>
      <c r="H912" s="1739" t="s">
        <v>1105</v>
      </c>
      <c r="I912" s="1739" t="s">
        <v>1160</v>
      </c>
    </row>
    <row r="913" spans="1:9">
      <c r="A913" s="1740" t="s">
        <v>47</v>
      </c>
      <c r="B913" s="1740" t="s">
        <v>1780</v>
      </c>
      <c r="C913" s="1741">
        <v>1716750000</v>
      </c>
      <c r="D913" s="1741">
        <v>1635000000</v>
      </c>
      <c r="E913" s="1742">
        <v>29</v>
      </c>
      <c r="F913" s="1742">
        <v>10</v>
      </c>
      <c r="G913" s="1742">
        <v>0</v>
      </c>
      <c r="H913" s="1742">
        <v>10</v>
      </c>
      <c r="I913" s="1743">
        <v>42339</v>
      </c>
    </row>
    <row r="914" spans="1:9">
      <c r="A914" s="1740" t="s">
        <v>91</v>
      </c>
      <c r="B914" s="1740" t="s">
        <v>1781</v>
      </c>
      <c r="C914" s="1741">
        <v>3139500000</v>
      </c>
      <c r="D914" s="1741">
        <v>2990000000</v>
      </c>
      <c r="E914" s="1742">
        <v>39</v>
      </c>
      <c r="F914" s="1742">
        <v>10</v>
      </c>
      <c r="G914" s="1742">
        <v>0</v>
      </c>
      <c r="H914" s="1742">
        <v>10</v>
      </c>
      <c r="I914" s="1743">
        <v>42339</v>
      </c>
    </row>
    <row r="915" spans="1:9">
      <c r="A915" s="1740" t="s">
        <v>177</v>
      </c>
      <c r="B915" s="1740" t="s">
        <v>1782</v>
      </c>
      <c r="C915" s="1741">
        <v>1754000000</v>
      </c>
      <c r="D915" s="1741">
        <v>1666000000</v>
      </c>
      <c r="E915" s="1742">
        <v>46</v>
      </c>
      <c r="F915" s="1742">
        <v>15</v>
      </c>
      <c r="G915" s="1742">
        <v>0</v>
      </c>
      <c r="H915" s="1742">
        <v>15</v>
      </c>
      <c r="I915" s="1743">
        <v>42339</v>
      </c>
    </row>
    <row r="916" spans="1:9">
      <c r="A916" s="1740" t="s">
        <v>185</v>
      </c>
      <c r="B916" s="1740" t="s">
        <v>1783</v>
      </c>
      <c r="C916" s="1741">
        <v>1877000000</v>
      </c>
      <c r="D916" s="1741">
        <v>1783000000</v>
      </c>
      <c r="E916" s="1742">
        <v>46</v>
      </c>
      <c r="F916" s="1742">
        <v>15</v>
      </c>
      <c r="G916" s="1742">
        <v>2</v>
      </c>
      <c r="H916" s="1742">
        <v>17</v>
      </c>
      <c r="I916" s="1743">
        <v>42339</v>
      </c>
    </row>
    <row r="917" spans="1:9">
      <c r="A917" s="1740" t="s">
        <v>179</v>
      </c>
      <c r="B917" s="1740" t="s">
        <v>1784</v>
      </c>
      <c r="C917" s="1741">
        <v>2166000000</v>
      </c>
      <c r="D917" s="1741">
        <v>2058000000</v>
      </c>
      <c r="E917" s="1742">
        <v>66</v>
      </c>
      <c r="F917" s="1742">
        <v>18</v>
      </c>
      <c r="G917" s="1742">
        <v>3</v>
      </c>
      <c r="H917" s="1742">
        <v>21</v>
      </c>
      <c r="I917" s="1743">
        <v>42339</v>
      </c>
    </row>
    <row r="918" spans="1:9">
      <c r="A918" s="1740" t="s">
        <v>176</v>
      </c>
      <c r="B918" s="1740" t="s">
        <v>1785</v>
      </c>
      <c r="C918" s="1741">
        <v>2025000000</v>
      </c>
      <c r="D918" s="1741">
        <v>1924000000</v>
      </c>
      <c r="E918" s="1742">
        <v>66</v>
      </c>
      <c r="F918" s="1742">
        <v>20</v>
      </c>
      <c r="G918" s="1742">
        <v>0</v>
      </c>
      <c r="H918" s="1742">
        <v>20</v>
      </c>
      <c r="I918" s="1743">
        <v>42339</v>
      </c>
    </row>
    <row r="919" spans="1:9">
      <c r="A919" s="1740" t="s">
        <v>187</v>
      </c>
      <c r="B919" s="1740" t="s">
        <v>1786</v>
      </c>
      <c r="C919" s="1741">
        <v>1680000000</v>
      </c>
      <c r="D919" s="1741">
        <v>1600000000</v>
      </c>
      <c r="E919" s="1742">
        <v>33</v>
      </c>
      <c r="F919" s="1742">
        <v>10</v>
      </c>
      <c r="G919" s="1742">
        <v>0</v>
      </c>
      <c r="H919" s="1742">
        <v>10</v>
      </c>
      <c r="I919" s="1743">
        <v>42339</v>
      </c>
    </row>
    <row r="920" spans="1:9">
      <c r="A920" s="1740" t="s">
        <v>630</v>
      </c>
      <c r="B920" s="1740" t="s">
        <v>1787</v>
      </c>
      <c r="C920" s="1741">
        <v>1470000000</v>
      </c>
      <c r="D920" s="1741">
        <v>1400000000</v>
      </c>
      <c r="E920" s="1742">
        <v>36</v>
      </c>
      <c r="F920" s="1742">
        <v>10</v>
      </c>
      <c r="G920" s="1742">
        <v>0</v>
      </c>
      <c r="H920" s="1742">
        <v>10</v>
      </c>
      <c r="I920" s="1743">
        <v>42339</v>
      </c>
    </row>
    <row r="921" spans="1:9">
      <c r="A921" s="1740" t="s">
        <v>661</v>
      </c>
      <c r="B921" s="1740" t="s">
        <v>1788</v>
      </c>
      <c r="C921" s="1741">
        <v>496000000</v>
      </c>
      <c r="D921" s="1741">
        <v>471000000</v>
      </c>
      <c r="E921" s="1742">
        <v>24</v>
      </c>
      <c r="F921" s="1742">
        <v>8</v>
      </c>
      <c r="G921" s="1742">
        <v>0</v>
      </c>
      <c r="H921" s="1742">
        <v>8</v>
      </c>
      <c r="I921" s="1743">
        <v>42339</v>
      </c>
    </row>
    <row r="922" spans="1:9">
      <c r="A922" s="1740" t="s">
        <v>628</v>
      </c>
      <c r="B922" s="1740" t="s">
        <v>1789</v>
      </c>
      <c r="C922" s="1741">
        <v>1543500000</v>
      </c>
      <c r="D922" s="1741">
        <v>1470000000</v>
      </c>
      <c r="E922" s="1742">
        <v>29</v>
      </c>
      <c r="F922" s="1742">
        <v>10</v>
      </c>
      <c r="G922" s="1742">
        <v>0</v>
      </c>
      <c r="H922" s="1742">
        <v>10</v>
      </c>
      <c r="I922" s="1743">
        <v>42339</v>
      </c>
    </row>
    <row r="923" spans="1:9">
      <c r="A923" s="1740" t="s">
        <v>650</v>
      </c>
      <c r="B923" s="1740" t="s">
        <v>1790</v>
      </c>
      <c r="C923" s="1741">
        <v>1470000000</v>
      </c>
      <c r="D923" s="1741">
        <v>1400000000</v>
      </c>
      <c r="E923" s="1742">
        <v>30</v>
      </c>
      <c r="F923" s="1742">
        <v>10</v>
      </c>
      <c r="G923" s="1742">
        <v>0</v>
      </c>
      <c r="H923" s="1742">
        <v>10</v>
      </c>
      <c r="I923" s="1743">
        <v>42339</v>
      </c>
    </row>
    <row r="924" spans="1:9">
      <c r="A924" s="1740" t="s">
        <v>660</v>
      </c>
      <c r="B924" s="1740" t="s">
        <v>1791</v>
      </c>
      <c r="C924" s="1741">
        <v>1214000000</v>
      </c>
      <c r="D924" s="1741">
        <v>1154000000</v>
      </c>
      <c r="E924" s="1742">
        <v>51</v>
      </c>
      <c r="F924" s="1742">
        <v>18</v>
      </c>
      <c r="G924" s="1742">
        <v>2</v>
      </c>
      <c r="H924" s="1742">
        <v>20</v>
      </c>
      <c r="I924" s="1743">
        <v>42339</v>
      </c>
    </row>
    <row r="925" spans="1:9">
      <c r="A925" s="1740" t="s">
        <v>648</v>
      </c>
      <c r="B925" s="1740" t="s">
        <v>1792</v>
      </c>
      <c r="C925" s="1741">
        <v>1470000000</v>
      </c>
      <c r="D925" s="1741">
        <v>1400000000</v>
      </c>
      <c r="E925" s="1742">
        <v>31</v>
      </c>
      <c r="F925" s="1742">
        <v>10</v>
      </c>
      <c r="G925" s="1742">
        <v>0</v>
      </c>
      <c r="H925" s="1742">
        <v>10</v>
      </c>
      <c r="I925" s="1743">
        <v>42339</v>
      </c>
    </row>
    <row r="926" spans="1:9">
      <c r="A926" s="1740" t="s">
        <v>659</v>
      </c>
      <c r="B926" s="1740" t="s">
        <v>1793</v>
      </c>
      <c r="C926" s="1741">
        <v>2496000000</v>
      </c>
      <c r="D926" s="1741">
        <v>2371000000</v>
      </c>
      <c r="E926" s="1742">
        <v>72</v>
      </c>
      <c r="F926" s="1742">
        <v>20</v>
      </c>
      <c r="G926" s="1742">
        <v>2</v>
      </c>
      <c r="H926" s="1742">
        <v>22</v>
      </c>
      <c r="I926" s="1743">
        <v>42339</v>
      </c>
    </row>
    <row r="927" spans="1:9">
      <c r="A927" s="1740" t="s">
        <v>649</v>
      </c>
      <c r="B927" s="1740" t="s">
        <v>1794</v>
      </c>
      <c r="C927" s="1741">
        <v>1753500000</v>
      </c>
      <c r="D927" s="1741">
        <v>1670000000</v>
      </c>
      <c r="E927" s="1742">
        <v>28</v>
      </c>
      <c r="F927" s="1742">
        <v>10</v>
      </c>
      <c r="G927" s="1742">
        <v>0</v>
      </c>
      <c r="H927" s="1742">
        <v>10</v>
      </c>
      <c r="I927" s="1743">
        <v>42339</v>
      </c>
    </row>
    <row r="928" spans="1:9">
      <c r="A928" s="1740" t="s">
        <v>642</v>
      </c>
      <c r="B928" s="1740" t="s">
        <v>1795</v>
      </c>
      <c r="C928" s="1741">
        <v>1365000000</v>
      </c>
      <c r="D928" s="1741">
        <v>1300000000</v>
      </c>
      <c r="E928" s="1742">
        <v>26</v>
      </c>
      <c r="F928" s="1742">
        <v>10</v>
      </c>
      <c r="G928" s="1742">
        <v>0</v>
      </c>
      <c r="H928" s="1742">
        <v>10</v>
      </c>
      <c r="I928" s="1743">
        <v>42339</v>
      </c>
    </row>
    <row r="929" spans="1:9">
      <c r="A929" s="1740" t="s">
        <v>736</v>
      </c>
      <c r="B929" s="1740" t="s">
        <v>1796</v>
      </c>
      <c r="C929" s="1741">
        <v>1617000000</v>
      </c>
      <c r="D929" s="1741">
        <v>1540000000</v>
      </c>
      <c r="E929" s="1742">
        <v>40</v>
      </c>
      <c r="F929" s="1742">
        <v>10</v>
      </c>
      <c r="G929" s="1742">
        <v>0</v>
      </c>
      <c r="H929" s="1742">
        <v>10</v>
      </c>
      <c r="I929" s="1743">
        <v>42339</v>
      </c>
    </row>
    <row r="930" spans="1:9">
      <c r="A930" s="1740" t="s">
        <v>699</v>
      </c>
      <c r="B930" s="1740" t="s">
        <v>1797</v>
      </c>
      <c r="C930" s="1741">
        <v>399000000</v>
      </c>
      <c r="D930" s="1741">
        <v>379000000</v>
      </c>
      <c r="E930" s="1742">
        <v>25</v>
      </c>
      <c r="F930" s="1742">
        <v>15</v>
      </c>
      <c r="G930" s="1742">
        <v>0</v>
      </c>
      <c r="H930" s="1742">
        <v>15</v>
      </c>
      <c r="I930" s="1743">
        <v>42339</v>
      </c>
    </row>
    <row r="931" spans="1:9">
      <c r="A931" s="1740" t="s">
        <v>735</v>
      </c>
      <c r="B931" s="1740" t="s">
        <v>1799</v>
      </c>
      <c r="C931" s="1741">
        <v>3360000000</v>
      </c>
      <c r="D931" s="1741">
        <v>3200000000</v>
      </c>
      <c r="E931" s="1742">
        <v>33</v>
      </c>
      <c r="F931" s="1742">
        <v>10</v>
      </c>
      <c r="G931" s="1742">
        <v>0</v>
      </c>
      <c r="H931" s="1742">
        <v>10</v>
      </c>
      <c r="I931" s="1743">
        <v>42339</v>
      </c>
    </row>
    <row r="932" spans="1:9">
      <c r="A932" s="1740" t="s">
        <v>734</v>
      </c>
      <c r="B932" s="1740" t="s">
        <v>1800</v>
      </c>
      <c r="C932" s="1741">
        <v>2100000000</v>
      </c>
      <c r="D932" s="1741">
        <v>2000000000</v>
      </c>
      <c r="E932" s="1742">
        <v>59</v>
      </c>
      <c r="F932" s="1742">
        <v>10</v>
      </c>
      <c r="G932" s="1742">
        <v>0</v>
      </c>
      <c r="H932" s="1742">
        <v>10</v>
      </c>
      <c r="I932" s="1743">
        <v>42339</v>
      </c>
    </row>
    <row r="933" spans="1:9">
      <c r="A933" s="1740" t="s">
        <v>798</v>
      </c>
      <c r="B933" s="1740" t="s">
        <v>1801</v>
      </c>
      <c r="C933" s="1741">
        <v>2100000000</v>
      </c>
      <c r="D933" s="1741">
        <v>2000000000</v>
      </c>
      <c r="E933" s="1742">
        <v>23</v>
      </c>
      <c r="F933" s="1742">
        <v>10</v>
      </c>
      <c r="G933" s="1742">
        <v>0</v>
      </c>
      <c r="H933" s="1742">
        <v>10</v>
      </c>
      <c r="I933" s="1743">
        <v>42339</v>
      </c>
    </row>
    <row r="934" spans="1:9">
      <c r="A934" s="1740" t="s">
        <v>796</v>
      </c>
      <c r="B934" s="1740" t="s">
        <v>1802</v>
      </c>
      <c r="C934" s="1741">
        <v>1260000000</v>
      </c>
      <c r="D934" s="1741">
        <v>1200000000</v>
      </c>
      <c r="E934" s="1742">
        <v>34</v>
      </c>
      <c r="F934" s="1742">
        <v>10</v>
      </c>
      <c r="G934" s="1742">
        <v>0</v>
      </c>
      <c r="H934" s="1742">
        <v>10</v>
      </c>
      <c r="I934" s="1743">
        <v>42339</v>
      </c>
    </row>
    <row r="935" spans="1:9">
      <c r="A935" s="1740" t="s">
        <v>799</v>
      </c>
      <c r="B935" s="1740" t="s">
        <v>1803</v>
      </c>
      <c r="C935" s="1741">
        <v>907000000</v>
      </c>
      <c r="D935" s="1741">
        <v>861000000</v>
      </c>
      <c r="E935" s="1742">
        <v>38</v>
      </c>
      <c r="F935" s="1742">
        <v>20</v>
      </c>
      <c r="G935" s="1742">
        <v>0</v>
      </c>
      <c r="H935" s="1742">
        <v>20</v>
      </c>
      <c r="I935" s="1743">
        <v>42339</v>
      </c>
    </row>
    <row r="936" spans="1:9">
      <c r="A936" s="1740" t="s">
        <v>825</v>
      </c>
      <c r="B936" s="1740" t="s">
        <v>1804</v>
      </c>
      <c r="C936" s="1741">
        <v>542000000</v>
      </c>
      <c r="D936" s="1741">
        <v>515000000</v>
      </c>
      <c r="E936" s="1742">
        <v>27</v>
      </c>
      <c r="F936" s="1742">
        <v>15</v>
      </c>
      <c r="G936" s="1742">
        <v>0</v>
      </c>
      <c r="H936" s="1742">
        <v>15</v>
      </c>
      <c r="I936" s="1743">
        <v>42339</v>
      </c>
    </row>
    <row r="937" spans="1:9">
      <c r="A937" s="1740" t="s">
        <v>905</v>
      </c>
      <c r="B937" s="1740" t="s">
        <v>1805</v>
      </c>
      <c r="C937" s="1741">
        <v>1701000000</v>
      </c>
      <c r="D937" s="1741">
        <v>1620000000</v>
      </c>
      <c r="E937" s="1742">
        <v>31</v>
      </c>
      <c r="F937" s="1742">
        <v>10</v>
      </c>
      <c r="G937" s="1742">
        <v>0</v>
      </c>
      <c r="H937" s="1742">
        <v>10</v>
      </c>
      <c r="I937" s="1743">
        <v>42339</v>
      </c>
    </row>
    <row r="938" spans="1:9">
      <c r="A938" s="1740" t="s">
        <v>903</v>
      </c>
      <c r="B938" s="1740" t="s">
        <v>1806</v>
      </c>
      <c r="C938" s="1741">
        <v>1050000000</v>
      </c>
      <c r="D938" s="1741">
        <v>1000000000</v>
      </c>
      <c r="E938" s="1742">
        <v>32</v>
      </c>
      <c r="F938" s="1742">
        <v>10</v>
      </c>
      <c r="G938" s="1742">
        <v>0</v>
      </c>
      <c r="H938" s="1742">
        <v>10</v>
      </c>
      <c r="I938" s="1743">
        <v>42339</v>
      </c>
    </row>
    <row r="939" spans="1:9">
      <c r="A939" s="1740" t="s">
        <v>902</v>
      </c>
      <c r="B939" s="1740" t="s">
        <v>1807</v>
      </c>
      <c r="C939" s="1741">
        <v>1050000000</v>
      </c>
      <c r="D939" s="1741">
        <v>1000000000</v>
      </c>
      <c r="E939" s="1742">
        <v>35</v>
      </c>
      <c r="F939" s="1742">
        <v>10</v>
      </c>
      <c r="G939" s="1742">
        <v>0</v>
      </c>
      <c r="H939" s="1742">
        <v>10</v>
      </c>
      <c r="I939" s="1743">
        <v>42339</v>
      </c>
    </row>
    <row r="940" spans="1:9">
      <c r="A940" s="1740" t="s">
        <v>900</v>
      </c>
      <c r="B940" s="1740" t="s">
        <v>1808</v>
      </c>
      <c r="C940" s="1741">
        <v>1260000000</v>
      </c>
      <c r="D940" s="1741">
        <v>1200000000</v>
      </c>
      <c r="E940" s="1742">
        <v>30</v>
      </c>
      <c r="F940" s="1742">
        <v>10</v>
      </c>
      <c r="G940" s="1742">
        <v>0</v>
      </c>
      <c r="H940" s="1742">
        <v>10</v>
      </c>
      <c r="I940" s="1743">
        <v>42339</v>
      </c>
    </row>
    <row r="941" spans="1:9">
      <c r="A941" s="1740" t="s">
        <v>949</v>
      </c>
      <c r="B941" s="1740" t="s">
        <v>1809</v>
      </c>
      <c r="C941" s="1741">
        <v>1260000000</v>
      </c>
      <c r="D941" s="1741">
        <v>1200000000</v>
      </c>
      <c r="E941" s="1742">
        <v>37</v>
      </c>
      <c r="F941" s="1742">
        <v>10</v>
      </c>
      <c r="G941" s="1742">
        <v>0</v>
      </c>
      <c r="H941" s="1742">
        <v>10</v>
      </c>
      <c r="I941" s="1743">
        <v>42339</v>
      </c>
    </row>
    <row r="942" spans="1:9">
      <c r="A942" s="1740" t="s">
        <v>1104</v>
      </c>
      <c r="B942" s="1740" t="s">
        <v>1810</v>
      </c>
      <c r="C942" s="1741">
        <v>647000000</v>
      </c>
      <c r="D942" s="1741">
        <v>614000000</v>
      </c>
      <c r="E942" s="1742">
        <v>39</v>
      </c>
      <c r="F942" s="1742">
        <v>12</v>
      </c>
      <c r="G942" s="1742">
        <v>0</v>
      </c>
      <c r="H942" s="1742">
        <v>12</v>
      </c>
      <c r="I942" s="1743">
        <v>42339</v>
      </c>
    </row>
    <row r="943" spans="1:9">
      <c r="A943" s="1740" t="s">
        <v>1015</v>
      </c>
      <c r="B943" s="1740" t="s">
        <v>1811</v>
      </c>
      <c r="C943" s="1741">
        <v>599000000</v>
      </c>
      <c r="D943" s="1741">
        <v>569000000</v>
      </c>
      <c r="E943" s="1742">
        <v>29</v>
      </c>
      <c r="F943" s="1742">
        <v>12</v>
      </c>
      <c r="G943" s="1742">
        <v>0</v>
      </c>
      <c r="H943" s="1742">
        <v>12</v>
      </c>
      <c r="I943" s="1743">
        <v>42339</v>
      </c>
    </row>
    <row r="944" spans="1:9">
      <c r="A944" s="1740" t="s">
        <v>1103</v>
      </c>
      <c r="B944" s="1740" t="s">
        <v>1812</v>
      </c>
      <c r="C944" s="1741">
        <v>588000000</v>
      </c>
      <c r="D944" s="1741">
        <v>559000000</v>
      </c>
      <c r="E944" s="1742">
        <v>35</v>
      </c>
      <c r="F944" s="1742">
        <v>11</v>
      </c>
      <c r="G944" s="1742">
        <v>2</v>
      </c>
      <c r="H944" s="1742">
        <v>13</v>
      </c>
      <c r="I944" s="1743">
        <v>42339</v>
      </c>
    </row>
    <row r="945" spans="1:9">
      <c r="A945" s="1740" t="s">
        <v>1102</v>
      </c>
      <c r="B945" s="1740" t="s">
        <v>1813</v>
      </c>
      <c r="C945" s="1741">
        <v>945000000</v>
      </c>
      <c r="D945" s="1741">
        <v>900000000</v>
      </c>
      <c r="E945" s="1742">
        <v>36</v>
      </c>
      <c r="F945" s="1742">
        <v>12</v>
      </c>
      <c r="G945" s="1742">
        <v>0</v>
      </c>
      <c r="H945" s="1742">
        <v>12</v>
      </c>
      <c r="I945" s="1743">
        <v>42339</v>
      </c>
    </row>
    <row r="946" spans="1:9">
      <c r="A946" s="1740" t="s">
        <v>1101</v>
      </c>
      <c r="B946" s="1740" t="s">
        <v>1814</v>
      </c>
      <c r="C946" s="1741">
        <v>945000000</v>
      </c>
      <c r="D946" s="1741">
        <v>900000000</v>
      </c>
      <c r="E946" s="1742">
        <v>26</v>
      </c>
      <c r="F946" s="1742">
        <v>12</v>
      </c>
      <c r="G946" s="1742">
        <v>0</v>
      </c>
      <c r="H946" s="1742">
        <v>12</v>
      </c>
      <c r="I946" s="1743">
        <v>42339</v>
      </c>
    </row>
    <row r="947" spans="1:9">
      <c r="A947" s="1740" t="s">
        <v>1100</v>
      </c>
      <c r="B947" s="1740" t="s">
        <v>1815</v>
      </c>
      <c r="C947" s="1741">
        <v>826000000</v>
      </c>
      <c r="D947" s="1741">
        <v>784000000</v>
      </c>
      <c r="E947" s="1742">
        <v>48</v>
      </c>
      <c r="F947" s="1742">
        <v>15</v>
      </c>
      <c r="G947" s="1742">
        <v>0</v>
      </c>
      <c r="H947" s="1742">
        <v>15</v>
      </c>
      <c r="I947" s="1743">
        <v>42339</v>
      </c>
    </row>
    <row r="948" spans="1:9">
      <c r="A948" s="1740" t="s">
        <v>1099</v>
      </c>
      <c r="B948" s="1740" t="s">
        <v>1816</v>
      </c>
      <c r="C948" s="1741">
        <v>1260000000</v>
      </c>
      <c r="D948" s="1741">
        <v>1200000000</v>
      </c>
      <c r="E948" s="1742">
        <v>32</v>
      </c>
      <c r="F948" s="1742">
        <v>10</v>
      </c>
      <c r="G948" s="1742">
        <v>0</v>
      </c>
      <c r="H948" s="1742">
        <v>10</v>
      </c>
      <c r="I948" s="1743">
        <v>42339</v>
      </c>
    </row>
    <row r="949" spans="1:9">
      <c r="A949" s="1740" t="s">
        <v>1419</v>
      </c>
      <c r="B949" s="1740" t="s">
        <v>1817</v>
      </c>
      <c r="C949" s="1741">
        <v>729000000</v>
      </c>
      <c r="D949" s="1741">
        <v>692000000</v>
      </c>
      <c r="E949" s="1742">
        <v>40</v>
      </c>
      <c r="F949" s="1742">
        <v>20</v>
      </c>
      <c r="G949" s="1742">
        <v>0</v>
      </c>
      <c r="H949" s="1742">
        <v>20</v>
      </c>
      <c r="I949" s="1743">
        <v>42339</v>
      </c>
    </row>
    <row r="950" spans="1:9">
      <c r="A950" s="1740" t="s">
        <v>1563</v>
      </c>
      <c r="B950" s="1740" t="s">
        <v>1818</v>
      </c>
      <c r="C950" s="1741">
        <v>565950000</v>
      </c>
      <c r="D950" s="1741">
        <v>539000000</v>
      </c>
      <c r="E950" s="1742">
        <v>29</v>
      </c>
      <c r="F950" s="1742">
        <v>13</v>
      </c>
      <c r="G950" s="1742">
        <v>2</v>
      </c>
      <c r="H950" s="1742">
        <v>15</v>
      </c>
      <c r="I950" s="1743">
        <v>42339</v>
      </c>
    </row>
    <row r="951" spans="1:9">
      <c r="A951" s="1740" t="s">
        <v>1418</v>
      </c>
      <c r="B951" s="1740" t="s">
        <v>1819</v>
      </c>
      <c r="C951" s="1741">
        <v>1615950000</v>
      </c>
      <c r="D951" s="1741">
        <v>1539000000</v>
      </c>
      <c r="E951" s="1742">
        <v>28</v>
      </c>
      <c r="F951" s="1742">
        <v>13</v>
      </c>
      <c r="G951" s="1742">
        <v>2</v>
      </c>
      <c r="H951" s="1742">
        <v>15</v>
      </c>
      <c r="I951" s="1743">
        <v>42339</v>
      </c>
    </row>
    <row r="952" spans="1:9">
      <c r="A952" s="1740" t="s">
        <v>1568</v>
      </c>
      <c r="B952" s="1740" t="s">
        <v>1820</v>
      </c>
      <c r="C952" s="1741">
        <v>669000000</v>
      </c>
      <c r="D952" s="1741">
        <v>636000000</v>
      </c>
      <c r="E952" s="1742">
        <v>40</v>
      </c>
      <c r="F952" s="1742">
        <v>15</v>
      </c>
      <c r="G952" s="1742">
        <v>0</v>
      </c>
      <c r="H952" s="1742">
        <v>15</v>
      </c>
      <c r="I952" s="1743">
        <v>42339</v>
      </c>
    </row>
    <row r="953" spans="1:9">
      <c r="A953" s="1740" t="s">
        <v>1567</v>
      </c>
      <c r="B953" s="1740" t="s">
        <v>1821</v>
      </c>
      <c r="C953" s="1741">
        <v>592000000</v>
      </c>
      <c r="D953" s="1741">
        <v>563000000</v>
      </c>
      <c r="E953" s="1742">
        <v>28</v>
      </c>
      <c r="F953" s="1742">
        <v>10</v>
      </c>
      <c r="G953" s="1742">
        <v>0</v>
      </c>
      <c r="H953" s="1742">
        <v>10</v>
      </c>
      <c r="I953" s="1743">
        <v>42339</v>
      </c>
    </row>
    <row r="954" spans="1:9">
      <c r="A954" s="1740" t="s">
        <v>1565</v>
      </c>
      <c r="B954" s="1740" t="s">
        <v>1822</v>
      </c>
      <c r="C954" s="1741">
        <v>523950000.00000006</v>
      </c>
      <c r="D954" s="1741">
        <v>499000000</v>
      </c>
      <c r="E954" s="1742">
        <v>22</v>
      </c>
      <c r="F954" s="1742">
        <v>13</v>
      </c>
      <c r="G954" s="1742">
        <v>2</v>
      </c>
      <c r="H954" s="1742">
        <v>15</v>
      </c>
      <c r="I954" s="1743">
        <v>42339</v>
      </c>
    </row>
    <row r="955" spans="1:9">
      <c r="A955" s="1740" t="s">
        <v>1570</v>
      </c>
      <c r="B955" s="1740" t="s">
        <v>1823</v>
      </c>
      <c r="C955" s="1741">
        <v>667000000</v>
      </c>
      <c r="D955" s="1741">
        <v>634000000</v>
      </c>
      <c r="E955" s="1742">
        <v>27</v>
      </c>
      <c r="F955" s="1742">
        <v>13</v>
      </c>
      <c r="G955" s="1742">
        <v>0</v>
      </c>
      <c r="H955" s="1742">
        <v>13</v>
      </c>
      <c r="I955" s="1743">
        <v>42339</v>
      </c>
    </row>
    <row r="956" spans="1:9">
      <c r="A956" s="1740" t="s">
        <v>1572</v>
      </c>
      <c r="B956" s="1740" t="s">
        <v>1824</v>
      </c>
      <c r="C956" s="1741">
        <v>650000000</v>
      </c>
      <c r="D956" s="1741">
        <v>618000000</v>
      </c>
      <c r="E956" s="1742">
        <v>31</v>
      </c>
      <c r="F956" s="1742">
        <v>13</v>
      </c>
      <c r="G956" s="1742">
        <v>0</v>
      </c>
      <c r="H956" s="1742">
        <v>13</v>
      </c>
      <c r="I956" s="1743">
        <v>42339</v>
      </c>
    </row>
    <row r="957" spans="1:9">
      <c r="A957" s="1740" t="s">
        <v>1669</v>
      </c>
      <c r="B957" s="1740" t="s">
        <v>1825</v>
      </c>
      <c r="C957" s="1741">
        <v>378000000</v>
      </c>
      <c r="D957" s="1741">
        <v>359000000</v>
      </c>
      <c r="E957" s="1742">
        <v>27</v>
      </c>
      <c r="F957" s="1742">
        <v>13</v>
      </c>
      <c r="G957" s="1742">
        <v>0</v>
      </c>
      <c r="H957" s="1742">
        <v>13</v>
      </c>
      <c r="I957" s="1743">
        <v>42339</v>
      </c>
    </row>
    <row r="958" spans="1:9">
      <c r="A958" s="1740" t="s">
        <v>2046</v>
      </c>
      <c r="B958" s="1740" t="s">
        <v>2047</v>
      </c>
      <c r="C958" s="1741">
        <v>168000000</v>
      </c>
      <c r="D958" s="1741">
        <v>160000000</v>
      </c>
      <c r="E958" s="1742">
        <v>8</v>
      </c>
      <c r="F958" s="1742">
        <v>13</v>
      </c>
      <c r="G958" s="1742">
        <v>3</v>
      </c>
      <c r="H958" s="1742">
        <v>16</v>
      </c>
      <c r="I958" s="1743">
        <v>42339</v>
      </c>
    </row>
    <row r="959" spans="1:9">
      <c r="A959" s="1740" t="s">
        <v>2314</v>
      </c>
      <c r="B959" s="1740" t="s">
        <v>227</v>
      </c>
      <c r="C959" s="1741">
        <v>0</v>
      </c>
      <c r="D959" s="1741">
        <v>0</v>
      </c>
      <c r="E959" s="1742">
        <v>0</v>
      </c>
      <c r="F959" s="1742">
        <v>0</v>
      </c>
      <c r="G959" s="1742">
        <v>0</v>
      </c>
      <c r="H959" s="1742">
        <v>0</v>
      </c>
      <c r="I959" s="1743">
        <v>42339</v>
      </c>
    </row>
    <row r="960" spans="1:9">
      <c r="A960" s="1740" t="s">
        <v>1148</v>
      </c>
      <c r="B960" s="1740" t="s">
        <v>1826</v>
      </c>
      <c r="C960" s="1741">
        <v>6720000000</v>
      </c>
      <c r="D960" s="1741">
        <v>6399000000</v>
      </c>
      <c r="E960" s="1742">
        <v>150</v>
      </c>
      <c r="F960" s="1742">
        <v>53</v>
      </c>
      <c r="G960" s="1742">
        <v>0</v>
      </c>
      <c r="H960" s="1742">
        <v>53</v>
      </c>
      <c r="I960" s="1743">
        <v>42339</v>
      </c>
    </row>
    <row r="961" spans="1:9">
      <c r="A961" s="1740" t="s">
        <v>1149</v>
      </c>
      <c r="B961" s="1740" t="s">
        <v>1827</v>
      </c>
      <c r="C961" s="1741">
        <v>8249000000</v>
      </c>
      <c r="D961" s="1741">
        <v>7837000000</v>
      </c>
      <c r="E961" s="1742">
        <v>259</v>
      </c>
      <c r="F961" s="1742">
        <v>79</v>
      </c>
      <c r="G961" s="1742">
        <v>9</v>
      </c>
      <c r="H961" s="1742">
        <v>88</v>
      </c>
      <c r="I961" s="1743">
        <v>42339</v>
      </c>
    </row>
    <row r="962" spans="1:9">
      <c r="A962" s="1740" t="s">
        <v>1150</v>
      </c>
      <c r="B962" s="1740" t="s">
        <v>1828</v>
      </c>
      <c r="C962" s="1741">
        <v>5040000000</v>
      </c>
      <c r="D962" s="1741">
        <v>4789000000</v>
      </c>
      <c r="E962" s="1742">
        <v>180</v>
      </c>
      <c r="F962" s="1742">
        <v>60</v>
      </c>
      <c r="G962" s="1742">
        <v>0</v>
      </c>
      <c r="H962" s="1742">
        <v>60</v>
      </c>
      <c r="I962" s="1743">
        <v>42339</v>
      </c>
    </row>
    <row r="963" spans="1:9">
      <c r="A963" s="1740" t="s">
        <v>1151</v>
      </c>
      <c r="B963" s="1740" t="s">
        <v>1829</v>
      </c>
      <c r="C963" s="1741">
        <v>9828000000</v>
      </c>
      <c r="D963" s="1741">
        <v>9360000000</v>
      </c>
      <c r="E963" s="1742">
        <v>151</v>
      </c>
      <c r="F963" s="1742">
        <v>50</v>
      </c>
      <c r="G963" s="1742">
        <v>0</v>
      </c>
      <c r="H963" s="1742">
        <v>50</v>
      </c>
      <c r="I963" s="1743">
        <v>42339</v>
      </c>
    </row>
    <row r="964" spans="1:9">
      <c r="A964" s="1740" t="s">
        <v>1153</v>
      </c>
      <c r="B964" s="1740" t="s">
        <v>1830</v>
      </c>
      <c r="C964" s="1741">
        <v>1973000000</v>
      </c>
      <c r="D964" s="1741">
        <v>1874000000</v>
      </c>
      <c r="E964" s="1742">
        <v>90</v>
      </c>
      <c r="F964" s="1742">
        <v>48</v>
      </c>
      <c r="G964" s="1742">
        <v>0</v>
      </c>
      <c r="H964" s="1742">
        <v>48</v>
      </c>
      <c r="I964" s="1743">
        <v>42339</v>
      </c>
    </row>
    <row r="965" spans="1:9">
      <c r="A965" s="1740" t="s">
        <v>1154</v>
      </c>
      <c r="B965" s="1740" t="s">
        <v>1831</v>
      </c>
      <c r="C965" s="1741">
        <v>2100000000</v>
      </c>
      <c r="D965" s="1741">
        <v>2000000000</v>
      </c>
      <c r="E965" s="1742">
        <v>59</v>
      </c>
      <c r="F965" s="1742">
        <v>10</v>
      </c>
      <c r="G965" s="1742">
        <v>0</v>
      </c>
      <c r="H965" s="1742">
        <v>10</v>
      </c>
      <c r="I965" s="1743">
        <v>42339</v>
      </c>
    </row>
    <row r="966" spans="1:9">
      <c r="A966" s="1740" t="s">
        <v>1675</v>
      </c>
      <c r="B966" s="1740" t="s">
        <v>1832</v>
      </c>
      <c r="C966" s="1741">
        <v>1260000000</v>
      </c>
      <c r="D966" s="1741">
        <v>1200000000</v>
      </c>
      <c r="E966" s="1742">
        <v>37</v>
      </c>
      <c r="F966" s="1742">
        <v>10</v>
      </c>
      <c r="G966" s="1742">
        <v>0</v>
      </c>
      <c r="H966" s="1742">
        <v>10</v>
      </c>
      <c r="I966" s="1743">
        <v>42339</v>
      </c>
    </row>
    <row r="967" spans="1:9">
      <c r="A967" s="1740" t="s">
        <v>1155</v>
      </c>
      <c r="B967" s="1740" t="s">
        <v>1833</v>
      </c>
      <c r="C967" s="1741">
        <v>16802100000.000002</v>
      </c>
      <c r="D967" s="1741">
        <v>16002000000</v>
      </c>
      <c r="E967" s="1742">
        <v>376</v>
      </c>
      <c r="F967" s="1742">
        <v>129</v>
      </c>
      <c r="G967" s="1742">
        <v>6</v>
      </c>
      <c r="H967" s="1742">
        <v>135</v>
      </c>
      <c r="I967" s="1743">
        <v>42339</v>
      </c>
    </row>
    <row r="968" spans="1:9">
      <c r="A968" s="1740" t="s">
        <v>1156</v>
      </c>
      <c r="B968" s="1740" t="s">
        <v>1834</v>
      </c>
      <c r="C968" s="1741">
        <v>1890000000</v>
      </c>
      <c r="D968" s="1741">
        <v>1800000000</v>
      </c>
      <c r="E968" s="1742">
        <v>62</v>
      </c>
      <c r="F968" s="1742">
        <v>24</v>
      </c>
      <c r="G968" s="1742">
        <v>0</v>
      </c>
      <c r="H968" s="1742">
        <v>24</v>
      </c>
      <c r="I968" s="1743">
        <v>42339</v>
      </c>
    </row>
    <row r="969" spans="1:9">
      <c r="A969" s="1740" t="s">
        <v>2218</v>
      </c>
      <c r="B969" s="1740" t="s">
        <v>2049</v>
      </c>
      <c r="C969" s="1741">
        <v>168000000</v>
      </c>
      <c r="D969" s="1741">
        <v>160000000</v>
      </c>
      <c r="E969" s="1742">
        <v>8</v>
      </c>
      <c r="F969" s="1742">
        <v>13</v>
      </c>
      <c r="G969" s="1742">
        <v>3</v>
      </c>
      <c r="H969" s="1742">
        <v>16</v>
      </c>
      <c r="I969" s="1743">
        <v>42339</v>
      </c>
    </row>
    <row r="970" spans="1:9">
      <c r="A970" s="1740" t="s">
        <v>792</v>
      </c>
      <c r="B970" s="1740" t="s">
        <v>1835</v>
      </c>
      <c r="C970" s="1741">
        <v>33350100000.000008</v>
      </c>
      <c r="D970" s="1741">
        <v>31761000000</v>
      </c>
      <c r="E970" s="1742">
        <v>677</v>
      </c>
      <c r="F970" s="1742">
        <v>232</v>
      </c>
      <c r="G970" s="1742">
        <v>6</v>
      </c>
      <c r="H970" s="1742">
        <v>238</v>
      </c>
      <c r="I970" s="1743">
        <v>42339</v>
      </c>
    </row>
    <row r="971" spans="1:9">
      <c r="A971" s="1740" t="s">
        <v>794</v>
      </c>
      <c r="B971" s="1740" t="s">
        <v>1836</v>
      </c>
      <c r="C971" s="1741">
        <v>13289000000</v>
      </c>
      <c r="D971" s="1741">
        <v>12626000000</v>
      </c>
      <c r="E971" s="1742">
        <v>439</v>
      </c>
      <c r="F971" s="1742">
        <v>139</v>
      </c>
      <c r="G971" s="1742">
        <v>9</v>
      </c>
      <c r="H971" s="1742">
        <v>148</v>
      </c>
      <c r="I971" s="1743">
        <v>42339</v>
      </c>
    </row>
    <row r="972" spans="1:9">
      <c r="A972" s="1740" t="s">
        <v>793</v>
      </c>
      <c r="B972" s="1740" t="s">
        <v>1837</v>
      </c>
      <c r="C972" s="1741">
        <v>6554000000</v>
      </c>
      <c r="D972" s="1741">
        <v>6225000000</v>
      </c>
      <c r="E972" s="1742">
        <v>339</v>
      </c>
      <c r="F972" s="1742">
        <v>146</v>
      </c>
      <c r="G972" s="1742">
        <v>2</v>
      </c>
      <c r="H972" s="1742">
        <v>148</v>
      </c>
      <c r="I972" s="1743">
        <v>42339</v>
      </c>
    </row>
    <row r="973" spans="1:9">
      <c r="A973" s="1740" t="s">
        <v>458</v>
      </c>
      <c r="B973" s="1740" t="s">
        <v>1838</v>
      </c>
      <c r="C973" s="1741">
        <v>5250000000</v>
      </c>
      <c r="D973" s="1741">
        <v>5000000000</v>
      </c>
      <c r="E973" s="1742">
        <v>158</v>
      </c>
      <c r="F973" s="1742">
        <v>44</v>
      </c>
      <c r="G973" s="1742">
        <v>0</v>
      </c>
      <c r="H973" s="1742">
        <v>44</v>
      </c>
      <c r="I973" s="1743">
        <v>42339</v>
      </c>
    </row>
    <row r="974" spans="1:9">
      <c r="A974" s="1740" t="s">
        <v>2048</v>
      </c>
      <c r="B974" s="1740" t="s">
        <v>2050</v>
      </c>
      <c r="C974" s="1741">
        <v>168000000</v>
      </c>
      <c r="D974" s="1741">
        <v>160000000</v>
      </c>
      <c r="E974" s="1742">
        <v>8</v>
      </c>
      <c r="F974" s="1742">
        <v>13</v>
      </c>
      <c r="G974" s="1742">
        <v>3</v>
      </c>
      <c r="H974" s="1742">
        <v>16</v>
      </c>
      <c r="I974" s="1743">
        <v>42339</v>
      </c>
    </row>
    <row r="975" spans="1:9">
      <c r="A975" s="1740" t="s">
        <v>2214</v>
      </c>
      <c r="B975" s="1740" t="s">
        <v>2215</v>
      </c>
      <c r="C975" s="1741">
        <v>2563000000</v>
      </c>
      <c r="D975" s="1741">
        <v>2434000000</v>
      </c>
      <c r="E975" s="1742">
        <v>143</v>
      </c>
      <c r="F975" s="1742">
        <v>55</v>
      </c>
      <c r="G975" s="1742">
        <v>2</v>
      </c>
      <c r="H975" s="1742">
        <v>57</v>
      </c>
      <c r="I975" s="1743">
        <v>42339</v>
      </c>
    </row>
    <row r="976" spans="1:9">
      <c r="A976" s="1740" t="s">
        <v>2216</v>
      </c>
      <c r="B976" s="1740" t="s">
        <v>2217</v>
      </c>
      <c r="C976" s="1741">
        <v>2018000000</v>
      </c>
      <c r="D976" s="1741">
        <v>1917000000</v>
      </c>
      <c r="E976" s="1742">
        <v>106</v>
      </c>
      <c r="F976" s="1742">
        <v>43</v>
      </c>
      <c r="G976" s="1742">
        <v>0</v>
      </c>
      <c r="H976" s="1742">
        <v>43</v>
      </c>
      <c r="I976" s="1743">
        <v>42339</v>
      </c>
    </row>
    <row r="977" spans="1:9">
      <c r="A977" s="1740" t="s">
        <v>1158</v>
      </c>
      <c r="B977" s="1740" t="s">
        <v>1159</v>
      </c>
      <c r="C977" s="1741">
        <v>58611100000.000008</v>
      </c>
      <c r="D977" s="1741">
        <v>55772000000</v>
      </c>
      <c r="E977" s="1742">
        <v>1621</v>
      </c>
      <c r="F977" s="1742">
        <v>574</v>
      </c>
      <c r="G977" s="1742">
        <v>20</v>
      </c>
      <c r="H977" s="1742">
        <v>594</v>
      </c>
      <c r="I977" s="1743">
        <v>42339</v>
      </c>
    </row>
    <row r="978" spans="1:9" ht="30">
      <c r="A978" s="1740" t="s">
        <v>1291</v>
      </c>
      <c r="B978" s="1740" t="s">
        <v>1839</v>
      </c>
      <c r="C978" s="1741">
        <v>5343450000</v>
      </c>
      <c r="D978" s="1741">
        <v>5089000000</v>
      </c>
      <c r="E978" s="1742">
        <v>94</v>
      </c>
      <c r="F978" s="1742">
        <v>33</v>
      </c>
      <c r="G978" s="1742">
        <v>2</v>
      </c>
      <c r="H978" s="1742">
        <v>35</v>
      </c>
      <c r="I978" s="1743">
        <v>42339</v>
      </c>
    </row>
    <row r="979" spans="1:9">
      <c r="A979" s="1740" t="s">
        <v>1292</v>
      </c>
      <c r="B979" s="1740" t="s">
        <v>1840</v>
      </c>
      <c r="C979" s="1741">
        <v>7035000000</v>
      </c>
      <c r="D979" s="1741">
        <v>6683000000</v>
      </c>
      <c r="E979" s="1742">
        <v>208</v>
      </c>
      <c r="F979" s="1742">
        <v>61</v>
      </c>
      <c r="G979" s="1742">
        <v>7</v>
      </c>
      <c r="H979" s="1742">
        <v>68</v>
      </c>
      <c r="I979" s="1743">
        <v>42339</v>
      </c>
    </row>
    <row r="980" spans="1:9">
      <c r="A980" s="1740" t="s">
        <v>1293</v>
      </c>
      <c r="B980" s="1740" t="s">
        <v>1841</v>
      </c>
      <c r="C980" s="1741">
        <v>3015000000</v>
      </c>
      <c r="D980" s="1741">
        <v>2865000000</v>
      </c>
      <c r="E980" s="1742">
        <v>114</v>
      </c>
      <c r="F980" s="1742">
        <v>40</v>
      </c>
      <c r="G980" s="1742">
        <v>0</v>
      </c>
      <c r="H980" s="1742">
        <v>40</v>
      </c>
      <c r="I980" s="1743">
        <v>42339</v>
      </c>
    </row>
    <row r="981" spans="1:9">
      <c r="A981" s="1740" t="s">
        <v>1294</v>
      </c>
      <c r="B981" s="1740" t="s">
        <v>1842</v>
      </c>
      <c r="C981" s="1741">
        <v>6468000000</v>
      </c>
      <c r="D981" s="1741">
        <v>6160000000</v>
      </c>
      <c r="E981" s="1742">
        <v>118</v>
      </c>
      <c r="F981" s="1742">
        <v>40</v>
      </c>
      <c r="G981" s="1742">
        <v>0</v>
      </c>
      <c r="H981" s="1742">
        <v>40</v>
      </c>
      <c r="I981" s="1743">
        <v>42339</v>
      </c>
    </row>
    <row r="982" spans="1:9">
      <c r="A982" s="1740" t="s">
        <v>1296</v>
      </c>
      <c r="B982" s="1740" t="s">
        <v>1844</v>
      </c>
      <c r="C982" s="1741">
        <v>4620000000</v>
      </c>
      <c r="D982" s="1741">
        <v>4399000000</v>
      </c>
      <c r="E982" s="1742">
        <v>127</v>
      </c>
      <c r="F982" s="1742">
        <v>43</v>
      </c>
      <c r="G982" s="1742">
        <v>0</v>
      </c>
      <c r="H982" s="1742">
        <v>43</v>
      </c>
      <c r="I982" s="1743">
        <v>42339</v>
      </c>
    </row>
    <row r="983" spans="1:9">
      <c r="A983" s="1740" t="s">
        <v>1297</v>
      </c>
      <c r="B983" s="1740" t="s">
        <v>1845</v>
      </c>
      <c r="C983" s="1741">
        <v>1306000000</v>
      </c>
      <c r="D983" s="1741">
        <v>1240000000</v>
      </c>
      <c r="E983" s="1742">
        <v>63</v>
      </c>
      <c r="F983" s="1742">
        <v>35</v>
      </c>
      <c r="G983" s="1742">
        <v>0</v>
      </c>
      <c r="H983" s="1742">
        <v>35</v>
      </c>
      <c r="I983" s="1743">
        <v>42339</v>
      </c>
    </row>
    <row r="984" spans="1:9">
      <c r="A984" s="1740" t="s">
        <v>1298</v>
      </c>
      <c r="B984" s="1740" t="s">
        <v>1846</v>
      </c>
      <c r="C984" s="1741">
        <v>3360000000</v>
      </c>
      <c r="D984" s="1741">
        <v>3200000000</v>
      </c>
      <c r="E984" s="1742">
        <v>33</v>
      </c>
      <c r="F984" s="1742">
        <v>10</v>
      </c>
      <c r="G984" s="1742">
        <v>0</v>
      </c>
      <c r="H984" s="1742">
        <v>10</v>
      </c>
      <c r="I984" s="1743">
        <v>42339</v>
      </c>
    </row>
    <row r="985" spans="1:9">
      <c r="A985" s="1740" t="s">
        <v>1299</v>
      </c>
      <c r="B985" s="1740" t="s">
        <v>1847</v>
      </c>
      <c r="C985" s="1741">
        <v>2100000000</v>
      </c>
      <c r="D985" s="1741">
        <v>2000000000</v>
      </c>
      <c r="E985" s="1742">
        <v>59</v>
      </c>
      <c r="F985" s="1742">
        <v>10</v>
      </c>
      <c r="G985" s="1742">
        <v>0</v>
      </c>
      <c r="H985" s="1742">
        <v>10</v>
      </c>
      <c r="I985" s="1743">
        <v>42339</v>
      </c>
    </row>
    <row r="986" spans="1:9">
      <c r="A986" s="1740" t="s">
        <v>1300</v>
      </c>
      <c r="B986" s="1740" t="s">
        <v>1848</v>
      </c>
      <c r="C986" s="1741">
        <v>2100000000</v>
      </c>
      <c r="D986" s="1741">
        <v>2000000000</v>
      </c>
      <c r="E986" s="1742">
        <v>23</v>
      </c>
      <c r="F986" s="1742">
        <v>10</v>
      </c>
      <c r="G986" s="1742">
        <v>0</v>
      </c>
      <c r="H986" s="1742">
        <v>10</v>
      </c>
      <c r="I986" s="1743">
        <v>42339</v>
      </c>
    </row>
    <row r="987" spans="1:9" ht="30">
      <c r="A987" s="1740" t="s">
        <v>1301</v>
      </c>
      <c r="B987" s="1740" t="s">
        <v>1849</v>
      </c>
      <c r="C987" s="1741">
        <v>2025000000</v>
      </c>
      <c r="D987" s="1741">
        <v>1924000000</v>
      </c>
      <c r="E987" s="1742">
        <v>66</v>
      </c>
      <c r="F987" s="1742">
        <v>20</v>
      </c>
      <c r="G987" s="1742">
        <v>0</v>
      </c>
      <c r="H987" s="1742">
        <v>20</v>
      </c>
      <c r="I987" s="1743">
        <v>42339</v>
      </c>
    </row>
    <row r="988" spans="1:9">
      <c r="A988" s="1740" t="s">
        <v>1302</v>
      </c>
      <c r="B988" s="1740" t="s">
        <v>1850</v>
      </c>
      <c r="C988" s="1741">
        <v>11458650000</v>
      </c>
      <c r="D988" s="1741">
        <v>10913000000</v>
      </c>
      <c r="E988" s="1742">
        <v>282</v>
      </c>
      <c r="F988" s="1742">
        <v>96</v>
      </c>
      <c r="G988" s="1742">
        <v>4</v>
      </c>
      <c r="H988" s="1742">
        <v>100</v>
      </c>
      <c r="I988" s="1743">
        <v>42339</v>
      </c>
    </row>
    <row r="989" spans="1:9">
      <c r="A989" s="1740" t="s">
        <v>1303</v>
      </c>
      <c r="B989" s="1740" t="s">
        <v>1851</v>
      </c>
      <c r="C989" s="1741">
        <v>1260000000</v>
      </c>
      <c r="D989" s="1741">
        <v>1200000000</v>
      </c>
      <c r="E989" s="1742">
        <v>37</v>
      </c>
      <c r="F989" s="1742">
        <v>10</v>
      </c>
      <c r="G989" s="1742">
        <v>0</v>
      </c>
      <c r="H989" s="1742">
        <v>10</v>
      </c>
      <c r="I989" s="1743">
        <v>42339</v>
      </c>
    </row>
    <row r="990" spans="1:9">
      <c r="A990" s="1740" t="s">
        <v>1422</v>
      </c>
      <c r="B990" s="1740" t="s">
        <v>1852</v>
      </c>
      <c r="C990" s="1741">
        <v>1834000000</v>
      </c>
      <c r="D990" s="1741">
        <v>1742000000</v>
      </c>
      <c r="E990" s="1742">
        <v>103</v>
      </c>
      <c r="F990" s="1742">
        <v>35</v>
      </c>
      <c r="G990" s="1742">
        <v>2</v>
      </c>
      <c r="H990" s="1742">
        <v>37</v>
      </c>
      <c r="I990" s="1743">
        <v>42339</v>
      </c>
    </row>
    <row r="991" spans="1:9">
      <c r="A991" s="1740" t="s">
        <v>1305</v>
      </c>
      <c r="B991" s="1740" t="s">
        <v>1853</v>
      </c>
      <c r="C991" s="1741">
        <v>1890000000</v>
      </c>
      <c r="D991" s="1741">
        <v>1800000000</v>
      </c>
      <c r="E991" s="1742">
        <v>62</v>
      </c>
      <c r="F991" s="1742">
        <v>24</v>
      </c>
      <c r="G991" s="1742">
        <v>0</v>
      </c>
      <c r="H991" s="1742">
        <v>24</v>
      </c>
      <c r="I991" s="1743">
        <v>42339</v>
      </c>
    </row>
    <row r="992" spans="1:9">
      <c r="A992" s="1740" t="s">
        <v>1423</v>
      </c>
      <c r="B992" s="1740" t="s">
        <v>1854</v>
      </c>
      <c r="C992" s="1741">
        <v>826000000</v>
      </c>
      <c r="D992" s="1741">
        <v>784000000</v>
      </c>
      <c r="E992" s="1742">
        <v>48</v>
      </c>
      <c r="F992" s="1742">
        <v>15</v>
      </c>
      <c r="G992" s="1742">
        <v>0</v>
      </c>
      <c r="H992" s="1742">
        <v>15</v>
      </c>
      <c r="I992" s="1743">
        <v>42339</v>
      </c>
    </row>
    <row r="993" spans="1:9">
      <c r="A993" s="1740" t="s">
        <v>1424</v>
      </c>
      <c r="B993" s="1740" t="s">
        <v>1855</v>
      </c>
      <c r="C993" s="1741">
        <v>729000000</v>
      </c>
      <c r="D993" s="1741">
        <v>692000000</v>
      </c>
      <c r="E993" s="1742">
        <v>40</v>
      </c>
      <c r="F993" s="1742">
        <v>20</v>
      </c>
      <c r="G993" s="1742">
        <v>0</v>
      </c>
      <c r="H993" s="1742">
        <v>20</v>
      </c>
      <c r="I993" s="1743">
        <v>42339</v>
      </c>
    </row>
    <row r="994" spans="1:9">
      <c r="A994" s="1740" t="s">
        <v>2051</v>
      </c>
      <c r="B994" s="1740" t="s">
        <v>2052</v>
      </c>
      <c r="C994" s="1741">
        <v>168000000</v>
      </c>
      <c r="D994" s="1741">
        <v>160000000</v>
      </c>
      <c r="E994" s="1742">
        <v>8</v>
      </c>
      <c r="F994" s="1742">
        <v>13</v>
      </c>
      <c r="G994" s="1742">
        <v>3</v>
      </c>
      <c r="H994" s="1742">
        <v>16</v>
      </c>
      <c r="I994" s="1743">
        <v>42339</v>
      </c>
    </row>
    <row r="995" spans="1:9">
      <c r="A995" s="1740" t="s">
        <v>2221</v>
      </c>
      <c r="B995" s="1740" t="s">
        <v>2222</v>
      </c>
      <c r="C995" s="1741">
        <v>1214000000</v>
      </c>
      <c r="D995" s="1741">
        <v>1154000000</v>
      </c>
      <c r="E995" s="1742">
        <v>51</v>
      </c>
      <c r="F995" s="1742">
        <v>18</v>
      </c>
      <c r="G995" s="1742">
        <v>2</v>
      </c>
      <c r="H995" s="1742">
        <v>20</v>
      </c>
      <c r="I995" s="1743">
        <v>42339</v>
      </c>
    </row>
    <row r="996" spans="1:9">
      <c r="A996" s="1740" t="s">
        <v>2219</v>
      </c>
      <c r="B996" s="1740" t="s">
        <v>2220</v>
      </c>
      <c r="C996" s="1741">
        <v>1192000000</v>
      </c>
      <c r="D996" s="1741">
        <v>1133000000</v>
      </c>
      <c r="E996" s="1742">
        <v>58</v>
      </c>
      <c r="F996" s="1742">
        <v>28</v>
      </c>
      <c r="G996" s="1742">
        <v>0</v>
      </c>
      <c r="H996" s="1742">
        <v>28</v>
      </c>
      <c r="I996" s="1743">
        <v>42339</v>
      </c>
    </row>
    <row r="997" spans="1:9">
      <c r="A997" s="1740" t="s">
        <v>2439</v>
      </c>
      <c r="B997" s="1740" t="s">
        <v>2440</v>
      </c>
      <c r="C997" s="1741">
        <v>667000000</v>
      </c>
      <c r="D997" s="1741">
        <v>634000000</v>
      </c>
      <c r="E997" s="1742">
        <v>27</v>
      </c>
      <c r="F997" s="1742">
        <v>13</v>
      </c>
      <c r="G997" s="1742">
        <v>0</v>
      </c>
      <c r="H997" s="1742">
        <v>13</v>
      </c>
      <c r="I997" s="1743">
        <v>42339</v>
      </c>
    </row>
    <row r="1000" spans="1:9">
      <c r="A1000" s="1754" t="s">
        <v>2565</v>
      </c>
    </row>
    <row r="1001" spans="1:9">
      <c r="A1001" s="1739" t="s">
        <v>1109</v>
      </c>
      <c r="B1001" s="1739" t="s">
        <v>1110</v>
      </c>
      <c r="C1001" s="1739" t="s">
        <v>1</v>
      </c>
      <c r="D1001" s="1739" t="s">
        <v>2</v>
      </c>
      <c r="E1001" s="1739" t="s">
        <v>1108</v>
      </c>
      <c r="F1001" s="1739" t="s">
        <v>1107</v>
      </c>
      <c r="G1001" s="1739" t="s">
        <v>1106</v>
      </c>
      <c r="H1001" s="1739" t="s">
        <v>1105</v>
      </c>
      <c r="I1001" s="1739" t="s">
        <v>1160</v>
      </c>
    </row>
    <row r="1002" spans="1:9">
      <c r="A1002" s="1740" t="s">
        <v>47</v>
      </c>
      <c r="B1002" s="1740" t="s">
        <v>1780</v>
      </c>
      <c r="C1002" s="1741">
        <v>316000000</v>
      </c>
      <c r="D1002" s="1741">
        <v>300000000</v>
      </c>
      <c r="E1002" s="1742">
        <v>13</v>
      </c>
      <c r="F1002" s="1742">
        <v>6</v>
      </c>
      <c r="G1002" s="1742">
        <v>0</v>
      </c>
      <c r="H1002" s="1742">
        <v>6</v>
      </c>
      <c r="I1002" s="1743">
        <v>42370</v>
      </c>
    </row>
    <row r="1003" spans="1:9">
      <c r="A1003" s="1740" t="s">
        <v>91</v>
      </c>
      <c r="B1003" s="1740" t="s">
        <v>1781</v>
      </c>
      <c r="C1003" s="1741">
        <v>411000000</v>
      </c>
      <c r="D1003" s="1741">
        <v>390000000</v>
      </c>
      <c r="E1003" s="1742">
        <v>34</v>
      </c>
      <c r="F1003" s="1742">
        <v>6</v>
      </c>
      <c r="G1003" s="1742">
        <v>0</v>
      </c>
      <c r="H1003" s="1742">
        <v>6</v>
      </c>
      <c r="I1003" s="1743">
        <v>42370</v>
      </c>
    </row>
    <row r="1004" spans="1:9">
      <c r="A1004" s="1740" t="s">
        <v>177</v>
      </c>
      <c r="B1004" s="1740" t="s">
        <v>1782</v>
      </c>
      <c r="C1004" s="1741">
        <v>709000000</v>
      </c>
      <c r="D1004" s="1741">
        <v>673100000</v>
      </c>
      <c r="E1004" s="1742">
        <v>24</v>
      </c>
      <c r="F1004" s="1742">
        <v>10</v>
      </c>
      <c r="G1004" s="1742">
        <v>0</v>
      </c>
      <c r="H1004" s="1742">
        <v>10</v>
      </c>
      <c r="I1004" s="1743">
        <v>42370</v>
      </c>
    </row>
    <row r="1005" spans="1:9">
      <c r="A1005" s="1740" t="s">
        <v>185</v>
      </c>
      <c r="B1005" s="1740" t="s">
        <v>1783</v>
      </c>
      <c r="C1005" s="1741">
        <v>363000000</v>
      </c>
      <c r="D1005" s="1741">
        <v>345000000</v>
      </c>
      <c r="E1005" s="1742">
        <v>22</v>
      </c>
      <c r="F1005" s="1742">
        <v>9</v>
      </c>
      <c r="G1005" s="1742">
        <v>0</v>
      </c>
      <c r="H1005" s="1742">
        <v>9</v>
      </c>
      <c r="I1005" s="1743">
        <v>42370</v>
      </c>
    </row>
    <row r="1006" spans="1:9">
      <c r="A1006" s="1740" t="s">
        <v>179</v>
      </c>
      <c r="B1006" s="1740" t="s">
        <v>1784</v>
      </c>
      <c r="C1006" s="1741">
        <v>512000000</v>
      </c>
      <c r="D1006" s="1741">
        <v>486000000</v>
      </c>
      <c r="E1006" s="1742">
        <v>32</v>
      </c>
      <c r="F1006" s="1742">
        <v>5</v>
      </c>
      <c r="G1006" s="1742">
        <v>0</v>
      </c>
      <c r="H1006" s="1742">
        <v>5</v>
      </c>
      <c r="I1006" s="1743">
        <v>42370</v>
      </c>
    </row>
    <row r="1007" spans="1:9">
      <c r="A1007" s="1740" t="s">
        <v>176</v>
      </c>
      <c r="B1007" s="1740" t="s">
        <v>1785</v>
      </c>
      <c r="C1007" s="1741">
        <v>647000000</v>
      </c>
      <c r="D1007" s="1741">
        <v>615000000</v>
      </c>
      <c r="E1007" s="1742">
        <v>41</v>
      </c>
      <c r="F1007" s="1742">
        <v>9</v>
      </c>
      <c r="G1007" s="1742">
        <v>0</v>
      </c>
      <c r="H1007" s="1742">
        <v>9</v>
      </c>
      <c r="I1007" s="1743">
        <v>42370</v>
      </c>
    </row>
    <row r="1008" spans="1:9">
      <c r="A1008" s="1740" t="s">
        <v>187</v>
      </c>
      <c r="B1008" s="1740" t="s">
        <v>1786</v>
      </c>
      <c r="C1008" s="1741">
        <v>284000000</v>
      </c>
      <c r="D1008" s="1741">
        <v>270000000</v>
      </c>
      <c r="E1008" s="1742">
        <v>24</v>
      </c>
      <c r="F1008" s="1742">
        <v>6</v>
      </c>
      <c r="G1008" s="1742">
        <v>0</v>
      </c>
      <c r="H1008" s="1742">
        <v>6</v>
      </c>
      <c r="I1008" s="1743">
        <v>42370</v>
      </c>
    </row>
    <row r="1009" spans="1:9">
      <c r="A1009" s="1740" t="s">
        <v>630</v>
      </c>
      <c r="B1009" s="1740" t="s">
        <v>1787</v>
      </c>
      <c r="C1009" s="1741">
        <v>0</v>
      </c>
      <c r="D1009" s="1741">
        <v>0</v>
      </c>
      <c r="E1009" s="1742">
        <v>0</v>
      </c>
      <c r="F1009" s="1742">
        <v>0</v>
      </c>
      <c r="G1009" s="1742">
        <v>0</v>
      </c>
      <c r="H1009" s="1742">
        <v>0</v>
      </c>
      <c r="I1009" s="1743">
        <v>42370</v>
      </c>
    </row>
    <row r="1010" spans="1:9">
      <c r="A1010" s="1740" t="s">
        <v>661</v>
      </c>
      <c r="B1010" s="1740" t="s">
        <v>1788</v>
      </c>
      <c r="C1010" s="1741">
        <v>267000000</v>
      </c>
      <c r="D1010" s="1741">
        <v>253200000</v>
      </c>
      <c r="E1010" s="1742">
        <v>13</v>
      </c>
      <c r="F1010" s="1742">
        <v>9</v>
      </c>
      <c r="G1010" s="1742">
        <v>0</v>
      </c>
      <c r="H1010" s="1742">
        <v>9</v>
      </c>
      <c r="I1010" s="1743">
        <v>42370</v>
      </c>
    </row>
    <row r="1011" spans="1:9">
      <c r="A1011" s="1740" t="s">
        <v>628</v>
      </c>
      <c r="B1011" s="1740" t="s">
        <v>1789</v>
      </c>
      <c r="C1011" s="1741">
        <v>316000000</v>
      </c>
      <c r="D1011" s="1741">
        <v>300000000</v>
      </c>
      <c r="E1011" s="1742">
        <v>16</v>
      </c>
      <c r="F1011" s="1742">
        <v>6</v>
      </c>
      <c r="G1011" s="1742">
        <v>0</v>
      </c>
      <c r="H1011" s="1742">
        <v>6</v>
      </c>
      <c r="I1011" s="1743">
        <v>42370</v>
      </c>
    </row>
    <row r="1012" spans="1:9">
      <c r="A1012" s="1740" t="s">
        <v>650</v>
      </c>
      <c r="B1012" s="1740" t="s">
        <v>1790</v>
      </c>
      <c r="C1012" s="1741">
        <v>179000000</v>
      </c>
      <c r="D1012" s="1741">
        <v>170000000</v>
      </c>
      <c r="E1012" s="1742">
        <v>11</v>
      </c>
      <c r="F1012" s="1742">
        <v>6</v>
      </c>
      <c r="G1012" s="1742">
        <v>0</v>
      </c>
      <c r="H1012" s="1742">
        <v>6</v>
      </c>
      <c r="I1012" s="1743">
        <v>42370</v>
      </c>
    </row>
    <row r="1013" spans="1:9">
      <c r="A1013" s="1740" t="s">
        <v>660</v>
      </c>
      <c r="B1013" s="1740" t="s">
        <v>1791</v>
      </c>
      <c r="C1013" s="1741">
        <v>316000000</v>
      </c>
      <c r="D1013" s="1741">
        <v>300000000</v>
      </c>
      <c r="E1013" s="1742">
        <v>29</v>
      </c>
      <c r="F1013" s="1742">
        <v>9</v>
      </c>
      <c r="G1013" s="1742">
        <v>0</v>
      </c>
      <c r="H1013" s="1742">
        <v>9</v>
      </c>
      <c r="I1013" s="1743">
        <v>42370</v>
      </c>
    </row>
    <row r="1014" spans="1:9">
      <c r="A1014" s="1740" t="s">
        <v>648</v>
      </c>
      <c r="B1014" s="1740" t="s">
        <v>1792</v>
      </c>
      <c r="C1014" s="1741">
        <v>284000000</v>
      </c>
      <c r="D1014" s="1741">
        <v>270000000</v>
      </c>
      <c r="E1014" s="1742">
        <v>16</v>
      </c>
      <c r="F1014" s="1742">
        <v>6</v>
      </c>
      <c r="G1014" s="1742">
        <v>0</v>
      </c>
      <c r="H1014" s="1742">
        <v>6</v>
      </c>
      <c r="I1014" s="1743">
        <v>42370</v>
      </c>
    </row>
    <row r="1015" spans="1:9">
      <c r="A1015" s="1740" t="s">
        <v>659</v>
      </c>
      <c r="B1015" s="1740" t="s">
        <v>1793</v>
      </c>
      <c r="C1015" s="1741">
        <v>458000000</v>
      </c>
      <c r="D1015" s="1741">
        <v>435000000</v>
      </c>
      <c r="E1015" s="1742">
        <v>24</v>
      </c>
      <c r="F1015" s="1742">
        <v>10</v>
      </c>
      <c r="G1015" s="1742">
        <v>0</v>
      </c>
      <c r="H1015" s="1742">
        <v>10</v>
      </c>
      <c r="I1015" s="1743">
        <v>42370</v>
      </c>
    </row>
    <row r="1016" spans="1:9">
      <c r="A1016" s="1740" t="s">
        <v>649</v>
      </c>
      <c r="B1016" s="1740" t="s">
        <v>1794</v>
      </c>
      <c r="C1016" s="1741">
        <v>168000000</v>
      </c>
      <c r="D1016" s="1741">
        <v>160000000</v>
      </c>
      <c r="E1016" s="1742">
        <v>23</v>
      </c>
      <c r="F1016" s="1742">
        <v>6</v>
      </c>
      <c r="G1016" s="1742">
        <v>0</v>
      </c>
      <c r="H1016" s="1742">
        <v>6</v>
      </c>
      <c r="I1016" s="1743">
        <v>42370</v>
      </c>
    </row>
    <row r="1017" spans="1:9">
      <c r="A1017" s="1740" t="s">
        <v>642</v>
      </c>
      <c r="B1017" s="1740" t="s">
        <v>1795</v>
      </c>
      <c r="C1017" s="1741">
        <v>316000000</v>
      </c>
      <c r="D1017" s="1741">
        <v>300000000</v>
      </c>
      <c r="E1017" s="1742">
        <v>22</v>
      </c>
      <c r="F1017" s="1742">
        <v>6</v>
      </c>
      <c r="G1017" s="1742">
        <v>0</v>
      </c>
      <c r="H1017" s="1742">
        <v>6</v>
      </c>
      <c r="I1017" s="1743">
        <v>42370</v>
      </c>
    </row>
    <row r="1018" spans="1:9">
      <c r="A1018" s="1740" t="s">
        <v>736</v>
      </c>
      <c r="B1018" s="1740" t="s">
        <v>1796</v>
      </c>
      <c r="C1018" s="1741">
        <v>411000000</v>
      </c>
      <c r="D1018" s="1741">
        <v>390000000</v>
      </c>
      <c r="E1018" s="1742">
        <v>27</v>
      </c>
      <c r="F1018" s="1742">
        <v>6</v>
      </c>
      <c r="G1018" s="1742">
        <v>0</v>
      </c>
      <c r="H1018" s="1742">
        <v>6</v>
      </c>
      <c r="I1018" s="1743">
        <v>42370</v>
      </c>
    </row>
    <row r="1019" spans="1:9">
      <c r="A1019" s="1740" t="s">
        <v>699</v>
      </c>
      <c r="B1019" s="1740" t="s">
        <v>1797</v>
      </c>
      <c r="C1019" s="1741">
        <v>170000000</v>
      </c>
      <c r="D1019" s="1741">
        <v>161500000</v>
      </c>
      <c r="E1019" s="1742">
        <v>9</v>
      </c>
      <c r="F1019" s="1742">
        <v>3</v>
      </c>
      <c r="G1019" s="1742">
        <v>0</v>
      </c>
      <c r="H1019" s="1742">
        <v>3</v>
      </c>
      <c r="I1019" s="1743">
        <v>42370</v>
      </c>
    </row>
    <row r="1020" spans="1:9">
      <c r="A1020" s="1740" t="s">
        <v>735</v>
      </c>
      <c r="B1020" s="1740" t="s">
        <v>1799</v>
      </c>
      <c r="C1020" s="1741">
        <v>684000000</v>
      </c>
      <c r="D1020" s="1741">
        <v>650000000</v>
      </c>
      <c r="E1020" s="1742">
        <v>20</v>
      </c>
      <c r="F1020" s="1742">
        <v>6</v>
      </c>
      <c r="G1020" s="1742">
        <v>0</v>
      </c>
      <c r="H1020" s="1742">
        <v>6</v>
      </c>
      <c r="I1020" s="1743">
        <v>42370</v>
      </c>
    </row>
    <row r="1021" spans="1:9">
      <c r="A1021" s="1740" t="s">
        <v>734</v>
      </c>
      <c r="B1021" s="1740" t="s">
        <v>1800</v>
      </c>
      <c r="C1021" s="1741">
        <v>537000000</v>
      </c>
      <c r="D1021" s="1741">
        <v>510000000</v>
      </c>
      <c r="E1021" s="1742">
        <v>49</v>
      </c>
      <c r="F1021" s="1742">
        <v>6</v>
      </c>
      <c r="G1021" s="1742">
        <v>0</v>
      </c>
      <c r="H1021" s="1742">
        <v>6</v>
      </c>
      <c r="I1021" s="1743">
        <v>42370</v>
      </c>
    </row>
    <row r="1022" spans="1:9">
      <c r="A1022" s="1740" t="s">
        <v>798</v>
      </c>
      <c r="B1022" s="1740" t="s">
        <v>1801</v>
      </c>
      <c r="C1022" s="1741">
        <v>347000000</v>
      </c>
      <c r="D1022" s="1741">
        <v>330000000</v>
      </c>
      <c r="E1022" s="1742">
        <v>14</v>
      </c>
      <c r="F1022" s="1742">
        <v>6</v>
      </c>
      <c r="G1022" s="1742">
        <v>0</v>
      </c>
      <c r="H1022" s="1742">
        <v>6</v>
      </c>
      <c r="I1022" s="1743">
        <v>42370</v>
      </c>
    </row>
    <row r="1023" spans="1:9">
      <c r="A1023" s="1740" t="s">
        <v>796</v>
      </c>
      <c r="B1023" s="1740" t="s">
        <v>1802</v>
      </c>
      <c r="C1023" s="1741">
        <v>316000000</v>
      </c>
      <c r="D1023" s="1741">
        <v>300000000</v>
      </c>
      <c r="E1023" s="1742">
        <v>14</v>
      </c>
      <c r="F1023" s="1742">
        <v>6</v>
      </c>
      <c r="G1023" s="1742">
        <v>0</v>
      </c>
      <c r="H1023" s="1742">
        <v>6</v>
      </c>
      <c r="I1023" s="1743">
        <v>42370</v>
      </c>
    </row>
    <row r="1024" spans="1:9">
      <c r="A1024" s="1740" t="s">
        <v>799</v>
      </c>
      <c r="B1024" s="1740" t="s">
        <v>1803</v>
      </c>
      <c r="C1024" s="1741">
        <v>379000000</v>
      </c>
      <c r="D1024" s="1741">
        <v>360000000</v>
      </c>
      <c r="E1024" s="1742">
        <v>21</v>
      </c>
      <c r="F1024" s="1742">
        <v>5</v>
      </c>
      <c r="G1024" s="1742">
        <v>0</v>
      </c>
      <c r="H1024" s="1742">
        <v>5</v>
      </c>
      <c r="I1024" s="1743">
        <v>42370</v>
      </c>
    </row>
    <row r="1025" spans="1:9">
      <c r="A1025" s="1740" t="s">
        <v>825</v>
      </c>
      <c r="B1025" s="1740" t="s">
        <v>1804</v>
      </c>
      <c r="C1025" s="1741">
        <v>379000000</v>
      </c>
      <c r="D1025" s="1741">
        <v>360000000</v>
      </c>
      <c r="E1025" s="1742">
        <v>23</v>
      </c>
      <c r="F1025" s="1742">
        <v>5</v>
      </c>
      <c r="G1025" s="1742">
        <v>0</v>
      </c>
      <c r="H1025" s="1742">
        <v>5</v>
      </c>
      <c r="I1025" s="1743">
        <v>42370</v>
      </c>
    </row>
    <row r="1026" spans="1:9">
      <c r="A1026" s="1740" t="s">
        <v>905</v>
      </c>
      <c r="B1026" s="1740" t="s">
        <v>1805</v>
      </c>
      <c r="C1026" s="1741">
        <v>368000000</v>
      </c>
      <c r="D1026" s="1741">
        <v>350000000</v>
      </c>
      <c r="E1026" s="1742">
        <v>18</v>
      </c>
      <c r="F1026" s="1742">
        <v>6</v>
      </c>
      <c r="G1026" s="1742">
        <v>0</v>
      </c>
      <c r="H1026" s="1742">
        <v>6</v>
      </c>
      <c r="I1026" s="1743">
        <v>42370</v>
      </c>
    </row>
    <row r="1027" spans="1:9">
      <c r="A1027" s="1740" t="s">
        <v>903</v>
      </c>
      <c r="B1027" s="1740" t="s">
        <v>1806</v>
      </c>
      <c r="C1027" s="1741">
        <v>316000000</v>
      </c>
      <c r="D1027" s="1741">
        <v>300000000</v>
      </c>
      <c r="E1027" s="1742">
        <v>32</v>
      </c>
      <c r="F1027" s="1742">
        <v>6</v>
      </c>
      <c r="G1027" s="1742">
        <v>0</v>
      </c>
      <c r="H1027" s="1742">
        <v>6</v>
      </c>
      <c r="I1027" s="1743">
        <v>42370</v>
      </c>
    </row>
    <row r="1028" spans="1:9">
      <c r="A1028" s="1740" t="s">
        <v>902</v>
      </c>
      <c r="B1028" s="1740" t="s">
        <v>1807</v>
      </c>
      <c r="C1028" s="1741">
        <v>316000000</v>
      </c>
      <c r="D1028" s="1741">
        <v>300000000</v>
      </c>
      <c r="E1028" s="1742">
        <v>28</v>
      </c>
      <c r="F1028" s="1742">
        <v>6</v>
      </c>
      <c r="G1028" s="1742">
        <v>0</v>
      </c>
      <c r="H1028" s="1742">
        <v>6</v>
      </c>
      <c r="I1028" s="1743">
        <v>42370</v>
      </c>
    </row>
    <row r="1029" spans="1:9">
      <c r="A1029" s="1740" t="s">
        <v>900</v>
      </c>
      <c r="B1029" s="1740" t="s">
        <v>1808</v>
      </c>
      <c r="C1029" s="1741">
        <v>442000000</v>
      </c>
      <c r="D1029" s="1741">
        <v>420000000</v>
      </c>
      <c r="E1029" s="1742">
        <v>17</v>
      </c>
      <c r="F1029" s="1742">
        <v>6</v>
      </c>
      <c r="G1029" s="1742">
        <v>0</v>
      </c>
      <c r="H1029" s="1742">
        <v>6</v>
      </c>
      <c r="I1029" s="1743">
        <v>42370</v>
      </c>
    </row>
    <row r="1030" spans="1:9">
      <c r="A1030" s="1740" t="s">
        <v>949</v>
      </c>
      <c r="B1030" s="1740" t="s">
        <v>1809</v>
      </c>
      <c r="C1030" s="1741">
        <v>316000000</v>
      </c>
      <c r="D1030" s="1741">
        <v>300000000</v>
      </c>
      <c r="E1030" s="1742">
        <v>26</v>
      </c>
      <c r="F1030" s="1742">
        <v>6</v>
      </c>
      <c r="G1030" s="1742">
        <v>0</v>
      </c>
      <c r="H1030" s="1742">
        <v>6</v>
      </c>
      <c r="I1030" s="1743">
        <v>42370</v>
      </c>
    </row>
    <row r="1031" spans="1:9">
      <c r="A1031" s="1740" t="s">
        <v>1104</v>
      </c>
      <c r="B1031" s="1740" t="s">
        <v>1810</v>
      </c>
      <c r="C1031" s="1741">
        <v>379000000</v>
      </c>
      <c r="D1031" s="1741">
        <v>360000000</v>
      </c>
      <c r="E1031" s="1742">
        <v>26</v>
      </c>
      <c r="F1031" s="1742">
        <v>5</v>
      </c>
      <c r="G1031" s="1742">
        <v>0</v>
      </c>
      <c r="H1031" s="1742">
        <v>5</v>
      </c>
      <c r="I1031" s="1743">
        <v>42370</v>
      </c>
    </row>
    <row r="1032" spans="1:9">
      <c r="A1032" s="1740" t="s">
        <v>1015</v>
      </c>
      <c r="B1032" s="1740" t="s">
        <v>1811</v>
      </c>
      <c r="C1032" s="1741">
        <v>331000000</v>
      </c>
      <c r="D1032" s="1741">
        <v>314800000</v>
      </c>
      <c r="E1032" s="1742">
        <v>23</v>
      </c>
      <c r="F1032" s="1742">
        <v>5</v>
      </c>
      <c r="G1032" s="1742">
        <v>0</v>
      </c>
      <c r="H1032" s="1742">
        <v>5</v>
      </c>
      <c r="I1032" s="1743">
        <v>42370</v>
      </c>
    </row>
    <row r="1033" spans="1:9">
      <c r="A1033" s="1740" t="s">
        <v>1103</v>
      </c>
      <c r="B1033" s="1740" t="s">
        <v>1812</v>
      </c>
      <c r="C1033" s="1741">
        <v>244000000</v>
      </c>
      <c r="D1033" s="1741">
        <v>232000000</v>
      </c>
      <c r="E1033" s="1742">
        <v>15</v>
      </c>
      <c r="F1033" s="1742">
        <v>5</v>
      </c>
      <c r="G1033" s="1742">
        <v>0</v>
      </c>
      <c r="H1033" s="1742">
        <v>5</v>
      </c>
      <c r="I1033" s="1743">
        <v>42370</v>
      </c>
    </row>
    <row r="1034" spans="1:9">
      <c r="A1034" s="1740" t="s">
        <v>1102</v>
      </c>
      <c r="B1034" s="1740" t="s">
        <v>1813</v>
      </c>
      <c r="C1034" s="1741">
        <v>316000000</v>
      </c>
      <c r="D1034" s="1741">
        <v>300000000</v>
      </c>
      <c r="E1034" s="1742">
        <v>38</v>
      </c>
      <c r="F1034" s="1742">
        <v>10</v>
      </c>
      <c r="G1034" s="1742">
        <v>0</v>
      </c>
      <c r="H1034" s="1742">
        <v>10</v>
      </c>
      <c r="I1034" s="1743">
        <v>42370</v>
      </c>
    </row>
    <row r="1035" spans="1:9">
      <c r="A1035" s="1740" t="s">
        <v>1101</v>
      </c>
      <c r="B1035" s="1740" t="s">
        <v>1814</v>
      </c>
      <c r="C1035" s="1741">
        <v>189000000</v>
      </c>
      <c r="D1035" s="1741">
        <v>180000000</v>
      </c>
      <c r="E1035" s="1742">
        <v>21</v>
      </c>
      <c r="F1035" s="1742">
        <v>10</v>
      </c>
      <c r="G1035" s="1742">
        <v>0</v>
      </c>
      <c r="H1035" s="1742">
        <v>10</v>
      </c>
      <c r="I1035" s="1743">
        <v>42370</v>
      </c>
    </row>
    <row r="1036" spans="1:9">
      <c r="A1036" s="1740" t="s">
        <v>1100</v>
      </c>
      <c r="B1036" s="1740" t="s">
        <v>1815</v>
      </c>
      <c r="C1036" s="1741">
        <v>458000000</v>
      </c>
      <c r="D1036" s="1741">
        <v>434700000</v>
      </c>
      <c r="E1036" s="1742">
        <v>29</v>
      </c>
      <c r="F1036" s="1742">
        <v>5</v>
      </c>
      <c r="G1036" s="1742">
        <v>0</v>
      </c>
      <c r="H1036" s="1742">
        <v>5</v>
      </c>
      <c r="I1036" s="1743">
        <v>42370</v>
      </c>
    </row>
    <row r="1037" spans="1:9">
      <c r="A1037" s="1740" t="s">
        <v>1099</v>
      </c>
      <c r="B1037" s="1740" t="s">
        <v>1816</v>
      </c>
      <c r="C1037" s="1741">
        <v>347000000</v>
      </c>
      <c r="D1037" s="1741">
        <v>330000000</v>
      </c>
      <c r="E1037" s="1742">
        <v>23</v>
      </c>
      <c r="F1037" s="1742">
        <v>6</v>
      </c>
      <c r="G1037" s="1742">
        <v>0</v>
      </c>
      <c r="H1037" s="1742">
        <v>6</v>
      </c>
      <c r="I1037" s="1743">
        <v>42370</v>
      </c>
    </row>
    <row r="1038" spans="1:9">
      <c r="A1038" s="1740" t="s">
        <v>1419</v>
      </c>
      <c r="B1038" s="1740" t="s">
        <v>1817</v>
      </c>
      <c r="C1038" s="1741">
        <v>379000000</v>
      </c>
      <c r="D1038" s="1741">
        <v>360000000</v>
      </c>
      <c r="E1038" s="1742">
        <v>26</v>
      </c>
      <c r="F1038" s="1742">
        <v>5</v>
      </c>
      <c r="G1038" s="1742">
        <v>0</v>
      </c>
      <c r="H1038" s="1742">
        <v>5</v>
      </c>
      <c r="I1038" s="1743">
        <v>42370</v>
      </c>
    </row>
    <row r="1039" spans="1:9">
      <c r="A1039" s="1740" t="s">
        <v>1563</v>
      </c>
      <c r="B1039" s="1740" t="s">
        <v>1818</v>
      </c>
      <c r="C1039" s="1741">
        <v>253000000</v>
      </c>
      <c r="D1039" s="1741">
        <v>240000000</v>
      </c>
      <c r="E1039" s="1742">
        <v>13</v>
      </c>
      <c r="F1039" s="1742">
        <v>6</v>
      </c>
      <c r="G1039" s="1742">
        <v>0</v>
      </c>
      <c r="H1039" s="1742">
        <v>6</v>
      </c>
      <c r="I1039" s="1743">
        <v>42370</v>
      </c>
    </row>
    <row r="1040" spans="1:9">
      <c r="A1040" s="1740" t="s">
        <v>1418</v>
      </c>
      <c r="B1040" s="1740" t="s">
        <v>1819</v>
      </c>
      <c r="C1040" s="1741">
        <v>714000000</v>
      </c>
      <c r="D1040" s="1741">
        <v>678000000</v>
      </c>
      <c r="E1040" s="1742">
        <v>17</v>
      </c>
      <c r="F1040" s="1742">
        <v>6</v>
      </c>
      <c r="G1040" s="1742">
        <v>0</v>
      </c>
      <c r="H1040" s="1742">
        <v>6</v>
      </c>
      <c r="I1040" s="1743">
        <v>42370</v>
      </c>
    </row>
    <row r="1041" spans="1:9">
      <c r="A1041" s="1740" t="s">
        <v>1568</v>
      </c>
      <c r="B1041" s="1740" t="s">
        <v>1820</v>
      </c>
      <c r="C1041" s="1741">
        <v>426000000</v>
      </c>
      <c r="D1041" s="1741">
        <v>405000000</v>
      </c>
      <c r="E1041" s="1742">
        <v>39</v>
      </c>
      <c r="F1041" s="1742">
        <v>9</v>
      </c>
      <c r="G1041" s="1742">
        <v>0</v>
      </c>
      <c r="H1041" s="1742">
        <v>9</v>
      </c>
      <c r="I1041" s="1743">
        <v>42370</v>
      </c>
    </row>
    <row r="1042" spans="1:9">
      <c r="A1042" s="1740" t="s">
        <v>1567</v>
      </c>
      <c r="B1042" s="1740" t="s">
        <v>1821</v>
      </c>
      <c r="C1042" s="1741">
        <v>379000000</v>
      </c>
      <c r="D1042" s="1741">
        <v>360000000</v>
      </c>
      <c r="E1042" s="1742">
        <v>24</v>
      </c>
      <c r="F1042" s="1742">
        <v>13</v>
      </c>
      <c r="G1042" s="1742">
        <v>0</v>
      </c>
      <c r="H1042" s="1742">
        <v>13</v>
      </c>
      <c r="I1042" s="1743">
        <v>42370</v>
      </c>
    </row>
    <row r="1043" spans="1:9">
      <c r="A1043" s="1740" t="s">
        <v>1565</v>
      </c>
      <c r="B1043" s="1740" t="s">
        <v>1822</v>
      </c>
      <c r="C1043" s="1741">
        <v>253000000</v>
      </c>
      <c r="D1043" s="1741">
        <v>240000000</v>
      </c>
      <c r="E1043" s="1742">
        <v>12</v>
      </c>
      <c r="F1043" s="1742">
        <v>6</v>
      </c>
      <c r="G1043" s="1742">
        <v>0</v>
      </c>
      <c r="H1043" s="1742">
        <v>6</v>
      </c>
      <c r="I1043" s="1743">
        <v>42370</v>
      </c>
    </row>
    <row r="1044" spans="1:9">
      <c r="A1044" s="1740" t="s">
        <v>1570</v>
      </c>
      <c r="B1044" s="1740" t="s">
        <v>1823</v>
      </c>
      <c r="C1044" s="1741">
        <v>321000000</v>
      </c>
      <c r="D1044" s="1741">
        <v>305000000</v>
      </c>
      <c r="E1044" s="1742">
        <v>22</v>
      </c>
      <c r="F1044" s="1742">
        <v>6</v>
      </c>
      <c r="G1044" s="1742">
        <v>0</v>
      </c>
      <c r="H1044" s="1742">
        <v>6</v>
      </c>
      <c r="I1044" s="1743">
        <v>42370</v>
      </c>
    </row>
    <row r="1045" spans="1:9">
      <c r="A1045" s="1740" t="s">
        <v>1572</v>
      </c>
      <c r="B1045" s="1740" t="s">
        <v>1824</v>
      </c>
      <c r="C1045" s="1741">
        <v>313000000</v>
      </c>
      <c r="D1045" s="1741">
        <v>297700000</v>
      </c>
      <c r="E1045" s="1742">
        <v>22</v>
      </c>
      <c r="F1045" s="1742">
        <v>6</v>
      </c>
      <c r="G1045" s="1742">
        <v>0</v>
      </c>
      <c r="H1045" s="1742">
        <v>6</v>
      </c>
      <c r="I1045" s="1743">
        <v>42370</v>
      </c>
    </row>
    <row r="1046" spans="1:9">
      <c r="A1046" s="1740" t="s">
        <v>1669</v>
      </c>
      <c r="B1046" s="1740" t="s">
        <v>1825</v>
      </c>
      <c r="C1046" s="1741">
        <v>284000000</v>
      </c>
      <c r="D1046" s="1741">
        <v>270000000</v>
      </c>
      <c r="E1046" s="1742">
        <v>7</v>
      </c>
      <c r="F1046" s="1742">
        <v>6</v>
      </c>
      <c r="G1046" s="1742">
        <v>0</v>
      </c>
      <c r="H1046" s="1742">
        <v>6</v>
      </c>
      <c r="I1046" s="1743">
        <v>42370</v>
      </c>
    </row>
    <row r="1047" spans="1:9">
      <c r="A1047" s="1740" t="s">
        <v>2046</v>
      </c>
      <c r="B1047" s="1740" t="s">
        <v>2047</v>
      </c>
      <c r="C1047" s="1741">
        <v>189000000</v>
      </c>
      <c r="D1047" s="1741">
        <v>180000000</v>
      </c>
      <c r="E1047" s="1742">
        <v>39</v>
      </c>
      <c r="F1047" s="1742">
        <v>10</v>
      </c>
      <c r="G1047" s="1742">
        <v>0</v>
      </c>
      <c r="H1047" s="1742">
        <v>10</v>
      </c>
      <c r="I1047" s="1743">
        <v>42370</v>
      </c>
    </row>
    <row r="1048" spans="1:9">
      <c r="A1048" s="1740" t="s">
        <v>1148</v>
      </c>
      <c r="B1048" s="1740" t="s">
        <v>1826</v>
      </c>
      <c r="C1048" s="1741">
        <v>1674000000</v>
      </c>
      <c r="D1048" s="1741">
        <v>1590000000</v>
      </c>
      <c r="E1048" s="1742">
        <v>84</v>
      </c>
      <c r="F1048" s="1742">
        <v>30</v>
      </c>
      <c r="G1048" s="1742">
        <v>0</v>
      </c>
      <c r="H1048" s="1742">
        <v>30</v>
      </c>
      <c r="I1048" s="1743">
        <v>42370</v>
      </c>
    </row>
    <row r="1049" spans="1:9">
      <c r="A1049" s="1740" t="s">
        <v>1149</v>
      </c>
      <c r="B1049" s="1740" t="s">
        <v>1827</v>
      </c>
      <c r="C1049" s="1741">
        <v>1916000000</v>
      </c>
      <c r="D1049" s="1741">
        <v>1819200000</v>
      </c>
      <c r="E1049" s="1742">
        <v>120</v>
      </c>
      <c r="F1049" s="1742">
        <v>42</v>
      </c>
      <c r="G1049" s="1742">
        <v>0</v>
      </c>
      <c r="H1049" s="1742">
        <v>42</v>
      </c>
      <c r="I1049" s="1743">
        <v>42370</v>
      </c>
    </row>
    <row r="1050" spans="1:9">
      <c r="A1050" s="1740" t="s">
        <v>1150</v>
      </c>
      <c r="B1050" s="1740" t="s">
        <v>1828</v>
      </c>
      <c r="C1050" s="1741">
        <v>2161000000</v>
      </c>
      <c r="D1050" s="1741">
        <v>2053100000</v>
      </c>
      <c r="E1050" s="1742">
        <v>128</v>
      </c>
      <c r="F1050" s="1742">
        <v>41</v>
      </c>
      <c r="G1050" s="1742">
        <v>0</v>
      </c>
      <c r="H1050" s="1742">
        <v>41</v>
      </c>
      <c r="I1050" s="1743">
        <v>42370</v>
      </c>
    </row>
    <row r="1051" spans="1:9">
      <c r="A1051" s="1740" t="s">
        <v>1151</v>
      </c>
      <c r="B1051" s="1740" t="s">
        <v>1829</v>
      </c>
      <c r="C1051" s="1741">
        <v>1715000000</v>
      </c>
      <c r="D1051" s="1741">
        <v>1630000000</v>
      </c>
      <c r="E1051" s="1742">
        <v>88</v>
      </c>
      <c r="F1051" s="1742">
        <v>30</v>
      </c>
      <c r="G1051" s="1742">
        <v>0</v>
      </c>
      <c r="H1051" s="1742">
        <v>30</v>
      </c>
      <c r="I1051" s="1743">
        <v>42370</v>
      </c>
    </row>
    <row r="1052" spans="1:9">
      <c r="A1052" s="1740" t="s">
        <v>1153</v>
      </c>
      <c r="B1052" s="1740" t="s">
        <v>1830</v>
      </c>
      <c r="C1052" s="1741">
        <v>870000000</v>
      </c>
      <c r="D1052" s="1741">
        <v>826500000</v>
      </c>
      <c r="E1052" s="1742">
        <v>52</v>
      </c>
      <c r="F1052" s="1742">
        <v>14</v>
      </c>
      <c r="G1052" s="1742">
        <v>0</v>
      </c>
      <c r="H1052" s="1742">
        <v>14</v>
      </c>
      <c r="I1052" s="1743">
        <v>42370</v>
      </c>
    </row>
    <row r="1053" spans="1:9">
      <c r="A1053" s="1740" t="s">
        <v>1154</v>
      </c>
      <c r="B1053" s="1740" t="s">
        <v>1831</v>
      </c>
      <c r="C1053" s="1741">
        <v>537000000</v>
      </c>
      <c r="D1053" s="1741">
        <v>510000000</v>
      </c>
      <c r="E1053" s="1742">
        <v>49</v>
      </c>
      <c r="F1053" s="1742">
        <v>6</v>
      </c>
      <c r="G1053" s="1742">
        <v>0</v>
      </c>
      <c r="H1053" s="1742">
        <v>6</v>
      </c>
      <c r="I1053" s="1743">
        <v>42370</v>
      </c>
    </row>
    <row r="1054" spans="1:9">
      <c r="A1054" s="1740" t="s">
        <v>1675</v>
      </c>
      <c r="B1054" s="1740" t="s">
        <v>1832</v>
      </c>
      <c r="C1054" s="1741">
        <v>316000000</v>
      </c>
      <c r="D1054" s="1741">
        <v>300000000</v>
      </c>
      <c r="E1054" s="1742">
        <v>26</v>
      </c>
      <c r="F1054" s="1742">
        <v>6</v>
      </c>
      <c r="G1054" s="1742">
        <v>0</v>
      </c>
      <c r="H1054" s="1742">
        <v>6</v>
      </c>
      <c r="I1054" s="1743">
        <v>42370</v>
      </c>
    </row>
    <row r="1055" spans="1:9">
      <c r="A1055" s="1740" t="s">
        <v>1155</v>
      </c>
      <c r="B1055" s="1740" t="s">
        <v>1833</v>
      </c>
      <c r="C1055" s="1741">
        <v>3936000000</v>
      </c>
      <c r="D1055" s="1741">
        <v>3738000000</v>
      </c>
      <c r="E1055" s="1742">
        <v>229</v>
      </c>
      <c r="F1055" s="1742">
        <v>66</v>
      </c>
      <c r="G1055" s="1742">
        <v>0</v>
      </c>
      <c r="H1055" s="1742">
        <v>66</v>
      </c>
      <c r="I1055" s="1743">
        <v>42370</v>
      </c>
    </row>
    <row r="1056" spans="1:9">
      <c r="A1056" s="1740" t="s">
        <v>1156</v>
      </c>
      <c r="B1056" s="1740" t="s">
        <v>1834</v>
      </c>
      <c r="C1056" s="1741">
        <v>505000000</v>
      </c>
      <c r="D1056" s="1741">
        <v>480000000</v>
      </c>
      <c r="E1056" s="1742">
        <v>59</v>
      </c>
      <c r="F1056" s="1742">
        <v>20</v>
      </c>
      <c r="G1056" s="1742">
        <v>0</v>
      </c>
      <c r="H1056" s="1742">
        <v>20</v>
      </c>
      <c r="I1056" s="1743">
        <v>42370</v>
      </c>
    </row>
    <row r="1057" spans="1:9">
      <c r="A1057" s="1740" t="s">
        <v>2218</v>
      </c>
      <c r="B1057" s="1740" t="s">
        <v>2049</v>
      </c>
      <c r="C1057" s="1741">
        <v>189000000</v>
      </c>
      <c r="D1057" s="1741">
        <v>180000000</v>
      </c>
      <c r="E1057" s="1742">
        <v>39</v>
      </c>
      <c r="F1057" s="1742">
        <v>10</v>
      </c>
      <c r="G1057" s="1742">
        <v>0</v>
      </c>
      <c r="H1057" s="1742">
        <v>10</v>
      </c>
      <c r="I1057" s="1743">
        <v>42370</v>
      </c>
    </row>
    <row r="1058" spans="1:9">
      <c r="A1058" s="1740" t="s">
        <v>792</v>
      </c>
      <c r="B1058" s="1740" t="s">
        <v>1835</v>
      </c>
      <c r="C1058" s="1741">
        <v>7325000000</v>
      </c>
      <c r="D1058" s="1741">
        <v>6958000000</v>
      </c>
      <c r="E1058" s="1742">
        <v>401</v>
      </c>
      <c r="F1058" s="1742">
        <v>126</v>
      </c>
      <c r="G1058" s="1742">
        <v>0</v>
      </c>
      <c r="H1058" s="1742">
        <v>126</v>
      </c>
      <c r="I1058" s="1743">
        <v>42370</v>
      </c>
    </row>
    <row r="1059" spans="1:9">
      <c r="A1059" s="1740" t="s">
        <v>794</v>
      </c>
      <c r="B1059" s="1740" t="s">
        <v>1836</v>
      </c>
      <c r="C1059" s="1741">
        <v>4077000000</v>
      </c>
      <c r="D1059" s="1741">
        <v>3872300000</v>
      </c>
      <c r="E1059" s="1742">
        <v>248</v>
      </c>
      <c r="F1059" s="1742">
        <v>83</v>
      </c>
      <c r="G1059" s="1742">
        <v>0</v>
      </c>
      <c r="H1059" s="1742">
        <v>83</v>
      </c>
      <c r="I1059" s="1743">
        <v>42370</v>
      </c>
    </row>
    <row r="1060" spans="1:9">
      <c r="A1060" s="1740" t="s">
        <v>793</v>
      </c>
      <c r="B1060" s="1740" t="s">
        <v>1837</v>
      </c>
      <c r="C1060" s="1741">
        <v>3353000000</v>
      </c>
      <c r="D1060" s="1741">
        <v>3185700000.0000005</v>
      </c>
      <c r="E1060" s="1742">
        <v>216</v>
      </c>
      <c r="F1060" s="1742">
        <v>50</v>
      </c>
      <c r="G1060" s="1742">
        <v>0</v>
      </c>
      <c r="H1060" s="1742">
        <v>50</v>
      </c>
      <c r="I1060" s="1743">
        <v>42370</v>
      </c>
    </row>
    <row r="1061" spans="1:9">
      <c r="A1061" s="1740" t="s">
        <v>458</v>
      </c>
      <c r="B1061" s="1740" t="s">
        <v>1838</v>
      </c>
      <c r="C1061" s="1741">
        <v>1358000000</v>
      </c>
      <c r="D1061" s="1741">
        <v>1290000000</v>
      </c>
      <c r="E1061" s="1742">
        <v>134</v>
      </c>
      <c r="F1061" s="1742">
        <v>32</v>
      </c>
      <c r="G1061" s="1742">
        <v>0</v>
      </c>
      <c r="H1061" s="1742">
        <v>32</v>
      </c>
      <c r="I1061" s="1743">
        <v>42370</v>
      </c>
    </row>
    <row r="1062" spans="1:9">
      <c r="A1062" s="1740" t="s">
        <v>2048</v>
      </c>
      <c r="B1062" s="1740" t="s">
        <v>2050</v>
      </c>
      <c r="C1062" s="1741">
        <v>189000000</v>
      </c>
      <c r="D1062" s="1741">
        <v>180000000</v>
      </c>
      <c r="E1062" s="1742">
        <v>39</v>
      </c>
      <c r="F1062" s="1742">
        <v>10</v>
      </c>
      <c r="G1062" s="1742">
        <v>0</v>
      </c>
      <c r="H1062" s="1742">
        <v>10</v>
      </c>
      <c r="I1062" s="1743">
        <v>42370</v>
      </c>
    </row>
    <row r="1063" spans="1:9">
      <c r="A1063" s="1740" t="s">
        <v>2214</v>
      </c>
      <c r="B1063" s="1740" t="s">
        <v>2215</v>
      </c>
      <c r="C1063" s="1741">
        <v>1333000000</v>
      </c>
      <c r="D1063" s="1741">
        <v>1266800000</v>
      </c>
      <c r="E1063" s="1742">
        <v>90</v>
      </c>
      <c r="F1063" s="1742">
        <v>20</v>
      </c>
      <c r="G1063" s="1742">
        <v>0</v>
      </c>
      <c r="H1063" s="1742">
        <v>20</v>
      </c>
      <c r="I1063" s="1743">
        <v>42370</v>
      </c>
    </row>
    <row r="1064" spans="1:9">
      <c r="A1064" s="1740" t="s">
        <v>2216</v>
      </c>
      <c r="B1064" s="1740" t="s">
        <v>2217</v>
      </c>
      <c r="C1064" s="1741">
        <v>1150000000</v>
      </c>
      <c r="D1064" s="1741">
        <v>1092400000</v>
      </c>
      <c r="E1064" s="1742">
        <v>74</v>
      </c>
      <c r="F1064" s="1742">
        <v>16</v>
      </c>
      <c r="G1064" s="1742">
        <v>0</v>
      </c>
      <c r="H1064" s="1742">
        <v>16</v>
      </c>
      <c r="I1064" s="1743">
        <v>42370</v>
      </c>
    </row>
    <row r="1065" spans="1:9">
      <c r="A1065" s="1740" t="s">
        <v>1158</v>
      </c>
      <c r="B1065" s="1740" t="s">
        <v>1159</v>
      </c>
      <c r="C1065" s="1741">
        <v>16302000000</v>
      </c>
      <c r="D1065" s="1741">
        <v>15486000000</v>
      </c>
      <c r="E1065" s="1742">
        <v>1038</v>
      </c>
      <c r="F1065" s="1742">
        <v>301</v>
      </c>
      <c r="G1065" s="1742">
        <v>0</v>
      </c>
      <c r="H1065" s="1742">
        <v>301</v>
      </c>
      <c r="I1065" s="1743">
        <v>42370</v>
      </c>
    </row>
    <row r="1066" spans="1:9" ht="30">
      <c r="A1066" s="1740" t="s">
        <v>1291</v>
      </c>
      <c r="B1066" s="1740" t="s">
        <v>1839</v>
      </c>
      <c r="C1066" s="1741">
        <v>1201000000</v>
      </c>
      <c r="D1066" s="1741">
        <v>1140000000</v>
      </c>
      <c r="E1066" s="1742">
        <v>83</v>
      </c>
      <c r="F1066" s="1742">
        <v>24</v>
      </c>
      <c r="G1066" s="1742">
        <v>0</v>
      </c>
      <c r="H1066" s="1742">
        <v>24</v>
      </c>
      <c r="I1066" s="1743">
        <v>42370</v>
      </c>
    </row>
    <row r="1067" spans="1:9">
      <c r="A1067" s="1740" t="s">
        <v>1292</v>
      </c>
      <c r="B1067" s="1740" t="s">
        <v>1840</v>
      </c>
      <c r="C1067" s="1741">
        <v>1600000000</v>
      </c>
      <c r="D1067" s="1741">
        <v>1519200000</v>
      </c>
      <c r="E1067" s="1742">
        <v>91</v>
      </c>
      <c r="F1067" s="1742">
        <v>33</v>
      </c>
      <c r="G1067" s="1742">
        <v>0</v>
      </c>
      <c r="H1067" s="1742">
        <v>33</v>
      </c>
      <c r="I1067" s="1743">
        <v>42370</v>
      </c>
    </row>
    <row r="1068" spans="1:9">
      <c r="A1068" s="1740" t="s">
        <v>1293</v>
      </c>
      <c r="B1068" s="1740" t="s">
        <v>1841</v>
      </c>
      <c r="C1068" s="1741">
        <v>1514000000</v>
      </c>
      <c r="D1068" s="1741">
        <v>1438100000</v>
      </c>
      <c r="E1068" s="1742">
        <v>87</v>
      </c>
      <c r="F1068" s="1742">
        <v>32</v>
      </c>
      <c r="G1068" s="1742">
        <v>0</v>
      </c>
      <c r="H1068" s="1742">
        <v>32</v>
      </c>
      <c r="I1068" s="1743">
        <v>42370</v>
      </c>
    </row>
    <row r="1069" spans="1:9">
      <c r="A1069" s="1740" t="s">
        <v>1294</v>
      </c>
      <c r="B1069" s="1740" t="s">
        <v>1842</v>
      </c>
      <c r="C1069" s="1741">
        <v>1031000000</v>
      </c>
      <c r="D1069" s="1741">
        <v>980000000</v>
      </c>
      <c r="E1069" s="1742">
        <v>68</v>
      </c>
      <c r="F1069" s="1742">
        <v>24</v>
      </c>
      <c r="G1069" s="1742">
        <v>0</v>
      </c>
      <c r="H1069" s="1742">
        <v>24</v>
      </c>
      <c r="I1069" s="1743">
        <v>42370</v>
      </c>
    </row>
    <row r="1070" spans="1:9">
      <c r="A1070" s="1740" t="s">
        <v>1296</v>
      </c>
      <c r="B1070" s="1740" t="s">
        <v>1844</v>
      </c>
      <c r="C1070" s="1741">
        <v>1327000000</v>
      </c>
      <c r="D1070" s="1741">
        <v>1260000000</v>
      </c>
      <c r="E1070" s="1742">
        <v>70</v>
      </c>
      <c r="F1070" s="1742">
        <v>24</v>
      </c>
      <c r="G1070" s="1742">
        <v>0</v>
      </c>
      <c r="H1070" s="1742">
        <v>24</v>
      </c>
      <c r="I1070" s="1743">
        <v>42370</v>
      </c>
    </row>
    <row r="1071" spans="1:9">
      <c r="A1071" s="1740" t="s">
        <v>1297</v>
      </c>
      <c r="B1071" s="1740" t="s">
        <v>1845</v>
      </c>
      <c r="C1071" s="1741">
        <v>549000000</v>
      </c>
      <c r="D1071" s="1741">
        <v>521500000</v>
      </c>
      <c r="E1071" s="1742">
        <v>30</v>
      </c>
      <c r="F1071" s="1742">
        <v>8</v>
      </c>
      <c r="G1071" s="1742">
        <v>0</v>
      </c>
      <c r="H1071" s="1742">
        <v>8</v>
      </c>
      <c r="I1071" s="1743">
        <v>42370</v>
      </c>
    </row>
    <row r="1072" spans="1:9">
      <c r="A1072" s="1740" t="s">
        <v>1298</v>
      </c>
      <c r="B1072" s="1740" t="s">
        <v>1846</v>
      </c>
      <c r="C1072" s="1741">
        <v>684000000</v>
      </c>
      <c r="D1072" s="1741">
        <v>650000000</v>
      </c>
      <c r="E1072" s="1742">
        <v>20</v>
      </c>
      <c r="F1072" s="1742">
        <v>6</v>
      </c>
      <c r="G1072" s="1742">
        <v>0</v>
      </c>
      <c r="H1072" s="1742">
        <v>6</v>
      </c>
      <c r="I1072" s="1743">
        <v>42370</v>
      </c>
    </row>
    <row r="1073" spans="1:9">
      <c r="A1073" s="1740" t="s">
        <v>1299</v>
      </c>
      <c r="B1073" s="1740" t="s">
        <v>1847</v>
      </c>
      <c r="C1073" s="1741">
        <v>537000000</v>
      </c>
      <c r="D1073" s="1741">
        <v>510000000</v>
      </c>
      <c r="E1073" s="1742">
        <v>49</v>
      </c>
      <c r="F1073" s="1742">
        <v>6</v>
      </c>
      <c r="G1073" s="1742">
        <v>0</v>
      </c>
      <c r="H1073" s="1742">
        <v>6</v>
      </c>
      <c r="I1073" s="1743">
        <v>42370</v>
      </c>
    </row>
    <row r="1074" spans="1:9">
      <c r="A1074" s="1740" t="s">
        <v>1300</v>
      </c>
      <c r="B1074" s="1740" t="s">
        <v>1848</v>
      </c>
      <c r="C1074" s="1741">
        <v>347000000</v>
      </c>
      <c r="D1074" s="1741">
        <v>330000000</v>
      </c>
      <c r="E1074" s="1742">
        <v>14</v>
      </c>
      <c r="F1074" s="1742">
        <v>6</v>
      </c>
      <c r="G1074" s="1742">
        <v>0</v>
      </c>
      <c r="H1074" s="1742">
        <v>6</v>
      </c>
      <c r="I1074" s="1743">
        <v>42370</v>
      </c>
    </row>
    <row r="1075" spans="1:9" ht="30">
      <c r="A1075" s="1740" t="s">
        <v>1301</v>
      </c>
      <c r="B1075" s="1740" t="s">
        <v>1849</v>
      </c>
      <c r="C1075" s="1741">
        <v>647000000</v>
      </c>
      <c r="D1075" s="1741">
        <v>615000000</v>
      </c>
      <c r="E1075" s="1742">
        <v>41</v>
      </c>
      <c r="F1075" s="1742">
        <v>9</v>
      </c>
      <c r="G1075" s="1742">
        <v>0</v>
      </c>
      <c r="H1075" s="1742">
        <v>9</v>
      </c>
      <c r="I1075" s="1743">
        <v>42370</v>
      </c>
    </row>
    <row r="1076" spans="1:9">
      <c r="A1076" s="1740" t="s">
        <v>1302</v>
      </c>
      <c r="B1076" s="1740" t="s">
        <v>1850</v>
      </c>
      <c r="C1076" s="1741">
        <v>2735000000</v>
      </c>
      <c r="D1076" s="1741">
        <v>2598000000</v>
      </c>
      <c r="E1076" s="1742">
        <v>146</v>
      </c>
      <c r="F1076" s="1742">
        <v>42</v>
      </c>
      <c r="G1076" s="1742">
        <v>0</v>
      </c>
      <c r="H1076" s="1742">
        <v>42</v>
      </c>
      <c r="I1076" s="1743">
        <v>42370</v>
      </c>
    </row>
    <row r="1077" spans="1:9">
      <c r="A1077" s="1740" t="s">
        <v>1303</v>
      </c>
      <c r="B1077" s="1740" t="s">
        <v>1851</v>
      </c>
      <c r="C1077" s="1741">
        <v>316000000</v>
      </c>
      <c r="D1077" s="1741">
        <v>300000000</v>
      </c>
      <c r="E1077" s="1742">
        <v>26</v>
      </c>
      <c r="F1077" s="1742">
        <v>6</v>
      </c>
      <c r="G1077" s="1742">
        <v>0</v>
      </c>
      <c r="H1077" s="1742">
        <v>6</v>
      </c>
      <c r="I1077" s="1743">
        <v>42370</v>
      </c>
    </row>
    <row r="1078" spans="1:9">
      <c r="A1078" s="1740" t="s">
        <v>1422</v>
      </c>
      <c r="B1078" s="1740" t="s">
        <v>1852</v>
      </c>
      <c r="C1078" s="1741">
        <v>954000000</v>
      </c>
      <c r="D1078" s="1741">
        <v>906800000</v>
      </c>
      <c r="E1078" s="1742">
        <v>64</v>
      </c>
      <c r="F1078" s="1742">
        <v>15</v>
      </c>
      <c r="G1078" s="1742">
        <v>0</v>
      </c>
      <c r="H1078" s="1742">
        <v>15</v>
      </c>
      <c r="I1078" s="1743">
        <v>42370</v>
      </c>
    </row>
    <row r="1079" spans="1:9">
      <c r="A1079" s="1740" t="s">
        <v>1305</v>
      </c>
      <c r="B1079" s="1740" t="s">
        <v>1853</v>
      </c>
      <c r="C1079" s="1741">
        <v>189000000</v>
      </c>
      <c r="D1079" s="1741">
        <v>180000000</v>
      </c>
      <c r="E1079" s="1742">
        <v>21</v>
      </c>
      <c r="F1079" s="1742">
        <v>10</v>
      </c>
      <c r="G1079" s="1742">
        <v>0</v>
      </c>
      <c r="H1079" s="1742">
        <v>10</v>
      </c>
      <c r="I1079" s="1743">
        <v>42370</v>
      </c>
    </row>
    <row r="1080" spans="1:9">
      <c r="A1080" s="1740" t="s">
        <v>1423</v>
      </c>
      <c r="B1080" s="1740" t="s">
        <v>1854</v>
      </c>
      <c r="C1080" s="1741">
        <v>458000000</v>
      </c>
      <c r="D1080" s="1741">
        <v>434700000</v>
      </c>
      <c r="E1080" s="1742">
        <v>29</v>
      </c>
      <c r="F1080" s="1742">
        <v>5</v>
      </c>
      <c r="G1080" s="1742">
        <v>0</v>
      </c>
      <c r="H1080" s="1742">
        <v>5</v>
      </c>
      <c r="I1080" s="1743">
        <v>42370</v>
      </c>
    </row>
    <row r="1081" spans="1:9">
      <c r="A1081" s="1740" t="s">
        <v>1424</v>
      </c>
      <c r="B1081" s="1740" t="s">
        <v>1855</v>
      </c>
      <c r="C1081" s="1741">
        <v>379000000</v>
      </c>
      <c r="D1081" s="1741">
        <v>360000000</v>
      </c>
      <c r="E1081" s="1742">
        <v>26</v>
      </c>
      <c r="F1081" s="1742">
        <v>5</v>
      </c>
      <c r="G1081" s="1742">
        <v>0</v>
      </c>
      <c r="H1081" s="1742">
        <v>5</v>
      </c>
      <c r="I1081" s="1743">
        <v>42370</v>
      </c>
    </row>
    <row r="1082" spans="1:9">
      <c r="A1082" s="1740" t="s">
        <v>2051</v>
      </c>
      <c r="B1082" s="1740" t="s">
        <v>2052</v>
      </c>
      <c r="C1082" s="1741">
        <v>189000000</v>
      </c>
      <c r="D1082" s="1741">
        <v>180000000</v>
      </c>
      <c r="E1082" s="1742">
        <v>39</v>
      </c>
      <c r="F1082" s="1742">
        <v>10</v>
      </c>
      <c r="G1082" s="1742">
        <v>0</v>
      </c>
      <c r="H1082" s="1742">
        <v>10</v>
      </c>
      <c r="I1082" s="1743">
        <v>42370</v>
      </c>
    </row>
    <row r="1083" spans="1:9">
      <c r="A1083" s="1740" t="s">
        <v>2221</v>
      </c>
      <c r="B1083" s="1740" t="s">
        <v>2222</v>
      </c>
      <c r="C1083" s="1741">
        <v>316000000</v>
      </c>
      <c r="D1083" s="1741">
        <v>300000000</v>
      </c>
      <c r="E1083" s="1742">
        <v>29</v>
      </c>
      <c r="F1083" s="1742">
        <v>9</v>
      </c>
      <c r="G1083" s="1742">
        <v>0</v>
      </c>
      <c r="H1083" s="1742">
        <v>9</v>
      </c>
      <c r="I1083" s="1743">
        <v>42370</v>
      </c>
    </row>
    <row r="1084" spans="1:9">
      <c r="A1084" s="1740" t="s">
        <v>2219</v>
      </c>
      <c r="B1084" s="1740" t="s">
        <v>2220</v>
      </c>
      <c r="C1084" s="1741">
        <v>692000000</v>
      </c>
      <c r="D1084" s="1741">
        <v>657700000</v>
      </c>
      <c r="E1084" s="1742">
        <v>45</v>
      </c>
      <c r="F1084" s="1742">
        <v>11</v>
      </c>
      <c r="G1084" s="1742">
        <v>0</v>
      </c>
      <c r="H1084" s="1742">
        <v>11</v>
      </c>
      <c r="I1084" s="1743">
        <v>42370</v>
      </c>
    </row>
    <row r="1085" spans="1:9">
      <c r="A1085" s="1740" t="s">
        <v>2439</v>
      </c>
      <c r="B1085" s="1740" t="s">
        <v>2440</v>
      </c>
      <c r="C1085" s="1741">
        <v>321000000</v>
      </c>
      <c r="D1085" s="1741">
        <v>305000000</v>
      </c>
      <c r="E1085" s="1742">
        <v>22</v>
      </c>
      <c r="F1085" s="1742">
        <v>6</v>
      </c>
      <c r="G1085" s="1742">
        <v>0</v>
      </c>
      <c r="H1085" s="1742">
        <v>6</v>
      </c>
      <c r="I1085" s="1743">
        <v>42370</v>
      </c>
    </row>
    <row r="1086" spans="1:9">
      <c r="A1086" s="1740" t="s">
        <v>2566</v>
      </c>
      <c r="B1086" s="1740" t="s">
        <v>2567</v>
      </c>
      <c r="C1086" s="1741">
        <v>316000000</v>
      </c>
      <c r="D1086" s="1741">
        <v>300000000</v>
      </c>
      <c r="E1086" s="1742">
        <v>38</v>
      </c>
      <c r="F1086" s="1742">
        <v>10</v>
      </c>
      <c r="G1086" s="1742">
        <v>0</v>
      </c>
      <c r="H1086" s="1742">
        <v>10</v>
      </c>
      <c r="I1086" s="1743">
        <v>42370</v>
      </c>
    </row>
    <row r="1089" spans="1:10">
      <c r="A1089" s="1765" t="s">
        <v>2661</v>
      </c>
    </row>
    <row r="1090" spans="1:10">
      <c r="A1090" s="1739" t="s">
        <v>1109</v>
      </c>
      <c r="B1090" s="1739" t="s">
        <v>1110</v>
      </c>
      <c r="C1090" s="1739" t="s">
        <v>1</v>
      </c>
      <c r="D1090" s="1739" t="s">
        <v>2</v>
      </c>
      <c r="E1090" s="1739" t="s">
        <v>1108</v>
      </c>
      <c r="F1090" s="1739" t="s">
        <v>1107</v>
      </c>
      <c r="G1090" s="1739" t="s">
        <v>1106</v>
      </c>
      <c r="H1090" s="1739" t="s">
        <v>1105</v>
      </c>
      <c r="I1090" s="1739" t="s">
        <v>1160</v>
      </c>
    </row>
    <row r="1091" spans="1:10">
      <c r="A1091" s="1766" t="s">
        <v>47</v>
      </c>
      <c r="B1091" s="1740">
        <v>10004</v>
      </c>
      <c r="C1091" s="1741">
        <v>211000000</v>
      </c>
      <c r="D1091" s="1741">
        <v>200000000</v>
      </c>
      <c r="E1091" s="1742">
        <v>7</v>
      </c>
      <c r="F1091" s="1742">
        <v>2</v>
      </c>
      <c r="G1091" s="1742">
        <v>0</v>
      </c>
      <c r="H1091" s="1742">
        <v>2</v>
      </c>
      <c r="I1091" s="1743">
        <v>42401</v>
      </c>
      <c r="J1091" s="1644"/>
    </row>
    <row r="1092" spans="1:10">
      <c r="A1092" s="1766" t="s">
        <v>91</v>
      </c>
      <c r="B1092" s="1740">
        <v>10009</v>
      </c>
      <c r="C1092" s="1741">
        <v>274000000</v>
      </c>
      <c r="D1092" s="1741">
        <v>260000000</v>
      </c>
      <c r="E1092" s="1742">
        <v>17</v>
      </c>
      <c r="F1092" s="1742">
        <v>2</v>
      </c>
      <c r="G1092" s="1742">
        <v>0</v>
      </c>
      <c r="H1092" s="1742">
        <v>2</v>
      </c>
      <c r="I1092" s="1743">
        <v>42401</v>
      </c>
      <c r="J1092" s="1644"/>
    </row>
    <row r="1093" spans="1:10">
      <c r="A1093" s="1766" t="s">
        <v>177</v>
      </c>
      <c r="B1093" s="1740">
        <v>10013</v>
      </c>
      <c r="C1093" s="1741">
        <v>532000000</v>
      </c>
      <c r="D1093" s="1741">
        <v>505100000</v>
      </c>
      <c r="E1093" s="1742">
        <v>21</v>
      </c>
      <c r="F1093" s="1742">
        <v>8</v>
      </c>
      <c r="G1093" s="1742">
        <v>0</v>
      </c>
      <c r="H1093" s="1742">
        <v>8</v>
      </c>
      <c r="I1093" s="1743">
        <v>42401</v>
      </c>
      <c r="J1093" s="1644"/>
    </row>
    <row r="1094" spans="1:10">
      <c r="A1094" s="1766" t="s">
        <v>185</v>
      </c>
      <c r="B1094" s="1740">
        <v>10014</v>
      </c>
      <c r="C1094" s="1741">
        <v>363000000</v>
      </c>
      <c r="D1094" s="1741">
        <v>345000000</v>
      </c>
      <c r="E1094" s="1742">
        <v>21</v>
      </c>
      <c r="F1094" s="1742">
        <v>6</v>
      </c>
      <c r="G1094" s="1742">
        <v>0</v>
      </c>
      <c r="H1094" s="1742">
        <v>6</v>
      </c>
      <c r="I1094" s="1743">
        <v>42401</v>
      </c>
      <c r="J1094" s="1644"/>
    </row>
    <row r="1095" spans="1:10">
      <c r="A1095" s="1766" t="s">
        <v>179</v>
      </c>
      <c r="B1095" s="1740">
        <v>10015</v>
      </c>
      <c r="C1095" s="1741">
        <v>512000000</v>
      </c>
      <c r="D1095" s="1741">
        <v>486000000</v>
      </c>
      <c r="E1095" s="1742">
        <v>36</v>
      </c>
      <c r="F1095" s="1742">
        <v>5</v>
      </c>
      <c r="G1095" s="1742">
        <v>0</v>
      </c>
      <c r="H1095" s="1742">
        <v>5</v>
      </c>
      <c r="I1095" s="1743">
        <v>42401</v>
      </c>
      <c r="J1095" s="1644"/>
    </row>
    <row r="1096" spans="1:10">
      <c r="A1096" s="1766" t="s">
        <v>176</v>
      </c>
      <c r="B1096" s="1740">
        <v>10017</v>
      </c>
      <c r="C1096" s="1741">
        <v>647000000</v>
      </c>
      <c r="D1096" s="1741">
        <v>615000000</v>
      </c>
      <c r="E1096" s="1742">
        <v>36</v>
      </c>
      <c r="F1096" s="1742">
        <v>6</v>
      </c>
      <c r="G1096" s="1742">
        <v>0</v>
      </c>
      <c r="H1096" s="1742">
        <v>6</v>
      </c>
      <c r="I1096" s="1743">
        <v>42401</v>
      </c>
      <c r="J1096" s="1644"/>
    </row>
    <row r="1097" spans="1:10">
      <c r="A1097" s="1766" t="s">
        <v>187</v>
      </c>
      <c r="B1097" s="1740">
        <v>10018</v>
      </c>
      <c r="C1097" s="1741">
        <v>189000000</v>
      </c>
      <c r="D1097" s="1741">
        <v>180000000</v>
      </c>
      <c r="E1097" s="1742">
        <v>12</v>
      </c>
      <c r="F1097" s="1742">
        <v>2</v>
      </c>
      <c r="G1097" s="1742">
        <v>0</v>
      </c>
      <c r="H1097" s="1742">
        <v>2</v>
      </c>
      <c r="I1097" s="1743">
        <v>42401</v>
      </c>
      <c r="J1097" s="1644"/>
    </row>
    <row r="1098" spans="1:10">
      <c r="A1098" s="1766" t="s">
        <v>630</v>
      </c>
      <c r="B1098" s="1740">
        <v>10031</v>
      </c>
      <c r="C1098" s="1741">
        <v>0</v>
      </c>
      <c r="D1098" s="1741">
        <v>0</v>
      </c>
      <c r="E1098" s="1742">
        <v>0</v>
      </c>
      <c r="F1098" s="1742">
        <v>0</v>
      </c>
      <c r="G1098" s="1742">
        <v>0</v>
      </c>
      <c r="H1098" s="1742">
        <v>0</v>
      </c>
      <c r="I1098" s="1743">
        <v>42401</v>
      </c>
      <c r="J1098" s="1644"/>
    </row>
    <row r="1099" spans="1:10">
      <c r="A1099" s="1766" t="s">
        <v>661</v>
      </c>
      <c r="B1099" s="1740">
        <v>10032</v>
      </c>
      <c r="C1099" s="1741">
        <v>200000000</v>
      </c>
      <c r="D1099" s="1741">
        <v>190200000</v>
      </c>
      <c r="E1099" s="1742">
        <v>10</v>
      </c>
      <c r="F1099" s="1742">
        <v>6</v>
      </c>
      <c r="G1099" s="1742">
        <v>0</v>
      </c>
      <c r="H1099" s="1742">
        <v>6</v>
      </c>
      <c r="I1099" s="1743">
        <v>42401</v>
      </c>
      <c r="J1099" s="1644"/>
    </row>
    <row r="1100" spans="1:10">
      <c r="A1100" s="1766" t="s">
        <v>628</v>
      </c>
      <c r="B1100" s="1740">
        <v>10036</v>
      </c>
      <c r="C1100" s="1741">
        <v>316000000</v>
      </c>
      <c r="D1100" s="1741">
        <v>300000000</v>
      </c>
      <c r="E1100" s="1742">
        <v>8</v>
      </c>
      <c r="F1100" s="1742">
        <v>2</v>
      </c>
      <c r="G1100" s="1742">
        <v>0</v>
      </c>
      <c r="H1100" s="1742">
        <v>2</v>
      </c>
      <c r="I1100" s="1743">
        <v>42401</v>
      </c>
      <c r="J1100" s="1644"/>
    </row>
    <row r="1101" spans="1:10">
      <c r="A1101" s="1766" t="s">
        <v>650</v>
      </c>
      <c r="B1101" s="1740">
        <v>10037</v>
      </c>
      <c r="C1101" s="1741">
        <v>126000000</v>
      </c>
      <c r="D1101" s="1741">
        <v>120000000</v>
      </c>
      <c r="E1101" s="1742">
        <v>6</v>
      </c>
      <c r="F1101" s="1742">
        <v>2</v>
      </c>
      <c r="G1101" s="1742">
        <v>0</v>
      </c>
      <c r="H1101" s="1742">
        <v>2</v>
      </c>
      <c r="I1101" s="1743">
        <v>42401</v>
      </c>
      <c r="J1101" s="1644"/>
    </row>
    <row r="1102" spans="1:10">
      <c r="A1102" s="1766" t="s">
        <v>660</v>
      </c>
      <c r="B1102" s="1740">
        <v>10038</v>
      </c>
      <c r="C1102" s="1741">
        <v>316000000</v>
      </c>
      <c r="D1102" s="1741">
        <v>300000000</v>
      </c>
      <c r="E1102" s="1742">
        <v>24</v>
      </c>
      <c r="F1102" s="1742">
        <v>6</v>
      </c>
      <c r="G1102" s="1742">
        <v>0</v>
      </c>
      <c r="H1102" s="1742">
        <v>6</v>
      </c>
      <c r="I1102" s="1743">
        <v>42401</v>
      </c>
      <c r="J1102" s="1644"/>
    </row>
    <row r="1103" spans="1:10">
      <c r="A1103" s="1766" t="s">
        <v>648</v>
      </c>
      <c r="B1103" s="1740">
        <v>10039</v>
      </c>
      <c r="C1103" s="1741">
        <v>189000000</v>
      </c>
      <c r="D1103" s="1741">
        <v>180000000</v>
      </c>
      <c r="E1103" s="1742">
        <v>9</v>
      </c>
      <c r="F1103" s="1742">
        <v>2</v>
      </c>
      <c r="G1103" s="1742">
        <v>0</v>
      </c>
      <c r="H1103" s="1742">
        <v>2</v>
      </c>
      <c r="I1103" s="1743">
        <v>42401</v>
      </c>
      <c r="J1103" s="1644"/>
    </row>
    <row r="1104" spans="1:10">
      <c r="A1104" s="1766" t="s">
        <v>659</v>
      </c>
      <c r="B1104" s="1740">
        <v>10043</v>
      </c>
      <c r="C1104" s="1741">
        <v>458000000</v>
      </c>
      <c r="D1104" s="1741">
        <v>435000000</v>
      </c>
      <c r="E1104" s="1742">
        <v>24</v>
      </c>
      <c r="F1104" s="1742">
        <v>10</v>
      </c>
      <c r="G1104" s="1742">
        <v>0</v>
      </c>
      <c r="H1104" s="1742">
        <v>10</v>
      </c>
      <c r="I1104" s="1743">
        <v>42401</v>
      </c>
      <c r="J1104" s="1644"/>
    </row>
    <row r="1105" spans="1:10">
      <c r="A1105" s="1766" t="s">
        <v>649</v>
      </c>
      <c r="B1105" s="1740">
        <v>10045</v>
      </c>
      <c r="C1105" s="1741">
        <v>200000000</v>
      </c>
      <c r="D1105" s="1741">
        <v>190000000</v>
      </c>
      <c r="E1105" s="1742">
        <v>12</v>
      </c>
      <c r="F1105" s="1742">
        <v>2</v>
      </c>
      <c r="G1105" s="1742">
        <v>0</v>
      </c>
      <c r="H1105" s="1742">
        <v>2</v>
      </c>
      <c r="I1105" s="1743">
        <v>42401</v>
      </c>
      <c r="J1105" s="1644"/>
    </row>
    <row r="1106" spans="1:10">
      <c r="A1106" s="1766" t="s">
        <v>642</v>
      </c>
      <c r="B1106" s="1740">
        <v>10046</v>
      </c>
      <c r="C1106" s="1741">
        <v>211000000</v>
      </c>
      <c r="D1106" s="1741">
        <v>200000000</v>
      </c>
      <c r="E1106" s="1742">
        <v>11</v>
      </c>
      <c r="F1106" s="1742">
        <v>2</v>
      </c>
      <c r="G1106" s="1742">
        <v>0</v>
      </c>
      <c r="H1106" s="1742">
        <v>2</v>
      </c>
      <c r="I1106" s="1743">
        <v>42401</v>
      </c>
      <c r="J1106" s="1644"/>
    </row>
    <row r="1107" spans="1:10">
      <c r="A1107" s="1766" t="s">
        <v>736</v>
      </c>
      <c r="B1107" s="1740">
        <v>10048</v>
      </c>
      <c r="C1107" s="1741">
        <v>274000000</v>
      </c>
      <c r="D1107" s="1741">
        <v>260000000</v>
      </c>
      <c r="E1107" s="1742">
        <v>14</v>
      </c>
      <c r="F1107" s="1742">
        <v>2</v>
      </c>
      <c r="G1107" s="1742">
        <v>0</v>
      </c>
      <c r="H1107" s="1742">
        <v>2</v>
      </c>
      <c r="I1107" s="1743">
        <v>42401</v>
      </c>
      <c r="J1107" s="1644"/>
    </row>
    <row r="1108" spans="1:10">
      <c r="A1108" s="1766" t="s">
        <v>699</v>
      </c>
      <c r="B1108" s="1740">
        <v>10052</v>
      </c>
      <c r="C1108" s="1741">
        <v>85000000</v>
      </c>
      <c r="D1108" s="1741">
        <v>80800000</v>
      </c>
      <c r="E1108" s="1742">
        <v>5</v>
      </c>
      <c r="F1108" s="1742">
        <v>3</v>
      </c>
      <c r="G1108" s="1742">
        <v>0</v>
      </c>
      <c r="H1108" s="1742">
        <v>3</v>
      </c>
      <c r="I1108" s="1743">
        <v>42401</v>
      </c>
      <c r="J1108" s="1644"/>
    </row>
    <row r="1109" spans="1:10">
      <c r="A1109" s="1766" t="s">
        <v>735</v>
      </c>
      <c r="B1109" s="1740">
        <v>10055</v>
      </c>
      <c r="C1109" s="1741">
        <v>579000000</v>
      </c>
      <c r="D1109" s="1741">
        <v>550000000</v>
      </c>
      <c r="E1109" s="1742">
        <v>10</v>
      </c>
      <c r="F1109" s="1742">
        <v>2</v>
      </c>
      <c r="G1109" s="1742">
        <v>0</v>
      </c>
      <c r="H1109" s="1742">
        <v>2</v>
      </c>
      <c r="I1109" s="1743">
        <v>42401</v>
      </c>
      <c r="J1109" s="1644"/>
    </row>
    <row r="1110" spans="1:10">
      <c r="A1110" s="1766" t="s">
        <v>734</v>
      </c>
      <c r="B1110" s="1740">
        <v>10059</v>
      </c>
      <c r="C1110" s="1741">
        <v>358000000</v>
      </c>
      <c r="D1110" s="1741">
        <v>340000000</v>
      </c>
      <c r="E1110" s="1742">
        <v>25</v>
      </c>
      <c r="F1110" s="1742">
        <v>2</v>
      </c>
      <c r="G1110" s="1742">
        <v>0</v>
      </c>
      <c r="H1110" s="1742">
        <v>2</v>
      </c>
      <c r="I1110" s="1743">
        <v>42401</v>
      </c>
      <c r="J1110" s="1644"/>
    </row>
    <row r="1111" spans="1:10">
      <c r="A1111" s="1766" t="s">
        <v>798</v>
      </c>
      <c r="B1111" s="1740">
        <v>10073</v>
      </c>
      <c r="C1111" s="1741">
        <v>232000000</v>
      </c>
      <c r="D1111" s="1741">
        <v>220000000</v>
      </c>
      <c r="E1111" s="1742">
        <v>7</v>
      </c>
      <c r="F1111" s="1742">
        <v>2</v>
      </c>
      <c r="G1111" s="1742">
        <v>0</v>
      </c>
      <c r="H1111" s="1742">
        <v>2</v>
      </c>
      <c r="I1111" s="1743">
        <v>42401</v>
      </c>
      <c r="J1111" s="1644"/>
    </row>
    <row r="1112" spans="1:10">
      <c r="A1112" s="1766" t="s">
        <v>796</v>
      </c>
      <c r="B1112" s="1740">
        <v>10074</v>
      </c>
      <c r="C1112" s="1741">
        <v>211000000</v>
      </c>
      <c r="D1112" s="1741">
        <v>200000000</v>
      </c>
      <c r="E1112" s="1742">
        <v>8</v>
      </c>
      <c r="F1112" s="1742">
        <v>2</v>
      </c>
      <c r="G1112" s="1742">
        <v>0</v>
      </c>
      <c r="H1112" s="1742">
        <v>2</v>
      </c>
      <c r="I1112" s="1743">
        <v>42401</v>
      </c>
      <c r="J1112" s="1644"/>
    </row>
    <row r="1113" spans="1:10">
      <c r="A1113" s="1766" t="s">
        <v>799</v>
      </c>
      <c r="B1113" s="1740">
        <v>10075</v>
      </c>
      <c r="C1113" s="1741">
        <v>189000000</v>
      </c>
      <c r="D1113" s="1741">
        <v>180000000</v>
      </c>
      <c r="E1113" s="1742">
        <v>12</v>
      </c>
      <c r="F1113" s="1742">
        <v>2</v>
      </c>
      <c r="G1113" s="1742">
        <v>0</v>
      </c>
      <c r="H1113" s="1742">
        <v>2</v>
      </c>
      <c r="I1113" s="1743">
        <v>42401</v>
      </c>
      <c r="J1113" s="1644"/>
    </row>
    <row r="1114" spans="1:10">
      <c r="A1114" s="1766" t="s">
        <v>825</v>
      </c>
      <c r="B1114" s="1740">
        <v>10077</v>
      </c>
      <c r="C1114" s="1741">
        <v>189000000</v>
      </c>
      <c r="D1114" s="1741">
        <v>180000000</v>
      </c>
      <c r="E1114" s="1742">
        <v>12</v>
      </c>
      <c r="F1114" s="1742">
        <v>5</v>
      </c>
      <c r="G1114" s="1742">
        <v>0</v>
      </c>
      <c r="H1114" s="1742">
        <v>5</v>
      </c>
      <c r="I1114" s="1743">
        <v>42401</v>
      </c>
      <c r="J1114" s="1644"/>
    </row>
    <row r="1115" spans="1:10">
      <c r="A1115" s="1766" t="s">
        <v>905</v>
      </c>
      <c r="B1115" s="1740">
        <v>10084</v>
      </c>
      <c r="C1115" s="1741">
        <v>263000000</v>
      </c>
      <c r="D1115" s="1741">
        <v>250000000</v>
      </c>
      <c r="E1115" s="1742">
        <v>9</v>
      </c>
      <c r="F1115" s="1742">
        <v>2</v>
      </c>
      <c r="G1115" s="1742">
        <v>0</v>
      </c>
      <c r="H1115" s="1742">
        <v>2</v>
      </c>
      <c r="I1115" s="1743">
        <v>42401</v>
      </c>
      <c r="J1115" s="1644"/>
    </row>
    <row r="1116" spans="1:10">
      <c r="A1116" s="1766" t="s">
        <v>903</v>
      </c>
      <c r="B1116" s="1740">
        <v>10088</v>
      </c>
      <c r="C1116" s="1741">
        <v>211000000</v>
      </c>
      <c r="D1116" s="1741">
        <v>200000000</v>
      </c>
      <c r="E1116" s="1742">
        <v>16</v>
      </c>
      <c r="F1116" s="1742">
        <v>2</v>
      </c>
      <c r="G1116" s="1742">
        <v>0</v>
      </c>
      <c r="H1116" s="1742">
        <v>2</v>
      </c>
      <c r="I1116" s="1743">
        <v>42401</v>
      </c>
      <c r="J1116" s="1644"/>
    </row>
    <row r="1117" spans="1:10">
      <c r="A1117" s="1766" t="s">
        <v>902</v>
      </c>
      <c r="B1117" s="1740">
        <v>10089</v>
      </c>
      <c r="C1117" s="1741">
        <v>211000000</v>
      </c>
      <c r="D1117" s="1741">
        <v>200000000</v>
      </c>
      <c r="E1117" s="1742">
        <v>14</v>
      </c>
      <c r="F1117" s="1742">
        <v>2</v>
      </c>
      <c r="G1117" s="1742">
        <v>0</v>
      </c>
      <c r="H1117" s="1742">
        <v>2</v>
      </c>
      <c r="I1117" s="1743">
        <v>42401</v>
      </c>
      <c r="J1117" s="1644"/>
    </row>
    <row r="1118" spans="1:10">
      <c r="A1118" s="1766" t="s">
        <v>900</v>
      </c>
      <c r="B1118" s="1740">
        <v>10090</v>
      </c>
      <c r="C1118" s="1741">
        <v>295000000</v>
      </c>
      <c r="D1118" s="1741">
        <v>280000000</v>
      </c>
      <c r="E1118" s="1742">
        <v>9</v>
      </c>
      <c r="F1118" s="1742">
        <v>2</v>
      </c>
      <c r="G1118" s="1742">
        <v>0</v>
      </c>
      <c r="H1118" s="1742">
        <v>2</v>
      </c>
      <c r="I1118" s="1743">
        <v>42401</v>
      </c>
      <c r="J1118" s="1644"/>
    </row>
    <row r="1119" spans="1:10">
      <c r="A1119" s="1766" t="s">
        <v>949</v>
      </c>
      <c r="B1119" s="1740">
        <v>10092</v>
      </c>
      <c r="C1119" s="1741">
        <v>316000000</v>
      </c>
      <c r="D1119" s="1741">
        <v>300000000</v>
      </c>
      <c r="E1119" s="1742">
        <v>13</v>
      </c>
      <c r="F1119" s="1742">
        <v>2</v>
      </c>
      <c r="G1119" s="1742">
        <v>0</v>
      </c>
      <c r="H1119" s="1742">
        <v>2</v>
      </c>
      <c r="I1119" s="1743">
        <v>42401</v>
      </c>
      <c r="J1119" s="1644"/>
    </row>
    <row r="1120" spans="1:10">
      <c r="A1120" s="1766" t="s">
        <v>1104</v>
      </c>
      <c r="B1120" s="1740">
        <v>10096</v>
      </c>
      <c r="C1120" s="1741">
        <v>189000000</v>
      </c>
      <c r="D1120" s="1741">
        <v>180000000</v>
      </c>
      <c r="E1120" s="1742">
        <v>14</v>
      </c>
      <c r="F1120" s="1742">
        <v>9</v>
      </c>
      <c r="G1120" s="1742">
        <v>0</v>
      </c>
      <c r="H1120" s="1742">
        <v>9</v>
      </c>
      <c r="I1120" s="1743">
        <v>42401</v>
      </c>
      <c r="J1120" s="1644"/>
    </row>
    <row r="1121" spans="1:17">
      <c r="A1121" s="1766" t="s">
        <v>1015</v>
      </c>
      <c r="B1121" s="1740">
        <v>10097</v>
      </c>
      <c r="C1121" s="1741">
        <v>166000000</v>
      </c>
      <c r="D1121" s="1741">
        <v>157400000</v>
      </c>
      <c r="E1121" s="1742">
        <v>13</v>
      </c>
      <c r="F1121" s="1742">
        <v>9</v>
      </c>
      <c r="G1121" s="1742">
        <v>0</v>
      </c>
      <c r="H1121" s="1742">
        <v>9</v>
      </c>
      <c r="I1121" s="1743">
        <v>42401</v>
      </c>
      <c r="J1121" s="1644"/>
    </row>
    <row r="1122" spans="1:17">
      <c r="A1122" s="1766" t="s">
        <v>1103</v>
      </c>
      <c r="B1122" s="1740">
        <v>10098</v>
      </c>
      <c r="C1122" s="1741">
        <v>122000000</v>
      </c>
      <c r="D1122" s="1741">
        <v>116000000</v>
      </c>
      <c r="E1122" s="1742">
        <v>8</v>
      </c>
      <c r="F1122" s="1742">
        <v>9</v>
      </c>
      <c r="G1122" s="1742">
        <v>0</v>
      </c>
      <c r="H1122" s="1742">
        <v>9</v>
      </c>
      <c r="I1122" s="1743">
        <v>42401</v>
      </c>
      <c r="J1122" s="1644"/>
    </row>
    <row r="1123" spans="1:17">
      <c r="A1123" s="1766" t="s">
        <v>1102</v>
      </c>
      <c r="B1123" s="1740">
        <v>10103</v>
      </c>
      <c r="C1123" s="1741">
        <v>211000000</v>
      </c>
      <c r="D1123" s="1741">
        <v>200000000</v>
      </c>
      <c r="E1123" s="1742">
        <v>19</v>
      </c>
      <c r="F1123" s="1742">
        <v>4</v>
      </c>
      <c r="G1123" s="1742">
        <v>0</v>
      </c>
      <c r="H1123" s="1742">
        <v>4</v>
      </c>
      <c r="I1123" s="1743">
        <v>42401</v>
      </c>
      <c r="J1123" s="1644"/>
    </row>
    <row r="1124" spans="1:17">
      <c r="A1124" s="1766" t="s">
        <v>1101</v>
      </c>
      <c r="B1124" s="1740">
        <v>10104</v>
      </c>
      <c r="C1124" s="1741">
        <v>126000000</v>
      </c>
      <c r="D1124" s="1741">
        <v>120000000</v>
      </c>
      <c r="E1124" s="1742">
        <v>11</v>
      </c>
      <c r="F1124" s="1742">
        <v>4</v>
      </c>
      <c r="G1124" s="1742">
        <v>0</v>
      </c>
      <c r="H1124" s="1742">
        <v>4</v>
      </c>
      <c r="I1124" s="1743">
        <v>42401</v>
      </c>
      <c r="J1124" s="1644"/>
    </row>
    <row r="1125" spans="1:17">
      <c r="A1125" s="1766" t="s">
        <v>1100</v>
      </c>
      <c r="B1125" s="1740">
        <v>10105</v>
      </c>
      <c r="C1125" s="1741">
        <v>229000000</v>
      </c>
      <c r="D1125" s="1741">
        <v>217300000</v>
      </c>
      <c r="E1125" s="1742">
        <v>16</v>
      </c>
      <c r="F1125" s="1742">
        <v>5</v>
      </c>
      <c r="G1125" s="1742">
        <v>0</v>
      </c>
      <c r="H1125" s="1742">
        <v>5</v>
      </c>
      <c r="I1125" s="1743">
        <v>42401</v>
      </c>
      <c r="J1125" s="1644"/>
    </row>
    <row r="1126" spans="1:17">
      <c r="A1126" s="1766" t="s">
        <v>1099</v>
      </c>
      <c r="B1126" s="1740">
        <v>10106</v>
      </c>
      <c r="C1126" s="1741">
        <v>232000000</v>
      </c>
      <c r="D1126" s="1741">
        <v>220000000</v>
      </c>
      <c r="E1126" s="1742">
        <v>12</v>
      </c>
      <c r="F1126" s="1742">
        <v>2</v>
      </c>
      <c r="G1126" s="1742">
        <v>0</v>
      </c>
      <c r="H1126" s="1742">
        <v>2</v>
      </c>
      <c r="I1126" s="1743">
        <v>42401</v>
      </c>
      <c r="J1126" s="1644"/>
    </row>
    <row r="1127" spans="1:17">
      <c r="A1127" s="1766" t="s">
        <v>1419</v>
      </c>
      <c r="B1127" s="1740">
        <v>10119</v>
      </c>
      <c r="C1127" s="1741">
        <v>189000000</v>
      </c>
      <c r="D1127" s="1741">
        <v>180000000</v>
      </c>
      <c r="E1127" s="1742">
        <v>14</v>
      </c>
      <c r="F1127" s="1742">
        <v>9</v>
      </c>
      <c r="G1127" s="1742">
        <v>0</v>
      </c>
      <c r="H1127" s="1742">
        <v>9</v>
      </c>
      <c r="I1127" s="1743">
        <v>42401</v>
      </c>
      <c r="J1127" s="1644"/>
    </row>
    <row r="1128" spans="1:17">
      <c r="A1128" s="1766" t="s">
        <v>1563</v>
      </c>
      <c r="B1128" s="1740">
        <v>10117</v>
      </c>
      <c r="C1128" s="1741">
        <v>168000000</v>
      </c>
      <c r="D1128" s="1741">
        <v>160000000</v>
      </c>
      <c r="E1128" s="1742">
        <v>7</v>
      </c>
      <c r="F1128" s="1742">
        <v>2</v>
      </c>
      <c r="G1128" s="1742">
        <v>0</v>
      </c>
      <c r="H1128" s="1742">
        <v>2</v>
      </c>
      <c r="I1128" s="1743">
        <v>42401</v>
      </c>
      <c r="J1128" s="1644"/>
    </row>
    <row r="1129" spans="1:17">
      <c r="A1129" s="1766" t="s">
        <v>1568</v>
      </c>
      <c r="B1129" s="1740">
        <v>10124</v>
      </c>
      <c r="C1129" s="1741">
        <v>426000000</v>
      </c>
      <c r="D1129" s="1741">
        <v>405000000</v>
      </c>
      <c r="E1129" s="1742">
        <v>32</v>
      </c>
      <c r="F1129" s="1742">
        <v>6</v>
      </c>
      <c r="G1129" s="1742">
        <v>0</v>
      </c>
      <c r="H1129" s="1742">
        <v>6</v>
      </c>
      <c r="I1129" s="1743">
        <v>42401</v>
      </c>
      <c r="J1129" s="1644"/>
    </row>
    <row r="1130" spans="1:17">
      <c r="A1130" s="1766" t="s">
        <v>1567</v>
      </c>
      <c r="B1130" s="1740">
        <v>10123</v>
      </c>
      <c r="C1130" s="1741">
        <v>379000000</v>
      </c>
      <c r="D1130" s="1741">
        <v>360000000</v>
      </c>
      <c r="E1130" s="1742">
        <v>23</v>
      </c>
      <c r="F1130" s="1742">
        <v>6</v>
      </c>
      <c r="G1130" s="1742">
        <v>0</v>
      </c>
      <c r="H1130" s="1742">
        <v>6</v>
      </c>
      <c r="I1130" s="1743">
        <v>42401</v>
      </c>
      <c r="J1130" s="1644"/>
    </row>
    <row r="1131" spans="1:17">
      <c r="A1131" s="1766" t="s">
        <v>1570</v>
      </c>
      <c r="B1131" s="1740">
        <v>10120</v>
      </c>
      <c r="C1131" s="1741">
        <v>161000000</v>
      </c>
      <c r="D1131" s="1741">
        <v>152500000</v>
      </c>
      <c r="E1131" s="1742">
        <v>12</v>
      </c>
      <c r="F1131" s="1742">
        <v>6</v>
      </c>
      <c r="G1131" s="1742">
        <v>0</v>
      </c>
      <c r="H1131" s="1742">
        <v>6</v>
      </c>
      <c r="I1131" s="1743">
        <v>42401</v>
      </c>
      <c r="J1131" s="1644"/>
    </row>
    <row r="1132" spans="1:17">
      <c r="A1132" s="1766" t="s">
        <v>1572</v>
      </c>
      <c r="B1132" s="1740">
        <v>10122</v>
      </c>
      <c r="C1132" s="1741">
        <v>157000000</v>
      </c>
      <c r="D1132" s="1741">
        <v>148900000</v>
      </c>
      <c r="E1132" s="1742">
        <v>12</v>
      </c>
      <c r="F1132" s="1742">
        <v>6</v>
      </c>
      <c r="G1132" s="1742">
        <v>0</v>
      </c>
      <c r="H1132" s="1742">
        <v>6</v>
      </c>
      <c r="I1132" s="1743">
        <v>42401</v>
      </c>
      <c r="J1132" s="1644"/>
    </row>
    <row r="1133" spans="1:17">
      <c r="A1133" s="1766" t="s">
        <v>1669</v>
      </c>
      <c r="B1133" s="1740">
        <v>10127</v>
      </c>
      <c r="C1133" s="1741">
        <v>189000000</v>
      </c>
      <c r="D1133" s="1741">
        <v>180000000</v>
      </c>
      <c r="E1133" s="1742">
        <v>4</v>
      </c>
      <c r="F1133" s="1742">
        <v>2</v>
      </c>
      <c r="G1133" s="1742">
        <v>0</v>
      </c>
      <c r="H1133" s="1742">
        <v>2</v>
      </c>
      <c r="I1133" s="1743">
        <v>42401</v>
      </c>
      <c r="J1133" s="1644"/>
    </row>
    <row r="1134" spans="1:17" s="1648" customFormat="1">
      <c r="A1134" s="1766" t="s">
        <v>2046</v>
      </c>
      <c r="B1134" s="1766">
        <v>10148</v>
      </c>
      <c r="C1134" s="1767">
        <v>126000000</v>
      </c>
      <c r="D1134" s="1767">
        <v>120000000</v>
      </c>
      <c r="E1134" s="1768">
        <v>20</v>
      </c>
      <c r="F1134" s="1768">
        <v>4</v>
      </c>
      <c r="G1134" s="1768">
        <v>0</v>
      </c>
      <c r="H1134" s="1768">
        <v>4</v>
      </c>
      <c r="I1134" s="1769">
        <v>42401</v>
      </c>
      <c r="J1134" s="1770"/>
      <c r="P1134" s="1596"/>
      <c r="Q1134" s="1596"/>
    </row>
    <row r="1135" spans="1:17">
      <c r="A1135" s="1740" t="s">
        <v>1148</v>
      </c>
      <c r="B1135" s="1740">
        <v>10002</v>
      </c>
      <c r="C1135" s="1741">
        <v>1117000000</v>
      </c>
      <c r="D1135" s="1741">
        <v>1060000000</v>
      </c>
      <c r="E1135" s="1742">
        <v>44</v>
      </c>
      <c r="F1135" s="1742">
        <v>10</v>
      </c>
      <c r="G1135" s="1742">
        <v>0</v>
      </c>
      <c r="H1135" s="1742">
        <v>10</v>
      </c>
      <c r="I1135" s="1743">
        <v>42401</v>
      </c>
      <c r="J1135" s="1644"/>
    </row>
    <row r="1136" spans="1:17">
      <c r="A1136" s="1740" t="s">
        <v>1149</v>
      </c>
      <c r="B1136" s="1740">
        <v>10011</v>
      </c>
      <c r="C1136" s="1741">
        <v>1849000000</v>
      </c>
      <c r="D1136" s="1741">
        <v>1756200000</v>
      </c>
      <c r="E1136" s="1742">
        <v>115</v>
      </c>
      <c r="F1136" s="1742">
        <v>33</v>
      </c>
      <c r="G1136" s="1742">
        <v>0</v>
      </c>
      <c r="H1136" s="1742">
        <v>33</v>
      </c>
      <c r="I1136" s="1743">
        <v>42401</v>
      </c>
      <c r="K1136" s="1596" t="e">
        <f>VLOOKUP(A1136,Target!E163:I226,5,0)</f>
        <v>#N/A</v>
      </c>
      <c r="L1136" s="1596" t="e">
        <f t="shared" ref="L1136:L1155" si="3">K1136=E1136</f>
        <v>#N/A</v>
      </c>
    </row>
    <row r="1137" spans="1:12">
      <c r="A1137" s="1740" t="s">
        <v>1150</v>
      </c>
      <c r="B1137" s="1740">
        <v>10023</v>
      </c>
      <c r="C1137" s="1741">
        <v>1984000000</v>
      </c>
      <c r="D1137" s="1741">
        <v>1885100000</v>
      </c>
      <c r="E1137" s="1742">
        <v>112</v>
      </c>
      <c r="F1137" s="1742">
        <v>26</v>
      </c>
      <c r="G1137" s="1742">
        <v>0</v>
      </c>
      <c r="H1137" s="1742">
        <v>26</v>
      </c>
      <c r="I1137" s="1743">
        <v>42401</v>
      </c>
      <c r="K1137" s="1596" t="e">
        <f>VLOOKUP(A1137,Target!E164:I227,5,0)</f>
        <v>#N/A</v>
      </c>
      <c r="L1137" s="1596" t="e">
        <f t="shared" si="3"/>
        <v>#N/A</v>
      </c>
    </row>
    <row r="1138" spans="1:12">
      <c r="A1138" s="1740" t="s">
        <v>1151</v>
      </c>
      <c r="B1138" s="1740">
        <v>10034</v>
      </c>
      <c r="C1138" s="1741">
        <v>1484000000</v>
      </c>
      <c r="D1138" s="1741">
        <v>1410000000</v>
      </c>
      <c r="E1138" s="1742">
        <v>45</v>
      </c>
      <c r="F1138" s="1742">
        <v>10</v>
      </c>
      <c r="G1138" s="1742">
        <v>0</v>
      </c>
      <c r="H1138" s="1742">
        <v>10</v>
      </c>
      <c r="I1138" s="1743">
        <v>42401</v>
      </c>
      <c r="K1138" s="1596" t="e">
        <f>VLOOKUP(A1138,Target!E165:I228,5,0)</f>
        <v>#N/A</v>
      </c>
      <c r="L1138" s="1596" t="e">
        <f t="shared" si="3"/>
        <v>#N/A</v>
      </c>
    </row>
    <row r="1139" spans="1:12">
      <c r="A1139" s="1740" t="s">
        <v>1153</v>
      </c>
      <c r="B1139" s="1740">
        <v>10050</v>
      </c>
      <c r="C1139" s="1741">
        <v>435000000</v>
      </c>
      <c r="D1139" s="1741">
        <v>413300000</v>
      </c>
      <c r="E1139" s="1742">
        <v>29</v>
      </c>
      <c r="F1139" s="1742">
        <v>11</v>
      </c>
      <c r="G1139" s="1742">
        <v>0</v>
      </c>
      <c r="H1139" s="1742">
        <v>11</v>
      </c>
      <c r="I1139" s="1743">
        <v>42401</v>
      </c>
      <c r="K1139" s="1596" t="e">
        <f>VLOOKUP(A1139,Target!E166:I228,5,0)</f>
        <v>#N/A</v>
      </c>
      <c r="L1139" s="1596" t="e">
        <f t="shared" si="3"/>
        <v>#N/A</v>
      </c>
    </row>
    <row r="1140" spans="1:12">
      <c r="A1140" s="1740" t="s">
        <v>1154</v>
      </c>
      <c r="B1140" s="1740">
        <v>10057</v>
      </c>
      <c r="C1140" s="1741">
        <v>358000000</v>
      </c>
      <c r="D1140" s="1741">
        <v>340000000</v>
      </c>
      <c r="E1140" s="1742">
        <v>25</v>
      </c>
      <c r="F1140" s="1742">
        <v>2</v>
      </c>
      <c r="G1140" s="1742">
        <v>0</v>
      </c>
      <c r="H1140" s="1742">
        <v>2</v>
      </c>
      <c r="I1140" s="1743">
        <v>42401</v>
      </c>
      <c r="K1140" s="1596" t="e">
        <f>VLOOKUP(A1140,Target!E167:I229,5,0)</f>
        <v>#N/A</v>
      </c>
      <c r="L1140" s="1596" t="e">
        <f t="shared" si="3"/>
        <v>#N/A</v>
      </c>
    </row>
    <row r="1141" spans="1:12">
      <c r="A1141" s="1740" t="s">
        <v>1675</v>
      </c>
      <c r="B1141" s="1740">
        <v>10126</v>
      </c>
      <c r="C1141" s="1741">
        <v>316000000</v>
      </c>
      <c r="D1141" s="1741">
        <v>300000000</v>
      </c>
      <c r="E1141" s="1742">
        <v>13</v>
      </c>
      <c r="F1141" s="1742">
        <v>2</v>
      </c>
      <c r="G1141" s="1742">
        <v>0</v>
      </c>
      <c r="H1141" s="1742">
        <v>2</v>
      </c>
      <c r="I1141" s="1743">
        <v>42401</v>
      </c>
      <c r="K1141" s="1596" t="e">
        <f>VLOOKUP(A1141,Target!E168:I230,5,0)</f>
        <v>#N/A</v>
      </c>
      <c r="L1141" s="1596" t="e">
        <f t="shared" si="3"/>
        <v>#N/A</v>
      </c>
    </row>
    <row r="1142" spans="1:12">
      <c r="A1142" s="1740" t="s">
        <v>1155</v>
      </c>
      <c r="B1142" s="1740">
        <v>10085</v>
      </c>
      <c r="C1142" s="1741">
        <v>2624000000</v>
      </c>
      <c r="D1142" s="1741">
        <v>2492000000</v>
      </c>
      <c r="E1142" s="1742">
        <v>118</v>
      </c>
      <c r="F1142" s="1742">
        <v>22</v>
      </c>
      <c r="G1142" s="1742">
        <v>0</v>
      </c>
      <c r="H1142" s="1742">
        <v>22</v>
      </c>
      <c r="I1142" s="1743">
        <v>42401</v>
      </c>
      <c r="K1142" s="1596" t="e">
        <f>VLOOKUP(A1142,Target!E169:I231,5,0)</f>
        <v>#N/A</v>
      </c>
      <c r="L1142" s="1596" t="e">
        <f t="shared" si="3"/>
        <v>#N/A</v>
      </c>
    </row>
    <row r="1143" spans="1:12">
      <c r="A1143" s="1740" t="s">
        <v>1156</v>
      </c>
      <c r="B1143" s="1740">
        <v>10101</v>
      </c>
      <c r="C1143" s="1741">
        <v>337000000</v>
      </c>
      <c r="D1143" s="1741">
        <v>320000000</v>
      </c>
      <c r="E1143" s="1742">
        <v>30</v>
      </c>
      <c r="F1143" s="1742">
        <v>8</v>
      </c>
      <c r="G1143" s="1742">
        <v>0</v>
      </c>
      <c r="H1143" s="1742">
        <v>8</v>
      </c>
      <c r="I1143" s="1743">
        <v>42401</v>
      </c>
      <c r="K1143" s="1596" t="e">
        <f>VLOOKUP(A1143,Target!E170:I232,5,0)</f>
        <v>#N/A</v>
      </c>
      <c r="L1143" s="1596" t="e">
        <f t="shared" si="3"/>
        <v>#N/A</v>
      </c>
    </row>
    <row r="1144" spans="1:12">
      <c r="A1144" s="1740" t="s">
        <v>2218</v>
      </c>
      <c r="B1144" s="1740">
        <v>10146</v>
      </c>
      <c r="C1144" s="1741">
        <v>126000000</v>
      </c>
      <c r="D1144" s="1741">
        <v>120000000</v>
      </c>
      <c r="E1144" s="1742">
        <v>20</v>
      </c>
      <c r="F1144" s="1742">
        <v>4</v>
      </c>
      <c r="G1144" s="1742">
        <v>0</v>
      </c>
      <c r="H1144" s="1742">
        <v>4</v>
      </c>
      <c r="I1144" s="1743">
        <v>42401</v>
      </c>
      <c r="K1144" s="1596" t="e">
        <f>VLOOKUP(A1144,Target!E171:I233,5,0)</f>
        <v>#N/A</v>
      </c>
      <c r="L1144" s="1596" t="e">
        <f t="shared" si="3"/>
        <v>#N/A</v>
      </c>
    </row>
    <row r="1145" spans="1:12">
      <c r="A1145" s="1740" t="s">
        <v>792</v>
      </c>
      <c r="B1145" s="1740">
        <v>10001</v>
      </c>
      <c r="C1145" s="1741">
        <v>5225000000</v>
      </c>
      <c r="D1145" s="1741">
        <v>4962000000</v>
      </c>
      <c r="E1145" s="1742">
        <v>207</v>
      </c>
      <c r="F1145" s="1742">
        <v>42</v>
      </c>
      <c r="G1145" s="1742">
        <v>0</v>
      </c>
      <c r="H1145" s="1742">
        <v>42</v>
      </c>
      <c r="I1145" s="1743">
        <v>42401</v>
      </c>
      <c r="K1145" s="1596" t="e">
        <f>VLOOKUP(A1145,Target!E172:I234,5,0)</f>
        <v>#N/A</v>
      </c>
      <c r="L1145" s="1596" t="e">
        <f t="shared" si="3"/>
        <v>#N/A</v>
      </c>
    </row>
    <row r="1146" spans="1:12">
      <c r="A1146" s="1740" t="s">
        <v>794</v>
      </c>
      <c r="B1146" s="1740">
        <v>10010</v>
      </c>
      <c r="C1146" s="1741">
        <v>3833000000</v>
      </c>
      <c r="D1146" s="1741">
        <v>3641300000</v>
      </c>
      <c r="E1146" s="1742">
        <v>227</v>
      </c>
      <c r="F1146" s="1742">
        <v>59</v>
      </c>
      <c r="G1146" s="1742">
        <v>0</v>
      </c>
      <c r="H1146" s="1742">
        <v>59</v>
      </c>
      <c r="I1146" s="1743">
        <v>42401</v>
      </c>
      <c r="K1146" s="1596" t="e">
        <f>VLOOKUP(A1146,Target!E173:I235,5,0)</f>
        <v>#N/A</v>
      </c>
      <c r="L1146" s="1596" t="e">
        <f t="shared" si="3"/>
        <v>#N/A</v>
      </c>
    </row>
    <row r="1147" spans="1:12">
      <c r="A1147" s="1740" t="s">
        <v>793</v>
      </c>
      <c r="B1147" s="1740">
        <v>10049</v>
      </c>
      <c r="C1147" s="1741">
        <v>1676000000</v>
      </c>
      <c r="D1147" s="1741">
        <v>1592900000</v>
      </c>
      <c r="E1147" s="1742">
        <v>118</v>
      </c>
      <c r="F1147" s="1742">
        <v>63</v>
      </c>
      <c r="G1147" s="1742">
        <v>0</v>
      </c>
      <c r="H1147" s="1742">
        <v>63</v>
      </c>
      <c r="I1147" s="1743">
        <v>42401</v>
      </c>
      <c r="K1147" s="1596" t="e">
        <f>VLOOKUP(A1147,Target!E174:I236,5,0)</f>
        <v>#N/A</v>
      </c>
      <c r="L1147" s="1596" t="e">
        <f t="shared" si="3"/>
        <v>#N/A</v>
      </c>
    </row>
    <row r="1148" spans="1:12">
      <c r="A1148" s="1740" t="s">
        <v>458</v>
      </c>
      <c r="B1148" s="1740">
        <v>10056</v>
      </c>
      <c r="C1148" s="1741">
        <v>1011000000</v>
      </c>
      <c r="D1148" s="1741">
        <v>960000000</v>
      </c>
      <c r="E1148" s="1742">
        <v>68</v>
      </c>
      <c r="F1148" s="1742">
        <v>12</v>
      </c>
      <c r="G1148" s="1742">
        <v>0</v>
      </c>
      <c r="H1148" s="1742">
        <v>12</v>
      </c>
      <c r="I1148" s="1743">
        <v>42401</v>
      </c>
      <c r="K1148" s="1596" t="e">
        <f>VLOOKUP(A1148,Target!E175:I237,5,0)</f>
        <v>#N/A</v>
      </c>
      <c r="L1148" s="1596" t="e">
        <f t="shared" si="3"/>
        <v>#N/A</v>
      </c>
    </row>
    <row r="1149" spans="1:12">
      <c r="A1149" s="1740" t="s">
        <v>2048</v>
      </c>
      <c r="B1149" s="1740">
        <v>10145</v>
      </c>
      <c r="C1149" s="1741">
        <v>126000000</v>
      </c>
      <c r="D1149" s="1741">
        <v>120000000</v>
      </c>
      <c r="E1149" s="1742">
        <v>20</v>
      </c>
      <c r="F1149" s="1742">
        <v>4</v>
      </c>
      <c r="G1149" s="1742">
        <v>0</v>
      </c>
      <c r="H1149" s="1742">
        <v>4</v>
      </c>
      <c r="I1149" s="1743">
        <v>42401</v>
      </c>
      <c r="K1149" s="1596" t="e">
        <f>VLOOKUP(A1149,Target!E176:I238,5,0)</f>
        <v>#N/A</v>
      </c>
      <c r="L1149" s="1596" t="e">
        <f t="shared" si="3"/>
        <v>#N/A</v>
      </c>
    </row>
    <row r="1150" spans="1:12">
      <c r="A1150" s="1740" t="s">
        <v>2214</v>
      </c>
      <c r="B1150" s="1740">
        <v>10154</v>
      </c>
      <c r="C1150" s="1741">
        <v>666000000</v>
      </c>
      <c r="D1150" s="1741">
        <v>633400000</v>
      </c>
      <c r="E1150" s="1742">
        <v>49</v>
      </c>
      <c r="F1150" s="1742">
        <v>36</v>
      </c>
      <c r="G1150" s="1742">
        <v>0</v>
      </c>
      <c r="H1150" s="1742">
        <v>36</v>
      </c>
      <c r="I1150" s="1743">
        <v>42401</v>
      </c>
      <c r="K1150" s="1596" t="e">
        <f>VLOOKUP(A1150,Target!E177:I239,5,0)</f>
        <v>#N/A</v>
      </c>
      <c r="L1150" s="1596" t="e">
        <f t="shared" si="3"/>
        <v>#N/A</v>
      </c>
    </row>
    <row r="1151" spans="1:12">
      <c r="A1151" s="1740" t="s">
        <v>2216</v>
      </c>
      <c r="B1151" s="1740">
        <v>10155</v>
      </c>
      <c r="C1151" s="1741">
        <v>575000000</v>
      </c>
      <c r="D1151" s="1741">
        <v>546200000</v>
      </c>
      <c r="E1151" s="1742">
        <v>40</v>
      </c>
      <c r="F1151" s="1742">
        <v>16</v>
      </c>
      <c r="G1151" s="1742">
        <v>0</v>
      </c>
      <c r="H1151" s="1742">
        <v>16</v>
      </c>
      <c r="I1151" s="1743">
        <v>42401</v>
      </c>
      <c r="K1151" s="1596" t="e">
        <f>VLOOKUP(A1151,Target!E178:I240,5,0)</f>
        <v>#N/A</v>
      </c>
      <c r="L1151" s="1596" t="e">
        <f t="shared" si="3"/>
        <v>#N/A</v>
      </c>
    </row>
    <row r="1152" spans="1:12">
      <c r="A1152" s="1740" t="s">
        <v>1158</v>
      </c>
      <c r="B1152" s="1740" t="s">
        <v>1159</v>
      </c>
      <c r="C1152" s="1741">
        <v>11871000000</v>
      </c>
      <c r="D1152" s="1741">
        <v>11276200000</v>
      </c>
      <c r="E1152" s="1742">
        <v>640</v>
      </c>
      <c r="F1152" s="1742">
        <v>180</v>
      </c>
      <c r="G1152" s="1742">
        <v>0</v>
      </c>
      <c r="H1152" s="1742">
        <v>180</v>
      </c>
      <c r="I1152" s="1743">
        <v>42401</v>
      </c>
      <c r="K1152" s="1596" t="e">
        <f>VLOOKUP(A1152,Target!E179:I241,5,0)</f>
        <v>#N/A</v>
      </c>
      <c r="L1152" s="1596" t="e">
        <f t="shared" si="3"/>
        <v>#N/A</v>
      </c>
    </row>
    <row r="1153" spans="1:12">
      <c r="A1153" s="1740" t="s">
        <v>1292</v>
      </c>
      <c r="B1153" s="1740">
        <v>10012</v>
      </c>
      <c r="C1153" s="1741">
        <v>1533000000</v>
      </c>
      <c r="D1153" s="1741">
        <v>1456200000</v>
      </c>
      <c r="E1153" s="1742">
        <v>91</v>
      </c>
      <c r="F1153" s="1742">
        <v>27</v>
      </c>
      <c r="G1153" s="1742">
        <v>0</v>
      </c>
      <c r="H1153" s="1742">
        <v>27</v>
      </c>
      <c r="I1153" s="1743">
        <v>42401</v>
      </c>
      <c r="K1153" s="1596" t="e">
        <f>VLOOKUP(A1153,Target!E180:I242,5,0)</f>
        <v>#N/A</v>
      </c>
      <c r="L1153" s="1596" t="e">
        <f t="shared" si="3"/>
        <v>#N/A</v>
      </c>
    </row>
    <row r="1154" spans="1:12">
      <c r="A1154" s="1740" t="s">
        <v>1293</v>
      </c>
      <c r="B1154" s="1740">
        <v>10024</v>
      </c>
      <c r="C1154" s="1741">
        <v>1337000000</v>
      </c>
      <c r="D1154" s="1741">
        <v>1270100000</v>
      </c>
      <c r="E1154" s="1742">
        <v>76</v>
      </c>
      <c r="F1154" s="1742">
        <v>20</v>
      </c>
      <c r="G1154" s="1742">
        <v>0</v>
      </c>
      <c r="H1154" s="1742">
        <v>20</v>
      </c>
      <c r="I1154" s="1743">
        <v>42401</v>
      </c>
      <c r="K1154" s="1596" t="e">
        <f>VLOOKUP(A1154,Target!E181:I243,5,0)</f>
        <v>#N/A</v>
      </c>
      <c r="L1154" s="1596" t="e">
        <f t="shared" si="3"/>
        <v>#N/A</v>
      </c>
    </row>
    <row r="1155" spans="1:12">
      <c r="A1155" s="1740" t="s">
        <v>1294</v>
      </c>
      <c r="B1155" s="1740">
        <v>10035</v>
      </c>
      <c r="C1155" s="1741">
        <v>905000000</v>
      </c>
      <c r="D1155" s="1741">
        <v>860000000</v>
      </c>
      <c r="E1155" s="1742">
        <v>35</v>
      </c>
      <c r="F1155" s="1742">
        <v>8</v>
      </c>
      <c r="G1155" s="1742">
        <v>0</v>
      </c>
      <c r="H1155" s="1742">
        <v>8</v>
      </c>
      <c r="I1155" s="1743">
        <v>42401</v>
      </c>
      <c r="K1155" s="1596" t="e">
        <f>VLOOKUP(A1155,Target!E182:I244,5,0)</f>
        <v>#N/A</v>
      </c>
      <c r="L1155" s="1596" t="e">
        <f t="shared" si="3"/>
        <v>#N/A</v>
      </c>
    </row>
    <row r="1156" spans="1:12">
      <c r="A1156" s="1740" t="s">
        <v>1296</v>
      </c>
      <c r="B1156" s="1740">
        <v>10047</v>
      </c>
      <c r="C1156" s="1741">
        <v>885000000</v>
      </c>
      <c r="D1156" s="1741">
        <v>840000000</v>
      </c>
      <c r="E1156" s="1742">
        <v>37</v>
      </c>
      <c r="F1156" s="1742">
        <v>8</v>
      </c>
      <c r="G1156" s="1742">
        <v>0</v>
      </c>
      <c r="H1156" s="1742">
        <v>8</v>
      </c>
      <c r="I1156" s="1743">
        <v>42401</v>
      </c>
      <c r="K1156" s="1596" t="e">
        <f>VLOOKUP(A1156,Target!E183:I245,5,0)</f>
        <v>#N/A</v>
      </c>
      <c r="L1156" s="1596" t="e">
        <f t="shared" ref="L1156:L1174" si="4">K1156=E1156</f>
        <v>#N/A</v>
      </c>
    </row>
    <row r="1157" spans="1:12">
      <c r="A1157" s="1740" t="s">
        <v>1297</v>
      </c>
      <c r="B1157" s="1740">
        <v>10051</v>
      </c>
      <c r="C1157" s="1741">
        <v>274000000</v>
      </c>
      <c r="D1157" s="1741">
        <v>260800000</v>
      </c>
      <c r="E1157" s="1742">
        <v>17</v>
      </c>
      <c r="F1157" s="1742">
        <v>5</v>
      </c>
      <c r="G1157" s="1742">
        <v>0</v>
      </c>
      <c r="H1157" s="1742">
        <v>5</v>
      </c>
      <c r="I1157" s="1743">
        <v>42401</v>
      </c>
      <c r="K1157" s="1596" t="e">
        <f>VLOOKUP(A1157,Target!E184:I246,5,0)</f>
        <v>#N/A</v>
      </c>
      <c r="L1157" s="1596" t="e">
        <f t="shared" si="4"/>
        <v>#N/A</v>
      </c>
    </row>
    <row r="1158" spans="1:12">
      <c r="A1158" s="1740" t="s">
        <v>1298</v>
      </c>
      <c r="B1158" s="1740">
        <v>10054</v>
      </c>
      <c r="C1158" s="1741">
        <v>579000000</v>
      </c>
      <c r="D1158" s="1741">
        <v>550000000</v>
      </c>
      <c r="E1158" s="1742">
        <v>10</v>
      </c>
      <c r="F1158" s="1742">
        <v>2</v>
      </c>
      <c r="G1158" s="1742">
        <v>0</v>
      </c>
      <c r="H1158" s="1742">
        <v>2</v>
      </c>
      <c r="I1158" s="1743">
        <v>42401</v>
      </c>
      <c r="K1158" s="1596" t="e">
        <f>VLOOKUP(A1158,Target!E185:I247,5,0)</f>
        <v>#N/A</v>
      </c>
      <c r="L1158" s="1596" t="e">
        <f t="shared" si="4"/>
        <v>#N/A</v>
      </c>
    </row>
    <row r="1159" spans="1:12">
      <c r="A1159" s="1740" t="s">
        <v>2662</v>
      </c>
      <c r="B1159" s="1740">
        <v>10058</v>
      </c>
      <c r="C1159" s="1741">
        <v>358000000</v>
      </c>
      <c r="D1159" s="1741">
        <v>340000000</v>
      </c>
      <c r="E1159" s="1742">
        <v>25</v>
      </c>
      <c r="F1159" s="1742">
        <v>2</v>
      </c>
      <c r="G1159" s="1742">
        <v>0</v>
      </c>
      <c r="H1159" s="1742">
        <v>2</v>
      </c>
      <c r="I1159" s="1743">
        <v>42401</v>
      </c>
      <c r="K1159" s="1596" t="e">
        <f>VLOOKUP(A1159,Target!E186:I248,5,0)</f>
        <v>#N/A</v>
      </c>
      <c r="L1159" s="1596" t="e">
        <f t="shared" si="4"/>
        <v>#N/A</v>
      </c>
    </row>
    <row r="1160" spans="1:12">
      <c r="A1160" s="1740" t="s">
        <v>1300</v>
      </c>
      <c r="B1160" s="1740">
        <v>10072</v>
      </c>
      <c r="C1160" s="1741">
        <v>232000000</v>
      </c>
      <c r="D1160" s="1741">
        <v>220000000</v>
      </c>
      <c r="E1160" s="1742">
        <v>7</v>
      </c>
      <c r="F1160" s="1742">
        <v>2</v>
      </c>
      <c r="G1160" s="1742">
        <v>0</v>
      </c>
      <c r="H1160" s="1742">
        <v>2</v>
      </c>
      <c r="I1160" s="1743">
        <v>42401</v>
      </c>
      <c r="K1160" s="1596" t="e">
        <f>VLOOKUP(A1160,Target!E187:I249,5,0)</f>
        <v>#N/A</v>
      </c>
      <c r="L1160" s="1596" t="e">
        <f t="shared" si="4"/>
        <v>#N/A</v>
      </c>
    </row>
    <row r="1161" spans="1:12" ht="30">
      <c r="A1161" s="1740" t="s">
        <v>1301</v>
      </c>
      <c r="B1161" s="1740">
        <v>10086</v>
      </c>
      <c r="C1161" s="1741">
        <v>647000000</v>
      </c>
      <c r="D1161" s="1741">
        <v>615000000</v>
      </c>
      <c r="E1161" s="1742">
        <v>36</v>
      </c>
      <c r="F1161" s="1742">
        <v>6</v>
      </c>
      <c r="G1161" s="1742">
        <v>0</v>
      </c>
      <c r="H1161" s="1742">
        <v>6</v>
      </c>
      <c r="I1161" s="1743">
        <v>42401</v>
      </c>
      <c r="K1161" s="1596" t="e">
        <f>VLOOKUP(A1161,Target!E188:I250,5,0)</f>
        <v>#N/A</v>
      </c>
      <c r="L1161" s="1596" t="e">
        <f t="shared" si="4"/>
        <v>#N/A</v>
      </c>
    </row>
    <row r="1162" spans="1:12">
      <c r="A1162" s="1740" t="s">
        <v>1303</v>
      </c>
      <c r="B1162" s="1740">
        <v>10091</v>
      </c>
      <c r="C1162" s="1741">
        <v>316000000</v>
      </c>
      <c r="D1162" s="1741">
        <v>300000000</v>
      </c>
      <c r="E1162" s="1742">
        <v>13</v>
      </c>
      <c r="F1162" s="1742">
        <v>2</v>
      </c>
      <c r="G1162" s="1742">
        <v>0</v>
      </c>
      <c r="H1162" s="1742">
        <v>2</v>
      </c>
      <c r="I1162" s="1743">
        <v>42401</v>
      </c>
      <c r="K1162" s="1596" t="e">
        <f>VLOOKUP(A1162,Target!E189:I251,5,0)</f>
        <v>#N/A</v>
      </c>
      <c r="L1162" s="1596" t="e">
        <f t="shared" si="4"/>
        <v>#N/A</v>
      </c>
    </row>
    <row r="1163" spans="1:12">
      <c r="A1163" s="1740" t="s">
        <v>1422</v>
      </c>
      <c r="B1163" s="1740">
        <v>10095</v>
      </c>
      <c r="C1163" s="1741">
        <v>477000000</v>
      </c>
      <c r="D1163" s="1741">
        <v>453400000</v>
      </c>
      <c r="E1163" s="1742">
        <v>35</v>
      </c>
      <c r="F1163" s="1742">
        <v>27</v>
      </c>
      <c r="G1163" s="1742">
        <v>0</v>
      </c>
      <c r="H1163" s="1742">
        <v>27</v>
      </c>
      <c r="I1163" s="1743">
        <v>42401</v>
      </c>
      <c r="K1163" s="1596" t="e">
        <f>VLOOKUP(A1163,Target!E190:I252,5,0)</f>
        <v>#N/A</v>
      </c>
      <c r="L1163" s="1596" t="e">
        <f t="shared" si="4"/>
        <v>#N/A</v>
      </c>
    </row>
    <row r="1164" spans="1:12">
      <c r="A1164" s="1740" t="s">
        <v>1305</v>
      </c>
      <c r="B1164" s="1740">
        <v>10102</v>
      </c>
      <c r="C1164" s="1741">
        <v>126000000</v>
      </c>
      <c r="D1164" s="1741">
        <v>120000000</v>
      </c>
      <c r="E1164" s="1742">
        <v>11</v>
      </c>
      <c r="F1164" s="1742">
        <v>4</v>
      </c>
      <c r="G1164" s="1742">
        <v>0</v>
      </c>
      <c r="H1164" s="1742">
        <v>4</v>
      </c>
      <c r="I1164" s="1743">
        <v>42401</v>
      </c>
      <c r="K1164" s="1596" t="e">
        <f>VLOOKUP(A1164,Target!E191:I253,5,0)</f>
        <v>#N/A</v>
      </c>
      <c r="L1164" s="1596" t="e">
        <f t="shared" si="4"/>
        <v>#N/A</v>
      </c>
    </row>
    <row r="1165" spans="1:12">
      <c r="A1165" s="1740" t="s">
        <v>1423</v>
      </c>
      <c r="B1165" s="1740">
        <v>10116</v>
      </c>
      <c r="C1165" s="1741">
        <v>229000000</v>
      </c>
      <c r="D1165" s="1741">
        <v>217300000</v>
      </c>
      <c r="E1165" s="1742">
        <v>16</v>
      </c>
      <c r="F1165" s="1742">
        <v>5</v>
      </c>
      <c r="G1165" s="1742">
        <v>0</v>
      </c>
      <c r="H1165" s="1742">
        <v>5</v>
      </c>
      <c r="I1165" s="1743">
        <v>42401</v>
      </c>
      <c r="K1165" s="1596" t="e">
        <f>VLOOKUP(A1165,Target!E192:I254,5,0)</f>
        <v>#N/A</v>
      </c>
      <c r="L1165" s="1596" t="e">
        <f t="shared" si="4"/>
        <v>#N/A</v>
      </c>
    </row>
    <row r="1166" spans="1:12">
      <c r="A1166" s="1740" t="s">
        <v>1424</v>
      </c>
      <c r="B1166" s="1740">
        <v>10118</v>
      </c>
      <c r="C1166" s="1741">
        <v>189000000</v>
      </c>
      <c r="D1166" s="1741">
        <v>180000000</v>
      </c>
      <c r="E1166" s="1742">
        <v>14</v>
      </c>
      <c r="F1166" s="1742">
        <v>9</v>
      </c>
      <c r="G1166" s="1742">
        <v>0</v>
      </c>
      <c r="H1166" s="1742">
        <v>9</v>
      </c>
      <c r="I1166" s="1743">
        <v>42401</v>
      </c>
      <c r="K1166" s="1596" t="e">
        <f>VLOOKUP(A1166,Target!E193:I255,5,0)</f>
        <v>#N/A</v>
      </c>
      <c r="L1166" s="1596" t="e">
        <f t="shared" si="4"/>
        <v>#N/A</v>
      </c>
    </row>
    <row r="1167" spans="1:12">
      <c r="A1167" s="1740" t="s">
        <v>2051</v>
      </c>
      <c r="B1167" s="1740">
        <v>10147</v>
      </c>
      <c r="C1167" s="1741">
        <v>126000000</v>
      </c>
      <c r="D1167" s="1741">
        <v>120000000</v>
      </c>
      <c r="E1167" s="1742">
        <v>20</v>
      </c>
      <c r="F1167" s="1742">
        <v>4</v>
      </c>
      <c r="G1167" s="1742">
        <v>0</v>
      </c>
      <c r="H1167" s="1742">
        <v>4</v>
      </c>
      <c r="I1167" s="1743">
        <v>42401</v>
      </c>
      <c r="K1167" s="1596" t="e">
        <f>VLOOKUP(A1167,Target!E194:I256,5,0)</f>
        <v>#N/A</v>
      </c>
      <c r="L1167" s="1596" t="e">
        <f t="shared" si="4"/>
        <v>#N/A</v>
      </c>
    </row>
    <row r="1168" spans="1:12">
      <c r="A1168" s="1740" t="s">
        <v>2221</v>
      </c>
      <c r="B1168" s="1740">
        <v>10149</v>
      </c>
      <c r="C1168" s="1741">
        <v>316000000</v>
      </c>
      <c r="D1168" s="1741">
        <v>300000000</v>
      </c>
      <c r="E1168" s="1742">
        <v>24</v>
      </c>
      <c r="F1168" s="1742">
        <v>6</v>
      </c>
      <c r="G1168" s="1742">
        <v>0</v>
      </c>
      <c r="H1168" s="1742">
        <v>6</v>
      </c>
      <c r="I1168" s="1743">
        <v>42401</v>
      </c>
      <c r="K1168" s="1596" t="e">
        <f>VLOOKUP(A1168,Target!E195:I257,5,0)</f>
        <v>#N/A</v>
      </c>
      <c r="L1168" s="1596" t="e">
        <f t="shared" si="4"/>
        <v>#N/A</v>
      </c>
    </row>
    <row r="1169" spans="1:12">
      <c r="A1169" s="1740" t="s">
        <v>2219</v>
      </c>
      <c r="B1169" s="1740">
        <v>10156</v>
      </c>
      <c r="C1169" s="1741">
        <v>346000000</v>
      </c>
      <c r="D1169" s="1741">
        <v>328900000</v>
      </c>
      <c r="E1169" s="1742">
        <v>24</v>
      </c>
      <c r="F1169" s="1742">
        <v>11</v>
      </c>
      <c r="G1169" s="1742">
        <v>0</v>
      </c>
      <c r="H1169" s="1742">
        <v>11</v>
      </c>
      <c r="I1169" s="1743">
        <v>42401</v>
      </c>
      <c r="K1169" s="1596" t="e">
        <f>VLOOKUP(A1169,Target!E196:I258,5,0)</f>
        <v>#N/A</v>
      </c>
      <c r="L1169" s="1596" t="e">
        <f t="shared" si="4"/>
        <v>#N/A</v>
      </c>
    </row>
    <row r="1170" spans="1:12">
      <c r="A1170" s="1740" t="s">
        <v>2439</v>
      </c>
      <c r="B1170" s="1740">
        <v>10162</v>
      </c>
      <c r="C1170" s="1741">
        <v>161000000</v>
      </c>
      <c r="D1170" s="1741">
        <v>152500000</v>
      </c>
      <c r="E1170" s="1742">
        <v>12</v>
      </c>
      <c r="F1170" s="1742">
        <v>6</v>
      </c>
      <c r="G1170" s="1742">
        <v>0</v>
      </c>
      <c r="H1170" s="1742">
        <v>6</v>
      </c>
      <c r="I1170" s="1743">
        <v>42401</v>
      </c>
      <c r="K1170" s="1596" t="e">
        <f>VLOOKUP(A1170,Target!E197:I259,5,0)</f>
        <v>#N/A</v>
      </c>
      <c r="L1170" s="1596" t="e">
        <f t="shared" si="4"/>
        <v>#N/A</v>
      </c>
    </row>
    <row r="1171" spans="1:12">
      <c r="A1171" s="1740" t="s">
        <v>2566</v>
      </c>
      <c r="B1171" s="1740">
        <v>10163</v>
      </c>
      <c r="C1171" s="1741">
        <v>211000000</v>
      </c>
      <c r="D1171" s="1741">
        <v>200000000</v>
      </c>
      <c r="E1171" s="1742">
        <v>19</v>
      </c>
      <c r="F1171" s="1742">
        <v>4</v>
      </c>
      <c r="G1171" s="1742">
        <v>0</v>
      </c>
      <c r="H1171" s="1742">
        <v>4</v>
      </c>
      <c r="I1171" s="1743">
        <v>42401</v>
      </c>
      <c r="K1171" s="1596" t="e">
        <f>VLOOKUP(A1171,Target!E198:I260,5,0)</f>
        <v>#N/A</v>
      </c>
      <c r="L1171" s="1596" t="e">
        <f t="shared" si="4"/>
        <v>#N/A</v>
      </c>
    </row>
    <row r="1172" spans="1:12">
      <c r="A1172" s="1740" t="s">
        <v>1418</v>
      </c>
      <c r="B1172" s="1740">
        <v>10121</v>
      </c>
      <c r="C1172" s="1741">
        <v>644000000</v>
      </c>
      <c r="D1172" s="1741">
        <v>612000000</v>
      </c>
      <c r="E1172" s="1742">
        <v>15</v>
      </c>
      <c r="F1172" s="1742">
        <v>4</v>
      </c>
      <c r="G1172" s="1742">
        <v>0</v>
      </c>
      <c r="H1172" s="1742">
        <v>4</v>
      </c>
      <c r="I1172" s="1743">
        <v>42401</v>
      </c>
      <c r="K1172" s="1596" t="e">
        <f>VLOOKUP(A1172,Target!E199:I261,5,0)</f>
        <v>#N/A</v>
      </c>
      <c r="L1172" s="1596" t="e">
        <f t="shared" si="4"/>
        <v>#N/A</v>
      </c>
    </row>
    <row r="1173" spans="1:12">
      <c r="A1173" s="1740" t="s">
        <v>1302</v>
      </c>
      <c r="B1173" s="1740">
        <v>10087</v>
      </c>
      <c r="C1173" s="1741">
        <v>1993000000</v>
      </c>
      <c r="D1173" s="1741">
        <v>1892000000</v>
      </c>
      <c r="E1173" s="1742">
        <v>82</v>
      </c>
      <c r="F1173" s="1742">
        <v>16</v>
      </c>
      <c r="G1173" s="1742">
        <v>0</v>
      </c>
      <c r="H1173" s="1742">
        <v>16</v>
      </c>
      <c r="I1173" s="1743">
        <v>42401</v>
      </c>
      <c r="K1173" s="1596" t="e">
        <f>VLOOKUP(A1173,Target!E200:I262,5,0)</f>
        <v>#N/A</v>
      </c>
      <c r="L1173" s="1596" t="e">
        <f t="shared" si="4"/>
        <v>#N/A</v>
      </c>
    </row>
    <row r="1174" spans="1:12" ht="30">
      <c r="A1174" s="1740" t="s">
        <v>1291</v>
      </c>
      <c r="B1174" s="1740">
        <v>10003</v>
      </c>
      <c r="C1174" s="1741">
        <v>631000000</v>
      </c>
      <c r="D1174" s="1741">
        <v>600000000</v>
      </c>
      <c r="E1174" s="1742">
        <v>36</v>
      </c>
      <c r="F1174" s="1742">
        <v>6</v>
      </c>
      <c r="G1174" s="1742">
        <v>0</v>
      </c>
      <c r="H1174" s="1742">
        <v>6</v>
      </c>
      <c r="I1174" s="1743">
        <v>42401</v>
      </c>
      <c r="K1174" s="1596" t="e">
        <f>VLOOKUP(A1174,Target!E201:I263,5,0)</f>
        <v>#N/A</v>
      </c>
      <c r="L1174" s="1596" t="e">
        <f t="shared" si="4"/>
        <v>#N/A</v>
      </c>
    </row>
    <row r="1177" spans="1:12">
      <c r="A1177" s="1773" t="s">
        <v>2704</v>
      </c>
    </row>
    <row r="1178" spans="1:12">
      <c r="A1178" s="1739" t="s">
        <v>1109</v>
      </c>
      <c r="B1178" s="1739" t="s">
        <v>1110</v>
      </c>
      <c r="C1178" s="1739" t="s">
        <v>1</v>
      </c>
      <c r="D1178" s="1739" t="s">
        <v>2</v>
      </c>
      <c r="E1178" s="1739" t="s">
        <v>1108</v>
      </c>
      <c r="F1178" s="1739" t="s">
        <v>1107</v>
      </c>
      <c r="G1178" s="1739" t="s">
        <v>1106</v>
      </c>
      <c r="H1178" s="1739" t="s">
        <v>1105</v>
      </c>
      <c r="I1178" s="1739" t="s">
        <v>1160</v>
      </c>
    </row>
    <row r="1179" spans="1:12">
      <c r="A1179" s="1740" t="s">
        <v>2710</v>
      </c>
      <c r="B1179" s="1740" t="s">
        <v>2712</v>
      </c>
      <c r="C1179" s="1741">
        <v>126000000</v>
      </c>
      <c r="D1179" s="1741">
        <v>120000000</v>
      </c>
      <c r="E1179" s="1742">
        <v>5</v>
      </c>
      <c r="F1179" s="1742">
        <v>16</v>
      </c>
      <c r="G1179" s="1742">
        <v>4</v>
      </c>
      <c r="H1179" s="1742">
        <v>20</v>
      </c>
      <c r="I1179" s="1743">
        <v>42430</v>
      </c>
      <c r="J1179" s="1778" t="s">
        <v>2717</v>
      </c>
    </row>
    <row r="1180" spans="1:12">
      <c r="A1180" s="1766" t="s">
        <v>2708</v>
      </c>
      <c r="B1180" s="1740" t="s">
        <v>2713</v>
      </c>
      <c r="C1180" s="1741">
        <v>126000000</v>
      </c>
      <c r="D1180" s="1741">
        <v>120000000</v>
      </c>
      <c r="E1180" s="1742">
        <v>5</v>
      </c>
      <c r="F1180" s="1742">
        <v>16</v>
      </c>
      <c r="G1180" s="1742">
        <v>4</v>
      </c>
      <c r="H1180" s="1742">
        <v>20</v>
      </c>
      <c r="I1180" s="1743">
        <v>42430</v>
      </c>
      <c r="J1180" s="1778" t="s">
        <v>2717</v>
      </c>
    </row>
    <row r="1181" spans="1:12">
      <c r="A1181" s="1740" t="s">
        <v>1148</v>
      </c>
      <c r="B1181" s="1740" t="s">
        <v>1826</v>
      </c>
      <c r="C1181" s="1741">
        <v>5021000000</v>
      </c>
      <c r="D1181" s="1741">
        <v>4770000000</v>
      </c>
      <c r="E1181" s="1742">
        <v>82</v>
      </c>
      <c r="F1181" s="1742">
        <v>60</v>
      </c>
      <c r="G1181" s="1742">
        <v>0</v>
      </c>
      <c r="H1181" s="1742">
        <v>60</v>
      </c>
      <c r="I1181" s="1743">
        <v>42430</v>
      </c>
    </row>
    <row r="1182" spans="1:12">
      <c r="A1182" s="1740" t="s">
        <v>1149</v>
      </c>
      <c r="B1182" s="1740" t="s">
        <v>1827</v>
      </c>
      <c r="C1182" s="1741">
        <v>4314000000</v>
      </c>
      <c r="D1182" s="1741">
        <v>4098399999.9999995</v>
      </c>
      <c r="E1182" s="1742">
        <v>184</v>
      </c>
      <c r="F1182" s="1742">
        <v>70</v>
      </c>
      <c r="G1182" s="1742">
        <v>0</v>
      </c>
      <c r="H1182" s="1742">
        <v>70</v>
      </c>
      <c r="I1182" s="1743">
        <v>42430</v>
      </c>
    </row>
    <row r="1183" spans="1:12">
      <c r="A1183" s="1740" t="s">
        <v>1150</v>
      </c>
      <c r="B1183" s="1740" t="s">
        <v>1828</v>
      </c>
      <c r="C1183" s="1741">
        <v>4631000000</v>
      </c>
      <c r="D1183" s="1741">
        <v>4399000000</v>
      </c>
      <c r="E1183" s="1742">
        <v>203</v>
      </c>
      <c r="F1183" s="1742">
        <v>74</v>
      </c>
      <c r="G1183" s="1742">
        <v>4</v>
      </c>
      <c r="H1183" s="1742">
        <v>78</v>
      </c>
      <c r="I1183" s="1743">
        <v>42430</v>
      </c>
    </row>
    <row r="1184" spans="1:12">
      <c r="A1184" s="1740" t="s">
        <v>1151</v>
      </c>
      <c r="B1184" s="1740" t="s">
        <v>1829</v>
      </c>
      <c r="C1184" s="1741">
        <v>3221000000</v>
      </c>
      <c r="D1184" s="1741">
        <v>3060000000</v>
      </c>
      <c r="E1184" s="1742">
        <v>85</v>
      </c>
      <c r="F1184" s="1742">
        <v>60</v>
      </c>
      <c r="G1184" s="1742">
        <v>0</v>
      </c>
      <c r="H1184" s="1742">
        <v>60</v>
      </c>
      <c r="I1184" s="1743">
        <v>42430</v>
      </c>
    </row>
    <row r="1185" spans="1:10">
      <c r="A1185" s="1740" t="s">
        <v>1153</v>
      </c>
      <c r="B1185" s="1740" t="s">
        <v>1830</v>
      </c>
      <c r="C1185" s="1741">
        <v>1305000000</v>
      </c>
      <c r="D1185" s="1741">
        <v>1240400000</v>
      </c>
      <c r="E1185" s="1742">
        <v>70</v>
      </c>
      <c r="F1185" s="1742">
        <v>38</v>
      </c>
      <c r="G1185" s="1742">
        <v>4</v>
      </c>
      <c r="H1185" s="1742">
        <v>42</v>
      </c>
      <c r="I1185" s="1743">
        <v>42430</v>
      </c>
    </row>
    <row r="1186" spans="1:10">
      <c r="A1186" s="1740" t="s">
        <v>1154</v>
      </c>
      <c r="B1186" s="1740" t="s">
        <v>1831</v>
      </c>
      <c r="C1186" s="1741">
        <v>1611000000</v>
      </c>
      <c r="D1186" s="1741">
        <v>1530000000</v>
      </c>
      <c r="E1186" s="1742">
        <v>42</v>
      </c>
      <c r="F1186" s="1742">
        <v>12</v>
      </c>
      <c r="G1186" s="1742">
        <v>0</v>
      </c>
      <c r="H1186" s="1742">
        <v>12</v>
      </c>
      <c r="I1186" s="1743">
        <v>42430</v>
      </c>
    </row>
    <row r="1187" spans="1:10">
      <c r="A1187" s="1740" t="s">
        <v>1675</v>
      </c>
      <c r="B1187" s="1740" t="s">
        <v>1832</v>
      </c>
      <c r="C1187" s="1741">
        <v>737000000</v>
      </c>
      <c r="D1187" s="1741">
        <v>700000000</v>
      </c>
      <c r="E1187" s="1742">
        <v>24</v>
      </c>
      <c r="F1187" s="1742">
        <v>12</v>
      </c>
      <c r="G1187" s="1742">
        <v>0</v>
      </c>
      <c r="H1187" s="1742">
        <v>12</v>
      </c>
      <c r="I1187" s="1743">
        <v>42430</v>
      </c>
    </row>
    <row r="1188" spans="1:10">
      <c r="A1188" s="1740" t="s">
        <v>1155</v>
      </c>
      <c r="B1188" s="1740" t="s">
        <v>1833</v>
      </c>
      <c r="C1188" s="1741">
        <v>11804000000</v>
      </c>
      <c r="D1188" s="1741">
        <v>11214000000</v>
      </c>
      <c r="E1188" s="1742">
        <v>224</v>
      </c>
      <c r="F1188" s="1742">
        <v>142</v>
      </c>
      <c r="G1188" s="1742">
        <v>8</v>
      </c>
      <c r="H1188" s="1742">
        <v>150</v>
      </c>
      <c r="I1188" s="1743">
        <v>42430</v>
      </c>
    </row>
    <row r="1189" spans="1:10">
      <c r="A1189" s="1740" t="s">
        <v>1156</v>
      </c>
      <c r="B1189" s="1740" t="s">
        <v>1834</v>
      </c>
      <c r="C1189" s="1741">
        <v>1515000000</v>
      </c>
      <c r="D1189" s="1741">
        <v>1440000000</v>
      </c>
      <c r="E1189" s="1742">
        <v>55</v>
      </c>
      <c r="F1189" s="1742">
        <v>30</v>
      </c>
      <c r="G1189" s="1742">
        <v>0</v>
      </c>
      <c r="H1189" s="1742">
        <v>30</v>
      </c>
      <c r="I1189" s="1743">
        <v>42430</v>
      </c>
    </row>
    <row r="1190" spans="1:10">
      <c r="A1190" s="1740" t="s">
        <v>2218</v>
      </c>
      <c r="B1190" s="1740" t="s">
        <v>2049</v>
      </c>
      <c r="C1190" s="1741">
        <v>568000000</v>
      </c>
      <c r="D1190" s="1741">
        <v>540000000</v>
      </c>
      <c r="E1190" s="1742">
        <v>35</v>
      </c>
      <c r="F1190" s="1742">
        <v>15</v>
      </c>
      <c r="G1190" s="1742">
        <v>0</v>
      </c>
      <c r="H1190" s="1742">
        <v>15</v>
      </c>
      <c r="I1190" s="1743">
        <v>42430</v>
      </c>
    </row>
    <row r="1191" spans="1:10">
      <c r="A1191" s="1740" t="s">
        <v>792</v>
      </c>
      <c r="B1191" s="1740" t="s">
        <v>1835</v>
      </c>
      <c r="C1191" s="1741">
        <v>20046000000</v>
      </c>
      <c r="D1191" s="1741">
        <v>19044000000</v>
      </c>
      <c r="E1191" s="1742">
        <v>391</v>
      </c>
      <c r="F1191" s="1742">
        <v>262</v>
      </c>
      <c r="G1191" s="1742">
        <v>8</v>
      </c>
      <c r="H1191" s="1742">
        <v>270</v>
      </c>
      <c r="I1191" s="1743">
        <v>42430</v>
      </c>
    </row>
    <row r="1192" spans="1:10">
      <c r="A1192" s="1740" t="s">
        <v>794</v>
      </c>
      <c r="B1192" s="1740" t="s">
        <v>1836</v>
      </c>
      <c r="C1192" s="1741">
        <v>8945000000</v>
      </c>
      <c r="D1192" s="1741">
        <v>8497400000</v>
      </c>
      <c r="E1192" s="1742">
        <v>387</v>
      </c>
      <c r="F1192" s="1742">
        <v>144</v>
      </c>
      <c r="G1192" s="1742">
        <v>4</v>
      </c>
      <c r="H1192" s="1742">
        <v>148</v>
      </c>
      <c r="I1192" s="1743">
        <v>42430</v>
      </c>
    </row>
    <row r="1193" spans="1:10">
      <c r="A1193" s="1740" t="s">
        <v>793</v>
      </c>
      <c r="B1193" s="1740" t="s">
        <v>1837</v>
      </c>
      <c r="C1193" s="1741">
        <v>5028000000</v>
      </c>
      <c r="D1193" s="1741">
        <v>4779299999.999999</v>
      </c>
      <c r="E1193" s="1742">
        <v>282</v>
      </c>
      <c r="F1193" s="1742">
        <v>125</v>
      </c>
      <c r="G1193" s="1742">
        <v>4</v>
      </c>
      <c r="H1193" s="1742">
        <v>129</v>
      </c>
      <c r="I1193" s="1743">
        <v>42430</v>
      </c>
    </row>
    <row r="1194" spans="1:10">
      <c r="A1194" s="1740" t="s">
        <v>458</v>
      </c>
      <c r="B1194" s="1740" t="s">
        <v>1838</v>
      </c>
      <c r="C1194" s="1741">
        <v>3863000000</v>
      </c>
      <c r="D1194" s="1741">
        <v>3670000000</v>
      </c>
      <c r="E1194" s="1742">
        <v>121</v>
      </c>
      <c r="F1194" s="1742">
        <v>54</v>
      </c>
      <c r="G1194" s="1742">
        <v>0</v>
      </c>
      <c r="H1194" s="1742">
        <v>54</v>
      </c>
      <c r="I1194" s="1743">
        <v>42430</v>
      </c>
    </row>
    <row r="1195" spans="1:10">
      <c r="A1195" s="1740" t="s">
        <v>2048</v>
      </c>
      <c r="B1195" s="1740" t="s">
        <v>2050</v>
      </c>
      <c r="C1195" s="1741">
        <v>568000000</v>
      </c>
      <c r="D1195" s="1741">
        <v>540000000</v>
      </c>
      <c r="E1195" s="1742">
        <v>35</v>
      </c>
      <c r="F1195" s="1742">
        <v>15</v>
      </c>
      <c r="G1195" s="1742">
        <v>0</v>
      </c>
      <c r="H1195" s="1742">
        <v>15</v>
      </c>
      <c r="I1195" s="1743">
        <v>42430</v>
      </c>
    </row>
    <row r="1196" spans="1:10">
      <c r="A1196" s="1740" t="s">
        <v>2214</v>
      </c>
      <c r="B1196" s="1740" t="s">
        <v>2215</v>
      </c>
      <c r="C1196" s="1741">
        <v>1999000000</v>
      </c>
      <c r="D1196" s="1741">
        <v>1900300000</v>
      </c>
      <c r="E1196" s="1742">
        <v>117</v>
      </c>
      <c r="F1196" s="1742">
        <v>48</v>
      </c>
      <c r="G1196" s="1742">
        <v>0</v>
      </c>
      <c r="H1196" s="1742">
        <v>48</v>
      </c>
      <c r="I1196" s="1743">
        <v>42430</v>
      </c>
    </row>
    <row r="1197" spans="1:10">
      <c r="A1197" s="1740" t="s">
        <v>2216</v>
      </c>
      <c r="B1197" s="1740" t="s">
        <v>2217</v>
      </c>
      <c r="C1197" s="1741">
        <v>1724000000</v>
      </c>
      <c r="D1197" s="1741">
        <v>1638600000</v>
      </c>
      <c r="E1197" s="1742">
        <v>95</v>
      </c>
      <c r="F1197" s="1742">
        <v>39</v>
      </c>
      <c r="G1197" s="1742">
        <v>0</v>
      </c>
      <c r="H1197" s="1742">
        <v>39</v>
      </c>
      <c r="I1197" s="1743">
        <v>42430</v>
      </c>
    </row>
    <row r="1198" spans="1:10">
      <c r="A1198" s="1740" t="s">
        <v>1158</v>
      </c>
      <c r="B1198" s="1740" t="s">
        <v>1159</v>
      </c>
      <c r="C1198" s="1741">
        <v>38450000000</v>
      </c>
      <c r="D1198" s="1741">
        <v>36530700000</v>
      </c>
      <c r="E1198" s="1742">
        <v>1216</v>
      </c>
      <c r="F1198" s="1742">
        <v>600</v>
      </c>
      <c r="G1198" s="1742">
        <v>16</v>
      </c>
      <c r="H1198" s="1742">
        <v>616</v>
      </c>
      <c r="I1198" s="1743">
        <v>42430</v>
      </c>
    </row>
    <row r="1199" spans="1:10">
      <c r="A1199" s="1740" t="s">
        <v>177</v>
      </c>
      <c r="B1199" s="1740" t="s">
        <v>1782</v>
      </c>
      <c r="C1199" s="1741">
        <v>1115000000</v>
      </c>
      <c r="D1199" s="1741">
        <v>1059000000</v>
      </c>
      <c r="E1199" s="1742">
        <v>24</v>
      </c>
      <c r="F1199" s="1742">
        <v>10</v>
      </c>
      <c r="G1199" s="1742">
        <v>0</v>
      </c>
      <c r="H1199" s="1742">
        <v>10</v>
      </c>
      <c r="I1199" s="1743">
        <v>42430</v>
      </c>
      <c r="J1199" s="1778" t="s">
        <v>2717</v>
      </c>
    </row>
    <row r="1200" spans="1:10">
      <c r="A1200" s="1740" t="s">
        <v>185</v>
      </c>
      <c r="B1200" s="1740" t="s">
        <v>1783</v>
      </c>
      <c r="C1200" s="1741">
        <v>847000000</v>
      </c>
      <c r="D1200" s="1741">
        <v>805000000</v>
      </c>
      <c r="E1200" s="1742">
        <v>21</v>
      </c>
      <c r="F1200" s="1742">
        <v>10</v>
      </c>
      <c r="G1200" s="1742">
        <v>0</v>
      </c>
      <c r="H1200" s="1742">
        <v>10</v>
      </c>
      <c r="I1200" s="1743">
        <v>42430</v>
      </c>
      <c r="J1200" s="1778" t="s">
        <v>2717</v>
      </c>
    </row>
    <row r="1201" spans="1:10">
      <c r="A1201" s="1740" t="s">
        <v>179</v>
      </c>
      <c r="B1201" s="1740" t="s">
        <v>1784</v>
      </c>
      <c r="C1201" s="1741">
        <v>1194000000</v>
      </c>
      <c r="D1201" s="1741">
        <v>1134000000</v>
      </c>
      <c r="E1201" s="1742">
        <v>57</v>
      </c>
      <c r="F1201" s="1742">
        <v>20</v>
      </c>
      <c r="G1201" s="1742">
        <v>0</v>
      </c>
      <c r="H1201" s="1742">
        <v>20</v>
      </c>
      <c r="I1201" s="1743">
        <v>42430</v>
      </c>
      <c r="J1201" s="1778" t="s">
        <v>2717</v>
      </c>
    </row>
    <row r="1202" spans="1:10">
      <c r="A1202" s="1740" t="s">
        <v>176</v>
      </c>
      <c r="B1202" s="1740" t="s">
        <v>1785</v>
      </c>
      <c r="C1202" s="1741">
        <v>1511000000</v>
      </c>
      <c r="D1202" s="1741">
        <v>1435000000.0000002</v>
      </c>
      <c r="E1202" s="1742">
        <v>63</v>
      </c>
      <c r="F1202" s="1742">
        <v>18</v>
      </c>
      <c r="G1202" s="1742">
        <v>0</v>
      </c>
      <c r="H1202" s="1742">
        <v>18</v>
      </c>
      <c r="I1202" s="1743">
        <v>42430</v>
      </c>
      <c r="J1202" s="1778" t="s">
        <v>2717</v>
      </c>
    </row>
    <row r="1203" spans="1:10">
      <c r="A1203" s="1740" t="s">
        <v>187</v>
      </c>
      <c r="B1203" s="1740" t="s">
        <v>1786</v>
      </c>
      <c r="C1203" s="1741">
        <v>853000000</v>
      </c>
      <c r="D1203" s="1741">
        <v>810000000</v>
      </c>
      <c r="E1203" s="1742">
        <v>22</v>
      </c>
      <c r="F1203" s="1742">
        <v>12</v>
      </c>
      <c r="G1203" s="1742">
        <v>0</v>
      </c>
      <c r="H1203" s="1742">
        <v>12</v>
      </c>
      <c r="I1203" s="1743">
        <v>42430</v>
      </c>
      <c r="J1203" s="1778" t="s">
        <v>2717</v>
      </c>
    </row>
    <row r="1204" spans="1:10">
      <c r="A1204" s="1740" t="s">
        <v>661</v>
      </c>
      <c r="B1204" s="1740" t="s">
        <v>1788</v>
      </c>
      <c r="C1204" s="1741">
        <v>468000000</v>
      </c>
      <c r="D1204" s="1741">
        <v>444400000</v>
      </c>
      <c r="E1204" s="1742">
        <v>22</v>
      </c>
      <c r="F1204" s="1742">
        <v>10</v>
      </c>
      <c r="G1204" s="1742">
        <v>0</v>
      </c>
      <c r="H1204" s="1742">
        <v>10</v>
      </c>
      <c r="I1204" s="1743">
        <v>42430</v>
      </c>
      <c r="J1204" s="1778" t="s">
        <v>2717</v>
      </c>
    </row>
    <row r="1205" spans="1:10">
      <c r="A1205" s="1740" t="s">
        <v>628</v>
      </c>
      <c r="B1205" s="1740" t="s">
        <v>1789</v>
      </c>
      <c r="C1205" s="1741">
        <v>474000000</v>
      </c>
      <c r="D1205" s="1741">
        <v>450000000</v>
      </c>
      <c r="E1205" s="1742">
        <v>16</v>
      </c>
      <c r="F1205" s="1742">
        <v>12</v>
      </c>
      <c r="G1205" s="1742">
        <v>0</v>
      </c>
      <c r="H1205" s="1742">
        <v>12</v>
      </c>
      <c r="I1205" s="1743">
        <v>42430</v>
      </c>
      <c r="J1205" s="1778" t="s">
        <v>2717</v>
      </c>
    </row>
    <row r="1206" spans="1:10">
      <c r="A1206" s="1740" t="s">
        <v>650</v>
      </c>
      <c r="B1206" s="1740" t="s">
        <v>1790</v>
      </c>
      <c r="C1206" s="1741">
        <v>326000000</v>
      </c>
      <c r="D1206" s="1741">
        <v>310000000</v>
      </c>
      <c r="E1206" s="1742">
        <v>12</v>
      </c>
      <c r="F1206" s="1742">
        <v>12</v>
      </c>
      <c r="G1206" s="1742">
        <v>0</v>
      </c>
      <c r="H1206" s="1742">
        <v>12</v>
      </c>
      <c r="I1206" s="1743">
        <v>42430</v>
      </c>
      <c r="J1206" s="1778" t="s">
        <v>2717</v>
      </c>
    </row>
    <row r="1207" spans="1:10">
      <c r="A1207" s="1740" t="s">
        <v>660</v>
      </c>
      <c r="B1207" s="1740" t="s">
        <v>1791</v>
      </c>
      <c r="C1207" s="1741">
        <v>737000000</v>
      </c>
      <c r="D1207" s="1741">
        <v>700000000</v>
      </c>
      <c r="E1207" s="1742">
        <v>44</v>
      </c>
      <c r="F1207" s="1742">
        <v>15</v>
      </c>
      <c r="G1207" s="1742">
        <v>0</v>
      </c>
      <c r="H1207" s="1742">
        <v>15</v>
      </c>
      <c r="I1207" s="1743">
        <v>42430</v>
      </c>
      <c r="J1207" s="1778" t="s">
        <v>2717</v>
      </c>
    </row>
    <row r="1208" spans="1:10">
      <c r="A1208" s="1740" t="s">
        <v>648</v>
      </c>
      <c r="B1208" s="1740" t="s">
        <v>1792</v>
      </c>
      <c r="C1208" s="1741">
        <v>853000000</v>
      </c>
      <c r="D1208" s="1741">
        <v>810000000</v>
      </c>
      <c r="E1208" s="1742">
        <v>16</v>
      </c>
      <c r="F1208" s="1742">
        <v>12</v>
      </c>
      <c r="G1208" s="1742">
        <v>0</v>
      </c>
      <c r="H1208" s="1742">
        <v>12</v>
      </c>
      <c r="I1208" s="1743">
        <v>42430</v>
      </c>
      <c r="J1208" s="1778" t="s">
        <v>2717</v>
      </c>
    </row>
    <row r="1209" spans="1:10">
      <c r="A1209" s="1740" t="s">
        <v>659</v>
      </c>
      <c r="B1209" s="1740" t="s">
        <v>1793</v>
      </c>
      <c r="C1209" s="1741">
        <v>1068000000</v>
      </c>
      <c r="D1209" s="1741">
        <v>1015000000.0000001</v>
      </c>
      <c r="E1209" s="1742">
        <v>40</v>
      </c>
      <c r="F1209" s="1742">
        <v>15</v>
      </c>
      <c r="G1209" s="1742">
        <v>0</v>
      </c>
      <c r="H1209" s="1742">
        <v>15</v>
      </c>
      <c r="I1209" s="1743">
        <v>42430</v>
      </c>
      <c r="J1209" s="1778" t="s">
        <v>2717</v>
      </c>
    </row>
    <row r="1210" spans="1:10">
      <c r="A1210" s="1740" t="s">
        <v>649</v>
      </c>
      <c r="B1210" s="1740" t="s">
        <v>1794</v>
      </c>
      <c r="C1210" s="1741">
        <v>526000000</v>
      </c>
      <c r="D1210" s="1741">
        <v>500000000</v>
      </c>
      <c r="E1210" s="1742">
        <v>21</v>
      </c>
      <c r="F1210" s="1742">
        <v>12</v>
      </c>
      <c r="G1210" s="1742">
        <v>0</v>
      </c>
      <c r="H1210" s="1742">
        <v>12</v>
      </c>
      <c r="I1210" s="1743">
        <v>42430</v>
      </c>
      <c r="J1210" s="1778" t="s">
        <v>2717</v>
      </c>
    </row>
    <row r="1211" spans="1:10">
      <c r="A1211" s="1740" t="s">
        <v>642</v>
      </c>
      <c r="B1211" s="1740" t="s">
        <v>1795</v>
      </c>
      <c r="C1211" s="1741">
        <v>947000000</v>
      </c>
      <c r="D1211" s="1741">
        <v>900000000</v>
      </c>
      <c r="E1211" s="1742">
        <v>21</v>
      </c>
      <c r="F1211" s="1742">
        <v>12</v>
      </c>
      <c r="G1211" s="1742">
        <v>0</v>
      </c>
      <c r="H1211" s="1742">
        <v>12</v>
      </c>
      <c r="I1211" s="1743">
        <v>42430</v>
      </c>
      <c r="J1211" s="1778" t="s">
        <v>2717</v>
      </c>
    </row>
    <row r="1212" spans="1:10">
      <c r="A1212" s="1740" t="s">
        <v>736</v>
      </c>
      <c r="B1212" s="1740" t="s">
        <v>1796</v>
      </c>
      <c r="C1212" s="1741">
        <v>1232000000</v>
      </c>
      <c r="D1212" s="1741">
        <v>1170000000</v>
      </c>
      <c r="E1212" s="1742">
        <v>25</v>
      </c>
      <c r="F1212" s="1742">
        <v>12</v>
      </c>
      <c r="G1212" s="1742">
        <v>0</v>
      </c>
      <c r="H1212" s="1742">
        <v>12</v>
      </c>
      <c r="I1212" s="1743">
        <v>42430</v>
      </c>
      <c r="J1212" s="1778" t="s">
        <v>2717</v>
      </c>
    </row>
    <row r="1213" spans="1:10">
      <c r="A1213" s="1740" t="s">
        <v>699</v>
      </c>
      <c r="B1213" s="1740" t="s">
        <v>1797</v>
      </c>
      <c r="C1213" s="1741">
        <v>130000000</v>
      </c>
      <c r="D1213" s="1741">
        <v>123000000</v>
      </c>
      <c r="E1213" s="1742">
        <v>9</v>
      </c>
      <c r="F1213" s="1742">
        <v>0</v>
      </c>
      <c r="G1213" s="1742">
        <v>0</v>
      </c>
      <c r="H1213" s="1742">
        <v>0</v>
      </c>
      <c r="I1213" s="1743">
        <v>42430</v>
      </c>
      <c r="J1213" s="1778" t="s">
        <v>2717</v>
      </c>
    </row>
    <row r="1214" spans="1:10">
      <c r="A1214" s="1740" t="s">
        <v>735</v>
      </c>
      <c r="B1214" s="1740" t="s">
        <v>1799</v>
      </c>
      <c r="C1214" s="1741">
        <v>1263000000</v>
      </c>
      <c r="D1214" s="1741">
        <v>1200000000</v>
      </c>
      <c r="E1214" s="1742">
        <v>19</v>
      </c>
      <c r="F1214" s="1742">
        <v>12</v>
      </c>
      <c r="G1214" s="1742">
        <v>0</v>
      </c>
      <c r="H1214" s="1742">
        <v>12</v>
      </c>
      <c r="I1214" s="1743">
        <v>42430</v>
      </c>
      <c r="J1214" s="1778" t="s">
        <v>2717</v>
      </c>
    </row>
    <row r="1215" spans="1:10">
      <c r="A1215" s="1740" t="s">
        <v>734</v>
      </c>
      <c r="B1215" s="1740" t="s">
        <v>1800</v>
      </c>
      <c r="C1215" s="1741">
        <v>1611000000</v>
      </c>
      <c r="D1215" s="1741">
        <v>1530000000</v>
      </c>
      <c r="E1215" s="1742">
        <v>42</v>
      </c>
      <c r="F1215" s="1742">
        <v>12</v>
      </c>
      <c r="G1215" s="1742">
        <v>0</v>
      </c>
      <c r="H1215" s="1742">
        <v>12</v>
      </c>
      <c r="I1215" s="1743">
        <v>42430</v>
      </c>
      <c r="J1215" s="1778" t="s">
        <v>2717</v>
      </c>
    </row>
    <row r="1216" spans="1:10">
      <c r="A1216" s="1740" t="s">
        <v>798</v>
      </c>
      <c r="B1216" s="1740" t="s">
        <v>1801</v>
      </c>
      <c r="C1216" s="1741">
        <v>1042000000</v>
      </c>
      <c r="D1216" s="1741">
        <v>990000000</v>
      </c>
      <c r="E1216" s="1742">
        <v>14</v>
      </c>
      <c r="F1216" s="1742">
        <v>12</v>
      </c>
      <c r="G1216" s="1742">
        <v>0</v>
      </c>
      <c r="H1216" s="1742">
        <v>12</v>
      </c>
      <c r="I1216" s="1743">
        <v>42430</v>
      </c>
      <c r="J1216" s="1778" t="s">
        <v>2717</v>
      </c>
    </row>
    <row r="1217" spans="1:10">
      <c r="A1217" s="1740" t="s">
        <v>796</v>
      </c>
      <c r="B1217" s="1740" t="s">
        <v>1802</v>
      </c>
      <c r="C1217" s="1741">
        <v>947000000</v>
      </c>
      <c r="D1217" s="1741">
        <v>900000000</v>
      </c>
      <c r="E1217" s="1742">
        <v>14</v>
      </c>
      <c r="F1217" s="1742">
        <v>12</v>
      </c>
      <c r="G1217" s="1742">
        <v>0</v>
      </c>
      <c r="H1217" s="1742">
        <v>12</v>
      </c>
      <c r="I1217" s="1743">
        <v>42430</v>
      </c>
      <c r="J1217" s="1778" t="s">
        <v>2717</v>
      </c>
    </row>
    <row r="1218" spans="1:10">
      <c r="A1218" s="1740" t="s">
        <v>799</v>
      </c>
      <c r="B1218" s="1740" t="s">
        <v>1803</v>
      </c>
      <c r="C1218" s="1741">
        <v>568000000</v>
      </c>
      <c r="D1218" s="1741">
        <v>540000000</v>
      </c>
      <c r="E1218" s="1742">
        <v>27</v>
      </c>
      <c r="F1218" s="1742">
        <v>10</v>
      </c>
      <c r="G1218" s="1742">
        <v>0</v>
      </c>
      <c r="H1218" s="1742">
        <v>10</v>
      </c>
      <c r="I1218" s="1743">
        <v>42430</v>
      </c>
      <c r="J1218" s="1778" t="s">
        <v>2717</v>
      </c>
    </row>
    <row r="1219" spans="1:10">
      <c r="A1219" s="1740" t="s">
        <v>825</v>
      </c>
      <c r="B1219" s="1740" t="s">
        <v>1804</v>
      </c>
      <c r="C1219" s="1741">
        <v>568000000</v>
      </c>
      <c r="D1219" s="1741">
        <v>540000000</v>
      </c>
      <c r="E1219" s="1742">
        <v>29</v>
      </c>
      <c r="F1219" s="1742">
        <v>12</v>
      </c>
      <c r="G1219" s="1742">
        <v>0</v>
      </c>
      <c r="H1219" s="1742">
        <v>12</v>
      </c>
      <c r="I1219" s="1743">
        <v>42430</v>
      </c>
      <c r="J1219" s="1778" t="s">
        <v>2717</v>
      </c>
    </row>
    <row r="1220" spans="1:10">
      <c r="A1220" s="1740" t="s">
        <v>905</v>
      </c>
      <c r="B1220" s="1740" t="s">
        <v>1805</v>
      </c>
      <c r="C1220" s="1741">
        <v>632000000</v>
      </c>
      <c r="D1220" s="1741">
        <v>600000000</v>
      </c>
      <c r="E1220" s="1742">
        <v>17</v>
      </c>
      <c r="F1220" s="1742">
        <v>12</v>
      </c>
      <c r="G1220" s="1742">
        <v>0</v>
      </c>
      <c r="H1220" s="1742">
        <v>12</v>
      </c>
      <c r="I1220" s="1743">
        <v>42430</v>
      </c>
      <c r="J1220" s="1778" t="s">
        <v>2717</v>
      </c>
    </row>
    <row r="1221" spans="1:10">
      <c r="A1221" s="1740" t="s">
        <v>903</v>
      </c>
      <c r="B1221" s="1740" t="s">
        <v>1806</v>
      </c>
      <c r="C1221" s="1741">
        <v>947000000</v>
      </c>
      <c r="D1221" s="1741">
        <v>900000000</v>
      </c>
      <c r="E1221" s="1742">
        <v>28</v>
      </c>
      <c r="F1221" s="1742">
        <v>12</v>
      </c>
      <c r="G1221" s="1742">
        <v>0</v>
      </c>
      <c r="H1221" s="1742">
        <v>12</v>
      </c>
      <c r="I1221" s="1743">
        <v>42430</v>
      </c>
      <c r="J1221" s="1778" t="s">
        <v>2717</v>
      </c>
    </row>
    <row r="1222" spans="1:10">
      <c r="A1222" s="1740" t="s">
        <v>902</v>
      </c>
      <c r="B1222" s="1740" t="s">
        <v>1807</v>
      </c>
      <c r="C1222" s="1741">
        <v>947000000</v>
      </c>
      <c r="D1222" s="1741">
        <v>900000000</v>
      </c>
      <c r="E1222" s="1742">
        <v>25</v>
      </c>
      <c r="F1222" s="1742">
        <v>12</v>
      </c>
      <c r="G1222" s="1742">
        <v>0</v>
      </c>
      <c r="H1222" s="1742">
        <v>12</v>
      </c>
      <c r="I1222" s="1743">
        <v>42430</v>
      </c>
      <c r="J1222" s="1778" t="s">
        <v>2717</v>
      </c>
    </row>
    <row r="1223" spans="1:10">
      <c r="A1223" s="1740" t="s">
        <v>900</v>
      </c>
      <c r="B1223" s="1740" t="s">
        <v>1808</v>
      </c>
      <c r="C1223" s="1741">
        <v>1326000000</v>
      </c>
      <c r="D1223" s="1741">
        <v>1260000000</v>
      </c>
      <c r="E1223" s="1742">
        <v>16</v>
      </c>
      <c r="F1223" s="1742">
        <v>12</v>
      </c>
      <c r="G1223" s="1742">
        <v>0</v>
      </c>
      <c r="H1223" s="1742">
        <v>12</v>
      </c>
      <c r="I1223" s="1743">
        <v>42430</v>
      </c>
      <c r="J1223" s="1778" t="s">
        <v>2717</v>
      </c>
    </row>
    <row r="1224" spans="1:10">
      <c r="A1224" s="1740" t="s">
        <v>949</v>
      </c>
      <c r="B1224" s="1740" t="s">
        <v>1809</v>
      </c>
      <c r="C1224" s="1741">
        <v>737000000</v>
      </c>
      <c r="D1224" s="1741">
        <v>700000000</v>
      </c>
      <c r="E1224" s="1742">
        <v>24</v>
      </c>
      <c r="F1224" s="1742">
        <v>12</v>
      </c>
      <c r="G1224" s="1742">
        <v>0</v>
      </c>
      <c r="H1224" s="1742">
        <v>12</v>
      </c>
      <c r="I1224" s="1743">
        <v>42430</v>
      </c>
      <c r="J1224" s="1778" t="s">
        <v>2717</v>
      </c>
    </row>
    <row r="1225" spans="1:10">
      <c r="A1225" s="1740" t="s">
        <v>1104</v>
      </c>
      <c r="B1225" s="1740" t="s">
        <v>1810</v>
      </c>
      <c r="C1225" s="1741">
        <v>568000000</v>
      </c>
      <c r="D1225" s="1741">
        <v>540000000</v>
      </c>
      <c r="E1225" s="1742">
        <v>34</v>
      </c>
      <c r="F1225" s="1742">
        <v>12</v>
      </c>
      <c r="G1225" s="1742">
        <v>0</v>
      </c>
      <c r="H1225" s="1742">
        <v>12</v>
      </c>
      <c r="I1225" s="1743">
        <v>42430</v>
      </c>
      <c r="J1225" s="1778" t="s">
        <v>2717</v>
      </c>
    </row>
    <row r="1226" spans="1:10">
      <c r="A1226" s="1740" t="s">
        <v>1015</v>
      </c>
      <c r="B1226" s="1740" t="s">
        <v>1811</v>
      </c>
      <c r="C1226" s="1741">
        <v>497000000</v>
      </c>
      <c r="D1226" s="1741">
        <v>472300000</v>
      </c>
      <c r="E1226" s="1742">
        <v>30</v>
      </c>
      <c r="F1226" s="1742">
        <v>12</v>
      </c>
      <c r="G1226" s="1742">
        <v>0</v>
      </c>
      <c r="H1226" s="1742">
        <v>12</v>
      </c>
      <c r="I1226" s="1743">
        <v>42430</v>
      </c>
      <c r="J1226" s="1778" t="s">
        <v>2717</v>
      </c>
    </row>
    <row r="1227" spans="1:10">
      <c r="A1227" s="1740" t="s">
        <v>1103</v>
      </c>
      <c r="B1227" s="1740" t="s">
        <v>1812</v>
      </c>
      <c r="C1227" s="1741">
        <v>366000000</v>
      </c>
      <c r="D1227" s="1741">
        <v>348000000</v>
      </c>
      <c r="E1227" s="1742">
        <v>19</v>
      </c>
      <c r="F1227" s="1742">
        <v>12</v>
      </c>
      <c r="G1227" s="1742">
        <v>0</v>
      </c>
      <c r="H1227" s="1742">
        <v>12</v>
      </c>
      <c r="I1227" s="1743">
        <v>42430</v>
      </c>
      <c r="J1227" s="1778" t="s">
        <v>2717</v>
      </c>
    </row>
    <row r="1228" spans="1:10">
      <c r="A1228" s="1740" t="s">
        <v>1102</v>
      </c>
      <c r="B1228" s="1740" t="s">
        <v>1813</v>
      </c>
      <c r="C1228" s="1741">
        <v>947000000</v>
      </c>
      <c r="D1228" s="1741">
        <v>900000000</v>
      </c>
      <c r="E1228" s="1742">
        <v>34</v>
      </c>
      <c r="F1228" s="1742">
        <v>15</v>
      </c>
      <c r="G1228" s="1742">
        <v>0</v>
      </c>
      <c r="H1228" s="1742">
        <v>15</v>
      </c>
      <c r="I1228" s="1743">
        <v>42430</v>
      </c>
      <c r="J1228" s="1778" t="s">
        <v>2717</v>
      </c>
    </row>
    <row r="1229" spans="1:10">
      <c r="A1229" s="1740" t="s">
        <v>1101</v>
      </c>
      <c r="B1229" s="1740" t="s">
        <v>1814</v>
      </c>
      <c r="C1229" s="1741">
        <v>568000000</v>
      </c>
      <c r="D1229" s="1741">
        <v>540000000</v>
      </c>
      <c r="E1229" s="1742">
        <v>21</v>
      </c>
      <c r="F1229" s="1742">
        <v>15</v>
      </c>
      <c r="G1229" s="1742">
        <v>0</v>
      </c>
      <c r="H1229" s="1742">
        <v>15</v>
      </c>
      <c r="I1229" s="1743">
        <v>42430</v>
      </c>
      <c r="J1229" s="1778" t="s">
        <v>2717</v>
      </c>
    </row>
    <row r="1230" spans="1:10">
      <c r="A1230" s="1740" t="s">
        <v>1100</v>
      </c>
      <c r="B1230" s="1740" t="s">
        <v>1815</v>
      </c>
      <c r="C1230" s="1741">
        <v>686000000</v>
      </c>
      <c r="D1230" s="1741">
        <v>652000000</v>
      </c>
      <c r="E1230" s="1742">
        <v>38</v>
      </c>
      <c r="F1230" s="1742">
        <v>15</v>
      </c>
      <c r="G1230" s="1742">
        <v>0</v>
      </c>
      <c r="H1230" s="1742">
        <v>15</v>
      </c>
      <c r="I1230" s="1743">
        <v>42430</v>
      </c>
      <c r="J1230" s="1778" t="s">
        <v>2717</v>
      </c>
    </row>
    <row r="1231" spans="1:10">
      <c r="A1231" s="1740" t="s">
        <v>1099</v>
      </c>
      <c r="B1231" s="1740" t="s">
        <v>1816</v>
      </c>
      <c r="C1231" s="1741">
        <v>1042000000</v>
      </c>
      <c r="D1231" s="1741">
        <v>990000000</v>
      </c>
      <c r="E1231" s="1742">
        <v>21</v>
      </c>
      <c r="F1231" s="1742">
        <v>12</v>
      </c>
      <c r="G1231" s="1742">
        <v>0</v>
      </c>
      <c r="H1231" s="1742">
        <v>12</v>
      </c>
      <c r="I1231" s="1743">
        <v>42430</v>
      </c>
      <c r="J1231" s="1778" t="s">
        <v>2717</v>
      </c>
    </row>
    <row r="1232" spans="1:10">
      <c r="A1232" s="1740" t="s">
        <v>1419</v>
      </c>
      <c r="B1232" s="1740" t="s">
        <v>1817</v>
      </c>
      <c r="C1232" s="1741">
        <v>568000000</v>
      </c>
      <c r="D1232" s="1741">
        <v>540000000</v>
      </c>
      <c r="E1232" s="1742">
        <v>34</v>
      </c>
      <c r="F1232" s="1742">
        <v>12</v>
      </c>
      <c r="G1232" s="1742">
        <v>0</v>
      </c>
      <c r="H1232" s="1742">
        <v>12</v>
      </c>
      <c r="I1232" s="1743">
        <v>42430</v>
      </c>
      <c r="J1232" s="1778" t="s">
        <v>2717</v>
      </c>
    </row>
    <row r="1233" spans="1:10">
      <c r="A1233" s="1740" t="s">
        <v>1563</v>
      </c>
      <c r="B1233" s="1740" t="s">
        <v>1818</v>
      </c>
      <c r="C1233" s="1741">
        <v>758000000</v>
      </c>
      <c r="D1233" s="1741">
        <v>720000000</v>
      </c>
      <c r="E1233" s="1742">
        <v>13</v>
      </c>
      <c r="F1233" s="1742">
        <v>12</v>
      </c>
      <c r="G1233" s="1742">
        <v>0</v>
      </c>
      <c r="H1233" s="1742">
        <v>12</v>
      </c>
      <c r="I1233" s="1743">
        <v>42430</v>
      </c>
      <c r="J1233" s="1778" t="s">
        <v>2717</v>
      </c>
    </row>
    <row r="1234" spans="1:10">
      <c r="A1234" s="1740" t="s">
        <v>1418</v>
      </c>
      <c r="B1234" s="1740" t="s">
        <v>1819</v>
      </c>
      <c r="C1234" s="1741">
        <v>2275000000</v>
      </c>
      <c r="D1234" s="1741">
        <v>2161500000</v>
      </c>
      <c r="E1234" s="1742">
        <v>26</v>
      </c>
      <c r="F1234" s="1742">
        <v>5</v>
      </c>
      <c r="G1234" s="1742">
        <v>0</v>
      </c>
      <c r="H1234" s="1742">
        <v>5</v>
      </c>
      <c r="I1234" s="1743">
        <v>42430</v>
      </c>
      <c r="J1234" s="1778" t="s">
        <v>2717</v>
      </c>
    </row>
    <row r="1235" spans="1:10">
      <c r="A1235" s="1740" t="s">
        <v>1568</v>
      </c>
      <c r="B1235" s="1740" t="s">
        <v>1820</v>
      </c>
      <c r="C1235" s="1741">
        <v>995000000</v>
      </c>
      <c r="D1235" s="1741">
        <v>945000000.00000012</v>
      </c>
      <c r="E1235" s="1742">
        <v>69</v>
      </c>
      <c r="F1235" s="1742">
        <v>18</v>
      </c>
      <c r="G1235" s="1742">
        <v>0</v>
      </c>
      <c r="H1235" s="1742">
        <v>18</v>
      </c>
      <c r="I1235" s="1743">
        <v>42430</v>
      </c>
      <c r="J1235" s="1778" t="s">
        <v>2717</v>
      </c>
    </row>
    <row r="1236" spans="1:10">
      <c r="A1236" s="1740" t="s">
        <v>1567</v>
      </c>
      <c r="B1236" s="1740" t="s">
        <v>1821</v>
      </c>
      <c r="C1236" s="1741">
        <v>884000000</v>
      </c>
      <c r="D1236" s="1741">
        <v>840000000.00000012</v>
      </c>
      <c r="E1236" s="1742">
        <v>42</v>
      </c>
      <c r="F1236" s="1742">
        <v>12</v>
      </c>
      <c r="G1236" s="1742">
        <v>0</v>
      </c>
      <c r="H1236" s="1742">
        <v>12</v>
      </c>
      <c r="I1236" s="1743">
        <v>42430</v>
      </c>
      <c r="J1236" s="1778" t="s">
        <v>2717</v>
      </c>
    </row>
    <row r="1237" spans="1:10">
      <c r="A1237" s="1740" t="s">
        <v>1570</v>
      </c>
      <c r="B1237" s="1740" t="s">
        <v>1823</v>
      </c>
      <c r="C1237" s="1741">
        <v>481000000</v>
      </c>
      <c r="D1237" s="1741">
        <v>457400000</v>
      </c>
      <c r="E1237" s="1742">
        <v>29</v>
      </c>
      <c r="F1237" s="1742">
        <v>12</v>
      </c>
      <c r="G1237" s="1742">
        <v>0</v>
      </c>
      <c r="H1237" s="1742">
        <v>12</v>
      </c>
      <c r="I1237" s="1743">
        <v>42430</v>
      </c>
      <c r="J1237" s="1778" t="s">
        <v>2717</v>
      </c>
    </row>
    <row r="1238" spans="1:10">
      <c r="A1238" s="1740" t="s">
        <v>1572</v>
      </c>
      <c r="B1238" s="1740" t="s">
        <v>1824</v>
      </c>
      <c r="C1238" s="1741">
        <v>470000000</v>
      </c>
      <c r="D1238" s="1741">
        <v>446600000</v>
      </c>
      <c r="E1238" s="1742">
        <v>28</v>
      </c>
      <c r="F1238" s="1742">
        <v>12</v>
      </c>
      <c r="G1238" s="1742">
        <v>0</v>
      </c>
      <c r="H1238" s="1742">
        <v>12</v>
      </c>
      <c r="I1238" s="1743">
        <v>42430</v>
      </c>
      <c r="J1238" s="1778" t="s">
        <v>2717</v>
      </c>
    </row>
    <row r="1239" spans="1:10">
      <c r="A1239" s="1740" t="s">
        <v>1669</v>
      </c>
      <c r="B1239" s="1740" t="s">
        <v>1825</v>
      </c>
      <c r="C1239" s="1741">
        <v>853000000</v>
      </c>
      <c r="D1239" s="1741">
        <v>810000000</v>
      </c>
      <c r="E1239" s="1742">
        <v>8</v>
      </c>
      <c r="F1239" s="1742">
        <v>12</v>
      </c>
      <c r="G1239" s="1742">
        <v>0</v>
      </c>
      <c r="H1239" s="1742">
        <v>12</v>
      </c>
      <c r="I1239" s="1743">
        <v>42430</v>
      </c>
      <c r="J1239" s="1778" t="s">
        <v>2717</v>
      </c>
    </row>
    <row r="1240" spans="1:10">
      <c r="A1240" s="1740" t="s">
        <v>2046</v>
      </c>
      <c r="B1240" s="1740" t="s">
        <v>2047</v>
      </c>
      <c r="C1240" s="1741">
        <v>568000000</v>
      </c>
      <c r="D1240" s="1741">
        <v>540000000</v>
      </c>
      <c r="E1240" s="1742">
        <v>35</v>
      </c>
      <c r="F1240" s="1742">
        <v>15</v>
      </c>
      <c r="G1240" s="1742">
        <v>0</v>
      </c>
      <c r="H1240" s="1742">
        <v>15</v>
      </c>
      <c r="I1240" s="1743">
        <v>42430</v>
      </c>
      <c r="J1240" s="1778" t="s">
        <v>2717</v>
      </c>
    </row>
    <row r="1241" spans="1:10">
      <c r="A1241" s="1740" t="s">
        <v>2659</v>
      </c>
      <c r="B1241" s="1740" t="s">
        <v>2714</v>
      </c>
      <c r="C1241" s="1741">
        <v>229000000</v>
      </c>
      <c r="D1241" s="1741">
        <v>217500000</v>
      </c>
      <c r="E1241" s="1742">
        <v>5</v>
      </c>
      <c r="F1241" s="1742">
        <v>10</v>
      </c>
      <c r="G1241" s="1742">
        <v>3</v>
      </c>
      <c r="H1241" s="1742">
        <v>13</v>
      </c>
      <c r="I1241" s="1743">
        <v>42430</v>
      </c>
      <c r="J1241" s="1778" t="s">
        <v>2717</v>
      </c>
    </row>
    <row r="1242" spans="1:10">
      <c r="A1242" s="1740" t="s">
        <v>2658</v>
      </c>
      <c r="B1242" s="1740" t="s">
        <v>2715</v>
      </c>
      <c r="C1242" s="1741">
        <v>166000000</v>
      </c>
      <c r="D1242" s="1741">
        <v>157500000</v>
      </c>
      <c r="E1242" s="1742">
        <v>4</v>
      </c>
      <c r="F1242" s="1742">
        <v>9</v>
      </c>
      <c r="G1242" s="1742">
        <v>2</v>
      </c>
      <c r="H1242" s="1742">
        <v>11</v>
      </c>
      <c r="I1242" s="1743">
        <v>42430</v>
      </c>
      <c r="J1242" s="1778" t="s">
        <v>2717</v>
      </c>
    </row>
    <row r="1243" spans="1:10">
      <c r="A1243" s="1740" t="s">
        <v>2660</v>
      </c>
      <c r="B1243" s="1740" t="s">
        <v>2716</v>
      </c>
      <c r="C1243" s="1741">
        <v>229000000</v>
      </c>
      <c r="D1243" s="1741">
        <v>217500000</v>
      </c>
      <c r="E1243" s="1742">
        <v>5</v>
      </c>
      <c r="F1243" s="1742">
        <v>10</v>
      </c>
      <c r="G1243" s="1742">
        <v>3</v>
      </c>
      <c r="H1243" s="1742">
        <v>13</v>
      </c>
      <c r="I1243" s="1743">
        <v>42430</v>
      </c>
      <c r="J1243" s="1778" t="s">
        <v>2717</v>
      </c>
    </row>
    <row r="1244" spans="1:10">
      <c r="A1244" s="1740" t="s">
        <v>47</v>
      </c>
      <c r="B1244" s="1740" t="s">
        <v>1780</v>
      </c>
      <c r="C1244" s="1741">
        <v>947000000</v>
      </c>
      <c r="D1244" s="1741">
        <v>900000000</v>
      </c>
      <c r="E1244" s="1742">
        <v>13</v>
      </c>
      <c r="F1244" s="1742">
        <v>12</v>
      </c>
      <c r="G1244" s="1742">
        <v>0</v>
      </c>
      <c r="H1244" s="1742">
        <v>12</v>
      </c>
      <c r="I1244" s="1743">
        <v>42430</v>
      </c>
      <c r="J1244" s="1778" t="s">
        <v>2717</v>
      </c>
    </row>
    <row r="1245" spans="1:10">
      <c r="A1245" s="1740" t="s">
        <v>91</v>
      </c>
      <c r="B1245" s="1740" t="s">
        <v>1781</v>
      </c>
      <c r="C1245" s="1741">
        <v>1232000000</v>
      </c>
      <c r="D1245" s="1741">
        <v>1170000000</v>
      </c>
      <c r="E1245" s="1742">
        <v>30</v>
      </c>
      <c r="F1245" s="1742">
        <v>12</v>
      </c>
      <c r="G1245" s="1742">
        <v>0</v>
      </c>
      <c r="H1245" s="1742">
        <v>12</v>
      </c>
      <c r="I1245" s="1743">
        <v>42430</v>
      </c>
      <c r="J1245" s="1778" t="s">
        <v>2717</v>
      </c>
    </row>
    <row r="1246" spans="1:10" ht="30">
      <c r="A1246" s="1740" t="s">
        <v>1291</v>
      </c>
      <c r="B1246" s="1740" t="s">
        <v>1839</v>
      </c>
      <c r="C1246" s="1741">
        <v>3467000000</v>
      </c>
      <c r="D1246" s="1741">
        <v>3292500000</v>
      </c>
      <c r="E1246" s="1742">
        <v>79</v>
      </c>
      <c r="F1246" s="1742">
        <v>65</v>
      </c>
      <c r="G1246" s="1742">
        <v>8</v>
      </c>
      <c r="H1246" s="1742">
        <v>73</v>
      </c>
      <c r="I1246" s="1743">
        <v>42430</v>
      </c>
    </row>
    <row r="1247" spans="1:10">
      <c r="A1247" s="1740" t="s">
        <v>1292</v>
      </c>
      <c r="B1247" s="1740" t="s">
        <v>1840</v>
      </c>
      <c r="C1247" s="1741">
        <v>3577000000</v>
      </c>
      <c r="D1247" s="1741">
        <v>3398400000</v>
      </c>
      <c r="E1247" s="1742">
        <v>140</v>
      </c>
      <c r="F1247" s="1742">
        <v>55</v>
      </c>
      <c r="G1247" s="1742">
        <v>0</v>
      </c>
      <c r="H1247" s="1742">
        <v>55</v>
      </c>
      <c r="I1247" s="1743">
        <v>42430</v>
      </c>
    </row>
    <row r="1248" spans="1:10">
      <c r="A1248" s="1740" t="s">
        <v>1293</v>
      </c>
      <c r="B1248" s="1740" t="s">
        <v>1841</v>
      </c>
      <c r="C1248" s="1741">
        <v>3120000000</v>
      </c>
      <c r="D1248" s="1741">
        <v>2964000000</v>
      </c>
      <c r="E1248" s="1742">
        <v>140</v>
      </c>
      <c r="F1248" s="1742">
        <v>56</v>
      </c>
      <c r="G1248" s="1742">
        <v>4</v>
      </c>
      <c r="H1248" s="1742">
        <v>60</v>
      </c>
      <c r="I1248" s="1743">
        <v>42430</v>
      </c>
    </row>
    <row r="1249" spans="1:9">
      <c r="A1249" s="1740" t="s">
        <v>1294</v>
      </c>
      <c r="B1249" s="1740" t="s">
        <v>1842</v>
      </c>
      <c r="C1249" s="1741">
        <v>1958000000</v>
      </c>
      <c r="D1249" s="1741">
        <v>1860000000</v>
      </c>
      <c r="E1249" s="1742">
        <v>66</v>
      </c>
      <c r="F1249" s="1742">
        <v>48</v>
      </c>
      <c r="G1249" s="1742">
        <v>0</v>
      </c>
      <c r="H1249" s="1742">
        <v>48</v>
      </c>
      <c r="I1249" s="1743">
        <v>42430</v>
      </c>
    </row>
    <row r="1250" spans="1:9">
      <c r="A1250" s="1740" t="s">
        <v>1296</v>
      </c>
      <c r="B1250" s="1740" t="s">
        <v>1844</v>
      </c>
      <c r="C1250" s="1741">
        <v>3979000000</v>
      </c>
      <c r="D1250" s="1741">
        <v>3780000000</v>
      </c>
      <c r="E1250" s="1742">
        <v>68</v>
      </c>
      <c r="F1250" s="1742">
        <v>48</v>
      </c>
      <c r="G1250" s="1742">
        <v>0</v>
      </c>
      <c r="H1250" s="1742">
        <v>48</v>
      </c>
      <c r="I1250" s="1743">
        <v>42430</v>
      </c>
    </row>
    <row r="1251" spans="1:9">
      <c r="A1251" s="1740" t="s">
        <v>1297</v>
      </c>
      <c r="B1251" s="1740" t="s">
        <v>1845</v>
      </c>
      <c r="C1251" s="1741">
        <v>824000000</v>
      </c>
      <c r="D1251" s="1741">
        <v>783000000</v>
      </c>
      <c r="E1251" s="1742">
        <v>41</v>
      </c>
      <c r="F1251" s="1742">
        <v>26</v>
      </c>
      <c r="G1251" s="1742">
        <v>4</v>
      </c>
      <c r="H1251" s="1742">
        <v>30</v>
      </c>
      <c r="I1251" s="1743">
        <v>42430</v>
      </c>
    </row>
    <row r="1252" spans="1:9">
      <c r="A1252" s="1740" t="s">
        <v>1298</v>
      </c>
      <c r="B1252" s="1740" t="s">
        <v>1846</v>
      </c>
      <c r="C1252" s="1741">
        <v>1263000000</v>
      </c>
      <c r="D1252" s="1741">
        <v>1200000000</v>
      </c>
      <c r="E1252" s="1742">
        <v>19</v>
      </c>
      <c r="F1252" s="1742">
        <v>12</v>
      </c>
      <c r="G1252" s="1742">
        <v>0</v>
      </c>
      <c r="H1252" s="1742">
        <v>12</v>
      </c>
      <c r="I1252" s="1743">
        <v>42430</v>
      </c>
    </row>
    <row r="1253" spans="1:9">
      <c r="A1253" s="1740" t="s">
        <v>2662</v>
      </c>
      <c r="B1253" s="1740" t="s">
        <v>1847</v>
      </c>
      <c r="C1253" s="1741">
        <v>1611000000</v>
      </c>
      <c r="D1253" s="1741">
        <v>1530000000</v>
      </c>
      <c r="E1253" s="1742">
        <v>42</v>
      </c>
      <c r="F1253" s="1742">
        <v>12</v>
      </c>
      <c r="G1253" s="1742">
        <v>0</v>
      </c>
      <c r="H1253" s="1742">
        <v>12</v>
      </c>
      <c r="I1253" s="1743">
        <v>42430</v>
      </c>
    </row>
    <row r="1254" spans="1:9">
      <c r="A1254" s="1740" t="s">
        <v>1300</v>
      </c>
      <c r="B1254" s="1740" t="s">
        <v>1848</v>
      </c>
      <c r="C1254" s="1741">
        <v>1042000000</v>
      </c>
      <c r="D1254" s="1741">
        <v>990000000</v>
      </c>
      <c r="E1254" s="1742">
        <v>14</v>
      </c>
      <c r="F1254" s="1742">
        <v>12</v>
      </c>
      <c r="G1254" s="1742">
        <v>0</v>
      </c>
      <c r="H1254" s="1742">
        <v>12</v>
      </c>
      <c r="I1254" s="1743">
        <v>42430</v>
      </c>
    </row>
    <row r="1255" spans="1:9" ht="30">
      <c r="A1255" s="1740" t="s">
        <v>1301</v>
      </c>
      <c r="B1255" s="1740" t="s">
        <v>1849</v>
      </c>
      <c r="C1255" s="1741">
        <v>1511000000</v>
      </c>
      <c r="D1255" s="1741">
        <v>1435000000.0000002</v>
      </c>
      <c r="E1255" s="1742">
        <v>63</v>
      </c>
      <c r="F1255" s="1742">
        <v>18</v>
      </c>
      <c r="G1255" s="1742">
        <v>0</v>
      </c>
      <c r="H1255" s="1742">
        <v>18</v>
      </c>
      <c r="I1255" s="1743">
        <v>42430</v>
      </c>
    </row>
    <row r="1256" spans="1:9">
      <c r="A1256" s="1740" t="s">
        <v>1302</v>
      </c>
      <c r="B1256" s="1740" t="s">
        <v>1850</v>
      </c>
      <c r="C1256" s="1741">
        <v>8337000000</v>
      </c>
      <c r="D1256" s="1741">
        <v>7921500000</v>
      </c>
      <c r="E1256" s="1742">
        <v>145</v>
      </c>
      <c r="F1256" s="1742">
        <v>77</v>
      </c>
      <c r="G1256" s="1742">
        <v>0</v>
      </c>
      <c r="H1256" s="1742">
        <v>77</v>
      </c>
      <c r="I1256" s="1743">
        <v>42430</v>
      </c>
    </row>
    <row r="1257" spans="1:9">
      <c r="A1257" s="1740" t="s">
        <v>1303</v>
      </c>
      <c r="B1257" s="1740" t="s">
        <v>1851</v>
      </c>
      <c r="C1257" s="1741">
        <v>737000000</v>
      </c>
      <c r="D1257" s="1741">
        <v>700000000</v>
      </c>
      <c r="E1257" s="1742">
        <v>24</v>
      </c>
      <c r="F1257" s="1742">
        <v>12</v>
      </c>
      <c r="G1257" s="1742">
        <v>0</v>
      </c>
      <c r="H1257" s="1742">
        <v>12</v>
      </c>
      <c r="I1257" s="1743">
        <v>42430</v>
      </c>
    </row>
    <row r="1258" spans="1:9">
      <c r="A1258" s="1740" t="s">
        <v>1422</v>
      </c>
      <c r="B1258" s="1740" t="s">
        <v>1852</v>
      </c>
      <c r="C1258" s="1741">
        <v>1431000000</v>
      </c>
      <c r="D1258" s="1741">
        <v>1360300000</v>
      </c>
      <c r="E1258" s="1742">
        <v>83</v>
      </c>
      <c r="F1258" s="1742">
        <v>36</v>
      </c>
      <c r="G1258" s="1742">
        <v>0</v>
      </c>
      <c r="H1258" s="1742">
        <v>36</v>
      </c>
      <c r="I1258" s="1743">
        <v>42430</v>
      </c>
    </row>
    <row r="1259" spans="1:9">
      <c r="A1259" s="1740" t="s">
        <v>1305</v>
      </c>
      <c r="B1259" s="1740" t="s">
        <v>1853</v>
      </c>
      <c r="C1259" s="1741">
        <v>568000000</v>
      </c>
      <c r="D1259" s="1741">
        <v>540000000</v>
      </c>
      <c r="E1259" s="1742">
        <v>21</v>
      </c>
      <c r="F1259" s="1742">
        <v>15</v>
      </c>
      <c r="G1259" s="1742">
        <v>0</v>
      </c>
      <c r="H1259" s="1742">
        <v>15</v>
      </c>
      <c r="I1259" s="1743">
        <v>42430</v>
      </c>
    </row>
    <row r="1260" spans="1:9">
      <c r="A1260" s="1740" t="s">
        <v>1423</v>
      </c>
      <c r="B1260" s="1740" t="s">
        <v>1854</v>
      </c>
      <c r="C1260" s="1741">
        <v>686000000</v>
      </c>
      <c r="D1260" s="1741">
        <v>652000000</v>
      </c>
      <c r="E1260" s="1742">
        <v>38</v>
      </c>
      <c r="F1260" s="1742">
        <v>15</v>
      </c>
      <c r="G1260" s="1742">
        <v>0</v>
      </c>
      <c r="H1260" s="1742">
        <v>15</v>
      </c>
      <c r="I1260" s="1743">
        <v>42430</v>
      </c>
    </row>
    <row r="1261" spans="1:9">
      <c r="A1261" s="1740" t="s">
        <v>1424</v>
      </c>
      <c r="B1261" s="1740" t="s">
        <v>1855</v>
      </c>
      <c r="C1261" s="1741">
        <v>568000000</v>
      </c>
      <c r="D1261" s="1741">
        <v>540000000</v>
      </c>
      <c r="E1261" s="1742">
        <v>34</v>
      </c>
      <c r="F1261" s="1742">
        <v>12</v>
      </c>
      <c r="G1261" s="1742">
        <v>0</v>
      </c>
      <c r="H1261" s="1742">
        <v>12</v>
      </c>
      <c r="I1261" s="1743">
        <v>42430</v>
      </c>
    </row>
    <row r="1262" spans="1:9">
      <c r="A1262" s="1740" t="s">
        <v>2051</v>
      </c>
      <c r="B1262" s="1740" t="s">
        <v>2052</v>
      </c>
      <c r="C1262" s="1741">
        <v>568000000</v>
      </c>
      <c r="D1262" s="1741">
        <v>540000000</v>
      </c>
      <c r="E1262" s="1742">
        <v>35</v>
      </c>
      <c r="F1262" s="1742">
        <v>15</v>
      </c>
      <c r="G1262" s="1742">
        <v>0</v>
      </c>
      <c r="H1262" s="1742">
        <v>15</v>
      </c>
      <c r="I1262" s="1743">
        <v>42430</v>
      </c>
    </row>
    <row r="1263" spans="1:9">
      <c r="A1263" s="1740" t="s">
        <v>2221</v>
      </c>
      <c r="B1263" s="1740" t="s">
        <v>2222</v>
      </c>
      <c r="C1263" s="1741">
        <v>737000000</v>
      </c>
      <c r="D1263" s="1741">
        <v>700000000</v>
      </c>
      <c r="E1263" s="1742">
        <v>44</v>
      </c>
      <c r="F1263" s="1742">
        <v>15</v>
      </c>
      <c r="G1263" s="1742">
        <v>0</v>
      </c>
      <c r="H1263" s="1742">
        <v>15</v>
      </c>
      <c r="I1263" s="1743">
        <v>42430</v>
      </c>
    </row>
    <row r="1264" spans="1:9">
      <c r="A1264" s="1740" t="s">
        <v>2219</v>
      </c>
      <c r="B1264" s="1740" t="s">
        <v>2220</v>
      </c>
      <c r="C1264" s="1741">
        <v>1038000000</v>
      </c>
      <c r="D1264" s="1741">
        <v>986600000</v>
      </c>
      <c r="E1264" s="1742">
        <v>57</v>
      </c>
      <c r="F1264" s="1742">
        <v>24</v>
      </c>
      <c r="G1264" s="1742">
        <v>0</v>
      </c>
      <c r="H1264" s="1742">
        <v>24</v>
      </c>
      <c r="I1264" s="1743">
        <v>42430</v>
      </c>
    </row>
    <row r="1265" spans="1:11">
      <c r="A1265" s="1740" t="s">
        <v>2439</v>
      </c>
      <c r="B1265" s="1740" t="s">
        <v>2440</v>
      </c>
      <c r="C1265" s="1741">
        <v>481000000</v>
      </c>
      <c r="D1265" s="1741">
        <v>457400000</v>
      </c>
      <c r="E1265" s="1742">
        <v>29</v>
      </c>
      <c r="F1265" s="1742">
        <v>12</v>
      </c>
      <c r="G1265" s="1742">
        <v>0</v>
      </c>
      <c r="H1265" s="1742">
        <v>12</v>
      </c>
      <c r="I1265" s="1743">
        <v>42430</v>
      </c>
    </row>
    <row r="1266" spans="1:11">
      <c r="A1266" s="1740" t="s">
        <v>2566</v>
      </c>
      <c r="B1266" s="1740" t="s">
        <v>2567</v>
      </c>
      <c r="C1266" s="1741">
        <v>947000000</v>
      </c>
      <c r="D1266" s="1741">
        <v>900000000</v>
      </c>
      <c r="E1266" s="1742">
        <v>34</v>
      </c>
      <c r="F1266" s="1742">
        <v>15</v>
      </c>
      <c r="G1266" s="1742">
        <v>0</v>
      </c>
      <c r="H1266" s="1742">
        <v>15</v>
      </c>
      <c r="I1266" s="1743">
        <v>42430</v>
      </c>
    </row>
    <row r="1269" spans="1:11">
      <c r="A1269" s="1797" t="s">
        <v>2898</v>
      </c>
    </row>
    <row r="1270" spans="1:11">
      <c r="A1270" s="1739" t="s">
        <v>1109</v>
      </c>
      <c r="B1270" s="1739" t="s">
        <v>1110</v>
      </c>
      <c r="C1270" s="1739" t="s">
        <v>1</v>
      </c>
      <c r="D1270" s="1739" t="s">
        <v>2</v>
      </c>
      <c r="E1270" s="1739" t="s">
        <v>1108</v>
      </c>
      <c r="F1270" s="1739" t="s">
        <v>1107</v>
      </c>
      <c r="G1270" s="1739" t="s">
        <v>1106</v>
      </c>
      <c r="H1270" s="1739" t="s">
        <v>1105</v>
      </c>
      <c r="I1270" s="1739" t="s">
        <v>1160</v>
      </c>
    </row>
    <row r="1271" spans="1:11">
      <c r="A1271" s="1740" t="s">
        <v>793</v>
      </c>
      <c r="B1271" s="1740" t="s">
        <v>1837</v>
      </c>
      <c r="C1271" s="1741">
        <v>7886000000</v>
      </c>
      <c r="D1271" s="1741">
        <v>7492000000</v>
      </c>
      <c r="E1271" s="1742">
        <v>343</v>
      </c>
      <c r="F1271" s="1742">
        <v>157</v>
      </c>
      <c r="G1271" s="1742">
        <v>3</v>
      </c>
      <c r="H1271" s="1742">
        <v>160</v>
      </c>
      <c r="I1271" s="1743">
        <v>42461</v>
      </c>
      <c r="J1271" s="1798" t="s">
        <v>2717</v>
      </c>
      <c r="K1271" s="1596" t="e">
        <f>VLOOKUP(A1271,Target!$E$100:$K$162,7,0)</f>
        <v>#N/A</v>
      </c>
    </row>
    <row r="1272" spans="1:11">
      <c r="A1272" s="1740" t="s">
        <v>458</v>
      </c>
      <c r="B1272" s="1740" t="s">
        <v>1838</v>
      </c>
      <c r="C1272" s="1741">
        <v>4069000000</v>
      </c>
      <c r="D1272" s="1741">
        <v>3866000000</v>
      </c>
      <c r="E1272" s="1742">
        <v>143</v>
      </c>
      <c r="F1272" s="1742">
        <v>54</v>
      </c>
      <c r="G1272" s="1742">
        <v>0</v>
      </c>
      <c r="H1272" s="1742">
        <v>54</v>
      </c>
      <c r="I1272" s="1743">
        <v>42461</v>
      </c>
      <c r="J1272" s="1798" t="s">
        <v>2717</v>
      </c>
      <c r="K1272" s="1596" t="e">
        <f>VLOOKUP(A1272,Target!$E$100:$K$162,7,0)</f>
        <v>#N/A</v>
      </c>
    </row>
    <row r="1273" spans="1:11">
      <c r="A1273" s="1740" t="s">
        <v>2048</v>
      </c>
      <c r="B1273" s="1740" t="s">
        <v>2050</v>
      </c>
      <c r="C1273" s="1741">
        <v>526000000</v>
      </c>
      <c r="D1273" s="1741">
        <v>500000000</v>
      </c>
      <c r="E1273" s="1742">
        <v>41</v>
      </c>
      <c r="F1273" s="1742">
        <v>15</v>
      </c>
      <c r="G1273" s="1742">
        <v>0</v>
      </c>
      <c r="H1273" s="1742">
        <v>15</v>
      </c>
      <c r="I1273" s="1743">
        <v>42461</v>
      </c>
      <c r="J1273" s="1798" t="s">
        <v>2717</v>
      </c>
      <c r="K1273" s="1596" t="e">
        <f>VLOOKUP(A1273,Target!$E$100:$K$162,7,0)</f>
        <v>#N/A</v>
      </c>
    </row>
    <row r="1274" spans="1:11">
      <c r="A1274" s="1740" t="s">
        <v>2214</v>
      </c>
      <c r="B1274" s="1740" t="s">
        <v>2215</v>
      </c>
      <c r="C1274" s="1741">
        <v>3062000000</v>
      </c>
      <c r="D1274" s="1741">
        <v>2910000000</v>
      </c>
      <c r="E1274" s="1742">
        <v>136</v>
      </c>
      <c r="F1274" s="1742">
        <v>60</v>
      </c>
      <c r="G1274" s="1742">
        <v>0</v>
      </c>
      <c r="H1274" s="1742">
        <v>60</v>
      </c>
      <c r="I1274" s="1743">
        <v>42461</v>
      </c>
      <c r="J1274" s="1798" t="s">
        <v>2717</v>
      </c>
      <c r="K1274" s="1596" t="e">
        <f>VLOOKUP(A1274,Target!$E$100:$K$162,7,0)</f>
        <v>#N/A</v>
      </c>
    </row>
    <row r="1275" spans="1:11">
      <c r="A1275" s="1740" t="s">
        <v>2216</v>
      </c>
      <c r="B1275" s="1740" t="s">
        <v>2217</v>
      </c>
      <c r="C1275" s="1741">
        <v>2558000000</v>
      </c>
      <c r="D1275" s="1741">
        <v>2430000000</v>
      </c>
      <c r="E1275" s="1742">
        <v>113</v>
      </c>
      <c r="F1275" s="1742">
        <v>48</v>
      </c>
      <c r="G1275" s="1742">
        <v>0</v>
      </c>
      <c r="H1275" s="1742">
        <v>48</v>
      </c>
      <c r="I1275" s="1743">
        <v>42461</v>
      </c>
      <c r="J1275" s="1798" t="s">
        <v>2717</v>
      </c>
      <c r="K1275" s="1596" t="e">
        <f>VLOOKUP(A1275,Target!$E$100:$K$162,7,0)</f>
        <v>#N/A</v>
      </c>
    </row>
    <row r="1276" spans="1:11">
      <c r="A1276" s="1740" t="s">
        <v>1158</v>
      </c>
      <c r="B1276" s="1740" t="s">
        <v>1159</v>
      </c>
      <c r="C1276" s="1741">
        <v>40816000000</v>
      </c>
      <c r="D1276" s="1741">
        <v>38776000000</v>
      </c>
      <c r="E1276" s="1742">
        <v>1384</v>
      </c>
      <c r="F1276" s="1742">
        <v>621</v>
      </c>
      <c r="G1276" s="1742">
        <v>17</v>
      </c>
      <c r="H1276" s="1742">
        <v>638</v>
      </c>
      <c r="I1276" s="1743">
        <v>42461</v>
      </c>
      <c r="J1276" s="1798" t="s">
        <v>2717</v>
      </c>
      <c r="K1276" s="1596" t="e">
        <f>VLOOKUP(A1276,Target!$E$100:$K$162,7,0)</f>
        <v>#N/A</v>
      </c>
    </row>
    <row r="1277" spans="1:11" ht="30">
      <c r="A1277" s="1740" t="s">
        <v>1291</v>
      </c>
      <c r="B1277" s="1740" t="s">
        <v>1839</v>
      </c>
      <c r="C1277" s="1741">
        <v>3348000000</v>
      </c>
      <c r="D1277" s="1741">
        <v>3179500000</v>
      </c>
      <c r="E1277" s="1742">
        <v>100</v>
      </c>
      <c r="F1277" s="1742">
        <v>67</v>
      </c>
      <c r="G1277" s="1742">
        <v>11</v>
      </c>
      <c r="H1277" s="1742">
        <v>78</v>
      </c>
      <c r="I1277" s="1743">
        <v>42461</v>
      </c>
      <c r="J1277" s="1798" t="s">
        <v>2717</v>
      </c>
      <c r="K1277" s="1596" t="e">
        <f>VLOOKUP(A1277,Target!$E$100:$K$162,7,0)</f>
        <v>#N/A</v>
      </c>
    </row>
    <row r="1278" spans="1:11">
      <c r="A1278" s="1740" t="s">
        <v>1292</v>
      </c>
      <c r="B1278" s="1740" t="s">
        <v>1840</v>
      </c>
      <c r="C1278" s="1741">
        <v>3855000000</v>
      </c>
      <c r="D1278" s="1741">
        <v>3662000000</v>
      </c>
      <c r="E1278" s="1742">
        <v>146</v>
      </c>
      <c r="F1278" s="1742">
        <v>60</v>
      </c>
      <c r="G1278" s="1742">
        <v>0</v>
      </c>
      <c r="H1278" s="1742">
        <v>60</v>
      </c>
      <c r="I1278" s="1743">
        <v>42461</v>
      </c>
      <c r="J1278" s="1798" t="s">
        <v>2717</v>
      </c>
      <c r="K1278" s="1596" t="e">
        <f>VLOOKUP(A1278,Target!$E$100:$K$162,7,0)</f>
        <v>#N/A</v>
      </c>
    </row>
    <row r="1279" spans="1:11">
      <c r="A1279" s="1740" t="s">
        <v>1293</v>
      </c>
      <c r="B1279" s="1740" t="s">
        <v>1841</v>
      </c>
      <c r="C1279" s="1741">
        <v>3376000000</v>
      </c>
      <c r="D1279" s="1741">
        <v>3207000000</v>
      </c>
      <c r="E1279" s="1742">
        <v>129</v>
      </c>
      <c r="F1279" s="1742">
        <v>45</v>
      </c>
      <c r="G1279" s="1742">
        <v>3</v>
      </c>
      <c r="H1279" s="1742">
        <v>48</v>
      </c>
      <c r="I1279" s="1743">
        <v>42461</v>
      </c>
      <c r="J1279" s="1798" t="s">
        <v>2717</v>
      </c>
      <c r="K1279" s="1596" t="e">
        <f>VLOOKUP(A1279,Target!$E$100:$K$162,7,0)</f>
        <v>#N/A</v>
      </c>
    </row>
    <row r="1280" spans="1:11">
      <c r="A1280" s="1740" t="s">
        <v>1294</v>
      </c>
      <c r="B1280" s="1740" t="s">
        <v>1842</v>
      </c>
      <c r="C1280" s="1741">
        <v>3515000000</v>
      </c>
      <c r="D1280" s="1741">
        <v>3340000000</v>
      </c>
      <c r="E1280" s="1742">
        <v>81</v>
      </c>
      <c r="F1280" s="1742">
        <v>48</v>
      </c>
      <c r="G1280" s="1742">
        <v>0</v>
      </c>
      <c r="H1280" s="1742">
        <v>48</v>
      </c>
      <c r="I1280" s="1743">
        <v>42461</v>
      </c>
      <c r="J1280" s="1798" t="s">
        <v>2717</v>
      </c>
      <c r="K1280" s="1596" t="e">
        <f>VLOOKUP(A1280,Target!$E$100:$K$162,7,0)</f>
        <v>#N/A</v>
      </c>
    </row>
    <row r="1281" spans="1:11">
      <c r="A1281" s="1740" t="s">
        <v>1296</v>
      </c>
      <c r="B1281" s="1740" t="s">
        <v>1844</v>
      </c>
      <c r="C1281" s="1741">
        <v>2631000000</v>
      </c>
      <c r="D1281" s="1741">
        <v>2500000000</v>
      </c>
      <c r="E1281" s="1742">
        <v>72</v>
      </c>
      <c r="F1281" s="1742">
        <v>36</v>
      </c>
      <c r="G1281" s="1742">
        <v>0</v>
      </c>
      <c r="H1281" s="1742">
        <v>36</v>
      </c>
      <c r="I1281" s="1743">
        <v>42461</v>
      </c>
      <c r="J1281" s="1798" t="s">
        <v>2717</v>
      </c>
      <c r="K1281" s="1596" t="e">
        <f>VLOOKUP(A1281,Target!$E$100:$K$162,7,0)</f>
        <v>#N/A</v>
      </c>
    </row>
    <row r="1282" spans="1:11">
      <c r="A1282" s="1740" t="s">
        <v>1297</v>
      </c>
      <c r="B1282" s="1740" t="s">
        <v>1845</v>
      </c>
      <c r="C1282" s="1741">
        <v>1529000000</v>
      </c>
      <c r="D1282" s="1741">
        <v>1452000000</v>
      </c>
      <c r="E1282" s="1742">
        <v>59</v>
      </c>
      <c r="F1282" s="1742">
        <v>37</v>
      </c>
      <c r="G1282" s="1742">
        <v>3</v>
      </c>
      <c r="H1282" s="1742">
        <v>40</v>
      </c>
      <c r="I1282" s="1743">
        <v>42461</v>
      </c>
      <c r="J1282" s="1798" t="s">
        <v>2717</v>
      </c>
      <c r="K1282" s="1596" t="e">
        <f>VLOOKUP(A1282,Target!$E$100:$K$162,7,0)</f>
        <v>#N/A</v>
      </c>
    </row>
    <row r="1283" spans="1:11">
      <c r="A1283" s="1740" t="s">
        <v>1298</v>
      </c>
      <c r="B1283" s="1740" t="s">
        <v>1846</v>
      </c>
      <c r="C1283" s="1741">
        <v>1579000000</v>
      </c>
      <c r="D1283" s="1741">
        <v>1500000000</v>
      </c>
      <c r="E1283" s="1742">
        <v>23</v>
      </c>
      <c r="F1283" s="1742">
        <v>12</v>
      </c>
      <c r="G1283" s="1742">
        <v>0</v>
      </c>
      <c r="H1283" s="1742">
        <v>12</v>
      </c>
      <c r="I1283" s="1743">
        <v>42461</v>
      </c>
      <c r="J1283" s="1798" t="s">
        <v>2717</v>
      </c>
      <c r="K1283" s="1596" t="e">
        <f>VLOOKUP(A1283,Target!$E$100:$K$162,7,0)</f>
        <v>#N/A</v>
      </c>
    </row>
    <row r="1284" spans="1:11">
      <c r="A1284" s="1740" t="s">
        <v>2662</v>
      </c>
      <c r="B1284" s="1740" t="s">
        <v>1847</v>
      </c>
      <c r="C1284" s="1741">
        <v>1227000000</v>
      </c>
      <c r="D1284" s="1741">
        <v>1166000000</v>
      </c>
      <c r="E1284" s="1742">
        <v>47</v>
      </c>
      <c r="F1284" s="1742">
        <v>12</v>
      </c>
      <c r="G1284" s="1742">
        <v>0</v>
      </c>
      <c r="H1284" s="1742">
        <v>12</v>
      </c>
      <c r="I1284" s="1743">
        <v>42461</v>
      </c>
      <c r="J1284" s="1798" t="s">
        <v>2717</v>
      </c>
      <c r="K1284" s="1596" t="e">
        <f>VLOOKUP(A1284,Target!$E$100:$K$162,7,0)</f>
        <v>#N/A</v>
      </c>
    </row>
    <row r="1285" spans="1:11">
      <c r="A1285" s="1740" t="s">
        <v>1300</v>
      </c>
      <c r="B1285" s="1740" t="s">
        <v>1848</v>
      </c>
      <c r="C1285" s="1741">
        <v>1211000000</v>
      </c>
      <c r="D1285" s="1741">
        <v>1150000000</v>
      </c>
      <c r="E1285" s="1742">
        <v>18</v>
      </c>
      <c r="F1285" s="1742">
        <v>12</v>
      </c>
      <c r="G1285" s="1742">
        <v>0</v>
      </c>
      <c r="H1285" s="1742">
        <v>12</v>
      </c>
      <c r="I1285" s="1743">
        <v>42461</v>
      </c>
      <c r="J1285" s="1798" t="s">
        <v>2717</v>
      </c>
      <c r="K1285" s="1596" t="e">
        <f>VLOOKUP(A1285,Target!$E$100:$K$162,7,0)</f>
        <v>#N/A</v>
      </c>
    </row>
    <row r="1286" spans="1:11" ht="30">
      <c r="A1286" s="1740" t="s">
        <v>1301</v>
      </c>
      <c r="B1286" s="1740" t="s">
        <v>1849</v>
      </c>
      <c r="C1286" s="1741">
        <v>1641000000</v>
      </c>
      <c r="D1286" s="1741">
        <v>1559000000</v>
      </c>
      <c r="E1286" s="1742">
        <v>68</v>
      </c>
      <c r="F1286" s="1742">
        <v>25</v>
      </c>
      <c r="G1286" s="1742">
        <v>0</v>
      </c>
      <c r="H1286" s="1742">
        <v>25</v>
      </c>
      <c r="I1286" s="1743">
        <v>42461</v>
      </c>
      <c r="J1286" s="1798" t="s">
        <v>2717</v>
      </c>
      <c r="K1286" s="1596" t="e">
        <f>VLOOKUP(A1286,Target!$E$100:$K$162,7,0)</f>
        <v>#N/A</v>
      </c>
    </row>
    <row r="1287" spans="1:11">
      <c r="A1287" s="1740" t="s">
        <v>1302</v>
      </c>
      <c r="B1287" s="1740" t="s">
        <v>1850</v>
      </c>
      <c r="C1287" s="1741">
        <v>6379000000</v>
      </c>
      <c r="D1287" s="1741">
        <v>6060500000</v>
      </c>
      <c r="E1287" s="1742">
        <v>176</v>
      </c>
      <c r="F1287" s="1742">
        <v>78</v>
      </c>
      <c r="G1287" s="1742">
        <v>0</v>
      </c>
      <c r="H1287" s="1742">
        <v>78</v>
      </c>
      <c r="I1287" s="1743">
        <v>42461</v>
      </c>
      <c r="J1287" s="1798" t="s">
        <v>2717</v>
      </c>
      <c r="K1287" s="1596" t="e">
        <f>VLOOKUP(A1287,Target!$E$100:$K$162,7,0)</f>
        <v>#N/A</v>
      </c>
    </row>
    <row r="1288" spans="1:11">
      <c r="A1288" s="1740" t="s">
        <v>1567</v>
      </c>
      <c r="B1288" s="1740" t="s">
        <v>1821</v>
      </c>
      <c r="C1288" s="1741">
        <v>962000000</v>
      </c>
      <c r="D1288" s="1741">
        <v>914000000</v>
      </c>
      <c r="E1288" s="1742">
        <v>35</v>
      </c>
      <c r="F1288" s="1742">
        <v>12</v>
      </c>
      <c r="G1288" s="1742">
        <v>0</v>
      </c>
      <c r="H1288" s="1742">
        <v>12</v>
      </c>
      <c r="I1288" s="1743">
        <v>42461</v>
      </c>
      <c r="K1288" s="1596">
        <f>VLOOKUP(A1288,Target!$E$100:$K$162,7,0)</f>
        <v>35</v>
      </c>
    </row>
    <row r="1289" spans="1:11">
      <c r="A1289" s="1740" t="s">
        <v>1570</v>
      </c>
      <c r="B1289" s="1740" t="s">
        <v>1823</v>
      </c>
      <c r="C1289" s="1741">
        <v>737000000</v>
      </c>
      <c r="D1289" s="1741">
        <v>700000000</v>
      </c>
      <c r="E1289" s="1742">
        <v>35</v>
      </c>
      <c r="F1289" s="1742">
        <v>12</v>
      </c>
      <c r="G1289" s="1742">
        <v>0</v>
      </c>
      <c r="H1289" s="1742">
        <v>12</v>
      </c>
      <c r="I1289" s="1743">
        <v>42461</v>
      </c>
      <c r="K1289" s="1596">
        <f>VLOOKUP(A1289,Target!$E$100:$K$162,7,0)</f>
        <v>35</v>
      </c>
    </row>
    <row r="1290" spans="1:11">
      <c r="A1290" s="1740" t="s">
        <v>1572</v>
      </c>
      <c r="B1290" s="1740" t="s">
        <v>1824</v>
      </c>
      <c r="C1290" s="1741">
        <v>716000000</v>
      </c>
      <c r="D1290" s="1741">
        <v>680000000</v>
      </c>
      <c r="E1290" s="1742">
        <v>30</v>
      </c>
      <c r="F1290" s="1742">
        <v>12</v>
      </c>
      <c r="G1290" s="1742">
        <v>0</v>
      </c>
      <c r="H1290" s="1742">
        <v>12</v>
      </c>
      <c r="I1290" s="1743">
        <v>42461</v>
      </c>
      <c r="K1290" s="1596">
        <f>VLOOKUP(A1290,Target!$E$100:$K$162,7,0)</f>
        <v>30</v>
      </c>
    </row>
    <row r="1291" spans="1:11">
      <c r="A1291" s="1740" t="s">
        <v>2046</v>
      </c>
      <c r="B1291" s="1740" t="s">
        <v>2047</v>
      </c>
      <c r="C1291" s="1741">
        <v>526000000</v>
      </c>
      <c r="D1291" s="1741">
        <v>500000000</v>
      </c>
      <c r="E1291" s="1742">
        <v>41</v>
      </c>
      <c r="F1291" s="1742">
        <v>15</v>
      </c>
      <c r="G1291" s="1742">
        <v>0</v>
      </c>
      <c r="H1291" s="1742">
        <v>15</v>
      </c>
      <c r="I1291" s="1743">
        <v>42461</v>
      </c>
      <c r="K1291" s="1596">
        <f>VLOOKUP(A1291,Target!$E$100:$K$162,7,0)</f>
        <v>41</v>
      </c>
    </row>
    <row r="1292" spans="1:11">
      <c r="A1292" s="1740" t="s">
        <v>2659</v>
      </c>
      <c r="B1292" s="1740" t="s">
        <v>2714</v>
      </c>
      <c r="C1292" s="1741">
        <v>321000000</v>
      </c>
      <c r="D1292" s="1741">
        <v>304500000</v>
      </c>
      <c r="E1292" s="1742">
        <v>8</v>
      </c>
      <c r="F1292" s="1742">
        <v>11</v>
      </c>
      <c r="G1292" s="1742">
        <v>4</v>
      </c>
      <c r="H1292" s="1742">
        <v>15</v>
      </c>
      <c r="I1292" s="1743">
        <v>42461</v>
      </c>
      <c r="K1292" s="1596">
        <f>VLOOKUP(A1292,Target!$E$100:$K$162,7,0)</f>
        <v>8</v>
      </c>
    </row>
    <row r="1293" spans="1:11">
      <c r="A1293" s="1740" t="s">
        <v>2658</v>
      </c>
      <c r="B1293" s="1740" t="s">
        <v>2715</v>
      </c>
      <c r="C1293" s="1741">
        <v>232000000</v>
      </c>
      <c r="D1293" s="1741">
        <v>220500000</v>
      </c>
      <c r="E1293" s="1742">
        <v>5</v>
      </c>
      <c r="F1293" s="1742">
        <v>9</v>
      </c>
      <c r="G1293" s="1742">
        <v>3</v>
      </c>
      <c r="H1293" s="1742">
        <v>12</v>
      </c>
      <c r="I1293" s="1743">
        <v>42461</v>
      </c>
      <c r="K1293" s="1596">
        <f>VLOOKUP(A1293,Target!$E$100:$K$162,7,0)</f>
        <v>5</v>
      </c>
    </row>
    <row r="1294" spans="1:11">
      <c r="A1294" s="1740" t="s">
        <v>2660</v>
      </c>
      <c r="B1294" s="1740" t="s">
        <v>2716</v>
      </c>
      <c r="C1294" s="1741">
        <v>321000000</v>
      </c>
      <c r="D1294" s="1741">
        <v>304500000</v>
      </c>
      <c r="E1294" s="1742">
        <v>8</v>
      </c>
      <c r="F1294" s="1742">
        <v>11</v>
      </c>
      <c r="G1294" s="1742">
        <v>4</v>
      </c>
      <c r="H1294" s="1742">
        <v>15</v>
      </c>
      <c r="I1294" s="1743">
        <v>42461</v>
      </c>
      <c r="K1294" s="1596">
        <f>VLOOKUP(A1294,Target!$E$100:$K$162,7,0)</f>
        <v>8</v>
      </c>
    </row>
    <row r="1295" spans="1:11">
      <c r="A1295" s="1740" t="s">
        <v>2710</v>
      </c>
      <c r="B1295" s="1740" t="s">
        <v>2712</v>
      </c>
      <c r="C1295" s="1741">
        <v>213000000</v>
      </c>
      <c r="D1295" s="1741">
        <v>202000000</v>
      </c>
      <c r="E1295" s="1742">
        <v>10</v>
      </c>
      <c r="F1295" s="1742">
        <v>15</v>
      </c>
      <c r="G1295" s="1742">
        <v>3</v>
      </c>
      <c r="H1295" s="1742">
        <v>18</v>
      </c>
      <c r="I1295" s="1743">
        <v>42461</v>
      </c>
      <c r="K1295" s="1596">
        <f>VLOOKUP(A1295,Target!$E$100:$K$162,7,0)</f>
        <v>10</v>
      </c>
    </row>
    <row r="1296" spans="1:11">
      <c r="A1296" s="1740" t="s">
        <v>2708</v>
      </c>
      <c r="B1296" s="1740" t="s">
        <v>2713</v>
      </c>
      <c r="C1296" s="1741">
        <v>213000000</v>
      </c>
      <c r="D1296" s="1741">
        <v>202000000</v>
      </c>
      <c r="E1296" s="1742">
        <v>10</v>
      </c>
      <c r="F1296" s="1742">
        <v>15</v>
      </c>
      <c r="G1296" s="1742">
        <v>3</v>
      </c>
      <c r="H1296" s="1742">
        <v>18</v>
      </c>
      <c r="I1296" s="1743">
        <v>42461</v>
      </c>
      <c r="K1296" s="1596">
        <f>VLOOKUP(A1296,Target!$E$100:$K$162,7,0)</f>
        <v>10</v>
      </c>
    </row>
    <row r="1297" spans="1:11">
      <c r="A1297" s="1740" t="s">
        <v>2896</v>
      </c>
      <c r="B1297" s="1740" t="s">
        <v>2899</v>
      </c>
      <c r="C1297" s="1741">
        <v>0</v>
      </c>
      <c r="D1297" s="1741">
        <v>0</v>
      </c>
      <c r="E1297" s="1742">
        <v>0</v>
      </c>
      <c r="F1297" s="1742">
        <v>0</v>
      </c>
      <c r="G1297" s="1742">
        <v>0</v>
      </c>
      <c r="H1297" s="1742">
        <v>0</v>
      </c>
      <c r="I1297" s="1743">
        <v>42461</v>
      </c>
      <c r="K1297" s="1596">
        <f>VLOOKUP(A1297,Target!$E$100:$K$162,7,0)</f>
        <v>0</v>
      </c>
    </row>
    <row r="1298" spans="1:11">
      <c r="A1298" s="1740" t="s">
        <v>2900</v>
      </c>
      <c r="B1298" s="1740" t="s">
        <v>2901</v>
      </c>
      <c r="C1298" s="1741">
        <v>0</v>
      </c>
      <c r="D1298" s="1741">
        <v>0</v>
      </c>
      <c r="E1298" s="1742">
        <v>0</v>
      </c>
      <c r="F1298" s="1742">
        <v>0</v>
      </c>
      <c r="G1298" s="1742">
        <v>0</v>
      </c>
      <c r="H1298" s="1742">
        <v>0</v>
      </c>
      <c r="I1298" s="1743">
        <v>42461</v>
      </c>
      <c r="K1298" s="1596">
        <f>VLOOKUP(A1298,Target!$E$100:$K$162,7,0)</f>
        <v>0</v>
      </c>
    </row>
    <row r="1299" spans="1:11">
      <c r="A1299" s="1740" t="s">
        <v>1148</v>
      </c>
      <c r="B1299" s="1740" t="s">
        <v>1826</v>
      </c>
      <c r="C1299" s="1741">
        <v>3842000000</v>
      </c>
      <c r="D1299" s="1741">
        <v>3650000000</v>
      </c>
      <c r="E1299" s="1742">
        <v>90</v>
      </c>
      <c r="F1299" s="1742">
        <v>48</v>
      </c>
      <c r="G1299" s="1742">
        <v>0</v>
      </c>
      <c r="H1299" s="1742">
        <v>48</v>
      </c>
      <c r="I1299" s="1743">
        <v>42461</v>
      </c>
      <c r="J1299" s="1798" t="s">
        <v>2717</v>
      </c>
      <c r="K1299" s="1596" t="e">
        <f>VLOOKUP(A1299,Target!$E$100:$K$162,7,0)</f>
        <v>#N/A</v>
      </c>
    </row>
    <row r="1300" spans="1:11">
      <c r="A1300" s="1740" t="s">
        <v>1149</v>
      </c>
      <c r="B1300" s="1740" t="s">
        <v>1827</v>
      </c>
      <c r="C1300" s="1741">
        <v>4655000000</v>
      </c>
      <c r="D1300" s="1741">
        <v>4422000000</v>
      </c>
      <c r="E1300" s="1742">
        <v>190</v>
      </c>
      <c r="F1300" s="1742">
        <v>72</v>
      </c>
      <c r="G1300" s="1742">
        <v>0</v>
      </c>
      <c r="H1300" s="1742">
        <v>72</v>
      </c>
      <c r="I1300" s="1743">
        <v>42461</v>
      </c>
      <c r="J1300" s="1798" t="s">
        <v>2717</v>
      </c>
      <c r="K1300" s="1596" t="e">
        <f>VLOOKUP(A1300,Target!$E$100:$K$162,7,0)</f>
        <v>#N/A</v>
      </c>
    </row>
    <row r="1301" spans="1:11">
      <c r="A1301" s="1740" t="s">
        <v>1150</v>
      </c>
      <c r="B1301" s="1740" t="s">
        <v>1828</v>
      </c>
      <c r="C1301" s="1741">
        <v>5017000000</v>
      </c>
      <c r="D1301" s="1741">
        <v>4766000000</v>
      </c>
      <c r="E1301" s="1742">
        <v>197</v>
      </c>
      <c r="F1301" s="1742">
        <v>70</v>
      </c>
      <c r="G1301" s="1742">
        <v>3</v>
      </c>
      <c r="H1301" s="1742">
        <v>73</v>
      </c>
      <c r="I1301" s="1743">
        <v>42461</v>
      </c>
      <c r="J1301" s="1798" t="s">
        <v>2717</v>
      </c>
      <c r="K1301" s="1596" t="e">
        <f>VLOOKUP(A1301,Target!$E$100:$K$162,7,0)</f>
        <v>#N/A</v>
      </c>
    </row>
    <row r="1302" spans="1:11">
      <c r="A1302" s="1740" t="s">
        <v>1151</v>
      </c>
      <c r="B1302" s="1740" t="s">
        <v>1829</v>
      </c>
      <c r="C1302" s="1741">
        <v>5094000000</v>
      </c>
      <c r="D1302" s="1741">
        <v>4840000000</v>
      </c>
      <c r="E1302" s="1742">
        <v>104</v>
      </c>
      <c r="F1302" s="1742">
        <v>60</v>
      </c>
      <c r="G1302" s="1742">
        <v>0</v>
      </c>
      <c r="H1302" s="1742">
        <v>60</v>
      </c>
      <c r="I1302" s="1743">
        <v>42461</v>
      </c>
      <c r="J1302" s="1798" t="s">
        <v>2717</v>
      </c>
      <c r="K1302" s="1596" t="e">
        <f>VLOOKUP(A1302,Target!$E$100:$K$162,7,0)</f>
        <v>#N/A</v>
      </c>
    </row>
    <row r="1303" spans="1:11">
      <c r="A1303" s="1740" t="s">
        <v>1153</v>
      </c>
      <c r="B1303" s="1740" t="s">
        <v>1830</v>
      </c>
      <c r="C1303" s="1741">
        <v>2266000000</v>
      </c>
      <c r="D1303" s="1741">
        <v>2152000000</v>
      </c>
      <c r="E1303" s="1742">
        <v>94</v>
      </c>
      <c r="F1303" s="1742">
        <v>49</v>
      </c>
      <c r="G1303" s="1742">
        <v>3</v>
      </c>
      <c r="H1303" s="1742">
        <v>52</v>
      </c>
      <c r="I1303" s="1743">
        <v>42461</v>
      </c>
      <c r="J1303" s="1798" t="s">
        <v>2717</v>
      </c>
      <c r="K1303" s="1596" t="e">
        <f>VLOOKUP(A1303,Target!$E$100:$K$162,7,0)</f>
        <v>#N/A</v>
      </c>
    </row>
    <row r="1304" spans="1:11">
      <c r="A1304" s="1740" t="s">
        <v>1154</v>
      </c>
      <c r="B1304" s="1740" t="s">
        <v>1831</v>
      </c>
      <c r="C1304" s="1741">
        <v>1227000000</v>
      </c>
      <c r="D1304" s="1741">
        <v>1166000000</v>
      </c>
      <c r="E1304" s="1742">
        <v>47</v>
      </c>
      <c r="F1304" s="1742">
        <v>12</v>
      </c>
      <c r="G1304" s="1742">
        <v>0</v>
      </c>
      <c r="H1304" s="1742">
        <v>12</v>
      </c>
      <c r="I1304" s="1743">
        <v>42461</v>
      </c>
      <c r="J1304" s="1798" t="s">
        <v>2717</v>
      </c>
      <c r="K1304" s="1596" t="e">
        <f>VLOOKUP(A1304,Target!$E$100:$K$162,7,0)</f>
        <v>#N/A</v>
      </c>
    </row>
    <row r="1305" spans="1:11">
      <c r="A1305" s="1740" t="s">
        <v>1675</v>
      </c>
      <c r="B1305" s="1740" t="s">
        <v>1832</v>
      </c>
      <c r="C1305" s="1741">
        <v>1053000000</v>
      </c>
      <c r="D1305" s="1741">
        <v>1000000000</v>
      </c>
      <c r="E1305" s="1742">
        <v>29</v>
      </c>
      <c r="F1305" s="1742">
        <v>12</v>
      </c>
      <c r="G1305" s="1742">
        <v>0</v>
      </c>
      <c r="H1305" s="1742">
        <v>12</v>
      </c>
      <c r="I1305" s="1743">
        <v>42461</v>
      </c>
      <c r="J1305" s="1798" t="s">
        <v>2717</v>
      </c>
      <c r="K1305" s="1596" t="e">
        <f>VLOOKUP(A1305,Target!$E$100:$K$162,7,0)</f>
        <v>#N/A</v>
      </c>
    </row>
    <row r="1306" spans="1:11">
      <c r="A1306" s="1740" t="s">
        <v>1155</v>
      </c>
      <c r="B1306" s="1740" t="s">
        <v>1833</v>
      </c>
      <c r="C1306" s="1741">
        <v>9727000000</v>
      </c>
      <c r="D1306" s="1741">
        <v>9240000000</v>
      </c>
      <c r="E1306" s="1742">
        <v>276</v>
      </c>
      <c r="F1306" s="1742">
        <v>145</v>
      </c>
      <c r="G1306" s="1742">
        <v>11</v>
      </c>
      <c r="H1306" s="1742">
        <v>156</v>
      </c>
      <c r="I1306" s="1743">
        <v>42461</v>
      </c>
      <c r="J1306" s="1798" t="s">
        <v>2717</v>
      </c>
      <c r="K1306" s="1596" t="e">
        <f>VLOOKUP(A1306,Target!$E$100:$K$162,7,0)</f>
        <v>#N/A</v>
      </c>
    </row>
    <row r="1307" spans="1:11">
      <c r="A1307" s="1740" t="s">
        <v>1156</v>
      </c>
      <c r="B1307" s="1740" t="s">
        <v>1834</v>
      </c>
      <c r="C1307" s="1741">
        <v>1789000000</v>
      </c>
      <c r="D1307" s="1741">
        <v>1700000000</v>
      </c>
      <c r="E1307" s="1742">
        <v>67</v>
      </c>
      <c r="F1307" s="1742">
        <v>30</v>
      </c>
      <c r="G1307" s="1742">
        <v>0</v>
      </c>
      <c r="H1307" s="1742">
        <v>30</v>
      </c>
      <c r="I1307" s="1743">
        <v>42461</v>
      </c>
      <c r="J1307" s="1798" t="s">
        <v>2717</v>
      </c>
      <c r="K1307" s="1596" t="e">
        <f>VLOOKUP(A1307,Target!$E$100:$K$162,7,0)</f>
        <v>#N/A</v>
      </c>
    </row>
    <row r="1308" spans="1:11">
      <c r="A1308" s="1740" t="s">
        <v>2218</v>
      </c>
      <c r="B1308" s="1740" t="s">
        <v>2049</v>
      </c>
      <c r="C1308" s="1741">
        <v>526000000</v>
      </c>
      <c r="D1308" s="1741">
        <v>500000000</v>
      </c>
      <c r="E1308" s="1742">
        <v>41</v>
      </c>
      <c r="F1308" s="1742">
        <v>15</v>
      </c>
      <c r="G1308" s="1742">
        <v>0</v>
      </c>
      <c r="H1308" s="1742">
        <v>15</v>
      </c>
      <c r="I1308" s="1743">
        <v>42461</v>
      </c>
      <c r="J1308" s="1798" t="s">
        <v>2717</v>
      </c>
      <c r="K1308" s="1596" t="e">
        <f>VLOOKUP(A1308,Target!$E$100:$K$162,7,0)</f>
        <v>#N/A</v>
      </c>
    </row>
    <row r="1309" spans="1:11">
      <c r="A1309" s="1740" t="s">
        <v>792</v>
      </c>
      <c r="B1309" s="1740" t="s">
        <v>1835</v>
      </c>
      <c r="C1309" s="1741">
        <v>18663000000</v>
      </c>
      <c r="D1309" s="1741">
        <v>17730000000</v>
      </c>
      <c r="E1309" s="1742">
        <v>470</v>
      </c>
      <c r="F1309" s="1742">
        <v>253</v>
      </c>
      <c r="G1309" s="1742">
        <v>11</v>
      </c>
      <c r="H1309" s="1742">
        <v>264</v>
      </c>
      <c r="I1309" s="1743">
        <v>42461</v>
      </c>
      <c r="J1309" s="1798" t="s">
        <v>2717</v>
      </c>
      <c r="K1309" s="1596" t="e">
        <f>VLOOKUP(A1309,Target!$E$100:$K$162,7,0)</f>
        <v>#N/A</v>
      </c>
    </row>
    <row r="1310" spans="1:11">
      <c r="A1310" s="1740" t="s">
        <v>794</v>
      </c>
      <c r="B1310" s="1740" t="s">
        <v>1836</v>
      </c>
      <c r="C1310" s="1741">
        <v>9672000000</v>
      </c>
      <c r="D1310" s="1741">
        <v>9188000000</v>
      </c>
      <c r="E1310" s="1742">
        <v>387</v>
      </c>
      <c r="F1310" s="1742">
        <v>142</v>
      </c>
      <c r="G1310" s="1742">
        <v>3</v>
      </c>
      <c r="H1310" s="1742">
        <v>145</v>
      </c>
      <c r="I1310" s="1743">
        <v>42461</v>
      </c>
      <c r="J1310" s="1798" t="s">
        <v>2717</v>
      </c>
      <c r="K1310" s="1596" t="e">
        <f>VLOOKUP(A1310,Target!$E$100:$K$162,7,0)</f>
        <v>#N/A</v>
      </c>
    </row>
    <row r="1311" spans="1:11">
      <c r="A1311" s="1766" t="s">
        <v>47</v>
      </c>
      <c r="B1311" s="1740" t="s">
        <v>1780</v>
      </c>
      <c r="C1311" s="1741">
        <v>842000000</v>
      </c>
      <c r="D1311" s="1741">
        <v>800000000</v>
      </c>
      <c r="E1311" s="1742">
        <v>17</v>
      </c>
      <c r="F1311" s="1742">
        <v>12</v>
      </c>
      <c r="G1311" s="1742">
        <v>0</v>
      </c>
      <c r="H1311" s="1742">
        <v>12</v>
      </c>
      <c r="I1311" s="1743">
        <v>42461</v>
      </c>
      <c r="K1311" s="1596">
        <f>VLOOKUP(A1311,Target!$E$100:$K$162,7,0)</f>
        <v>17</v>
      </c>
    </row>
    <row r="1312" spans="1:11">
      <c r="A1312" s="1740" t="s">
        <v>91</v>
      </c>
      <c r="B1312" s="1740" t="s">
        <v>1781</v>
      </c>
      <c r="C1312" s="1741">
        <v>1053000000</v>
      </c>
      <c r="D1312" s="1741">
        <v>1000000000</v>
      </c>
      <c r="E1312" s="1742">
        <v>35</v>
      </c>
      <c r="F1312" s="1742">
        <v>12</v>
      </c>
      <c r="G1312" s="1742">
        <v>0</v>
      </c>
      <c r="H1312" s="1742">
        <v>12</v>
      </c>
      <c r="I1312" s="1743">
        <v>42461</v>
      </c>
      <c r="K1312" s="1596">
        <f>VLOOKUP(A1312,Target!$E$100:$K$162,7,0)</f>
        <v>35</v>
      </c>
    </row>
    <row r="1313" spans="1:11">
      <c r="A1313" s="1740" t="s">
        <v>177</v>
      </c>
      <c r="B1313" s="1740" t="s">
        <v>1782</v>
      </c>
      <c r="C1313" s="1741">
        <v>1119000000</v>
      </c>
      <c r="D1313" s="1741">
        <v>1063000000</v>
      </c>
      <c r="E1313" s="1742">
        <v>34</v>
      </c>
      <c r="F1313" s="1742">
        <v>0</v>
      </c>
      <c r="G1313" s="1742">
        <v>0</v>
      </c>
      <c r="H1313" s="1742">
        <v>0</v>
      </c>
      <c r="I1313" s="1743">
        <v>42461</v>
      </c>
      <c r="K1313" s="1596">
        <f>VLOOKUP(A1313,Target!$E$100:$K$162,7,0)</f>
        <v>34</v>
      </c>
    </row>
    <row r="1314" spans="1:11">
      <c r="A1314" s="1740" t="s">
        <v>185</v>
      </c>
      <c r="B1314" s="1740" t="s">
        <v>1783</v>
      </c>
      <c r="C1314" s="1741">
        <v>921000000</v>
      </c>
      <c r="D1314" s="1741">
        <v>875000000</v>
      </c>
      <c r="E1314" s="1742">
        <v>34</v>
      </c>
      <c r="F1314" s="1742">
        <v>11</v>
      </c>
      <c r="G1314" s="1742">
        <v>0</v>
      </c>
      <c r="H1314" s="1742">
        <v>11</v>
      </c>
      <c r="I1314" s="1743">
        <v>42461</v>
      </c>
      <c r="K1314" s="1596">
        <f>VLOOKUP(A1314,Target!$E$100:$K$162,7,0)</f>
        <v>34</v>
      </c>
    </row>
    <row r="1315" spans="1:11">
      <c r="A1315" s="1740" t="s">
        <v>179</v>
      </c>
      <c r="B1315" s="1740" t="s">
        <v>1784</v>
      </c>
      <c r="C1315" s="1741">
        <v>1298000000</v>
      </c>
      <c r="D1315" s="1741">
        <v>1233000000</v>
      </c>
      <c r="E1315" s="1742">
        <v>53</v>
      </c>
      <c r="F1315" s="1742">
        <v>17</v>
      </c>
      <c r="G1315" s="1742">
        <v>0</v>
      </c>
      <c r="H1315" s="1742">
        <v>17</v>
      </c>
      <c r="I1315" s="1743">
        <v>42461</v>
      </c>
      <c r="K1315" s="1596">
        <f>VLOOKUP(A1315,Target!$E$100:$K$162,7,0)</f>
        <v>53</v>
      </c>
    </row>
    <row r="1316" spans="1:11">
      <c r="A1316" s="1740" t="s">
        <v>176</v>
      </c>
      <c r="B1316" s="1740" t="s">
        <v>1785</v>
      </c>
      <c r="C1316" s="1741">
        <v>1641000000</v>
      </c>
      <c r="D1316" s="1741">
        <v>1559000000</v>
      </c>
      <c r="E1316" s="1742">
        <v>68</v>
      </c>
      <c r="F1316" s="1742">
        <v>25</v>
      </c>
      <c r="G1316" s="1742">
        <v>0</v>
      </c>
      <c r="H1316" s="1742">
        <v>25</v>
      </c>
      <c r="I1316" s="1743">
        <v>42461</v>
      </c>
      <c r="K1316" s="1596">
        <f>VLOOKUP(A1316,Target!$E$100:$K$162,7,0)</f>
        <v>68</v>
      </c>
    </row>
    <row r="1317" spans="1:11">
      <c r="A1317" s="1740" t="s">
        <v>187</v>
      </c>
      <c r="B1317" s="1740" t="s">
        <v>1786</v>
      </c>
      <c r="C1317" s="1741">
        <v>737000000</v>
      </c>
      <c r="D1317" s="1741">
        <v>700000000</v>
      </c>
      <c r="E1317" s="1742">
        <v>27</v>
      </c>
      <c r="F1317" s="1742">
        <v>12</v>
      </c>
      <c r="G1317" s="1742">
        <v>0</v>
      </c>
      <c r="H1317" s="1742">
        <v>12</v>
      </c>
      <c r="I1317" s="1743">
        <v>42461</v>
      </c>
      <c r="K1317" s="1596">
        <f>VLOOKUP(A1317,Target!$E$100:$K$162,7,0)</f>
        <v>27</v>
      </c>
    </row>
    <row r="1318" spans="1:11">
      <c r="A1318" s="1740" t="s">
        <v>661</v>
      </c>
      <c r="B1318" s="1740" t="s">
        <v>1788</v>
      </c>
      <c r="C1318" s="1741">
        <v>500000000</v>
      </c>
      <c r="D1318" s="1741">
        <v>475000000</v>
      </c>
      <c r="E1318" s="1742">
        <v>24</v>
      </c>
      <c r="F1318" s="1742">
        <v>15</v>
      </c>
      <c r="G1318" s="1742">
        <v>0</v>
      </c>
      <c r="H1318" s="1742">
        <v>15</v>
      </c>
      <c r="I1318" s="1743">
        <v>42461</v>
      </c>
      <c r="K1318" s="1596">
        <f>VLOOKUP(A1318,Target!$E$100:$K$162,7,0)</f>
        <v>24</v>
      </c>
    </row>
    <row r="1319" spans="1:11">
      <c r="A1319" s="1740" t="s">
        <v>628</v>
      </c>
      <c r="B1319" s="1740" t="s">
        <v>1789</v>
      </c>
      <c r="C1319" s="1741">
        <v>968000000</v>
      </c>
      <c r="D1319" s="1741">
        <v>920000000</v>
      </c>
      <c r="E1319" s="1742">
        <v>20</v>
      </c>
      <c r="F1319" s="1742">
        <v>12</v>
      </c>
      <c r="G1319" s="1742">
        <v>0</v>
      </c>
      <c r="H1319" s="1742">
        <v>12</v>
      </c>
      <c r="I1319" s="1743">
        <v>42461</v>
      </c>
      <c r="K1319" s="1596">
        <f>VLOOKUP(A1319,Target!$E$100:$K$162,7,0)</f>
        <v>20</v>
      </c>
    </row>
    <row r="1320" spans="1:11">
      <c r="A1320" s="1740" t="s">
        <v>650</v>
      </c>
      <c r="B1320" s="1740" t="s">
        <v>1790</v>
      </c>
      <c r="C1320" s="1741">
        <v>737000000</v>
      </c>
      <c r="D1320" s="1741">
        <v>700000000</v>
      </c>
      <c r="E1320" s="1742">
        <v>15</v>
      </c>
      <c r="F1320" s="1742">
        <v>12</v>
      </c>
      <c r="G1320" s="1742">
        <v>0</v>
      </c>
      <c r="H1320" s="1742">
        <v>12</v>
      </c>
      <c r="I1320" s="1743">
        <v>42461</v>
      </c>
      <c r="K1320" s="1596">
        <f>VLOOKUP(A1320,Target!$E$100:$K$162,7,0)</f>
        <v>15</v>
      </c>
    </row>
    <row r="1321" spans="1:11">
      <c r="A1321" s="1740" t="s">
        <v>660</v>
      </c>
      <c r="B1321" s="1740" t="s">
        <v>1791</v>
      </c>
      <c r="C1321" s="1741">
        <v>800000000</v>
      </c>
      <c r="D1321" s="1741">
        <v>760000000</v>
      </c>
      <c r="E1321" s="1742">
        <v>44</v>
      </c>
      <c r="F1321" s="1742">
        <v>12</v>
      </c>
      <c r="G1321" s="1742">
        <v>0</v>
      </c>
      <c r="H1321" s="1742">
        <v>12</v>
      </c>
      <c r="I1321" s="1743">
        <v>42461</v>
      </c>
      <c r="K1321" s="1596">
        <f>VLOOKUP(A1321,Target!$E$100:$K$162,7,0)</f>
        <v>44</v>
      </c>
    </row>
    <row r="1322" spans="1:11">
      <c r="A1322" s="1740" t="s">
        <v>648</v>
      </c>
      <c r="B1322" s="1740" t="s">
        <v>1792</v>
      </c>
      <c r="C1322" s="1741">
        <v>737000000</v>
      </c>
      <c r="D1322" s="1741">
        <v>700000000</v>
      </c>
      <c r="E1322" s="1742">
        <v>20</v>
      </c>
      <c r="F1322" s="1742">
        <v>12</v>
      </c>
      <c r="G1322" s="1742">
        <v>0</v>
      </c>
      <c r="H1322" s="1742">
        <v>12</v>
      </c>
      <c r="I1322" s="1743">
        <v>42461</v>
      </c>
      <c r="K1322" s="1596">
        <f>VLOOKUP(A1322,Target!$E$100:$K$162,7,0)</f>
        <v>20</v>
      </c>
    </row>
    <row r="1323" spans="1:11">
      <c r="A1323" s="1740" t="s">
        <v>659</v>
      </c>
      <c r="B1323" s="1740" t="s">
        <v>1793</v>
      </c>
      <c r="C1323" s="1741">
        <v>1136000000</v>
      </c>
      <c r="D1323" s="1741">
        <v>1079000000</v>
      </c>
      <c r="E1323" s="1742">
        <v>35</v>
      </c>
      <c r="F1323" s="1742">
        <v>17</v>
      </c>
      <c r="G1323" s="1742">
        <v>0</v>
      </c>
      <c r="H1323" s="1742">
        <v>17</v>
      </c>
      <c r="I1323" s="1743">
        <v>42461</v>
      </c>
      <c r="K1323" s="1596">
        <f>VLOOKUP(A1323,Target!$E$100:$K$162,7,0)</f>
        <v>35</v>
      </c>
    </row>
    <row r="1324" spans="1:11">
      <c r="A1324" s="1740" t="s">
        <v>649</v>
      </c>
      <c r="B1324" s="1740" t="s">
        <v>1794</v>
      </c>
      <c r="C1324" s="1741">
        <v>842000000</v>
      </c>
      <c r="D1324" s="1741">
        <v>800000000</v>
      </c>
      <c r="E1324" s="1742">
        <v>25</v>
      </c>
      <c r="F1324" s="1742">
        <v>12</v>
      </c>
      <c r="G1324" s="1742">
        <v>0</v>
      </c>
      <c r="H1324" s="1742">
        <v>12</v>
      </c>
      <c r="I1324" s="1743">
        <v>42461</v>
      </c>
      <c r="K1324" s="1596">
        <f>VLOOKUP(A1324,Target!$E$100:$K$162,7,0)</f>
        <v>25</v>
      </c>
    </row>
    <row r="1325" spans="1:11">
      <c r="A1325" s="1740" t="s">
        <v>642</v>
      </c>
      <c r="B1325" s="1740" t="s">
        <v>1795</v>
      </c>
      <c r="C1325" s="1741">
        <v>842000000</v>
      </c>
      <c r="D1325" s="1741">
        <v>800000000</v>
      </c>
      <c r="E1325" s="1742">
        <v>25</v>
      </c>
      <c r="F1325" s="1742">
        <v>12</v>
      </c>
      <c r="G1325" s="1742">
        <v>0</v>
      </c>
      <c r="H1325" s="1742">
        <v>12</v>
      </c>
      <c r="I1325" s="1743">
        <v>42461</v>
      </c>
      <c r="K1325" s="1596">
        <f>VLOOKUP(A1325,Target!$E$100:$K$162,7,0)</f>
        <v>25</v>
      </c>
    </row>
    <row r="1326" spans="1:11">
      <c r="A1326" s="1740" t="s">
        <v>736</v>
      </c>
      <c r="B1326" s="1740" t="s">
        <v>1796</v>
      </c>
      <c r="C1326" s="1741">
        <v>947000000</v>
      </c>
      <c r="D1326" s="1741">
        <v>900000000</v>
      </c>
      <c r="E1326" s="1742">
        <v>29</v>
      </c>
      <c r="F1326" s="1742">
        <v>12</v>
      </c>
      <c r="G1326" s="1742">
        <v>0</v>
      </c>
      <c r="H1326" s="1742">
        <v>12</v>
      </c>
      <c r="I1326" s="1743">
        <v>42461</v>
      </c>
      <c r="K1326" s="1596">
        <f>VLOOKUP(A1326,Target!$E$100:$K$162,7,0)</f>
        <v>29</v>
      </c>
    </row>
    <row r="1327" spans="1:11">
      <c r="A1327" s="1740" t="s">
        <v>699</v>
      </c>
      <c r="B1327" s="1740" t="s">
        <v>1797</v>
      </c>
      <c r="C1327" s="1741">
        <v>474000000</v>
      </c>
      <c r="D1327" s="1741">
        <v>450000000</v>
      </c>
      <c r="E1327" s="1742">
        <v>18</v>
      </c>
      <c r="F1327" s="1742">
        <v>11</v>
      </c>
      <c r="G1327" s="1742">
        <v>0</v>
      </c>
      <c r="H1327" s="1742">
        <v>11</v>
      </c>
      <c r="I1327" s="1743">
        <v>42461</v>
      </c>
      <c r="K1327" s="1596">
        <f>VLOOKUP(A1327,Target!$E$100:$K$162,7,0)</f>
        <v>18</v>
      </c>
    </row>
    <row r="1328" spans="1:11">
      <c r="A1328" s="1740" t="s">
        <v>735</v>
      </c>
      <c r="B1328" s="1740" t="s">
        <v>1799</v>
      </c>
      <c r="C1328" s="1741">
        <v>1579000000</v>
      </c>
      <c r="D1328" s="1741">
        <v>1500000000</v>
      </c>
      <c r="E1328" s="1742">
        <v>23</v>
      </c>
      <c r="F1328" s="1742">
        <v>12</v>
      </c>
      <c r="G1328" s="1742">
        <v>0</v>
      </c>
      <c r="H1328" s="1742">
        <v>12</v>
      </c>
      <c r="I1328" s="1743">
        <v>42461</v>
      </c>
      <c r="K1328" s="1596">
        <f>VLOOKUP(A1328,Target!$E$100:$K$162,7,0)</f>
        <v>23</v>
      </c>
    </row>
    <row r="1329" spans="1:11">
      <c r="A1329" s="1740" t="s">
        <v>734</v>
      </c>
      <c r="B1329" s="1740" t="s">
        <v>1800</v>
      </c>
      <c r="C1329" s="1741">
        <v>1227000000</v>
      </c>
      <c r="D1329" s="1741">
        <v>1166000000</v>
      </c>
      <c r="E1329" s="1742">
        <v>47</v>
      </c>
      <c r="F1329" s="1742">
        <v>12</v>
      </c>
      <c r="G1329" s="1742">
        <v>0</v>
      </c>
      <c r="H1329" s="1742">
        <v>12</v>
      </c>
      <c r="I1329" s="1743">
        <v>42461</v>
      </c>
      <c r="K1329" s="1596">
        <f>VLOOKUP(A1329,Target!$E$100:$K$162,7,0)</f>
        <v>47</v>
      </c>
    </row>
    <row r="1330" spans="1:11">
      <c r="A1330" s="1740" t="s">
        <v>798</v>
      </c>
      <c r="B1330" s="1740" t="s">
        <v>1801</v>
      </c>
      <c r="C1330" s="1741">
        <v>1211000000</v>
      </c>
      <c r="D1330" s="1741">
        <v>1150000000</v>
      </c>
      <c r="E1330" s="1742">
        <v>18</v>
      </c>
      <c r="F1330" s="1742">
        <v>12</v>
      </c>
      <c r="G1330" s="1742">
        <v>0</v>
      </c>
      <c r="H1330" s="1742">
        <v>12</v>
      </c>
      <c r="I1330" s="1743">
        <v>42461</v>
      </c>
      <c r="K1330" s="1596">
        <f>VLOOKUP(A1330,Target!$E$100:$K$162,7,0)</f>
        <v>18</v>
      </c>
    </row>
    <row r="1331" spans="1:11">
      <c r="A1331" s="1740" t="s">
        <v>796</v>
      </c>
      <c r="B1331" s="1740" t="s">
        <v>1802</v>
      </c>
      <c r="C1331" s="1741">
        <v>842000000</v>
      </c>
      <c r="D1331" s="1741">
        <v>800000000</v>
      </c>
      <c r="E1331" s="1742">
        <v>18</v>
      </c>
      <c r="F1331" s="1742">
        <v>12</v>
      </c>
      <c r="G1331" s="1742">
        <v>0</v>
      </c>
      <c r="H1331" s="1742">
        <v>12</v>
      </c>
      <c r="I1331" s="1743">
        <v>42461</v>
      </c>
      <c r="K1331" s="1596">
        <f>VLOOKUP(A1331,Target!$E$100:$K$162,7,0)</f>
        <v>18</v>
      </c>
    </row>
    <row r="1332" spans="1:11">
      <c r="A1332" s="1740" t="s">
        <v>799</v>
      </c>
      <c r="B1332" s="1740" t="s">
        <v>1803</v>
      </c>
      <c r="C1332" s="1741">
        <v>842000000</v>
      </c>
      <c r="D1332" s="1741">
        <v>800000000</v>
      </c>
      <c r="E1332" s="1742">
        <v>31</v>
      </c>
      <c r="F1332" s="1742">
        <v>11</v>
      </c>
      <c r="G1332" s="1742">
        <v>0</v>
      </c>
      <c r="H1332" s="1742">
        <v>11</v>
      </c>
      <c r="I1332" s="1743">
        <v>42461</v>
      </c>
      <c r="K1332" s="1596">
        <f>VLOOKUP(A1332,Target!$E$100:$K$162,7,0)</f>
        <v>31</v>
      </c>
    </row>
    <row r="1333" spans="1:11">
      <c r="A1333" s="1740" t="s">
        <v>825</v>
      </c>
      <c r="B1333" s="1740" t="s">
        <v>1804</v>
      </c>
      <c r="C1333" s="1741">
        <v>842000000</v>
      </c>
      <c r="D1333" s="1741">
        <v>800000000</v>
      </c>
      <c r="E1333" s="1742">
        <v>36</v>
      </c>
      <c r="F1333" s="1742">
        <v>15</v>
      </c>
      <c r="G1333" s="1742">
        <v>0</v>
      </c>
      <c r="H1333" s="1742">
        <v>15</v>
      </c>
      <c r="I1333" s="1743">
        <v>42461</v>
      </c>
      <c r="K1333" s="1596">
        <f>VLOOKUP(A1333,Target!$E$100:$K$162,7,0)</f>
        <v>36</v>
      </c>
    </row>
    <row r="1334" spans="1:11">
      <c r="A1334" s="1740" t="s">
        <v>905</v>
      </c>
      <c r="B1334" s="1740" t="s">
        <v>1805</v>
      </c>
      <c r="C1334" s="1741">
        <v>968000000</v>
      </c>
      <c r="D1334" s="1741">
        <v>920000000</v>
      </c>
      <c r="E1334" s="1742">
        <v>21</v>
      </c>
      <c r="F1334" s="1742">
        <v>12</v>
      </c>
      <c r="G1334" s="1742">
        <v>0</v>
      </c>
      <c r="H1334" s="1742">
        <v>12</v>
      </c>
      <c r="I1334" s="1743">
        <v>42461</v>
      </c>
      <c r="K1334" s="1596">
        <f>VLOOKUP(A1334,Target!$E$100:$K$162,7,0)</f>
        <v>21</v>
      </c>
    </row>
    <row r="1335" spans="1:11">
      <c r="A1335" s="1740" t="s">
        <v>903</v>
      </c>
      <c r="B1335" s="1740" t="s">
        <v>1806</v>
      </c>
      <c r="C1335" s="1741">
        <v>842000000</v>
      </c>
      <c r="D1335" s="1741">
        <v>800000000</v>
      </c>
      <c r="E1335" s="1742">
        <v>34</v>
      </c>
      <c r="F1335" s="1742">
        <v>12</v>
      </c>
      <c r="G1335" s="1742">
        <v>0</v>
      </c>
      <c r="H1335" s="1742">
        <v>12</v>
      </c>
      <c r="I1335" s="1743">
        <v>42461</v>
      </c>
      <c r="K1335" s="1596">
        <f>VLOOKUP(A1335,Target!$E$100:$K$162,7,0)</f>
        <v>34</v>
      </c>
    </row>
    <row r="1336" spans="1:11">
      <c r="A1336" s="1740" t="s">
        <v>902</v>
      </c>
      <c r="B1336" s="1740" t="s">
        <v>1807</v>
      </c>
      <c r="C1336" s="1741">
        <v>842000000</v>
      </c>
      <c r="D1336" s="1741">
        <v>800000000</v>
      </c>
      <c r="E1336" s="1742">
        <v>30</v>
      </c>
      <c r="F1336" s="1742">
        <v>12</v>
      </c>
      <c r="G1336" s="1742">
        <v>0</v>
      </c>
      <c r="H1336" s="1742">
        <v>12</v>
      </c>
      <c r="I1336" s="1743">
        <v>42461</v>
      </c>
      <c r="K1336" s="1596">
        <f>VLOOKUP(A1336,Target!$E$100:$K$162,7,0)</f>
        <v>30</v>
      </c>
    </row>
    <row r="1337" spans="1:11">
      <c r="A1337" s="1740" t="s">
        <v>900</v>
      </c>
      <c r="B1337" s="1740" t="s">
        <v>1808</v>
      </c>
      <c r="C1337" s="1741">
        <v>1263000000</v>
      </c>
      <c r="D1337" s="1741">
        <v>1200000000</v>
      </c>
      <c r="E1337" s="1742">
        <v>20</v>
      </c>
      <c r="F1337" s="1742">
        <v>12</v>
      </c>
      <c r="G1337" s="1742">
        <v>0</v>
      </c>
      <c r="H1337" s="1742">
        <v>12</v>
      </c>
      <c r="I1337" s="1743">
        <v>42461</v>
      </c>
      <c r="K1337" s="1596">
        <f>VLOOKUP(A1337,Target!$E$100:$K$162,7,0)</f>
        <v>20</v>
      </c>
    </row>
    <row r="1338" spans="1:11">
      <c r="A1338" s="1740" t="s">
        <v>949</v>
      </c>
      <c r="B1338" s="1740" t="s">
        <v>1809</v>
      </c>
      <c r="C1338" s="1741">
        <v>1053000000</v>
      </c>
      <c r="D1338" s="1741">
        <v>1000000000</v>
      </c>
      <c r="E1338" s="1742">
        <v>29</v>
      </c>
      <c r="F1338" s="1742">
        <v>12</v>
      </c>
      <c r="G1338" s="1742">
        <v>0</v>
      </c>
      <c r="H1338" s="1742">
        <v>12</v>
      </c>
      <c r="I1338" s="1743">
        <v>42461</v>
      </c>
      <c r="K1338" s="1596">
        <f>VLOOKUP(A1338,Target!$E$100:$K$162,7,0)</f>
        <v>29</v>
      </c>
    </row>
    <row r="1339" spans="1:11">
      <c r="A1339" s="1740" t="s">
        <v>1104</v>
      </c>
      <c r="B1339" s="1740" t="s">
        <v>1810</v>
      </c>
      <c r="C1339" s="1741">
        <v>842000000</v>
      </c>
      <c r="D1339" s="1741">
        <v>800000000</v>
      </c>
      <c r="E1339" s="1742">
        <v>39</v>
      </c>
      <c r="F1339" s="1742">
        <v>15</v>
      </c>
      <c r="G1339" s="1742">
        <v>0</v>
      </c>
      <c r="H1339" s="1742">
        <v>15</v>
      </c>
      <c r="I1339" s="1743">
        <v>42461</v>
      </c>
      <c r="K1339" s="1596">
        <f>VLOOKUP(A1339,Target!$E$100:$K$162,7,0)</f>
        <v>39</v>
      </c>
    </row>
    <row r="1340" spans="1:11">
      <c r="A1340" s="1740" t="s">
        <v>1015</v>
      </c>
      <c r="B1340" s="1740" t="s">
        <v>1811</v>
      </c>
      <c r="C1340" s="1741">
        <v>789000000</v>
      </c>
      <c r="D1340" s="1741">
        <v>750000000</v>
      </c>
      <c r="E1340" s="1742">
        <v>37</v>
      </c>
      <c r="F1340" s="1742">
        <v>15</v>
      </c>
      <c r="G1340" s="1742">
        <v>0</v>
      </c>
      <c r="H1340" s="1742">
        <v>15</v>
      </c>
      <c r="I1340" s="1743">
        <v>42461</v>
      </c>
      <c r="K1340" s="1596">
        <f>VLOOKUP(A1340,Target!$E$100:$K$162,7,0)</f>
        <v>37</v>
      </c>
    </row>
    <row r="1341" spans="1:11">
      <c r="A1341" s="1740" t="s">
        <v>1103</v>
      </c>
      <c r="B1341" s="1740" t="s">
        <v>1812</v>
      </c>
      <c r="C1341" s="1741">
        <v>589000000</v>
      </c>
      <c r="D1341" s="1741">
        <v>560000000</v>
      </c>
      <c r="E1341" s="1742">
        <v>20</v>
      </c>
      <c r="F1341" s="1742">
        <v>15</v>
      </c>
      <c r="G1341" s="1742">
        <v>0</v>
      </c>
      <c r="H1341" s="1742">
        <v>15</v>
      </c>
      <c r="I1341" s="1743">
        <v>42461</v>
      </c>
      <c r="K1341" s="1596">
        <f>VLOOKUP(A1341,Target!$E$100:$K$162,7,0)</f>
        <v>20</v>
      </c>
    </row>
    <row r="1342" spans="1:11">
      <c r="A1342" s="1740" t="s">
        <v>1102</v>
      </c>
      <c r="B1342" s="1740" t="s">
        <v>1813</v>
      </c>
      <c r="C1342" s="1741">
        <v>947000000</v>
      </c>
      <c r="D1342" s="1741">
        <v>900000000</v>
      </c>
      <c r="E1342" s="1742">
        <v>41</v>
      </c>
      <c r="F1342" s="1742">
        <v>15</v>
      </c>
      <c r="G1342" s="1742">
        <v>0</v>
      </c>
      <c r="H1342" s="1742">
        <v>15</v>
      </c>
      <c r="I1342" s="1743">
        <v>42461</v>
      </c>
      <c r="J1342" s="1798"/>
      <c r="K1342" s="1596">
        <f>VLOOKUP(A1342,Target!$E$100:$K$162,7,0)</f>
        <v>41</v>
      </c>
    </row>
    <row r="1343" spans="1:11">
      <c r="A1343" s="1740" t="s">
        <v>1101</v>
      </c>
      <c r="B1343" s="1740" t="s">
        <v>1814</v>
      </c>
      <c r="C1343" s="1741">
        <v>842000000</v>
      </c>
      <c r="D1343" s="1741">
        <v>800000000</v>
      </c>
      <c r="E1343" s="1742">
        <v>26</v>
      </c>
      <c r="F1343" s="1742">
        <v>15</v>
      </c>
      <c r="G1343" s="1742">
        <v>0</v>
      </c>
      <c r="H1343" s="1742">
        <v>15</v>
      </c>
      <c r="I1343" s="1743">
        <v>42461</v>
      </c>
      <c r="J1343" s="1798"/>
      <c r="K1343" s="1596">
        <f>VLOOKUP(A1343,Target!$E$100:$K$162,7,0)</f>
        <v>26</v>
      </c>
    </row>
    <row r="1344" spans="1:11">
      <c r="A1344" s="1740" t="s">
        <v>1100</v>
      </c>
      <c r="B1344" s="1740" t="s">
        <v>1815</v>
      </c>
      <c r="C1344" s="1741">
        <v>1000000000</v>
      </c>
      <c r="D1344" s="1741">
        <v>950000000</v>
      </c>
      <c r="E1344" s="1742">
        <v>47</v>
      </c>
      <c r="F1344" s="1742">
        <v>21</v>
      </c>
      <c r="G1344" s="1742">
        <v>0</v>
      </c>
      <c r="H1344" s="1742">
        <v>21</v>
      </c>
      <c r="I1344" s="1743">
        <v>42461</v>
      </c>
      <c r="K1344" s="1596">
        <f>VLOOKUP(A1344,Target!$E$100:$K$162,7,0)</f>
        <v>47</v>
      </c>
    </row>
    <row r="1345" spans="1:11">
      <c r="A1345" s="1740" t="s">
        <v>1099</v>
      </c>
      <c r="B1345" s="1740" t="s">
        <v>1816</v>
      </c>
      <c r="C1345" s="1741">
        <v>947000000</v>
      </c>
      <c r="D1345" s="1741">
        <v>900000000</v>
      </c>
      <c r="E1345" s="1742">
        <v>26</v>
      </c>
      <c r="F1345" s="1742">
        <v>12</v>
      </c>
      <c r="G1345" s="1742">
        <v>0</v>
      </c>
      <c r="H1345" s="1742">
        <v>12</v>
      </c>
      <c r="I1345" s="1743">
        <v>42461</v>
      </c>
      <c r="K1345" s="1596">
        <f>VLOOKUP(A1345,Target!$E$100:$K$162,7,0)</f>
        <v>26</v>
      </c>
    </row>
    <row r="1346" spans="1:11">
      <c r="A1346" s="1740" t="s">
        <v>1419</v>
      </c>
      <c r="B1346" s="1740" t="s">
        <v>1817</v>
      </c>
      <c r="C1346" s="1741">
        <v>842000000</v>
      </c>
      <c r="D1346" s="1741">
        <v>800000000</v>
      </c>
      <c r="E1346" s="1742">
        <v>40</v>
      </c>
      <c r="F1346" s="1742">
        <v>15</v>
      </c>
      <c r="G1346" s="1742">
        <v>0</v>
      </c>
      <c r="H1346" s="1742">
        <v>15</v>
      </c>
      <c r="I1346" s="1743">
        <v>42461</v>
      </c>
      <c r="K1346" s="1596">
        <f>VLOOKUP(A1346,Target!$E$100:$K$162,7,0)</f>
        <v>40</v>
      </c>
    </row>
    <row r="1347" spans="1:11">
      <c r="A1347" s="1740" t="s">
        <v>1563</v>
      </c>
      <c r="B1347" s="1740" t="s">
        <v>1818</v>
      </c>
      <c r="C1347" s="1741">
        <v>684000000</v>
      </c>
      <c r="D1347" s="1741">
        <v>650000000</v>
      </c>
      <c r="E1347" s="1742">
        <v>17</v>
      </c>
      <c r="F1347" s="1742">
        <v>12</v>
      </c>
      <c r="G1347" s="1742">
        <v>0</v>
      </c>
      <c r="H1347" s="1742">
        <v>12</v>
      </c>
      <c r="I1347" s="1743">
        <v>42461</v>
      </c>
      <c r="K1347" s="1596">
        <f>VLOOKUP(A1347,Target!$E$100:$K$162,7,0)</f>
        <v>17</v>
      </c>
    </row>
    <row r="1348" spans="1:11">
      <c r="A1348" s="1740" t="s">
        <v>1418</v>
      </c>
      <c r="B1348" s="1740" t="s">
        <v>1819</v>
      </c>
      <c r="C1348" s="1741">
        <v>906000000</v>
      </c>
      <c r="D1348" s="1741">
        <v>860500000</v>
      </c>
      <c r="E1348" s="1742">
        <v>29</v>
      </c>
      <c r="F1348" s="1742">
        <v>6</v>
      </c>
      <c r="G1348" s="1742">
        <v>0</v>
      </c>
      <c r="H1348" s="1742">
        <v>6</v>
      </c>
      <c r="I1348" s="1743">
        <v>42461</v>
      </c>
      <c r="K1348" s="1596">
        <f>VLOOKUP(A1348,Target!$E$100:$K$162,7,0)</f>
        <v>29</v>
      </c>
    </row>
    <row r="1349" spans="1:11">
      <c r="A1349" s="1740" t="s">
        <v>1568</v>
      </c>
      <c r="B1349" s="1740" t="s">
        <v>1820</v>
      </c>
      <c r="C1349" s="1741">
        <v>1082000000</v>
      </c>
      <c r="D1349" s="1741">
        <v>1028000000</v>
      </c>
      <c r="E1349" s="1742">
        <v>50</v>
      </c>
      <c r="F1349" s="1742">
        <v>18</v>
      </c>
      <c r="G1349" s="1742">
        <v>0</v>
      </c>
      <c r="H1349" s="1742">
        <v>18</v>
      </c>
      <c r="I1349" s="1743">
        <v>42461</v>
      </c>
      <c r="K1349" s="1596">
        <f>VLOOKUP(A1349,Target!$E$100:$K$162,7,0)</f>
        <v>50</v>
      </c>
    </row>
    <row r="1350" spans="1:11">
      <c r="A1350" s="1740" t="s">
        <v>1303</v>
      </c>
      <c r="B1350" s="1740" t="s">
        <v>1851</v>
      </c>
      <c r="C1350" s="1741">
        <v>1053000000</v>
      </c>
      <c r="D1350" s="1741">
        <v>1000000000</v>
      </c>
      <c r="E1350" s="1742">
        <v>29</v>
      </c>
      <c r="F1350" s="1742">
        <v>12</v>
      </c>
      <c r="G1350" s="1742">
        <v>0</v>
      </c>
      <c r="H1350" s="1742">
        <v>12</v>
      </c>
      <c r="I1350" s="1743">
        <v>42461</v>
      </c>
      <c r="J1350" s="1798" t="s">
        <v>2717</v>
      </c>
      <c r="K1350" s="1596" t="e">
        <f>VLOOKUP(A1350,Target!$E$100:$K$162,7,0)</f>
        <v>#N/A</v>
      </c>
    </row>
    <row r="1351" spans="1:11">
      <c r="A1351" s="1740" t="s">
        <v>1422</v>
      </c>
      <c r="B1351" s="1740" t="s">
        <v>1852</v>
      </c>
      <c r="C1351" s="1741">
        <v>2220000000</v>
      </c>
      <c r="D1351" s="1741">
        <v>2110000000</v>
      </c>
      <c r="E1351" s="1742">
        <v>96</v>
      </c>
      <c r="F1351" s="1742">
        <v>45</v>
      </c>
      <c r="G1351" s="1742">
        <v>0</v>
      </c>
      <c r="H1351" s="1742">
        <v>45</v>
      </c>
      <c r="I1351" s="1743">
        <v>42461</v>
      </c>
      <c r="J1351" s="1798" t="s">
        <v>2717</v>
      </c>
      <c r="K1351" s="1596" t="e">
        <f>VLOOKUP(A1351,Target!$E$100:$K$162,7,0)</f>
        <v>#N/A</v>
      </c>
    </row>
    <row r="1352" spans="1:11">
      <c r="A1352" s="1740" t="s">
        <v>1305</v>
      </c>
      <c r="B1352" s="1740" t="s">
        <v>1853</v>
      </c>
      <c r="C1352" s="1741">
        <v>842000000</v>
      </c>
      <c r="D1352" s="1741">
        <v>800000000</v>
      </c>
      <c r="E1352" s="1742">
        <v>26</v>
      </c>
      <c r="F1352" s="1742">
        <v>15</v>
      </c>
      <c r="G1352" s="1742">
        <v>0</v>
      </c>
      <c r="H1352" s="1742">
        <v>15</v>
      </c>
      <c r="I1352" s="1743">
        <v>42461</v>
      </c>
      <c r="J1352" s="1798" t="s">
        <v>2717</v>
      </c>
      <c r="K1352" s="1596" t="e">
        <f>VLOOKUP(A1352,Target!$E$100:$K$162,7,0)</f>
        <v>#N/A</v>
      </c>
    </row>
    <row r="1353" spans="1:11">
      <c r="A1353" s="1740" t="s">
        <v>1423</v>
      </c>
      <c r="B1353" s="1740" t="s">
        <v>1854</v>
      </c>
      <c r="C1353" s="1741">
        <v>1000000000</v>
      </c>
      <c r="D1353" s="1741">
        <v>950000000</v>
      </c>
      <c r="E1353" s="1742">
        <v>47</v>
      </c>
      <c r="F1353" s="1742">
        <v>21</v>
      </c>
      <c r="G1353" s="1742">
        <v>0</v>
      </c>
      <c r="H1353" s="1742">
        <v>21</v>
      </c>
      <c r="I1353" s="1743">
        <v>42461</v>
      </c>
      <c r="J1353" s="1798" t="s">
        <v>2717</v>
      </c>
      <c r="K1353" s="1596" t="e">
        <f>VLOOKUP(A1353,Target!$E$100:$K$162,7,0)</f>
        <v>#N/A</v>
      </c>
    </row>
    <row r="1354" spans="1:11">
      <c r="A1354" s="1740" t="s">
        <v>1424</v>
      </c>
      <c r="B1354" s="1740" t="s">
        <v>1855</v>
      </c>
      <c r="C1354" s="1741">
        <v>842000000</v>
      </c>
      <c r="D1354" s="1741">
        <v>800000000</v>
      </c>
      <c r="E1354" s="1742">
        <v>40</v>
      </c>
      <c r="F1354" s="1742">
        <v>15</v>
      </c>
      <c r="G1354" s="1742">
        <v>0</v>
      </c>
      <c r="H1354" s="1742">
        <v>15</v>
      </c>
      <c r="I1354" s="1743">
        <v>42461</v>
      </c>
      <c r="J1354" s="1798" t="s">
        <v>2717</v>
      </c>
      <c r="K1354" s="1596" t="e">
        <f>VLOOKUP(A1354,Target!$E$100:$K$162,7,0)</f>
        <v>#N/A</v>
      </c>
    </row>
    <row r="1355" spans="1:11">
      <c r="A1355" s="1740" t="s">
        <v>2051</v>
      </c>
      <c r="B1355" s="1740" t="s">
        <v>2052</v>
      </c>
      <c r="C1355" s="1741">
        <v>526000000</v>
      </c>
      <c r="D1355" s="1741">
        <v>500000000</v>
      </c>
      <c r="E1355" s="1742">
        <v>41</v>
      </c>
      <c r="F1355" s="1742">
        <v>15</v>
      </c>
      <c r="G1355" s="1742">
        <v>0</v>
      </c>
      <c r="H1355" s="1742">
        <v>15</v>
      </c>
      <c r="I1355" s="1743">
        <v>42461</v>
      </c>
      <c r="J1355" s="1798" t="s">
        <v>2717</v>
      </c>
      <c r="K1355" s="1596" t="e">
        <f>VLOOKUP(A1355,Target!$E$100:$K$162,7,0)</f>
        <v>#N/A</v>
      </c>
    </row>
    <row r="1356" spans="1:11">
      <c r="A1356" s="1740" t="s">
        <v>2221</v>
      </c>
      <c r="B1356" s="1740" t="s">
        <v>2222</v>
      </c>
      <c r="C1356" s="1741">
        <v>800000000</v>
      </c>
      <c r="D1356" s="1741">
        <v>760000000</v>
      </c>
      <c r="E1356" s="1742">
        <v>44</v>
      </c>
      <c r="F1356" s="1742">
        <v>12</v>
      </c>
      <c r="G1356" s="1742">
        <v>0</v>
      </c>
      <c r="H1356" s="1742">
        <v>12</v>
      </c>
      <c r="I1356" s="1743">
        <v>42461</v>
      </c>
      <c r="J1356" s="1798" t="s">
        <v>2717</v>
      </c>
      <c r="K1356" s="1596" t="e">
        <f>VLOOKUP(A1356,Target!$E$100:$K$162,7,0)</f>
        <v>#N/A</v>
      </c>
    </row>
    <row r="1357" spans="1:11">
      <c r="A1357" s="1740" t="s">
        <v>2219</v>
      </c>
      <c r="B1357" s="1740" t="s">
        <v>2220</v>
      </c>
      <c r="C1357" s="1741">
        <v>1558000000</v>
      </c>
      <c r="D1357" s="1741">
        <v>1480000000</v>
      </c>
      <c r="E1357" s="1742">
        <v>66</v>
      </c>
      <c r="F1357" s="1742">
        <v>27</v>
      </c>
      <c r="G1357" s="1742">
        <v>0</v>
      </c>
      <c r="H1357" s="1742">
        <v>27</v>
      </c>
      <c r="I1357" s="1743">
        <v>42461</v>
      </c>
      <c r="J1357" s="1798" t="s">
        <v>2717</v>
      </c>
      <c r="K1357" s="1596" t="e">
        <f>VLOOKUP(A1357,Target!$E$100:$K$162,7,0)</f>
        <v>#N/A</v>
      </c>
    </row>
    <row r="1358" spans="1:11">
      <c r="A1358" s="1740" t="s">
        <v>2439</v>
      </c>
      <c r="B1358" s="1740" t="s">
        <v>2440</v>
      </c>
      <c r="C1358" s="1741">
        <v>737000000</v>
      </c>
      <c r="D1358" s="1741">
        <v>700000000</v>
      </c>
      <c r="E1358" s="1742">
        <v>35</v>
      </c>
      <c r="F1358" s="1742">
        <v>12</v>
      </c>
      <c r="G1358" s="1742">
        <v>0</v>
      </c>
      <c r="H1358" s="1742">
        <v>12</v>
      </c>
      <c r="I1358" s="1743">
        <v>42461</v>
      </c>
      <c r="J1358" s="1798" t="s">
        <v>2717</v>
      </c>
      <c r="K1358" s="1596" t="e">
        <f>VLOOKUP(A1358,Target!$E$100:$K$162,7,0)</f>
        <v>#N/A</v>
      </c>
    </row>
    <row r="1359" spans="1:11">
      <c r="A1359" s="1740" t="s">
        <v>2566</v>
      </c>
      <c r="B1359" s="1740" t="s">
        <v>2567</v>
      </c>
      <c r="C1359" s="1741">
        <v>947000000</v>
      </c>
      <c r="D1359" s="1741">
        <v>900000000</v>
      </c>
      <c r="E1359" s="1742">
        <v>41</v>
      </c>
      <c r="F1359" s="1742">
        <v>15</v>
      </c>
      <c r="G1359" s="1742">
        <v>0</v>
      </c>
      <c r="H1359" s="1742">
        <v>15</v>
      </c>
      <c r="I1359" s="1743">
        <v>42461</v>
      </c>
      <c r="J1359" s="1798" t="s">
        <v>2717</v>
      </c>
      <c r="K1359" s="1596" t="e">
        <f>VLOOKUP(A1359,Target!$E$100:$K$162,7,0)</f>
        <v>#N/A</v>
      </c>
    </row>
    <row r="1362" spans="1:10">
      <c r="A1362" s="1810" t="s">
        <v>3175</v>
      </c>
    </row>
    <row r="1363" spans="1:10">
      <c r="A1363" s="1811" t="s">
        <v>1109</v>
      </c>
      <c r="B1363" s="1811" t="s">
        <v>1110</v>
      </c>
      <c r="C1363" s="1811" t="s">
        <v>1</v>
      </c>
      <c r="D1363" s="1811" t="s">
        <v>2</v>
      </c>
      <c r="E1363" s="1811" t="s">
        <v>1108</v>
      </c>
      <c r="F1363" s="1811" t="s">
        <v>1107</v>
      </c>
      <c r="G1363" s="1811" t="s">
        <v>1106</v>
      </c>
      <c r="H1363" s="1811" t="s">
        <v>1105</v>
      </c>
      <c r="I1363" s="1811" t="s">
        <v>1160</v>
      </c>
    </row>
    <row r="1364" spans="1:10">
      <c r="A1364" s="1812" t="s">
        <v>47</v>
      </c>
      <c r="B1364" s="1812" t="s">
        <v>1780</v>
      </c>
      <c r="C1364" s="1813">
        <v>737000000</v>
      </c>
      <c r="D1364" s="1813">
        <v>700000000.00000012</v>
      </c>
      <c r="E1364" s="1814">
        <v>19</v>
      </c>
      <c r="F1364" s="1814">
        <v>12</v>
      </c>
      <c r="G1364" s="1814">
        <v>0</v>
      </c>
      <c r="H1364" s="1814">
        <v>12</v>
      </c>
      <c r="I1364" s="1815">
        <v>42491</v>
      </c>
      <c r="J1364" s="1596" t="s">
        <v>47</v>
      </c>
    </row>
    <row r="1365" spans="1:10">
      <c r="A1365" s="1812" t="s">
        <v>91</v>
      </c>
      <c r="B1365" s="1812" t="s">
        <v>1781</v>
      </c>
      <c r="C1365" s="1813">
        <v>947000000</v>
      </c>
      <c r="D1365" s="1813">
        <v>900000000.00000012</v>
      </c>
      <c r="E1365" s="1814">
        <v>36</v>
      </c>
      <c r="F1365" s="1814">
        <v>12</v>
      </c>
      <c r="G1365" s="1814">
        <v>0</v>
      </c>
      <c r="H1365" s="1814">
        <v>12</v>
      </c>
      <c r="I1365" s="1815">
        <v>42491</v>
      </c>
      <c r="J1365" s="1596" t="s">
        <v>91</v>
      </c>
    </row>
    <row r="1366" spans="1:10">
      <c r="A1366" s="1812" t="s">
        <v>177</v>
      </c>
      <c r="B1366" s="1812" t="s">
        <v>1782</v>
      </c>
      <c r="C1366" s="1813">
        <v>1304000000</v>
      </c>
      <c r="D1366" s="1813">
        <v>1238500000</v>
      </c>
      <c r="E1366" s="1814">
        <v>44</v>
      </c>
      <c r="F1366" s="1814">
        <v>24</v>
      </c>
      <c r="G1366" s="1814">
        <v>14</v>
      </c>
      <c r="H1366" s="1814">
        <v>38</v>
      </c>
      <c r="I1366" s="1815">
        <v>42491</v>
      </c>
      <c r="J1366" s="1596" t="s">
        <v>177</v>
      </c>
    </row>
    <row r="1367" spans="1:10">
      <c r="A1367" s="1812" t="s">
        <v>3170</v>
      </c>
      <c r="B1367" s="1812" t="s">
        <v>1783</v>
      </c>
      <c r="C1367" s="1813">
        <v>929000000</v>
      </c>
      <c r="D1367" s="1813">
        <v>882500000</v>
      </c>
      <c r="E1367" s="1814">
        <v>32</v>
      </c>
      <c r="F1367" s="1814">
        <v>9</v>
      </c>
      <c r="G1367" s="1814">
        <v>0</v>
      </c>
      <c r="H1367" s="1814">
        <v>9</v>
      </c>
      <c r="I1367" s="1815">
        <v>42491</v>
      </c>
      <c r="J1367" s="1596" t="s">
        <v>3170</v>
      </c>
    </row>
    <row r="1368" spans="1:10">
      <c r="A1368" s="1812" t="s">
        <v>179</v>
      </c>
      <c r="B1368" s="1812" t="s">
        <v>1784</v>
      </c>
      <c r="C1368" s="1813">
        <v>1309000000</v>
      </c>
      <c r="D1368" s="1813">
        <v>1243500000</v>
      </c>
      <c r="E1368" s="1814">
        <v>49</v>
      </c>
      <c r="F1368" s="1814">
        <v>15</v>
      </c>
      <c r="G1368" s="1814">
        <v>0</v>
      </c>
      <c r="H1368" s="1814">
        <v>15</v>
      </c>
      <c r="I1368" s="1815">
        <v>42491</v>
      </c>
      <c r="J1368" s="1596" t="s">
        <v>179</v>
      </c>
    </row>
    <row r="1369" spans="1:10">
      <c r="A1369" s="1812" t="s">
        <v>3173</v>
      </c>
      <c r="B1369" s="1812" t="s">
        <v>1785</v>
      </c>
      <c r="C1369" s="1813">
        <v>1611000000</v>
      </c>
      <c r="D1369" s="1813">
        <v>1530500000</v>
      </c>
      <c r="E1369" s="1814">
        <v>63</v>
      </c>
      <c r="F1369" s="1814">
        <v>20</v>
      </c>
      <c r="G1369" s="1814">
        <v>0</v>
      </c>
      <c r="H1369" s="1814">
        <v>20</v>
      </c>
      <c r="I1369" s="1815">
        <v>42491</v>
      </c>
      <c r="J1369" s="1596" t="s">
        <v>3173</v>
      </c>
    </row>
    <row r="1370" spans="1:10">
      <c r="A1370" s="1812" t="s">
        <v>187</v>
      </c>
      <c r="B1370" s="1812" t="s">
        <v>1786</v>
      </c>
      <c r="C1370" s="1813">
        <v>684000000</v>
      </c>
      <c r="D1370" s="1813">
        <v>650000000.00000012</v>
      </c>
      <c r="E1370" s="1814">
        <v>28</v>
      </c>
      <c r="F1370" s="1814">
        <v>12</v>
      </c>
      <c r="G1370" s="1814">
        <v>0</v>
      </c>
      <c r="H1370" s="1814">
        <v>12</v>
      </c>
      <c r="I1370" s="1815">
        <v>42491</v>
      </c>
      <c r="J1370" s="1596" t="s">
        <v>187</v>
      </c>
    </row>
    <row r="1371" spans="1:10">
      <c r="A1371" s="1812" t="s">
        <v>3171</v>
      </c>
      <c r="B1371" s="1812" t="s">
        <v>1788</v>
      </c>
      <c r="C1371" s="1813">
        <v>658000000</v>
      </c>
      <c r="D1371" s="1813">
        <v>625500000</v>
      </c>
      <c r="E1371" s="1814">
        <v>36</v>
      </c>
      <c r="F1371" s="1814">
        <v>49</v>
      </c>
      <c r="G1371" s="1814">
        <v>0</v>
      </c>
      <c r="H1371" s="1814">
        <v>49</v>
      </c>
      <c r="I1371" s="1815">
        <v>42491</v>
      </c>
      <c r="J1371" s="1596" t="s">
        <v>3171</v>
      </c>
    </row>
    <row r="1372" spans="1:10">
      <c r="A1372" s="1812" t="s">
        <v>628</v>
      </c>
      <c r="B1372" s="1812" t="s">
        <v>1789</v>
      </c>
      <c r="C1372" s="1813">
        <v>737000000</v>
      </c>
      <c r="D1372" s="1813">
        <v>700000000</v>
      </c>
      <c r="E1372" s="1814">
        <v>22</v>
      </c>
      <c r="F1372" s="1814">
        <v>12</v>
      </c>
      <c r="G1372" s="1814">
        <v>0</v>
      </c>
      <c r="H1372" s="1814">
        <v>12</v>
      </c>
      <c r="I1372" s="1815">
        <v>42491</v>
      </c>
      <c r="J1372" s="1596" t="s">
        <v>628</v>
      </c>
    </row>
    <row r="1373" spans="1:10">
      <c r="A1373" s="1812" t="s">
        <v>650</v>
      </c>
      <c r="B1373" s="1812" t="s">
        <v>1790</v>
      </c>
      <c r="C1373" s="1813">
        <v>821000000</v>
      </c>
      <c r="D1373" s="1813">
        <v>780000000</v>
      </c>
      <c r="E1373" s="1814">
        <v>18</v>
      </c>
      <c r="F1373" s="1814">
        <v>12</v>
      </c>
      <c r="G1373" s="1814">
        <v>0</v>
      </c>
      <c r="H1373" s="1814">
        <v>12</v>
      </c>
      <c r="I1373" s="1815">
        <v>42491</v>
      </c>
      <c r="J1373" s="1596" t="s">
        <v>650</v>
      </c>
    </row>
    <row r="1374" spans="1:10">
      <c r="A1374" s="1812" t="s">
        <v>3174</v>
      </c>
      <c r="B1374" s="1812" t="s">
        <v>1791</v>
      </c>
      <c r="C1374" s="1813">
        <v>821000000</v>
      </c>
      <c r="D1374" s="1813">
        <v>780000000</v>
      </c>
      <c r="E1374" s="1814">
        <v>41</v>
      </c>
      <c r="F1374" s="1814">
        <v>14</v>
      </c>
      <c r="G1374" s="1814">
        <v>0</v>
      </c>
      <c r="H1374" s="1814">
        <v>14</v>
      </c>
      <c r="I1374" s="1815">
        <v>42491</v>
      </c>
      <c r="J1374" s="1596" t="s">
        <v>3174</v>
      </c>
    </row>
    <row r="1375" spans="1:10">
      <c r="A1375" s="1812" t="s">
        <v>648</v>
      </c>
      <c r="B1375" s="1812" t="s">
        <v>1792</v>
      </c>
      <c r="C1375" s="1813">
        <v>684000000</v>
      </c>
      <c r="D1375" s="1813">
        <v>650000000.00000012</v>
      </c>
      <c r="E1375" s="1814">
        <v>22</v>
      </c>
      <c r="F1375" s="1814">
        <v>12</v>
      </c>
      <c r="G1375" s="1814">
        <v>0</v>
      </c>
      <c r="H1375" s="1814">
        <v>12</v>
      </c>
      <c r="I1375" s="1815">
        <v>42491</v>
      </c>
      <c r="J1375" s="1596" t="s">
        <v>648</v>
      </c>
    </row>
    <row r="1376" spans="1:10">
      <c r="A1376" s="1812" t="s">
        <v>659</v>
      </c>
      <c r="B1376" s="1812" t="s">
        <v>1793</v>
      </c>
      <c r="C1376" s="1813">
        <v>1137000000</v>
      </c>
      <c r="D1376" s="1813">
        <v>1080500000</v>
      </c>
      <c r="E1376" s="1814">
        <v>33</v>
      </c>
      <c r="F1376" s="1814">
        <v>15</v>
      </c>
      <c r="G1376" s="1814">
        <v>0</v>
      </c>
      <c r="H1376" s="1814">
        <v>15</v>
      </c>
      <c r="I1376" s="1815">
        <v>42491</v>
      </c>
      <c r="J1376" s="1596" t="s">
        <v>659</v>
      </c>
    </row>
    <row r="1377" spans="1:10">
      <c r="A1377" s="1812" t="s">
        <v>649</v>
      </c>
      <c r="B1377" s="1812" t="s">
        <v>1794</v>
      </c>
      <c r="C1377" s="1813">
        <v>684000000</v>
      </c>
      <c r="D1377" s="1813">
        <v>650000000</v>
      </c>
      <c r="E1377" s="1814">
        <v>27</v>
      </c>
      <c r="F1377" s="1814">
        <v>12</v>
      </c>
      <c r="G1377" s="1814">
        <v>0</v>
      </c>
      <c r="H1377" s="1814">
        <v>12</v>
      </c>
      <c r="I1377" s="1815">
        <v>42491</v>
      </c>
      <c r="J1377" s="1596" t="s">
        <v>649</v>
      </c>
    </row>
    <row r="1378" spans="1:10">
      <c r="A1378" s="1812" t="s">
        <v>642</v>
      </c>
      <c r="B1378" s="1812" t="s">
        <v>1795</v>
      </c>
      <c r="C1378" s="1813">
        <v>737000000</v>
      </c>
      <c r="D1378" s="1813">
        <v>700000000.00000012</v>
      </c>
      <c r="E1378" s="1814">
        <v>27</v>
      </c>
      <c r="F1378" s="1814">
        <v>12</v>
      </c>
      <c r="G1378" s="1814">
        <v>0</v>
      </c>
      <c r="H1378" s="1814">
        <v>12</v>
      </c>
      <c r="I1378" s="1815">
        <v>42491</v>
      </c>
      <c r="J1378" s="1596" t="s">
        <v>642</v>
      </c>
    </row>
    <row r="1379" spans="1:10">
      <c r="A1379" s="1812" t="s">
        <v>736</v>
      </c>
      <c r="B1379" s="1812" t="s">
        <v>1796</v>
      </c>
      <c r="C1379" s="1813">
        <v>947000000</v>
      </c>
      <c r="D1379" s="1813">
        <v>900000000.00000012</v>
      </c>
      <c r="E1379" s="1814">
        <v>31</v>
      </c>
      <c r="F1379" s="1814">
        <v>12</v>
      </c>
      <c r="G1379" s="1814">
        <v>0</v>
      </c>
      <c r="H1379" s="1814">
        <v>12</v>
      </c>
      <c r="I1379" s="1815">
        <v>42491</v>
      </c>
      <c r="J1379" s="1596" t="s">
        <v>736</v>
      </c>
    </row>
    <row r="1380" spans="1:10">
      <c r="A1380" s="1812" t="s">
        <v>699</v>
      </c>
      <c r="B1380" s="1812" t="s">
        <v>1797</v>
      </c>
      <c r="C1380" s="1813">
        <v>0</v>
      </c>
      <c r="D1380" s="1813">
        <v>0</v>
      </c>
      <c r="E1380" s="1814">
        <v>0</v>
      </c>
      <c r="F1380" s="1814">
        <v>0</v>
      </c>
      <c r="G1380" s="1814">
        <v>0</v>
      </c>
      <c r="H1380" s="1814">
        <v>0</v>
      </c>
      <c r="I1380" s="1815">
        <v>42491</v>
      </c>
      <c r="J1380" s="1596" t="s">
        <v>699</v>
      </c>
    </row>
    <row r="1381" spans="1:10">
      <c r="A1381" s="1812" t="s">
        <v>735</v>
      </c>
      <c r="B1381" s="1812" t="s">
        <v>1799</v>
      </c>
      <c r="C1381" s="1813">
        <v>1895000000</v>
      </c>
      <c r="D1381" s="1813">
        <v>1800000000</v>
      </c>
      <c r="E1381" s="1814">
        <v>25</v>
      </c>
      <c r="F1381" s="1814">
        <v>12</v>
      </c>
      <c r="G1381" s="1814">
        <v>0</v>
      </c>
      <c r="H1381" s="1814">
        <v>12</v>
      </c>
      <c r="I1381" s="1815">
        <v>42491</v>
      </c>
      <c r="J1381" s="1596" t="s">
        <v>735</v>
      </c>
    </row>
    <row r="1382" spans="1:10">
      <c r="A1382" s="1812" t="s">
        <v>734</v>
      </c>
      <c r="B1382" s="1812" t="s">
        <v>1800</v>
      </c>
      <c r="C1382" s="1813">
        <v>1263000000</v>
      </c>
      <c r="D1382" s="1813">
        <v>1200000000</v>
      </c>
      <c r="E1382" s="1814">
        <v>47</v>
      </c>
      <c r="F1382" s="1814">
        <v>12</v>
      </c>
      <c r="G1382" s="1814">
        <v>0</v>
      </c>
      <c r="H1382" s="1814">
        <v>12</v>
      </c>
      <c r="I1382" s="1815">
        <v>42491</v>
      </c>
      <c r="J1382" s="1596" t="s">
        <v>734</v>
      </c>
    </row>
    <row r="1383" spans="1:10">
      <c r="A1383" s="1812" t="s">
        <v>798</v>
      </c>
      <c r="B1383" s="1812" t="s">
        <v>1801</v>
      </c>
      <c r="C1383" s="1813">
        <v>1500000000</v>
      </c>
      <c r="D1383" s="1813">
        <v>1425000000</v>
      </c>
      <c r="E1383" s="1814">
        <v>20</v>
      </c>
      <c r="F1383" s="1814">
        <v>12</v>
      </c>
      <c r="G1383" s="1814">
        <v>0</v>
      </c>
      <c r="H1383" s="1814">
        <v>12</v>
      </c>
      <c r="I1383" s="1815">
        <v>42491</v>
      </c>
      <c r="J1383" s="1596" t="s">
        <v>798</v>
      </c>
    </row>
    <row r="1384" spans="1:10">
      <c r="A1384" s="1812" t="s">
        <v>796</v>
      </c>
      <c r="B1384" s="1812" t="s">
        <v>1802</v>
      </c>
      <c r="C1384" s="1813">
        <v>737000000</v>
      </c>
      <c r="D1384" s="1813">
        <v>700000000.00000012</v>
      </c>
      <c r="E1384" s="1814">
        <v>21</v>
      </c>
      <c r="F1384" s="1814">
        <v>12</v>
      </c>
      <c r="G1384" s="1814">
        <v>0</v>
      </c>
      <c r="H1384" s="1814">
        <v>12</v>
      </c>
      <c r="I1384" s="1815">
        <v>42491</v>
      </c>
      <c r="J1384" s="1596" t="s">
        <v>796</v>
      </c>
    </row>
    <row r="1385" spans="1:10">
      <c r="A1385" s="1812" t="s">
        <v>799</v>
      </c>
      <c r="B1385" s="1812" t="s">
        <v>1803</v>
      </c>
      <c r="C1385" s="1813">
        <v>674000000</v>
      </c>
      <c r="D1385" s="1813">
        <v>640000000</v>
      </c>
      <c r="E1385" s="1814">
        <v>29</v>
      </c>
      <c r="F1385" s="1814">
        <v>9</v>
      </c>
      <c r="G1385" s="1814">
        <v>0</v>
      </c>
      <c r="H1385" s="1814">
        <v>9</v>
      </c>
      <c r="I1385" s="1815">
        <v>42491</v>
      </c>
      <c r="J1385" s="1596" t="s">
        <v>799</v>
      </c>
    </row>
    <row r="1386" spans="1:10">
      <c r="A1386" s="1812" t="s">
        <v>825</v>
      </c>
      <c r="B1386" s="1812" t="s">
        <v>1804</v>
      </c>
      <c r="C1386" s="1813">
        <v>674000000</v>
      </c>
      <c r="D1386" s="1813">
        <v>640000000</v>
      </c>
      <c r="E1386" s="1814">
        <v>34</v>
      </c>
      <c r="F1386" s="1814">
        <v>12</v>
      </c>
      <c r="G1386" s="1814">
        <v>0</v>
      </c>
      <c r="H1386" s="1814">
        <v>12</v>
      </c>
      <c r="I1386" s="1815">
        <v>42491</v>
      </c>
      <c r="J1386" s="1596" t="s">
        <v>825</v>
      </c>
    </row>
    <row r="1387" spans="1:10">
      <c r="A1387" s="1812" t="s">
        <v>905</v>
      </c>
      <c r="B1387" s="1812" t="s">
        <v>1805</v>
      </c>
      <c r="C1387" s="1813">
        <v>737000000</v>
      </c>
      <c r="D1387" s="1813">
        <v>700000000</v>
      </c>
      <c r="E1387" s="1814">
        <v>23</v>
      </c>
      <c r="F1387" s="1814">
        <v>12</v>
      </c>
      <c r="G1387" s="1814">
        <v>0</v>
      </c>
      <c r="H1387" s="1814">
        <v>12</v>
      </c>
      <c r="I1387" s="1815">
        <v>42491</v>
      </c>
      <c r="J1387" s="1596" t="s">
        <v>905</v>
      </c>
    </row>
    <row r="1388" spans="1:10">
      <c r="A1388" s="1812" t="s">
        <v>903</v>
      </c>
      <c r="B1388" s="1812" t="s">
        <v>1806</v>
      </c>
      <c r="C1388" s="1813">
        <v>737000000</v>
      </c>
      <c r="D1388" s="1813">
        <v>700000000.00000012</v>
      </c>
      <c r="E1388" s="1814">
        <v>34</v>
      </c>
      <c r="F1388" s="1814">
        <v>12</v>
      </c>
      <c r="G1388" s="1814">
        <v>0</v>
      </c>
      <c r="H1388" s="1814">
        <v>12</v>
      </c>
      <c r="I1388" s="1815">
        <v>42491</v>
      </c>
      <c r="J1388" s="1596" t="s">
        <v>903</v>
      </c>
    </row>
    <row r="1389" spans="1:10">
      <c r="A1389" s="1812" t="s">
        <v>902</v>
      </c>
      <c r="B1389" s="1812" t="s">
        <v>1807</v>
      </c>
      <c r="C1389" s="1813">
        <v>737000000</v>
      </c>
      <c r="D1389" s="1813">
        <v>700000000.00000012</v>
      </c>
      <c r="E1389" s="1814">
        <v>31</v>
      </c>
      <c r="F1389" s="1814">
        <v>12</v>
      </c>
      <c r="G1389" s="1814">
        <v>0</v>
      </c>
      <c r="H1389" s="1814">
        <v>12</v>
      </c>
      <c r="I1389" s="1815">
        <v>42491</v>
      </c>
      <c r="J1389" s="1596" t="s">
        <v>902</v>
      </c>
    </row>
    <row r="1390" spans="1:10">
      <c r="A1390" s="1812" t="s">
        <v>900</v>
      </c>
      <c r="B1390" s="1812" t="s">
        <v>1808</v>
      </c>
      <c r="C1390" s="1813">
        <v>1053000000</v>
      </c>
      <c r="D1390" s="1813">
        <v>1000000000.0000001</v>
      </c>
      <c r="E1390" s="1814">
        <v>22</v>
      </c>
      <c r="F1390" s="1814">
        <v>12</v>
      </c>
      <c r="G1390" s="1814">
        <v>0</v>
      </c>
      <c r="H1390" s="1814">
        <v>12</v>
      </c>
      <c r="I1390" s="1815">
        <v>42491</v>
      </c>
      <c r="J1390" s="1596" t="s">
        <v>900</v>
      </c>
    </row>
    <row r="1391" spans="1:10">
      <c r="A1391" s="1812" t="s">
        <v>949</v>
      </c>
      <c r="B1391" s="1812" t="s">
        <v>1809</v>
      </c>
      <c r="C1391" s="1813">
        <v>1684000000</v>
      </c>
      <c r="D1391" s="1813">
        <v>1600000000</v>
      </c>
      <c r="E1391" s="1814">
        <v>30</v>
      </c>
      <c r="F1391" s="1814">
        <v>12</v>
      </c>
      <c r="G1391" s="1814">
        <v>0</v>
      </c>
      <c r="H1391" s="1814">
        <v>12</v>
      </c>
      <c r="I1391" s="1815">
        <v>42491</v>
      </c>
      <c r="J1391" s="1596" t="s">
        <v>949</v>
      </c>
    </row>
    <row r="1392" spans="1:10">
      <c r="A1392" s="1812" t="s">
        <v>1104</v>
      </c>
      <c r="B1392" s="1812" t="s">
        <v>1810</v>
      </c>
      <c r="C1392" s="1813">
        <v>663000000</v>
      </c>
      <c r="D1392" s="1813">
        <v>630000000</v>
      </c>
      <c r="E1392" s="1814">
        <v>37</v>
      </c>
      <c r="F1392" s="1814">
        <v>9</v>
      </c>
      <c r="G1392" s="1814">
        <v>0</v>
      </c>
      <c r="H1392" s="1814">
        <v>9</v>
      </c>
      <c r="I1392" s="1815">
        <v>42491</v>
      </c>
      <c r="J1392" s="1596" t="s">
        <v>1104</v>
      </c>
    </row>
    <row r="1393" spans="1:10">
      <c r="A1393" s="1812" t="s">
        <v>1015</v>
      </c>
      <c r="B1393" s="1812" t="s">
        <v>1811</v>
      </c>
      <c r="C1393" s="1813">
        <v>589000000</v>
      </c>
      <c r="D1393" s="1813">
        <v>560000000</v>
      </c>
      <c r="E1393" s="1814">
        <v>35</v>
      </c>
      <c r="F1393" s="1814">
        <v>9</v>
      </c>
      <c r="G1393" s="1814">
        <v>0</v>
      </c>
      <c r="H1393" s="1814">
        <v>9</v>
      </c>
      <c r="I1393" s="1815">
        <v>42491</v>
      </c>
      <c r="J1393" s="1596" t="s">
        <v>1015</v>
      </c>
    </row>
    <row r="1394" spans="1:10">
      <c r="A1394" s="1812" t="s">
        <v>1103</v>
      </c>
      <c r="B1394" s="1812" t="s">
        <v>1812</v>
      </c>
      <c r="C1394" s="1813">
        <v>432000000</v>
      </c>
      <c r="D1394" s="1813">
        <v>410000000</v>
      </c>
      <c r="E1394" s="1814">
        <v>19</v>
      </c>
      <c r="F1394" s="1814">
        <v>9</v>
      </c>
      <c r="G1394" s="1814">
        <v>0</v>
      </c>
      <c r="H1394" s="1814">
        <v>9</v>
      </c>
      <c r="I1394" s="1815">
        <v>42491</v>
      </c>
      <c r="J1394" s="1596" t="s">
        <v>1103</v>
      </c>
    </row>
    <row r="1395" spans="1:10">
      <c r="A1395" s="1812" t="s">
        <v>1102</v>
      </c>
      <c r="B1395" s="1812" t="s">
        <v>1813</v>
      </c>
      <c r="C1395" s="1813">
        <v>789000000</v>
      </c>
      <c r="D1395" s="1813">
        <v>750000000.00000012</v>
      </c>
      <c r="E1395" s="1814">
        <v>42</v>
      </c>
      <c r="F1395" s="1814">
        <v>15</v>
      </c>
      <c r="G1395" s="1814">
        <v>0</v>
      </c>
      <c r="H1395" s="1814">
        <v>15</v>
      </c>
      <c r="I1395" s="1815">
        <v>42491</v>
      </c>
      <c r="J1395" s="1596" t="s">
        <v>1102</v>
      </c>
    </row>
    <row r="1396" spans="1:10">
      <c r="A1396" s="1812" t="s">
        <v>1101</v>
      </c>
      <c r="B1396" s="1812" t="s">
        <v>1814</v>
      </c>
      <c r="C1396" s="1813">
        <v>484000000</v>
      </c>
      <c r="D1396" s="1813">
        <v>460000000</v>
      </c>
      <c r="E1396" s="1814">
        <v>29</v>
      </c>
      <c r="F1396" s="1814">
        <v>15</v>
      </c>
      <c r="G1396" s="1814">
        <v>0</v>
      </c>
      <c r="H1396" s="1814">
        <v>15</v>
      </c>
      <c r="I1396" s="1815">
        <v>42491</v>
      </c>
      <c r="J1396" s="1596" t="s">
        <v>1101</v>
      </c>
    </row>
    <row r="1397" spans="1:10">
      <c r="A1397" s="1812" t="s">
        <v>1100</v>
      </c>
      <c r="B1397" s="1812" t="s">
        <v>1815</v>
      </c>
      <c r="C1397" s="1813">
        <v>811000000</v>
      </c>
      <c r="D1397" s="1813">
        <v>770000000</v>
      </c>
      <c r="E1397" s="1814">
        <v>44</v>
      </c>
      <c r="F1397" s="1814">
        <v>12</v>
      </c>
      <c r="G1397" s="1814">
        <v>0</v>
      </c>
      <c r="H1397" s="1814">
        <v>12</v>
      </c>
      <c r="I1397" s="1815">
        <v>42491</v>
      </c>
      <c r="J1397" s="1596" t="s">
        <v>1100</v>
      </c>
    </row>
    <row r="1398" spans="1:10">
      <c r="A1398" s="1812" t="s">
        <v>1099</v>
      </c>
      <c r="B1398" s="1812" t="s">
        <v>1816</v>
      </c>
      <c r="C1398" s="1813">
        <v>789000000</v>
      </c>
      <c r="D1398" s="1813">
        <v>750000000.00000012</v>
      </c>
      <c r="E1398" s="1814">
        <v>27</v>
      </c>
      <c r="F1398" s="1814">
        <v>12</v>
      </c>
      <c r="G1398" s="1814">
        <v>0</v>
      </c>
      <c r="H1398" s="1814">
        <v>12</v>
      </c>
      <c r="I1398" s="1815">
        <v>42491</v>
      </c>
      <c r="J1398" s="1596" t="s">
        <v>1099</v>
      </c>
    </row>
    <row r="1399" spans="1:10">
      <c r="A1399" s="1812" t="s">
        <v>1419</v>
      </c>
      <c r="B1399" s="1812" t="s">
        <v>1817</v>
      </c>
      <c r="C1399" s="1813">
        <v>663000000</v>
      </c>
      <c r="D1399" s="1813">
        <v>630000000</v>
      </c>
      <c r="E1399" s="1814">
        <v>37</v>
      </c>
      <c r="F1399" s="1814">
        <v>9</v>
      </c>
      <c r="G1399" s="1814">
        <v>0</v>
      </c>
      <c r="H1399" s="1814">
        <v>9</v>
      </c>
      <c r="I1399" s="1815">
        <v>42491</v>
      </c>
      <c r="J1399" s="1596" t="s">
        <v>1419</v>
      </c>
    </row>
    <row r="1400" spans="1:10">
      <c r="A1400" s="1812" t="s">
        <v>1563</v>
      </c>
      <c r="B1400" s="1812" t="s">
        <v>1818</v>
      </c>
      <c r="C1400" s="1813">
        <v>632000000</v>
      </c>
      <c r="D1400" s="1813">
        <v>600000000</v>
      </c>
      <c r="E1400" s="1814">
        <v>19</v>
      </c>
      <c r="F1400" s="1814">
        <v>12</v>
      </c>
      <c r="G1400" s="1814">
        <v>0</v>
      </c>
      <c r="H1400" s="1814">
        <v>12</v>
      </c>
      <c r="I1400" s="1815">
        <v>42491</v>
      </c>
      <c r="J1400" s="1596" t="s">
        <v>1563</v>
      </c>
    </row>
    <row r="1401" spans="1:10">
      <c r="A1401" s="1812" t="s">
        <v>1418</v>
      </c>
      <c r="B1401" s="1812" t="s">
        <v>1819</v>
      </c>
      <c r="C1401" s="1813">
        <v>811000000</v>
      </c>
      <c r="D1401" s="1813">
        <v>770000000</v>
      </c>
      <c r="E1401" s="1814">
        <v>29</v>
      </c>
      <c r="F1401" s="1814">
        <v>6</v>
      </c>
      <c r="G1401" s="1814">
        <v>0</v>
      </c>
      <c r="H1401" s="1814">
        <v>6</v>
      </c>
      <c r="I1401" s="1815">
        <v>42491</v>
      </c>
      <c r="J1401" s="1596" t="s">
        <v>1418</v>
      </c>
    </row>
    <row r="1402" spans="1:10">
      <c r="A1402" s="1812" t="s">
        <v>1568</v>
      </c>
      <c r="B1402" s="1812" t="s">
        <v>1820</v>
      </c>
      <c r="C1402" s="1813">
        <v>1101000000</v>
      </c>
      <c r="D1402" s="1813">
        <v>1046000000</v>
      </c>
      <c r="E1402" s="1814">
        <v>46</v>
      </c>
      <c r="F1402" s="1814">
        <v>22</v>
      </c>
      <c r="G1402" s="1814">
        <v>0</v>
      </c>
      <c r="H1402" s="1814">
        <v>22</v>
      </c>
      <c r="I1402" s="1815">
        <v>42491</v>
      </c>
      <c r="J1402" s="1596" t="s">
        <v>1568</v>
      </c>
    </row>
    <row r="1403" spans="1:10">
      <c r="A1403" s="1812" t="s">
        <v>1567</v>
      </c>
      <c r="B1403" s="1812" t="s">
        <v>1821</v>
      </c>
      <c r="C1403" s="1813">
        <v>1003000000</v>
      </c>
      <c r="D1403" s="1813">
        <v>953000000</v>
      </c>
      <c r="E1403" s="1814">
        <v>33</v>
      </c>
      <c r="F1403" s="1814">
        <v>11</v>
      </c>
      <c r="G1403" s="1814">
        <v>0</v>
      </c>
      <c r="H1403" s="1814">
        <v>11</v>
      </c>
      <c r="I1403" s="1815">
        <v>42491</v>
      </c>
      <c r="J1403" s="1596" t="s">
        <v>1567</v>
      </c>
    </row>
    <row r="1404" spans="1:10">
      <c r="A1404" s="1812" t="s">
        <v>1570</v>
      </c>
      <c r="B1404" s="1812" t="s">
        <v>1823</v>
      </c>
      <c r="C1404" s="1813">
        <v>632000000</v>
      </c>
      <c r="D1404" s="1813">
        <v>600000000</v>
      </c>
      <c r="E1404" s="1814">
        <v>33</v>
      </c>
      <c r="F1404" s="1814">
        <v>14</v>
      </c>
      <c r="G1404" s="1814">
        <v>0</v>
      </c>
      <c r="H1404" s="1814">
        <v>14</v>
      </c>
      <c r="I1404" s="1815">
        <v>42491</v>
      </c>
      <c r="J1404" s="1596" t="s">
        <v>1570</v>
      </c>
    </row>
    <row r="1405" spans="1:10">
      <c r="A1405" s="1812" t="s">
        <v>1572</v>
      </c>
      <c r="B1405" s="1812" t="s">
        <v>1824</v>
      </c>
      <c r="C1405" s="1813">
        <v>558000000</v>
      </c>
      <c r="D1405" s="1813">
        <v>530000000</v>
      </c>
      <c r="E1405" s="1814">
        <v>28</v>
      </c>
      <c r="F1405" s="1814">
        <v>12</v>
      </c>
      <c r="G1405" s="1814">
        <v>0</v>
      </c>
      <c r="H1405" s="1814">
        <v>12</v>
      </c>
      <c r="I1405" s="1815">
        <v>42491</v>
      </c>
      <c r="J1405" s="1596" t="s">
        <v>1572</v>
      </c>
    </row>
    <row r="1406" spans="1:10">
      <c r="A1406" s="1812" t="s">
        <v>2046</v>
      </c>
      <c r="B1406" s="1812" t="s">
        <v>2047</v>
      </c>
      <c r="C1406" s="1813">
        <v>442000000</v>
      </c>
      <c r="D1406" s="1813">
        <v>420000000.00000006</v>
      </c>
      <c r="E1406" s="1814">
        <v>43</v>
      </c>
      <c r="F1406" s="1814">
        <v>15</v>
      </c>
      <c r="G1406" s="1814">
        <v>0</v>
      </c>
      <c r="H1406" s="1814">
        <v>15</v>
      </c>
      <c r="I1406" s="1815">
        <v>42491</v>
      </c>
      <c r="J1406" s="1596" t="s">
        <v>2046</v>
      </c>
    </row>
    <row r="1407" spans="1:10">
      <c r="A1407" s="1812" t="s">
        <v>2659</v>
      </c>
      <c r="B1407" s="1812" t="s">
        <v>2714</v>
      </c>
      <c r="C1407" s="1813">
        <v>366000000</v>
      </c>
      <c r="D1407" s="1813">
        <v>348000000</v>
      </c>
      <c r="E1407" s="1814">
        <v>9</v>
      </c>
      <c r="F1407" s="1814">
        <v>11</v>
      </c>
      <c r="G1407" s="1814">
        <v>3</v>
      </c>
      <c r="H1407" s="1814">
        <v>14</v>
      </c>
      <c r="I1407" s="1815">
        <v>42491</v>
      </c>
      <c r="J1407" s="1596" t="s">
        <v>2659</v>
      </c>
    </row>
    <row r="1408" spans="1:10">
      <c r="A1408" s="1812" t="s">
        <v>2658</v>
      </c>
      <c r="B1408" s="1812" t="s">
        <v>2715</v>
      </c>
      <c r="C1408" s="1813">
        <v>265000000</v>
      </c>
      <c r="D1408" s="1813">
        <v>252000000</v>
      </c>
      <c r="E1408" s="1814">
        <v>8</v>
      </c>
      <c r="F1408" s="1814">
        <v>10</v>
      </c>
      <c r="G1408" s="1814">
        <v>2</v>
      </c>
      <c r="H1408" s="1814">
        <v>12</v>
      </c>
      <c r="I1408" s="1815">
        <v>42491</v>
      </c>
      <c r="J1408" s="1596" t="s">
        <v>2658</v>
      </c>
    </row>
    <row r="1409" spans="1:10">
      <c r="A1409" s="1812" t="s">
        <v>2660</v>
      </c>
      <c r="B1409" s="1812" t="s">
        <v>2716</v>
      </c>
      <c r="C1409" s="1813">
        <v>366000000</v>
      </c>
      <c r="D1409" s="1813">
        <v>348000000</v>
      </c>
      <c r="E1409" s="1814">
        <v>9</v>
      </c>
      <c r="F1409" s="1814">
        <v>11</v>
      </c>
      <c r="G1409" s="1814">
        <v>3</v>
      </c>
      <c r="H1409" s="1814">
        <v>14</v>
      </c>
      <c r="I1409" s="1815">
        <v>42491</v>
      </c>
      <c r="J1409" s="1596" t="s">
        <v>2660</v>
      </c>
    </row>
    <row r="1410" spans="1:10">
      <c r="A1410" s="1812" t="s">
        <v>2710</v>
      </c>
      <c r="B1410" s="1812" t="s">
        <v>2712</v>
      </c>
      <c r="C1410" s="1813">
        <v>299000000</v>
      </c>
      <c r="D1410" s="1813">
        <v>284000000</v>
      </c>
      <c r="E1410" s="1814">
        <v>14</v>
      </c>
      <c r="F1410" s="1814">
        <v>15</v>
      </c>
      <c r="G1410" s="1814">
        <v>4</v>
      </c>
      <c r="H1410" s="1814">
        <v>19</v>
      </c>
      <c r="I1410" s="1815">
        <v>42491</v>
      </c>
      <c r="J1410" s="1596" t="s">
        <v>2710</v>
      </c>
    </row>
    <row r="1411" spans="1:10">
      <c r="A1411" s="1812" t="s">
        <v>2708</v>
      </c>
      <c r="B1411" s="1812" t="s">
        <v>2713</v>
      </c>
      <c r="C1411" s="1813">
        <v>299000000</v>
      </c>
      <c r="D1411" s="1813">
        <v>284000000</v>
      </c>
      <c r="E1411" s="1814">
        <v>14</v>
      </c>
      <c r="F1411" s="1814">
        <v>15</v>
      </c>
      <c r="G1411" s="1814">
        <v>4</v>
      </c>
      <c r="H1411" s="1814">
        <v>19</v>
      </c>
      <c r="I1411" s="1815">
        <v>42491</v>
      </c>
      <c r="J1411" s="1596" t="s">
        <v>2708</v>
      </c>
    </row>
    <row r="1412" spans="1:10">
      <c r="A1412" s="1812" t="s">
        <v>2896</v>
      </c>
      <c r="B1412" s="1812" t="s">
        <v>2899</v>
      </c>
      <c r="C1412" s="1813">
        <v>93000000</v>
      </c>
      <c r="D1412" s="1813">
        <v>88000000</v>
      </c>
      <c r="E1412" s="1814">
        <v>2</v>
      </c>
      <c r="F1412" s="1814">
        <v>10</v>
      </c>
      <c r="G1412" s="1814">
        <v>5</v>
      </c>
      <c r="H1412" s="1814">
        <v>15</v>
      </c>
      <c r="I1412" s="1815">
        <v>42491</v>
      </c>
      <c r="J1412" s="1596" t="s">
        <v>2896</v>
      </c>
    </row>
    <row r="1413" spans="1:10">
      <c r="A1413" s="1812" t="s">
        <v>2900</v>
      </c>
      <c r="B1413" s="1812" t="s">
        <v>2901</v>
      </c>
      <c r="C1413" s="1813">
        <v>0</v>
      </c>
      <c r="D1413" s="1813">
        <v>0</v>
      </c>
      <c r="E1413" s="1814">
        <v>0</v>
      </c>
      <c r="F1413" s="1814">
        <v>0</v>
      </c>
      <c r="G1413" s="1814">
        <v>0</v>
      </c>
      <c r="H1413" s="1814">
        <v>0</v>
      </c>
      <c r="I1413" s="1815">
        <v>42491</v>
      </c>
      <c r="J1413" s="1596" t="e">
        <v>#N/A</v>
      </c>
    </row>
    <row r="1414" spans="1:10">
      <c r="A1414" s="1812" t="s">
        <v>3168</v>
      </c>
      <c r="B1414" s="1812" t="s">
        <v>3176</v>
      </c>
      <c r="C1414" s="1813">
        <v>104000000</v>
      </c>
      <c r="D1414" s="1813">
        <v>99000000</v>
      </c>
      <c r="E1414" s="1814">
        <v>3</v>
      </c>
      <c r="F1414" s="1814">
        <v>14</v>
      </c>
      <c r="G1414" s="1814">
        <v>5</v>
      </c>
      <c r="H1414" s="1814">
        <v>19</v>
      </c>
      <c r="I1414" s="1815">
        <v>42491</v>
      </c>
      <c r="J1414" s="1596" t="s">
        <v>3168</v>
      </c>
    </row>
    <row r="1415" spans="1:10">
      <c r="A1415" s="1812" t="s">
        <v>1148</v>
      </c>
      <c r="B1415" s="1812" t="s">
        <v>1826</v>
      </c>
      <c r="C1415" s="1813">
        <v>3921000000</v>
      </c>
      <c r="D1415" s="1813">
        <v>3725000000</v>
      </c>
      <c r="E1415" s="1814">
        <v>99</v>
      </c>
      <c r="F1415" s="1814">
        <v>48</v>
      </c>
      <c r="G1415" s="1814">
        <v>0</v>
      </c>
      <c r="H1415" s="1814">
        <v>48</v>
      </c>
      <c r="I1415" s="1815">
        <v>42491</v>
      </c>
      <c r="J1415" s="1596" t="e">
        <v>#N/A</v>
      </c>
    </row>
    <row r="1416" spans="1:10">
      <c r="A1416" s="1812" t="s">
        <v>1149</v>
      </c>
      <c r="B1416" s="1812" t="s">
        <v>1827</v>
      </c>
      <c r="C1416" s="1813">
        <v>4854000000</v>
      </c>
      <c r="D1416" s="1813">
        <v>4612000000</v>
      </c>
      <c r="E1416" s="1814">
        <v>191</v>
      </c>
      <c r="F1416" s="1814">
        <v>102</v>
      </c>
      <c r="G1416" s="1814">
        <v>0</v>
      </c>
      <c r="H1416" s="1814">
        <v>102</v>
      </c>
      <c r="I1416" s="1815">
        <v>42491</v>
      </c>
      <c r="J1416" s="1596" t="e">
        <v>#N/A</v>
      </c>
    </row>
    <row r="1417" spans="1:10">
      <c r="A1417" s="1812" t="s">
        <v>1150</v>
      </c>
      <c r="B1417" s="1812" t="s">
        <v>1828</v>
      </c>
      <c r="C1417" s="1813">
        <v>5318000000</v>
      </c>
      <c r="D1417" s="1813">
        <v>5052000000</v>
      </c>
      <c r="E1417" s="1814">
        <v>200</v>
      </c>
      <c r="F1417" s="1814">
        <v>92</v>
      </c>
      <c r="G1417" s="1814">
        <v>18</v>
      </c>
      <c r="H1417" s="1814">
        <v>110</v>
      </c>
      <c r="I1417" s="1815">
        <v>42491</v>
      </c>
      <c r="J1417" s="1596" t="e">
        <v>#N/A</v>
      </c>
    </row>
    <row r="1418" spans="1:10">
      <c r="A1418" s="1812" t="s">
        <v>1151</v>
      </c>
      <c r="B1418" s="1812" t="s">
        <v>1829</v>
      </c>
      <c r="C1418" s="1813">
        <v>5071000000</v>
      </c>
      <c r="D1418" s="1813">
        <v>4817000000</v>
      </c>
      <c r="E1418" s="1814">
        <v>120</v>
      </c>
      <c r="F1418" s="1814">
        <v>84</v>
      </c>
      <c r="G1418" s="1814">
        <v>10</v>
      </c>
      <c r="H1418" s="1814">
        <v>94</v>
      </c>
      <c r="I1418" s="1815">
        <v>42491</v>
      </c>
      <c r="J1418" s="1596" t="e">
        <v>#N/A</v>
      </c>
    </row>
    <row r="1419" spans="1:10">
      <c r="A1419" s="1812" t="s">
        <v>1153</v>
      </c>
      <c r="B1419" s="1812" t="s">
        <v>1830</v>
      </c>
      <c r="C1419" s="1813">
        <v>1926000000</v>
      </c>
      <c r="D1419" s="1813">
        <v>1830000000</v>
      </c>
      <c r="E1419" s="1814">
        <v>76</v>
      </c>
      <c r="F1419" s="1814">
        <v>38</v>
      </c>
      <c r="G1419" s="1814">
        <v>4</v>
      </c>
      <c r="H1419" s="1814">
        <v>42</v>
      </c>
      <c r="I1419" s="1815">
        <v>42491</v>
      </c>
      <c r="J1419" s="1596" t="e">
        <v>#N/A</v>
      </c>
    </row>
    <row r="1420" spans="1:10">
      <c r="A1420" s="1812" t="s">
        <v>1154</v>
      </c>
      <c r="B1420" s="1812" t="s">
        <v>1831</v>
      </c>
      <c r="C1420" s="1813">
        <v>1263000000</v>
      </c>
      <c r="D1420" s="1813">
        <v>1200000000</v>
      </c>
      <c r="E1420" s="1814">
        <v>47</v>
      </c>
      <c r="F1420" s="1814">
        <v>12</v>
      </c>
      <c r="G1420" s="1814">
        <v>0</v>
      </c>
      <c r="H1420" s="1814">
        <v>12</v>
      </c>
      <c r="I1420" s="1815">
        <v>42491</v>
      </c>
      <c r="J1420" s="1596" t="e">
        <v>#N/A</v>
      </c>
    </row>
    <row r="1421" spans="1:10">
      <c r="A1421" s="1812" t="s">
        <v>1675</v>
      </c>
      <c r="B1421" s="1812" t="s">
        <v>1832</v>
      </c>
      <c r="C1421" s="1813">
        <v>1684000000</v>
      </c>
      <c r="D1421" s="1813">
        <v>1600000000</v>
      </c>
      <c r="E1421" s="1814">
        <v>30</v>
      </c>
      <c r="F1421" s="1814">
        <v>12</v>
      </c>
      <c r="G1421" s="1814">
        <v>0</v>
      </c>
      <c r="H1421" s="1814">
        <v>12</v>
      </c>
      <c r="I1421" s="1815">
        <v>42491</v>
      </c>
      <c r="J1421" s="1596" t="e">
        <v>#N/A</v>
      </c>
    </row>
    <row r="1422" spans="1:10">
      <c r="A1422" s="1812" t="s">
        <v>1155</v>
      </c>
      <c r="B1422" s="1812" t="s">
        <v>1833</v>
      </c>
      <c r="C1422" s="1813">
        <v>8808000000</v>
      </c>
      <c r="D1422" s="1813">
        <v>8368000000.0000019</v>
      </c>
      <c r="E1422" s="1814">
        <v>293</v>
      </c>
      <c r="F1422" s="1814">
        <v>146</v>
      </c>
      <c r="G1422" s="1814">
        <v>8</v>
      </c>
      <c r="H1422" s="1814">
        <v>154</v>
      </c>
      <c r="I1422" s="1815">
        <v>42491</v>
      </c>
      <c r="J1422" s="1596" t="e">
        <v>#N/A</v>
      </c>
    </row>
    <row r="1423" spans="1:10">
      <c r="A1423" s="1812" t="s">
        <v>1156</v>
      </c>
      <c r="B1423" s="1812" t="s">
        <v>1834</v>
      </c>
      <c r="C1423" s="1813">
        <v>1273000000</v>
      </c>
      <c r="D1423" s="1813">
        <v>1210000000</v>
      </c>
      <c r="E1423" s="1814">
        <v>71</v>
      </c>
      <c r="F1423" s="1814">
        <v>30</v>
      </c>
      <c r="G1423" s="1814">
        <v>0</v>
      </c>
      <c r="H1423" s="1814">
        <v>30</v>
      </c>
      <c r="I1423" s="1815">
        <v>42491</v>
      </c>
      <c r="J1423" s="1596" t="e">
        <v>#N/A</v>
      </c>
    </row>
    <row r="1424" spans="1:10">
      <c r="A1424" s="1812" t="s">
        <v>2218</v>
      </c>
      <c r="B1424" s="1812" t="s">
        <v>2049</v>
      </c>
      <c r="C1424" s="1813">
        <v>442000000</v>
      </c>
      <c r="D1424" s="1813">
        <v>420000000.00000006</v>
      </c>
      <c r="E1424" s="1814">
        <v>43</v>
      </c>
      <c r="F1424" s="1814">
        <v>15</v>
      </c>
      <c r="G1424" s="1814">
        <v>0</v>
      </c>
      <c r="H1424" s="1814">
        <v>15</v>
      </c>
      <c r="I1424" s="1815">
        <v>42491</v>
      </c>
      <c r="J1424" s="1596" t="e">
        <v>#N/A</v>
      </c>
    </row>
    <row r="1425" spans="1:10">
      <c r="A1425" s="1812" t="s">
        <v>792</v>
      </c>
      <c r="B1425" s="1812" t="s">
        <v>1835</v>
      </c>
      <c r="C1425" s="1813">
        <v>17800000000</v>
      </c>
      <c r="D1425" s="1813">
        <v>16910000000</v>
      </c>
      <c r="E1425" s="1814">
        <v>512</v>
      </c>
      <c r="F1425" s="1814">
        <v>278</v>
      </c>
      <c r="G1425" s="1814">
        <v>18</v>
      </c>
      <c r="H1425" s="1814">
        <v>296</v>
      </c>
      <c r="I1425" s="1815">
        <v>42491</v>
      </c>
      <c r="J1425" s="1596" t="e">
        <v>#N/A</v>
      </c>
    </row>
    <row r="1426" spans="1:10">
      <c r="A1426" s="1812" t="s">
        <v>794</v>
      </c>
      <c r="B1426" s="1812" t="s">
        <v>1836</v>
      </c>
      <c r="C1426" s="1813">
        <v>10172000000</v>
      </c>
      <c r="D1426" s="1813">
        <v>9664000000</v>
      </c>
      <c r="E1426" s="1814">
        <v>391</v>
      </c>
      <c r="F1426" s="1814">
        <v>194</v>
      </c>
      <c r="G1426" s="1814">
        <v>18</v>
      </c>
      <c r="H1426" s="1814">
        <v>212</v>
      </c>
      <c r="I1426" s="1815">
        <v>42491</v>
      </c>
      <c r="J1426" s="1596" t="e">
        <v>#N/A</v>
      </c>
    </row>
    <row r="1427" spans="1:10">
      <c r="A1427" s="1812" t="s">
        <v>793</v>
      </c>
      <c r="B1427" s="1812" t="s">
        <v>1837</v>
      </c>
      <c r="C1427" s="1813">
        <v>5873000000</v>
      </c>
      <c r="D1427" s="1813">
        <v>5578000000</v>
      </c>
      <c r="E1427" s="1814">
        <v>304</v>
      </c>
      <c r="F1427" s="1814">
        <v>108</v>
      </c>
      <c r="G1427" s="1814">
        <v>4</v>
      </c>
      <c r="H1427" s="1814">
        <v>112</v>
      </c>
      <c r="I1427" s="1815">
        <v>42491</v>
      </c>
      <c r="J1427" s="1596" t="e">
        <v>#N/A</v>
      </c>
    </row>
    <row r="1428" spans="1:10">
      <c r="A1428" s="1812" t="s">
        <v>458</v>
      </c>
      <c r="B1428" s="1812" t="s">
        <v>1838</v>
      </c>
      <c r="C1428" s="1813">
        <v>2947000000</v>
      </c>
      <c r="D1428" s="1813">
        <v>2800000000</v>
      </c>
      <c r="E1428" s="1814">
        <v>77</v>
      </c>
      <c r="F1428" s="1814">
        <v>24</v>
      </c>
      <c r="G1428" s="1814">
        <v>0</v>
      </c>
      <c r="H1428" s="1814">
        <v>24</v>
      </c>
      <c r="I1428" s="1815">
        <v>42491</v>
      </c>
      <c r="J1428" s="1596" t="e">
        <v>#N/A</v>
      </c>
    </row>
    <row r="1429" spans="1:10">
      <c r="A1429" s="1812" t="s">
        <v>2048</v>
      </c>
      <c r="B1429" s="1812" t="s">
        <v>2050</v>
      </c>
      <c r="C1429" s="1813">
        <v>442000000</v>
      </c>
      <c r="D1429" s="1813">
        <v>420000000.00000006</v>
      </c>
      <c r="E1429" s="1814">
        <v>43</v>
      </c>
      <c r="F1429" s="1814">
        <v>15</v>
      </c>
      <c r="G1429" s="1814">
        <v>0</v>
      </c>
      <c r="H1429" s="1814">
        <v>15</v>
      </c>
      <c r="I1429" s="1815">
        <v>42491</v>
      </c>
      <c r="J1429" s="1596" t="e">
        <v>#N/A</v>
      </c>
    </row>
    <row r="1430" spans="1:10">
      <c r="A1430" s="1812" t="s">
        <v>2214</v>
      </c>
      <c r="B1430" s="1812" t="s">
        <v>2215</v>
      </c>
      <c r="C1430" s="1813">
        <v>2347000000</v>
      </c>
      <c r="D1430" s="1813">
        <v>2230000000</v>
      </c>
      <c r="E1430" s="1814">
        <v>128</v>
      </c>
      <c r="F1430" s="1814">
        <v>36</v>
      </c>
      <c r="G1430" s="1814">
        <v>0</v>
      </c>
      <c r="H1430" s="1814">
        <v>36</v>
      </c>
      <c r="I1430" s="1815">
        <v>42491</v>
      </c>
      <c r="J1430" s="1596" t="e">
        <v>#N/A</v>
      </c>
    </row>
    <row r="1431" spans="1:10">
      <c r="A1431" s="1812" t="s">
        <v>2216</v>
      </c>
      <c r="B1431" s="1812" t="s">
        <v>2217</v>
      </c>
      <c r="C1431" s="1813">
        <v>2043000000</v>
      </c>
      <c r="D1431" s="1813">
        <v>1940000000</v>
      </c>
      <c r="E1431" s="1814">
        <v>106</v>
      </c>
      <c r="F1431" s="1814">
        <v>36</v>
      </c>
      <c r="G1431" s="1814">
        <v>0</v>
      </c>
      <c r="H1431" s="1814">
        <v>36</v>
      </c>
      <c r="I1431" s="1815">
        <v>42491</v>
      </c>
      <c r="J1431" s="1596" t="e">
        <v>#N/A</v>
      </c>
    </row>
    <row r="1432" spans="1:10">
      <c r="A1432" s="1812" t="s">
        <v>3177</v>
      </c>
      <c r="B1432" s="1812" t="s">
        <v>3178</v>
      </c>
      <c r="C1432" s="1813">
        <v>1273000000</v>
      </c>
      <c r="D1432" s="1813">
        <v>1210000000</v>
      </c>
      <c r="E1432" s="1814">
        <v>71</v>
      </c>
      <c r="F1432" s="1814">
        <v>30</v>
      </c>
      <c r="G1432" s="1814">
        <v>0</v>
      </c>
      <c r="H1432" s="1814">
        <v>30</v>
      </c>
      <c r="I1432" s="1815">
        <v>42491</v>
      </c>
      <c r="J1432" s="1596" t="e">
        <v>#N/A</v>
      </c>
    </row>
    <row r="1433" spans="1:10">
      <c r="A1433" s="1812" t="s">
        <v>1158</v>
      </c>
      <c r="B1433" s="1812" t="s">
        <v>1159</v>
      </c>
      <c r="C1433" s="1813">
        <v>38507000000</v>
      </c>
      <c r="D1433" s="1813">
        <v>36582000000</v>
      </c>
      <c r="E1433" s="1814">
        <v>1398</v>
      </c>
      <c r="F1433" s="1814">
        <v>649</v>
      </c>
      <c r="G1433" s="1814">
        <v>40</v>
      </c>
      <c r="H1433" s="1814">
        <v>689</v>
      </c>
      <c r="I1433" s="1815">
        <v>42491</v>
      </c>
      <c r="J1433" s="1596" t="e">
        <v>#N/A</v>
      </c>
    </row>
    <row r="1434" spans="1:10" ht="30">
      <c r="A1434" s="1812" t="s">
        <v>1291</v>
      </c>
      <c r="B1434" s="1812" t="s">
        <v>1839</v>
      </c>
      <c r="C1434" s="1813">
        <v>3260000000</v>
      </c>
      <c r="D1434" s="1813">
        <v>3098000000</v>
      </c>
      <c r="E1434" s="1814">
        <v>109</v>
      </c>
      <c r="F1434" s="1814">
        <v>68</v>
      </c>
      <c r="G1434" s="1814">
        <v>8</v>
      </c>
      <c r="H1434" s="1814">
        <v>76</v>
      </c>
      <c r="I1434" s="1815">
        <v>42491</v>
      </c>
      <c r="J1434" s="1596" t="e">
        <v>#N/A</v>
      </c>
    </row>
    <row r="1435" spans="1:10">
      <c r="A1435" s="1812" t="s">
        <v>1292</v>
      </c>
      <c r="B1435" s="1812" t="s">
        <v>1840</v>
      </c>
      <c r="C1435" s="1813">
        <v>4033000000</v>
      </c>
      <c r="D1435" s="1813">
        <v>3832000000</v>
      </c>
      <c r="E1435" s="1814">
        <v>150</v>
      </c>
      <c r="F1435" s="1814">
        <v>88</v>
      </c>
      <c r="G1435" s="1814">
        <v>0</v>
      </c>
      <c r="H1435" s="1814">
        <v>88</v>
      </c>
      <c r="I1435" s="1815">
        <v>42491</v>
      </c>
      <c r="J1435" s="1596" t="e">
        <v>#N/A</v>
      </c>
    </row>
    <row r="1436" spans="1:10">
      <c r="A1436" s="1812" t="s">
        <v>1293</v>
      </c>
      <c r="B1436" s="1812" t="s">
        <v>1841</v>
      </c>
      <c r="C1436" s="1813">
        <v>3707000000</v>
      </c>
      <c r="D1436" s="1813">
        <v>3521500000</v>
      </c>
      <c r="E1436" s="1814">
        <v>137</v>
      </c>
      <c r="F1436" s="1814">
        <v>72</v>
      </c>
      <c r="G1436" s="1814">
        <v>18</v>
      </c>
      <c r="H1436" s="1814">
        <v>90</v>
      </c>
      <c r="I1436" s="1815">
        <v>42491</v>
      </c>
      <c r="J1436" s="1596" t="e">
        <v>#N/A</v>
      </c>
    </row>
    <row r="1437" spans="1:10">
      <c r="A1437" s="1812" t="s">
        <v>1294</v>
      </c>
      <c r="B1437" s="1812" t="s">
        <v>1842</v>
      </c>
      <c r="C1437" s="1813">
        <v>3176000000</v>
      </c>
      <c r="D1437" s="1813">
        <v>3017000000</v>
      </c>
      <c r="E1437" s="1814">
        <v>95</v>
      </c>
      <c r="F1437" s="1814">
        <v>72</v>
      </c>
      <c r="G1437" s="1814">
        <v>10</v>
      </c>
      <c r="H1437" s="1814">
        <v>82</v>
      </c>
      <c r="I1437" s="1815">
        <v>42491</v>
      </c>
      <c r="J1437" s="1596" t="e">
        <v>#N/A</v>
      </c>
    </row>
    <row r="1438" spans="1:10">
      <c r="A1438" s="1812" t="s">
        <v>1296</v>
      </c>
      <c r="B1438" s="1812" t="s">
        <v>1844</v>
      </c>
      <c r="C1438" s="1813">
        <v>2421000000</v>
      </c>
      <c r="D1438" s="1813">
        <v>2300000000.0000005</v>
      </c>
      <c r="E1438" s="1814">
        <v>79</v>
      </c>
      <c r="F1438" s="1814">
        <v>36</v>
      </c>
      <c r="G1438" s="1814">
        <v>0</v>
      </c>
      <c r="H1438" s="1814">
        <v>36</v>
      </c>
      <c r="I1438" s="1815">
        <v>42491</v>
      </c>
      <c r="J1438" s="1596" t="e">
        <v>#N/A</v>
      </c>
    </row>
    <row r="1439" spans="1:10">
      <c r="A1439" s="1812" t="s">
        <v>1297</v>
      </c>
      <c r="B1439" s="1812" t="s">
        <v>1845</v>
      </c>
      <c r="C1439" s="1813">
        <v>973000000</v>
      </c>
      <c r="D1439" s="1813">
        <v>924000000</v>
      </c>
      <c r="E1439" s="1814">
        <v>43</v>
      </c>
      <c r="F1439" s="1814">
        <v>24</v>
      </c>
      <c r="G1439" s="1814">
        <v>4</v>
      </c>
      <c r="H1439" s="1814">
        <v>28</v>
      </c>
      <c r="I1439" s="1815">
        <v>42491</v>
      </c>
      <c r="J1439" s="1596" t="e">
        <v>#N/A</v>
      </c>
    </row>
    <row r="1440" spans="1:10">
      <c r="A1440" s="1812" t="s">
        <v>1298</v>
      </c>
      <c r="B1440" s="1812" t="s">
        <v>1846</v>
      </c>
      <c r="C1440" s="1813">
        <v>1895000000</v>
      </c>
      <c r="D1440" s="1813">
        <v>1800000000</v>
      </c>
      <c r="E1440" s="1814">
        <v>25</v>
      </c>
      <c r="F1440" s="1814">
        <v>12</v>
      </c>
      <c r="G1440" s="1814">
        <v>0</v>
      </c>
      <c r="H1440" s="1814">
        <v>12</v>
      </c>
      <c r="I1440" s="1815">
        <v>42491</v>
      </c>
      <c r="J1440" s="1596" t="e">
        <v>#N/A</v>
      </c>
    </row>
    <row r="1441" spans="1:10">
      <c r="A1441" s="1812" t="s">
        <v>2662</v>
      </c>
      <c r="B1441" s="1812" t="s">
        <v>1847</v>
      </c>
      <c r="C1441" s="1813">
        <v>1263000000</v>
      </c>
      <c r="D1441" s="1813">
        <v>1200000000</v>
      </c>
      <c r="E1441" s="1814">
        <v>47</v>
      </c>
      <c r="F1441" s="1814">
        <v>12</v>
      </c>
      <c r="G1441" s="1814">
        <v>0</v>
      </c>
      <c r="H1441" s="1814">
        <v>12</v>
      </c>
      <c r="I1441" s="1815">
        <v>42491</v>
      </c>
      <c r="J1441" s="1596" t="e">
        <v>#N/A</v>
      </c>
    </row>
    <row r="1442" spans="1:10">
      <c r="A1442" s="1812" t="s">
        <v>1300</v>
      </c>
      <c r="B1442" s="1812" t="s">
        <v>1848</v>
      </c>
      <c r="C1442" s="1813">
        <v>1500000000</v>
      </c>
      <c r="D1442" s="1813">
        <v>1425000000</v>
      </c>
      <c r="E1442" s="1814">
        <v>20</v>
      </c>
      <c r="F1442" s="1814">
        <v>12</v>
      </c>
      <c r="G1442" s="1814">
        <v>0</v>
      </c>
      <c r="H1442" s="1814">
        <v>12</v>
      </c>
      <c r="I1442" s="1815">
        <v>42491</v>
      </c>
      <c r="J1442" s="1596" t="e">
        <v>#N/A</v>
      </c>
    </row>
    <row r="1443" spans="1:10">
      <c r="A1443" s="1812" t="s">
        <v>3179</v>
      </c>
      <c r="B1443" s="1812" t="s">
        <v>1849</v>
      </c>
      <c r="C1443" s="1813">
        <v>1611000000</v>
      </c>
      <c r="D1443" s="1813">
        <v>1530500000</v>
      </c>
      <c r="E1443" s="1814">
        <v>63</v>
      </c>
      <c r="F1443" s="1814">
        <v>20</v>
      </c>
      <c r="G1443" s="1814">
        <v>0</v>
      </c>
      <c r="H1443" s="1814">
        <v>20</v>
      </c>
      <c r="I1443" s="1815">
        <v>42491</v>
      </c>
      <c r="J1443" s="1596" t="e">
        <v>#N/A</v>
      </c>
    </row>
    <row r="1444" spans="1:10">
      <c r="A1444" s="1812" t="s">
        <v>1302</v>
      </c>
      <c r="B1444" s="1812" t="s">
        <v>1850</v>
      </c>
      <c r="C1444" s="1813">
        <v>5548000000</v>
      </c>
      <c r="D1444" s="1813">
        <v>5270000000.000001</v>
      </c>
      <c r="E1444" s="1814">
        <v>184</v>
      </c>
      <c r="F1444" s="1814">
        <v>78</v>
      </c>
      <c r="G1444" s="1814">
        <v>0</v>
      </c>
      <c r="H1444" s="1814">
        <v>78</v>
      </c>
      <c r="I1444" s="1815">
        <v>42491</v>
      </c>
      <c r="J1444" s="1596" t="e">
        <v>#N/A</v>
      </c>
    </row>
    <row r="1445" spans="1:10">
      <c r="A1445" s="1812" t="s">
        <v>1303</v>
      </c>
      <c r="B1445" s="1812" t="s">
        <v>1851</v>
      </c>
      <c r="C1445" s="1813">
        <v>1684000000</v>
      </c>
      <c r="D1445" s="1813">
        <v>1600000000</v>
      </c>
      <c r="E1445" s="1814">
        <v>30</v>
      </c>
      <c r="F1445" s="1814">
        <v>12</v>
      </c>
      <c r="G1445" s="1814">
        <v>0</v>
      </c>
      <c r="H1445" s="1814">
        <v>12</v>
      </c>
      <c r="I1445" s="1815">
        <v>42491</v>
      </c>
      <c r="J1445" s="1596" t="e">
        <v>#N/A</v>
      </c>
    </row>
    <row r="1446" spans="1:10">
      <c r="A1446" s="1812" t="s">
        <v>1422</v>
      </c>
      <c r="B1446" s="1812" t="s">
        <v>1852</v>
      </c>
      <c r="C1446" s="1813">
        <v>1684000000</v>
      </c>
      <c r="D1446" s="1813">
        <v>1600000000</v>
      </c>
      <c r="E1446" s="1814">
        <v>91</v>
      </c>
      <c r="F1446" s="1814">
        <v>27</v>
      </c>
      <c r="G1446" s="1814">
        <v>0</v>
      </c>
      <c r="H1446" s="1814">
        <v>27</v>
      </c>
      <c r="I1446" s="1815">
        <v>42491</v>
      </c>
      <c r="J1446" s="1596" t="e">
        <v>#N/A</v>
      </c>
    </row>
    <row r="1447" spans="1:10">
      <c r="A1447" s="1812" t="s">
        <v>1305</v>
      </c>
      <c r="B1447" s="1812" t="s">
        <v>1853</v>
      </c>
      <c r="C1447" s="1813">
        <v>484000000</v>
      </c>
      <c r="D1447" s="1813">
        <v>460000000</v>
      </c>
      <c r="E1447" s="1814">
        <v>29</v>
      </c>
      <c r="F1447" s="1814">
        <v>15</v>
      </c>
      <c r="G1447" s="1814">
        <v>0</v>
      </c>
      <c r="H1447" s="1814">
        <v>15</v>
      </c>
      <c r="I1447" s="1815">
        <v>42491</v>
      </c>
      <c r="J1447" s="1596" t="e">
        <v>#N/A</v>
      </c>
    </row>
    <row r="1448" spans="1:10">
      <c r="A1448" s="1812" t="s">
        <v>1423</v>
      </c>
      <c r="B1448" s="1812" t="s">
        <v>1854</v>
      </c>
      <c r="C1448" s="1813">
        <v>811000000</v>
      </c>
      <c r="D1448" s="1813">
        <v>770000000</v>
      </c>
      <c r="E1448" s="1814">
        <v>44</v>
      </c>
      <c r="F1448" s="1814">
        <v>12</v>
      </c>
      <c r="G1448" s="1814">
        <v>0</v>
      </c>
      <c r="H1448" s="1814">
        <v>12</v>
      </c>
      <c r="I1448" s="1815">
        <v>42491</v>
      </c>
      <c r="J1448" s="1596" t="e">
        <v>#N/A</v>
      </c>
    </row>
    <row r="1449" spans="1:10">
      <c r="A1449" s="1812" t="s">
        <v>1424</v>
      </c>
      <c r="B1449" s="1812" t="s">
        <v>1855</v>
      </c>
      <c r="C1449" s="1813">
        <v>663000000</v>
      </c>
      <c r="D1449" s="1813">
        <v>630000000</v>
      </c>
      <c r="E1449" s="1814">
        <v>37</v>
      </c>
      <c r="F1449" s="1814">
        <v>9</v>
      </c>
      <c r="G1449" s="1814">
        <v>0</v>
      </c>
      <c r="H1449" s="1814">
        <v>9</v>
      </c>
      <c r="I1449" s="1815">
        <v>42491</v>
      </c>
      <c r="J1449" s="1596" t="e">
        <v>#N/A</v>
      </c>
    </row>
    <row r="1450" spans="1:10">
      <c r="A1450" s="1812" t="s">
        <v>2051</v>
      </c>
      <c r="B1450" s="1812" t="s">
        <v>2052</v>
      </c>
      <c r="C1450" s="1813">
        <v>442000000</v>
      </c>
      <c r="D1450" s="1813">
        <v>420000000.00000006</v>
      </c>
      <c r="E1450" s="1814">
        <v>43</v>
      </c>
      <c r="F1450" s="1814">
        <v>15</v>
      </c>
      <c r="G1450" s="1814">
        <v>0</v>
      </c>
      <c r="H1450" s="1814">
        <v>15</v>
      </c>
      <c r="I1450" s="1815">
        <v>42491</v>
      </c>
      <c r="J1450" s="1596" t="e">
        <v>#N/A</v>
      </c>
    </row>
    <row r="1451" spans="1:10">
      <c r="A1451" s="1812" t="s">
        <v>2221</v>
      </c>
      <c r="B1451" s="1812" t="s">
        <v>2222</v>
      </c>
      <c r="C1451" s="1813">
        <v>821000000</v>
      </c>
      <c r="D1451" s="1813">
        <v>780000000</v>
      </c>
      <c r="E1451" s="1814">
        <v>41</v>
      </c>
      <c r="F1451" s="1814">
        <v>14</v>
      </c>
      <c r="G1451" s="1814">
        <v>0</v>
      </c>
      <c r="H1451" s="1814">
        <v>14</v>
      </c>
      <c r="I1451" s="1815">
        <v>42491</v>
      </c>
      <c r="J1451" s="1596" t="e">
        <v>#N/A</v>
      </c>
    </row>
    <row r="1452" spans="1:10">
      <c r="A1452" s="1812" t="s">
        <v>2219</v>
      </c>
      <c r="B1452" s="1812" t="s">
        <v>2220</v>
      </c>
      <c r="C1452" s="1813">
        <v>1232000000</v>
      </c>
      <c r="D1452" s="1813">
        <v>1170000000</v>
      </c>
      <c r="E1452" s="1814">
        <v>62</v>
      </c>
      <c r="F1452" s="1814">
        <v>24</v>
      </c>
      <c r="G1452" s="1814">
        <v>0</v>
      </c>
      <c r="H1452" s="1814">
        <v>24</v>
      </c>
      <c r="I1452" s="1815">
        <v>42491</v>
      </c>
      <c r="J1452" s="1596" t="e">
        <v>#N/A</v>
      </c>
    </row>
    <row r="1453" spans="1:10">
      <c r="A1453" s="1812" t="s">
        <v>2439</v>
      </c>
      <c r="B1453" s="1812" t="s">
        <v>2440</v>
      </c>
      <c r="C1453" s="1813">
        <v>632000000</v>
      </c>
      <c r="D1453" s="1813">
        <v>600000000</v>
      </c>
      <c r="E1453" s="1814">
        <v>33</v>
      </c>
      <c r="F1453" s="1814">
        <v>14</v>
      </c>
      <c r="G1453" s="1814">
        <v>0</v>
      </c>
      <c r="H1453" s="1814">
        <v>14</v>
      </c>
      <c r="I1453" s="1815">
        <v>42491</v>
      </c>
      <c r="J1453" s="1596" t="e">
        <v>#N/A</v>
      </c>
    </row>
    <row r="1454" spans="1:10">
      <c r="A1454" s="1812" t="s">
        <v>2566</v>
      </c>
      <c r="B1454" s="1812" t="s">
        <v>2567</v>
      </c>
      <c r="C1454" s="1813">
        <v>789000000</v>
      </c>
      <c r="D1454" s="1813">
        <v>750000000.00000012</v>
      </c>
      <c r="E1454" s="1814">
        <v>42</v>
      </c>
      <c r="F1454" s="1814">
        <v>15</v>
      </c>
      <c r="G1454" s="1814">
        <v>0</v>
      </c>
      <c r="H1454" s="1814">
        <v>15</v>
      </c>
      <c r="I1454" s="1815">
        <v>42491</v>
      </c>
      <c r="J1454" s="1596" t="e">
        <v>#N/A</v>
      </c>
    </row>
    <row r="1456" spans="1:10">
      <c r="A1456" s="1818" t="s">
        <v>1109</v>
      </c>
      <c r="B1456" s="1818" t="s">
        <v>1110</v>
      </c>
      <c r="C1456" s="1818" t="s">
        <v>1</v>
      </c>
      <c r="D1456" s="1818" t="s">
        <v>2</v>
      </c>
      <c r="E1456" s="1818" t="s">
        <v>1108</v>
      </c>
      <c r="F1456" s="1818" t="s">
        <v>1105</v>
      </c>
      <c r="G1456" s="1818" t="s">
        <v>1106</v>
      </c>
      <c r="H1456" s="1818" t="s">
        <v>1107</v>
      </c>
      <c r="I1456" s="1818" t="s">
        <v>1160</v>
      </c>
    </row>
    <row r="1457" spans="1:10">
      <c r="A1457" s="1819" t="s">
        <v>3514</v>
      </c>
      <c r="B1457" s="1819" t="s">
        <v>2050</v>
      </c>
      <c r="C1457" s="1820">
        <v>737000000</v>
      </c>
      <c r="D1457" s="1820">
        <v>700000000</v>
      </c>
      <c r="E1457" s="1821">
        <v>47</v>
      </c>
      <c r="F1457" s="1821">
        <v>48</v>
      </c>
      <c r="G1457" s="1822"/>
      <c r="H1457" s="1822"/>
      <c r="I1457" s="1823">
        <v>42522</v>
      </c>
      <c r="J1457" s="1596" t="e">
        <f>VLOOKUP(A1457,#REF!,2,0)</f>
        <v>#REF!</v>
      </c>
    </row>
    <row r="1458" spans="1:10">
      <c r="A1458" s="1819" t="s">
        <v>1154</v>
      </c>
      <c r="B1458" s="1819" t="s">
        <v>1835</v>
      </c>
      <c r="C1458" s="1820">
        <v>24238000000</v>
      </c>
      <c r="D1458" s="1820">
        <v>23027000000</v>
      </c>
      <c r="E1458" s="1821">
        <v>611</v>
      </c>
      <c r="F1458" s="1821">
        <v>544</v>
      </c>
      <c r="G1458" s="1822"/>
      <c r="H1458" s="1822"/>
      <c r="I1458" s="1823">
        <v>42522</v>
      </c>
      <c r="J1458" s="1596" t="e">
        <f>VLOOKUP(A1458,#REF!,2,0)</f>
        <v>#REF!</v>
      </c>
    </row>
    <row r="1459" spans="1:10">
      <c r="A1459" s="1819" t="s">
        <v>1675</v>
      </c>
      <c r="B1459" s="1819" t="s">
        <v>1838</v>
      </c>
      <c r="C1459" s="1820">
        <v>3263000000</v>
      </c>
      <c r="D1459" s="1820">
        <v>3100000000</v>
      </c>
      <c r="E1459" s="1821">
        <v>84</v>
      </c>
      <c r="F1459" s="1821">
        <v>74</v>
      </c>
      <c r="G1459" s="1822"/>
      <c r="H1459" s="1822"/>
      <c r="I1459" s="1823">
        <v>42522</v>
      </c>
      <c r="J1459" s="1596" t="e">
        <f>VLOOKUP(A1459,#REF!,2,0)</f>
        <v>#REF!</v>
      </c>
    </row>
    <row r="1460" spans="1:10">
      <c r="A1460" s="1819" t="s">
        <v>3513</v>
      </c>
      <c r="B1460" s="1819" t="s">
        <v>3178</v>
      </c>
      <c r="C1460" s="1820">
        <v>1526000000</v>
      </c>
      <c r="D1460" s="1820">
        <v>1450000000</v>
      </c>
      <c r="E1460" s="1821">
        <v>79</v>
      </c>
      <c r="F1460" s="1821">
        <v>66</v>
      </c>
      <c r="G1460" s="1822"/>
      <c r="H1460" s="1822"/>
      <c r="I1460" s="1823">
        <v>42522</v>
      </c>
      <c r="J1460" s="1596" t="e">
        <f>VLOOKUP(A1460,#REF!,2,0)</f>
        <v>#REF!</v>
      </c>
    </row>
    <row r="1461" spans="1:10">
      <c r="A1461" s="1819" t="s">
        <v>3516</v>
      </c>
      <c r="B1461" s="1819" t="s">
        <v>1836</v>
      </c>
      <c r="C1461" s="1820">
        <v>15034000000</v>
      </c>
      <c r="D1461" s="1820">
        <v>14037500000</v>
      </c>
      <c r="E1461" s="1821">
        <v>547</v>
      </c>
      <c r="F1461" s="1821">
        <v>400</v>
      </c>
      <c r="G1461" s="1822"/>
      <c r="H1461" s="1822"/>
      <c r="I1461" s="1823">
        <v>42522</v>
      </c>
      <c r="J1461" s="1596" t="e">
        <f>VLOOKUP(A1461,#REF!,2,0)</f>
        <v>#REF!</v>
      </c>
    </row>
    <row r="1462" spans="1:10">
      <c r="A1462" s="1819" t="s">
        <v>3515</v>
      </c>
      <c r="B1462" s="1819" t="s">
        <v>1837</v>
      </c>
      <c r="C1462" s="1820">
        <v>8890000000</v>
      </c>
      <c r="D1462" s="1820">
        <v>8487000000</v>
      </c>
      <c r="E1462" s="1821">
        <v>433</v>
      </c>
      <c r="F1462" s="1821">
        <v>410</v>
      </c>
      <c r="G1462" s="1822"/>
      <c r="H1462" s="1822"/>
      <c r="I1462" s="1823">
        <v>42522</v>
      </c>
      <c r="J1462" s="1596" t="e">
        <f>VLOOKUP(A1462,#REF!,2,0)</f>
        <v>#REF!</v>
      </c>
    </row>
    <row r="1463" spans="1:10">
      <c r="A1463" s="1819" t="s">
        <v>3531</v>
      </c>
      <c r="B1463" s="1819" t="s">
        <v>3532</v>
      </c>
      <c r="C1463" s="1820">
        <v>2295000000</v>
      </c>
      <c r="D1463" s="1820">
        <v>2180000000</v>
      </c>
      <c r="E1463" s="1821">
        <v>69</v>
      </c>
      <c r="F1463" s="1821">
        <v>62</v>
      </c>
      <c r="G1463" s="1822"/>
      <c r="H1463" s="1822"/>
      <c r="I1463" s="1823">
        <v>42522</v>
      </c>
      <c r="J1463" s="1596" t="e">
        <f>VLOOKUP(A1463,#REF!,2,0)</f>
        <v>#REF!</v>
      </c>
    </row>
    <row r="1464" spans="1:10">
      <c r="A1464" s="1819" t="s">
        <v>3533</v>
      </c>
      <c r="B1464" s="1819" t="s">
        <v>3534</v>
      </c>
      <c r="C1464" s="1820">
        <v>8875000000</v>
      </c>
      <c r="D1464" s="1820">
        <v>8432000000</v>
      </c>
      <c r="E1464" s="1821">
        <v>212</v>
      </c>
      <c r="F1464" s="1821">
        <v>151</v>
      </c>
      <c r="G1464" s="1822"/>
      <c r="H1464" s="1822"/>
      <c r="I1464" s="1823">
        <v>42522</v>
      </c>
      <c r="J1464" s="1596" t="e">
        <f>VLOOKUP(A1464,#REF!,2,0)</f>
        <v>#REF!</v>
      </c>
    </row>
    <row r="1465" spans="1:10">
      <c r="A1465" s="1819" t="s">
        <v>3535</v>
      </c>
      <c r="B1465" s="1819" t="s">
        <v>3536</v>
      </c>
      <c r="C1465" s="1820">
        <v>5542000000</v>
      </c>
      <c r="D1465" s="1820">
        <v>5265000000</v>
      </c>
      <c r="E1465" s="1821">
        <v>139</v>
      </c>
      <c r="F1465" s="1821">
        <v>149</v>
      </c>
      <c r="G1465" s="1822"/>
      <c r="H1465" s="1822"/>
      <c r="I1465" s="1823">
        <v>42522</v>
      </c>
      <c r="J1465" s="1596" t="e">
        <f>VLOOKUP(A1465,#REF!,2,0)</f>
        <v>#REF!</v>
      </c>
    </row>
    <row r="1466" spans="1:10">
      <c r="A1466" s="1819" t="s">
        <v>3537</v>
      </c>
      <c r="B1466" s="1819" t="s">
        <v>3538</v>
      </c>
      <c r="C1466" s="1820">
        <v>3474000000</v>
      </c>
      <c r="D1466" s="1820">
        <v>3300000000</v>
      </c>
      <c r="E1466" s="1821">
        <v>83</v>
      </c>
      <c r="F1466" s="1821">
        <v>83</v>
      </c>
      <c r="G1466" s="1822"/>
      <c r="H1466" s="1822"/>
      <c r="I1466" s="1823">
        <v>42522</v>
      </c>
      <c r="J1466" s="1596" t="e">
        <f>VLOOKUP(A1466,#REF!,2,0)</f>
        <v>#REF!</v>
      </c>
    </row>
    <row r="1467" spans="1:10">
      <c r="A1467" s="1819" t="s">
        <v>3539</v>
      </c>
      <c r="B1467" s="1819" t="s">
        <v>3540</v>
      </c>
      <c r="C1467" s="1820">
        <v>4052000000</v>
      </c>
      <c r="D1467" s="1820">
        <v>3850000000</v>
      </c>
      <c r="E1467" s="1821">
        <v>108</v>
      </c>
      <c r="F1467" s="1821">
        <v>99</v>
      </c>
      <c r="G1467" s="1822"/>
      <c r="H1467" s="1822"/>
      <c r="I1467" s="1823">
        <v>42522</v>
      </c>
      <c r="J1467" s="1596" t="e">
        <f>VLOOKUP(A1467,#REF!,2,0)</f>
        <v>#REF!</v>
      </c>
    </row>
    <row r="1468" spans="1:10">
      <c r="A1468" s="1819" t="s">
        <v>3541</v>
      </c>
      <c r="B1468" s="1819" t="s">
        <v>1831</v>
      </c>
      <c r="C1468" s="1820">
        <v>1368000000</v>
      </c>
      <c r="D1468" s="1820">
        <v>1300000000</v>
      </c>
      <c r="E1468" s="1821">
        <v>51</v>
      </c>
      <c r="F1468" s="1821">
        <v>40</v>
      </c>
      <c r="G1468" s="1822"/>
      <c r="H1468" s="1822"/>
      <c r="I1468" s="1823">
        <v>42522</v>
      </c>
      <c r="J1468" s="1596" t="e">
        <f>VLOOKUP(A1468,#REF!,2,0)</f>
        <v>#REF!</v>
      </c>
    </row>
    <row r="1469" spans="1:10">
      <c r="A1469" s="1819" t="s">
        <v>3542</v>
      </c>
      <c r="B1469" s="1819" t="s">
        <v>1832</v>
      </c>
      <c r="C1469" s="1820">
        <v>1895000000</v>
      </c>
      <c r="D1469" s="1820">
        <v>1800000000</v>
      </c>
      <c r="E1469" s="1821">
        <v>33</v>
      </c>
      <c r="F1469" s="1821">
        <v>34</v>
      </c>
      <c r="G1469" s="1822"/>
      <c r="H1469" s="1822"/>
      <c r="I1469" s="1823">
        <v>42522</v>
      </c>
      <c r="J1469" s="1596" t="e">
        <f>VLOOKUP(A1469,#REF!,2,0)</f>
        <v>#REF!</v>
      </c>
    </row>
    <row r="1470" spans="1:10">
      <c r="A1470" s="1819" t="s">
        <v>3543</v>
      </c>
      <c r="B1470" s="1819" t="s">
        <v>1834</v>
      </c>
      <c r="C1470" s="1820">
        <v>1526000000</v>
      </c>
      <c r="D1470" s="1820">
        <v>1450000000</v>
      </c>
      <c r="E1470" s="1821">
        <v>79</v>
      </c>
      <c r="F1470" s="1821">
        <v>66</v>
      </c>
      <c r="G1470" s="1822"/>
      <c r="H1470" s="1822"/>
      <c r="I1470" s="1823">
        <v>42522</v>
      </c>
      <c r="J1470" s="1596" t="e">
        <f>VLOOKUP(A1470,#REF!,2,0)</f>
        <v>#REF!</v>
      </c>
    </row>
    <row r="1471" spans="1:10">
      <c r="A1471" s="1819" t="s">
        <v>3544</v>
      </c>
      <c r="B1471" s="1819" t="s">
        <v>2049</v>
      </c>
      <c r="C1471" s="1820">
        <v>737000000</v>
      </c>
      <c r="D1471" s="1820">
        <v>700000000</v>
      </c>
      <c r="E1471" s="1821">
        <v>47</v>
      </c>
      <c r="F1471" s="1821">
        <v>48</v>
      </c>
      <c r="G1471" s="1822"/>
      <c r="H1471" s="1822"/>
      <c r="I1471" s="1823">
        <v>42522</v>
      </c>
      <c r="J1471" s="1596" t="e">
        <f>VLOOKUP(A1471,#REF!,2,0)</f>
        <v>#REF!</v>
      </c>
    </row>
    <row r="1472" spans="1:10">
      <c r="A1472" s="1819" t="s">
        <v>3545</v>
      </c>
      <c r="B1472" s="1819" t="s">
        <v>3546</v>
      </c>
      <c r="C1472" s="1820">
        <v>5856000000</v>
      </c>
      <c r="D1472" s="1820">
        <v>5488500000</v>
      </c>
      <c r="E1472" s="1821">
        <v>196</v>
      </c>
      <c r="F1472" s="1821">
        <v>140</v>
      </c>
      <c r="G1472" s="1822"/>
      <c r="H1472" s="1822"/>
      <c r="I1472" s="1823">
        <v>42522</v>
      </c>
      <c r="J1472" s="1596" t="e">
        <f>VLOOKUP(A1472,#REF!,2,0)</f>
        <v>#REF!</v>
      </c>
    </row>
    <row r="1473" spans="1:10">
      <c r="A1473" s="1819" t="s">
        <v>3547</v>
      </c>
      <c r="B1473" s="1819" t="s">
        <v>3548</v>
      </c>
      <c r="C1473" s="1820">
        <v>3328000000</v>
      </c>
      <c r="D1473" s="1820">
        <v>3161500000</v>
      </c>
      <c r="E1473" s="1821">
        <v>118</v>
      </c>
      <c r="F1473" s="1821">
        <v>45</v>
      </c>
      <c r="G1473" s="1822"/>
      <c r="H1473" s="1822"/>
      <c r="I1473" s="1823">
        <v>42522</v>
      </c>
      <c r="J1473" s="1596" t="e">
        <f>VLOOKUP(A1473,#REF!,2,0)</f>
        <v>#REF!</v>
      </c>
    </row>
    <row r="1474" spans="1:10">
      <c r="A1474" s="1819" t="s">
        <v>3549</v>
      </c>
      <c r="B1474" s="1819" t="s">
        <v>3550</v>
      </c>
      <c r="C1474" s="1820">
        <v>2059000000</v>
      </c>
      <c r="D1474" s="1820">
        <v>1786000000</v>
      </c>
      <c r="E1474" s="1821">
        <v>73</v>
      </c>
      <c r="F1474" s="1821">
        <v>85</v>
      </c>
      <c r="G1474" s="1822"/>
      <c r="H1474" s="1822"/>
      <c r="I1474" s="1823">
        <v>42522</v>
      </c>
      <c r="J1474" s="1596" t="e">
        <f>VLOOKUP(A1474,#REF!,2,0)</f>
        <v>#REF!</v>
      </c>
    </row>
    <row r="1475" spans="1:10">
      <c r="A1475" s="1819" t="s">
        <v>3551</v>
      </c>
      <c r="B1475" s="1819" t="s">
        <v>1830</v>
      </c>
      <c r="C1475" s="1820">
        <v>2964000000</v>
      </c>
      <c r="D1475" s="1820">
        <v>2856000000</v>
      </c>
      <c r="E1475" s="1821">
        <v>116</v>
      </c>
      <c r="F1475" s="1821">
        <v>200</v>
      </c>
      <c r="G1475" s="1822"/>
      <c r="H1475" s="1822"/>
      <c r="I1475" s="1823">
        <v>42522</v>
      </c>
      <c r="J1475" s="1596" t="e">
        <f>VLOOKUP(A1475,#REF!,2,0)</f>
        <v>#REF!</v>
      </c>
    </row>
    <row r="1476" spans="1:10">
      <c r="A1476" s="1819" t="s">
        <v>3552</v>
      </c>
      <c r="B1476" s="1819" t="s">
        <v>2215</v>
      </c>
      <c r="C1476" s="1820">
        <v>3169000000</v>
      </c>
      <c r="D1476" s="1820">
        <v>3011000000</v>
      </c>
      <c r="E1476" s="1821">
        <v>173</v>
      </c>
      <c r="F1476" s="1821">
        <v>120</v>
      </c>
      <c r="G1476" s="1822"/>
      <c r="H1476" s="1822"/>
      <c r="I1476" s="1823">
        <v>42522</v>
      </c>
      <c r="J1476" s="1596" t="e">
        <f>VLOOKUP(A1476,#REF!,2,0)</f>
        <v>#REF!</v>
      </c>
    </row>
    <row r="1477" spans="1:10">
      <c r="A1477" s="1819" t="s">
        <v>3553</v>
      </c>
      <c r="B1477" s="1819" t="s">
        <v>2217</v>
      </c>
      <c r="C1477" s="1820">
        <v>2757000000</v>
      </c>
      <c r="D1477" s="1820">
        <v>2620000000</v>
      </c>
      <c r="E1477" s="1821">
        <v>144</v>
      </c>
      <c r="F1477" s="1821">
        <v>90</v>
      </c>
      <c r="G1477" s="1822"/>
      <c r="H1477" s="1822"/>
      <c r="I1477" s="1823">
        <v>42522</v>
      </c>
      <c r="J1477" s="1596" t="e">
        <f>VLOOKUP(A1477,#REF!,2,0)</f>
        <v>#REF!</v>
      </c>
    </row>
    <row r="1478" spans="1:10">
      <c r="A1478" s="1819" t="s">
        <v>3554</v>
      </c>
      <c r="B1478" s="1819" t="s">
        <v>3555</v>
      </c>
      <c r="C1478" s="1820">
        <v>3791000000</v>
      </c>
      <c r="D1478" s="1820">
        <v>3601500000</v>
      </c>
      <c r="E1478" s="1821">
        <v>160</v>
      </c>
      <c r="F1478" s="1821">
        <v>130</v>
      </c>
      <c r="G1478" s="1822"/>
      <c r="H1478" s="1822"/>
      <c r="I1478" s="1823">
        <v>42522</v>
      </c>
      <c r="J1478" s="1596" t="e">
        <f>VLOOKUP(A1478,#REF!,2,0)</f>
        <v>#REF!</v>
      </c>
    </row>
    <row r="1479" spans="1:10">
      <c r="A1479" s="1819" t="s">
        <v>1563</v>
      </c>
      <c r="B1479" s="1819" t="s">
        <v>1818</v>
      </c>
      <c r="C1479" s="1820">
        <v>821000000</v>
      </c>
      <c r="D1479" s="1820">
        <v>780000000</v>
      </c>
      <c r="E1479" s="1821">
        <v>23</v>
      </c>
      <c r="F1479" s="1821">
        <v>18</v>
      </c>
      <c r="G1479" s="1822"/>
      <c r="H1479" s="1822"/>
      <c r="I1479" s="1823">
        <v>42522</v>
      </c>
      <c r="J1479" s="1596" t="e">
        <f>VLOOKUP(A1479,#REF!,2,0)</f>
        <v>#REF!</v>
      </c>
    </row>
    <row r="1480" spans="1:10">
      <c r="A1480" s="1819" t="s">
        <v>1099</v>
      </c>
      <c r="B1480" s="1819" t="s">
        <v>1816</v>
      </c>
      <c r="C1480" s="1820">
        <v>1105000000</v>
      </c>
      <c r="D1480" s="1820">
        <v>1050000000</v>
      </c>
      <c r="E1480" s="1821">
        <v>31</v>
      </c>
      <c r="F1480" s="1821">
        <v>26</v>
      </c>
      <c r="G1480" s="1822"/>
      <c r="H1480" s="1822"/>
      <c r="I1480" s="1823">
        <v>42522</v>
      </c>
      <c r="J1480" s="1596" t="e">
        <f>VLOOKUP(A1480,#REF!,2,0)</f>
        <v>#REF!</v>
      </c>
    </row>
    <row r="1481" spans="1:10">
      <c r="A1481" s="1819" t="s">
        <v>1100</v>
      </c>
      <c r="B1481" s="1819" t="s">
        <v>1815</v>
      </c>
      <c r="C1481" s="1820">
        <v>1105000000</v>
      </c>
      <c r="D1481" s="1820">
        <v>1050000000</v>
      </c>
      <c r="E1481" s="1821">
        <v>60</v>
      </c>
      <c r="F1481" s="1821">
        <v>30</v>
      </c>
      <c r="G1481" s="1822"/>
      <c r="H1481" s="1822"/>
      <c r="I1481" s="1823">
        <v>42522</v>
      </c>
      <c r="J1481" s="1596" t="e">
        <f>VLOOKUP(A1481,#REF!,2,0)</f>
        <v>#REF!</v>
      </c>
    </row>
    <row r="1482" spans="1:10">
      <c r="A1482" s="1819" t="s">
        <v>1419</v>
      </c>
      <c r="B1482" s="1819" t="s">
        <v>1817</v>
      </c>
      <c r="C1482" s="1820">
        <v>900000000</v>
      </c>
      <c r="D1482" s="1820">
        <v>855000000</v>
      </c>
      <c r="E1482" s="1821">
        <v>50</v>
      </c>
      <c r="F1482" s="1821">
        <v>30</v>
      </c>
      <c r="G1482" s="1822"/>
      <c r="H1482" s="1822"/>
      <c r="I1482" s="1823">
        <v>42522</v>
      </c>
      <c r="J1482" s="1596" t="e">
        <f>VLOOKUP(A1482,#REF!,2,0)</f>
        <v>#REF!</v>
      </c>
    </row>
    <row r="1483" spans="1:10">
      <c r="A1483" s="1819" t="s">
        <v>1103</v>
      </c>
      <c r="B1483" s="1819" t="s">
        <v>1812</v>
      </c>
      <c r="C1483" s="1820">
        <v>580000000</v>
      </c>
      <c r="D1483" s="1820">
        <v>551000000</v>
      </c>
      <c r="E1483" s="1821">
        <v>26</v>
      </c>
      <c r="F1483" s="1821">
        <v>20</v>
      </c>
      <c r="G1483" s="1822"/>
      <c r="H1483" s="1822"/>
      <c r="I1483" s="1823">
        <v>42522</v>
      </c>
      <c r="J1483" s="1596" t="e">
        <f>VLOOKUP(A1483,#REF!,2,0)</f>
        <v>#REF!</v>
      </c>
    </row>
    <row r="1484" spans="1:10">
      <c r="A1484" s="1819" t="s">
        <v>900</v>
      </c>
      <c r="B1484" s="1819" t="s">
        <v>1808</v>
      </c>
      <c r="C1484" s="1820">
        <v>1474000000</v>
      </c>
      <c r="D1484" s="1820">
        <v>1400000000</v>
      </c>
      <c r="E1484" s="1821">
        <v>26</v>
      </c>
      <c r="F1484" s="1821">
        <v>22</v>
      </c>
      <c r="G1484" s="1822"/>
      <c r="H1484" s="1822"/>
      <c r="I1484" s="1823">
        <v>42522</v>
      </c>
      <c r="J1484" s="1596" t="e">
        <f>VLOOKUP(A1484,#REF!,2,0)</f>
        <v>#REF!</v>
      </c>
    </row>
    <row r="1485" spans="1:10">
      <c r="A1485" s="1819" t="s">
        <v>649</v>
      </c>
      <c r="B1485" s="1819" t="s">
        <v>1794</v>
      </c>
      <c r="C1485" s="1820">
        <v>1894000000</v>
      </c>
      <c r="D1485" s="1820">
        <v>1800000000</v>
      </c>
      <c r="E1485" s="1821">
        <v>55</v>
      </c>
      <c r="F1485" s="1821">
        <v>12</v>
      </c>
      <c r="G1485" s="1822"/>
      <c r="H1485" s="1822"/>
      <c r="I1485" s="1823">
        <v>42522</v>
      </c>
      <c r="J1485" s="1596" t="e">
        <f>VLOOKUP(A1485,#REF!,2,0)</f>
        <v>#REF!</v>
      </c>
    </row>
    <row r="1486" spans="1:10">
      <c r="A1486" s="1819" t="s">
        <v>2900</v>
      </c>
      <c r="B1486" s="1819" t="s">
        <v>2901</v>
      </c>
      <c r="C1486" s="1820">
        <v>500000000</v>
      </c>
      <c r="D1486" s="1820">
        <v>475000000</v>
      </c>
      <c r="E1486" s="1821">
        <v>11</v>
      </c>
      <c r="F1486" s="1821">
        <v>21</v>
      </c>
      <c r="G1486" s="1822"/>
      <c r="H1486" s="1822"/>
      <c r="I1486" s="1823">
        <v>42522</v>
      </c>
      <c r="J1486" s="1596" t="e">
        <f>VLOOKUP(A1486,#REF!,2,0)</f>
        <v>#REF!</v>
      </c>
    </row>
    <row r="1487" spans="1:10">
      <c r="A1487" s="1819" t="s">
        <v>2046</v>
      </c>
      <c r="B1487" s="1819" t="s">
        <v>2047</v>
      </c>
      <c r="C1487" s="1820">
        <v>737000000</v>
      </c>
      <c r="D1487" s="1820">
        <v>700000000</v>
      </c>
      <c r="E1487" s="1821">
        <v>47</v>
      </c>
      <c r="F1487" s="1821">
        <v>48</v>
      </c>
      <c r="G1487" s="1822"/>
      <c r="H1487" s="1822"/>
      <c r="I1487" s="1823">
        <v>42522</v>
      </c>
      <c r="J1487" s="1596" t="e">
        <f>VLOOKUP(A1487,#REF!,2,0)</f>
        <v>#REF!</v>
      </c>
    </row>
    <row r="1488" spans="1:10">
      <c r="A1488" s="1819" t="s">
        <v>179</v>
      </c>
      <c r="B1488" s="1819" t="s">
        <v>1784</v>
      </c>
      <c r="C1488" s="1820">
        <v>1730000000</v>
      </c>
      <c r="D1488" s="1820">
        <v>1643500000</v>
      </c>
      <c r="E1488" s="1821">
        <v>67</v>
      </c>
      <c r="F1488" s="1821">
        <v>70</v>
      </c>
      <c r="G1488" s="1822"/>
      <c r="H1488" s="1822"/>
      <c r="I1488" s="1823">
        <v>42522</v>
      </c>
      <c r="J1488" s="1596" t="e">
        <f>VLOOKUP(A1488,#REF!,2,0)</f>
        <v>#REF!</v>
      </c>
    </row>
    <row r="1489" spans="1:10">
      <c r="A1489" s="1819" t="s">
        <v>3518</v>
      </c>
      <c r="B1489" s="1819" t="s">
        <v>3556</v>
      </c>
      <c r="C1489" s="1820">
        <v>500000000</v>
      </c>
      <c r="D1489" s="1820">
        <v>400000000</v>
      </c>
      <c r="E1489" s="1821">
        <v>10</v>
      </c>
      <c r="F1489" s="1821">
        <v>20</v>
      </c>
      <c r="G1489" s="1822"/>
      <c r="H1489" s="1822"/>
      <c r="I1489" s="1823">
        <v>42522</v>
      </c>
      <c r="J1489" s="1596" t="e">
        <f>VLOOKUP(A1489,#REF!,2,0)</f>
        <v>#REF!</v>
      </c>
    </row>
    <row r="1490" spans="1:10">
      <c r="A1490" s="1819" t="s">
        <v>3168</v>
      </c>
      <c r="B1490" s="1819" t="s">
        <v>3176</v>
      </c>
      <c r="C1490" s="1820">
        <v>226000000</v>
      </c>
      <c r="D1490" s="1820">
        <v>215000000</v>
      </c>
      <c r="E1490" s="1821">
        <v>8</v>
      </c>
      <c r="F1490" s="1821">
        <v>20</v>
      </c>
      <c r="G1490" s="1822"/>
      <c r="H1490" s="1822"/>
      <c r="I1490" s="1823">
        <v>42522</v>
      </c>
      <c r="J1490" s="1596" t="e">
        <f>VLOOKUP(A1490,#REF!,2,0)</f>
        <v>#REF!</v>
      </c>
    </row>
    <row r="1491" spans="1:10">
      <c r="A1491" s="1819" t="s">
        <v>3520</v>
      </c>
      <c r="B1491" s="1819" t="s">
        <v>1793</v>
      </c>
      <c r="C1491" s="1820">
        <v>1158000000</v>
      </c>
      <c r="D1491" s="1820">
        <v>1100000000</v>
      </c>
      <c r="E1491" s="1821">
        <v>12</v>
      </c>
      <c r="F1491" s="1821">
        <v>25</v>
      </c>
      <c r="G1491" s="1822"/>
      <c r="H1491" s="1822"/>
      <c r="I1491" s="1823">
        <v>42522</v>
      </c>
      <c r="J1491" s="1596" t="e">
        <f>VLOOKUP(A1491,#REF!,2,0)</f>
        <v>#REF!</v>
      </c>
    </row>
    <row r="1492" spans="1:10">
      <c r="A1492" s="1819" t="s">
        <v>2708</v>
      </c>
      <c r="B1492" s="1819" t="s">
        <v>2713</v>
      </c>
      <c r="C1492" s="1820">
        <v>475000000</v>
      </c>
      <c r="D1492" s="1820">
        <v>451000000</v>
      </c>
      <c r="E1492" s="1821">
        <v>23</v>
      </c>
      <c r="F1492" s="1821">
        <v>130</v>
      </c>
      <c r="G1492" s="1822"/>
      <c r="H1492" s="1822"/>
      <c r="I1492" s="1823">
        <v>42522</v>
      </c>
      <c r="J1492" s="1596" t="e">
        <f>VLOOKUP(A1492,#REF!,2,0)</f>
        <v>#REF!</v>
      </c>
    </row>
    <row r="1493" spans="1:10">
      <c r="A1493" s="1819" t="s">
        <v>2896</v>
      </c>
      <c r="B1493" s="1819" t="s">
        <v>2899</v>
      </c>
      <c r="C1493" s="1820">
        <v>207000000</v>
      </c>
      <c r="D1493" s="1820">
        <v>197000000</v>
      </c>
      <c r="E1493" s="1821">
        <v>7</v>
      </c>
      <c r="F1493" s="1821">
        <v>18</v>
      </c>
      <c r="G1493" s="1822"/>
      <c r="H1493" s="1822"/>
      <c r="I1493" s="1823">
        <v>42522</v>
      </c>
      <c r="J1493" s="1596" t="e">
        <f>VLOOKUP(A1493,#REF!,2,0)</f>
        <v>#REF!</v>
      </c>
    </row>
    <row r="1494" spans="1:10">
      <c r="A1494" s="1819" t="s">
        <v>1015</v>
      </c>
      <c r="B1494" s="1819" t="s">
        <v>1811</v>
      </c>
      <c r="C1494" s="1820">
        <v>789000000</v>
      </c>
      <c r="D1494" s="1820">
        <v>750000000</v>
      </c>
      <c r="E1494" s="1821">
        <v>47</v>
      </c>
      <c r="F1494" s="1821">
        <v>30</v>
      </c>
      <c r="G1494" s="1822"/>
      <c r="H1494" s="1822"/>
      <c r="I1494" s="1823">
        <v>42522</v>
      </c>
      <c r="J1494" s="1596" t="e">
        <f>VLOOKUP(A1494,#REF!,2,0)</f>
        <v>#REF!</v>
      </c>
    </row>
    <row r="1495" spans="1:10">
      <c r="A1495" s="1819" t="s">
        <v>825</v>
      </c>
      <c r="B1495" s="1819" t="s">
        <v>1804</v>
      </c>
      <c r="C1495" s="1820">
        <v>905000000</v>
      </c>
      <c r="D1495" s="1820">
        <v>860000000</v>
      </c>
      <c r="E1495" s="1821">
        <v>46</v>
      </c>
      <c r="F1495" s="1821">
        <v>20</v>
      </c>
      <c r="G1495" s="1822"/>
      <c r="H1495" s="1822"/>
      <c r="I1495" s="1823">
        <v>42522</v>
      </c>
      <c r="J1495" s="1596" t="e">
        <f>VLOOKUP(A1495,#REF!,2,0)</f>
        <v>#REF!</v>
      </c>
    </row>
    <row r="1496" spans="1:10">
      <c r="A1496" s="1819" t="s">
        <v>902</v>
      </c>
      <c r="B1496" s="1819" t="s">
        <v>1807</v>
      </c>
      <c r="C1496" s="1820">
        <v>979000000</v>
      </c>
      <c r="D1496" s="1820">
        <v>930000000</v>
      </c>
      <c r="E1496" s="1821">
        <v>35</v>
      </c>
      <c r="F1496" s="1821">
        <v>34</v>
      </c>
      <c r="G1496" s="1822"/>
      <c r="H1496" s="1822"/>
      <c r="I1496" s="1823">
        <v>42522</v>
      </c>
      <c r="J1496" s="1596" t="e">
        <f>VLOOKUP(A1496,#REF!,2,0)</f>
        <v>#REF!</v>
      </c>
    </row>
    <row r="1497" spans="1:10">
      <c r="A1497" s="1819" t="s">
        <v>3170</v>
      </c>
      <c r="B1497" s="1819" t="s">
        <v>1783</v>
      </c>
      <c r="C1497" s="1820">
        <v>1234000000</v>
      </c>
      <c r="D1497" s="1820">
        <v>1172500000</v>
      </c>
      <c r="E1497" s="1821">
        <v>44</v>
      </c>
      <c r="F1497" s="1821">
        <v>13</v>
      </c>
      <c r="G1497" s="1822"/>
      <c r="H1497" s="1822"/>
      <c r="I1497" s="1823">
        <v>42522</v>
      </c>
      <c r="J1497" s="1596" t="e">
        <f>VLOOKUP(A1497,#REF!,2,0)</f>
        <v>#REF!</v>
      </c>
    </row>
    <row r="1498" spans="1:10">
      <c r="A1498" s="1819" t="s">
        <v>3171</v>
      </c>
      <c r="B1498" s="1819" t="s">
        <v>1788</v>
      </c>
      <c r="C1498" s="1820">
        <v>1234000000</v>
      </c>
      <c r="D1498" s="1820">
        <v>1172500000</v>
      </c>
      <c r="E1498" s="1821">
        <v>63</v>
      </c>
      <c r="F1498" s="1821">
        <v>12</v>
      </c>
      <c r="G1498" s="1822"/>
      <c r="H1498" s="1822"/>
      <c r="I1498" s="1823">
        <v>42522</v>
      </c>
      <c r="J1498" s="1596" t="e">
        <f>VLOOKUP(A1498,#REF!,2,0)</f>
        <v>#REF!</v>
      </c>
    </row>
    <row r="1499" spans="1:10">
      <c r="A1499" s="1819" t="s">
        <v>642</v>
      </c>
      <c r="B1499" s="1819" t="s">
        <v>1795</v>
      </c>
      <c r="C1499" s="1820">
        <v>979000000</v>
      </c>
      <c r="D1499" s="1820">
        <v>930000000</v>
      </c>
      <c r="E1499" s="1821">
        <v>30</v>
      </c>
      <c r="F1499" s="1821">
        <v>20</v>
      </c>
      <c r="G1499" s="1822"/>
      <c r="H1499" s="1822"/>
      <c r="I1499" s="1823">
        <v>42522</v>
      </c>
      <c r="J1499" s="1596" t="e">
        <f>VLOOKUP(A1499,#REF!,2,0)</f>
        <v>#REF!</v>
      </c>
    </row>
    <row r="1500" spans="1:10">
      <c r="A1500" s="1819" t="s">
        <v>91</v>
      </c>
      <c r="B1500" s="1819" t="s">
        <v>1781</v>
      </c>
      <c r="C1500" s="1820">
        <v>2158000000</v>
      </c>
      <c r="D1500" s="1820">
        <v>2050000000</v>
      </c>
      <c r="E1500" s="1821">
        <v>71</v>
      </c>
      <c r="F1500" s="1821">
        <v>71</v>
      </c>
      <c r="G1500" s="1822"/>
      <c r="H1500" s="1822"/>
      <c r="I1500" s="1823">
        <v>42522</v>
      </c>
      <c r="J1500" s="1596" t="e">
        <f>VLOOKUP(A1500,#REF!,2,0)</f>
        <v>#REF!</v>
      </c>
    </row>
    <row r="1501" spans="1:10">
      <c r="A1501" s="1819" t="s">
        <v>734</v>
      </c>
      <c r="B1501" s="1819" t="s">
        <v>1800</v>
      </c>
      <c r="C1501" s="1820">
        <v>1368000000</v>
      </c>
      <c r="D1501" s="1820">
        <v>1300000000</v>
      </c>
      <c r="E1501" s="1821">
        <v>51</v>
      </c>
      <c r="F1501" s="1821">
        <v>40</v>
      </c>
      <c r="G1501" s="1822"/>
      <c r="H1501" s="1822"/>
      <c r="I1501" s="1823">
        <v>42522</v>
      </c>
      <c r="J1501" s="1596" t="e">
        <f>VLOOKUP(A1501,#REF!,2,0)</f>
        <v>#REF!</v>
      </c>
    </row>
    <row r="1502" spans="1:10">
      <c r="A1502" s="1819" t="s">
        <v>735</v>
      </c>
      <c r="B1502" s="1819" t="s">
        <v>1799</v>
      </c>
      <c r="C1502" s="1820">
        <v>3143000000</v>
      </c>
      <c r="D1502" s="1820">
        <v>2985000000</v>
      </c>
      <c r="E1502" s="1821">
        <v>50</v>
      </c>
      <c r="F1502" s="1821">
        <v>27</v>
      </c>
      <c r="G1502" s="1822"/>
      <c r="H1502" s="1822"/>
      <c r="I1502" s="1823">
        <v>42522</v>
      </c>
      <c r="J1502" s="1596" t="e">
        <f>VLOOKUP(A1502,#REF!,2,0)</f>
        <v>#REF!</v>
      </c>
    </row>
    <row r="1503" spans="1:10">
      <c r="A1503" s="1819" t="s">
        <v>798</v>
      </c>
      <c r="B1503" s="1819" t="s">
        <v>1801</v>
      </c>
      <c r="C1503" s="1820">
        <v>2763000000</v>
      </c>
      <c r="D1503" s="1820">
        <v>2625000000</v>
      </c>
      <c r="E1503" s="1821">
        <v>55</v>
      </c>
      <c r="F1503" s="1821">
        <v>73</v>
      </c>
      <c r="G1503" s="1822"/>
      <c r="H1503" s="1822"/>
      <c r="I1503" s="1823">
        <v>42522</v>
      </c>
      <c r="J1503" s="1596" t="e">
        <f>VLOOKUP(A1503,#REF!,2,0)</f>
        <v>#REF!</v>
      </c>
    </row>
    <row r="1504" spans="1:10">
      <c r="A1504" s="1819" t="s">
        <v>949</v>
      </c>
      <c r="B1504" s="1819" t="s">
        <v>1809</v>
      </c>
      <c r="C1504" s="1820">
        <v>1895000000</v>
      </c>
      <c r="D1504" s="1820">
        <v>1800000000</v>
      </c>
      <c r="E1504" s="1821">
        <v>33</v>
      </c>
      <c r="F1504" s="1821">
        <v>34</v>
      </c>
      <c r="G1504" s="1822"/>
      <c r="H1504" s="1822"/>
      <c r="I1504" s="1823">
        <v>42522</v>
      </c>
      <c r="J1504" s="1596" t="e">
        <f>VLOOKUP(A1504,#REF!,2,0)</f>
        <v>#REF!</v>
      </c>
    </row>
    <row r="1505" spans="1:10">
      <c r="A1505" s="1819" t="s">
        <v>903</v>
      </c>
      <c r="B1505" s="1819" t="s">
        <v>1806</v>
      </c>
      <c r="C1505" s="1820">
        <v>979000000</v>
      </c>
      <c r="D1505" s="1820">
        <v>930000000</v>
      </c>
      <c r="E1505" s="1821">
        <v>38</v>
      </c>
      <c r="F1505" s="1821">
        <v>45</v>
      </c>
      <c r="G1505" s="1822"/>
      <c r="H1505" s="1822"/>
      <c r="I1505" s="1823">
        <v>42522</v>
      </c>
      <c r="J1505" s="1596" t="e">
        <f>VLOOKUP(A1505,#REF!,2,0)</f>
        <v>#REF!</v>
      </c>
    </row>
    <row r="1506" spans="1:10">
      <c r="A1506" s="1819" t="s">
        <v>1101</v>
      </c>
      <c r="B1506" s="1819" t="s">
        <v>1814</v>
      </c>
      <c r="C1506" s="1820">
        <v>526000000</v>
      </c>
      <c r="D1506" s="1820">
        <v>500000000</v>
      </c>
      <c r="E1506" s="1821">
        <v>33</v>
      </c>
      <c r="F1506" s="1821">
        <v>26</v>
      </c>
      <c r="G1506" s="1822"/>
      <c r="H1506" s="1822"/>
      <c r="I1506" s="1823">
        <v>42522</v>
      </c>
      <c r="J1506" s="1596" t="e">
        <f>VLOOKUP(A1506,#REF!,2,0)</f>
        <v>#REF!</v>
      </c>
    </row>
    <row r="1507" spans="1:10">
      <c r="A1507" s="1819" t="s">
        <v>1102</v>
      </c>
      <c r="B1507" s="1819" t="s">
        <v>1813</v>
      </c>
      <c r="C1507" s="1820">
        <v>1000000000</v>
      </c>
      <c r="D1507" s="1820">
        <v>950000000</v>
      </c>
      <c r="E1507" s="1821">
        <v>46</v>
      </c>
      <c r="F1507" s="1821">
        <v>40</v>
      </c>
      <c r="G1507" s="1822"/>
      <c r="H1507" s="1822"/>
      <c r="I1507" s="1823">
        <v>42522</v>
      </c>
      <c r="J1507" s="1596" t="e">
        <f>VLOOKUP(A1507,#REF!,2,0)</f>
        <v>#REF!</v>
      </c>
    </row>
    <row r="1508" spans="1:10">
      <c r="A1508" s="1819" t="s">
        <v>3172</v>
      </c>
      <c r="B1508" s="1819" t="s">
        <v>3557</v>
      </c>
      <c r="C1508" s="1820">
        <v>800000000</v>
      </c>
      <c r="D1508" s="1820">
        <v>800000000</v>
      </c>
      <c r="E1508" s="1821">
        <v>10</v>
      </c>
      <c r="F1508" s="1821">
        <v>20</v>
      </c>
      <c r="G1508" s="1822"/>
      <c r="H1508" s="1822"/>
      <c r="I1508" s="1823">
        <v>42522</v>
      </c>
      <c r="J1508" s="1596" t="e">
        <f>VLOOKUP(A1508,#REF!,2,0)</f>
        <v>#REF!</v>
      </c>
    </row>
    <row r="1509" spans="1:10">
      <c r="A1509" s="1819" t="s">
        <v>47</v>
      </c>
      <c r="B1509" s="1819" t="s">
        <v>1780</v>
      </c>
      <c r="C1509" s="1820">
        <v>979000000</v>
      </c>
      <c r="D1509" s="1820">
        <v>930000000</v>
      </c>
      <c r="E1509" s="1821">
        <v>23</v>
      </c>
      <c r="F1509" s="1821">
        <v>13</v>
      </c>
      <c r="G1509" s="1822"/>
      <c r="H1509" s="1822"/>
      <c r="I1509" s="1823">
        <v>42522</v>
      </c>
      <c r="J1509" s="1596" t="e">
        <f>VLOOKUP(A1509,#REF!,2,0)</f>
        <v>#REF!</v>
      </c>
    </row>
    <row r="1510" spans="1:10">
      <c r="A1510" s="1819" t="s">
        <v>736</v>
      </c>
      <c r="B1510" s="1819" t="s">
        <v>1796</v>
      </c>
      <c r="C1510" s="1820">
        <v>1316000000</v>
      </c>
      <c r="D1510" s="1820">
        <v>1250000000</v>
      </c>
      <c r="E1510" s="1821">
        <v>34</v>
      </c>
      <c r="F1510" s="1821">
        <v>28</v>
      </c>
      <c r="G1510" s="1822"/>
      <c r="H1510" s="1822"/>
      <c r="I1510" s="1823">
        <v>42522</v>
      </c>
      <c r="J1510" s="1596" t="e">
        <f>VLOOKUP(A1510,#REF!,2,0)</f>
        <v>#REF!</v>
      </c>
    </row>
    <row r="1511" spans="1:10">
      <c r="A1511" s="1819" t="s">
        <v>1570</v>
      </c>
      <c r="B1511" s="1819" t="s">
        <v>1823</v>
      </c>
      <c r="C1511" s="1820">
        <v>789000000</v>
      </c>
      <c r="D1511" s="1820">
        <v>750000000</v>
      </c>
      <c r="E1511" s="1821">
        <v>44</v>
      </c>
      <c r="F1511" s="1821">
        <v>30</v>
      </c>
      <c r="G1511" s="1822"/>
      <c r="H1511" s="1822"/>
      <c r="I1511" s="1823">
        <v>42522</v>
      </c>
      <c r="J1511" s="1596" t="e">
        <f>VLOOKUP(A1511,#REF!,2,0)</f>
        <v>#REF!</v>
      </c>
    </row>
    <row r="1512" spans="1:10">
      <c r="A1512" s="1819" t="s">
        <v>799</v>
      </c>
      <c r="B1512" s="1819" t="s">
        <v>1803</v>
      </c>
      <c r="C1512" s="1820">
        <v>900000000</v>
      </c>
      <c r="D1512" s="1820">
        <v>855000000</v>
      </c>
      <c r="E1512" s="1821">
        <v>39</v>
      </c>
      <c r="F1512" s="1821">
        <v>20</v>
      </c>
      <c r="G1512" s="1822"/>
      <c r="H1512" s="1822"/>
      <c r="I1512" s="1823">
        <v>42522</v>
      </c>
      <c r="J1512" s="1596" t="e">
        <f>VLOOKUP(A1512,#REF!,2,0)</f>
        <v>#REF!</v>
      </c>
    </row>
    <row r="1513" spans="1:10">
      <c r="A1513" s="1819" t="s">
        <v>3517</v>
      </c>
      <c r="B1513" s="1819" t="s">
        <v>2715</v>
      </c>
      <c r="C1513" s="1820">
        <v>1210000000</v>
      </c>
      <c r="D1513" s="1820">
        <v>1150000000</v>
      </c>
      <c r="E1513" s="1821">
        <v>24</v>
      </c>
      <c r="F1513" s="1821">
        <v>15</v>
      </c>
      <c r="G1513" s="1822"/>
      <c r="H1513" s="1822"/>
      <c r="I1513" s="1823">
        <v>42522</v>
      </c>
      <c r="J1513" s="1596" t="e">
        <f>VLOOKUP(A1513,#REF!,2,0)</f>
        <v>#REF!</v>
      </c>
    </row>
    <row r="1514" spans="1:10">
      <c r="A1514" s="1819" t="s">
        <v>796</v>
      </c>
      <c r="B1514" s="1819" t="s">
        <v>1802</v>
      </c>
      <c r="C1514" s="1820">
        <v>979000000</v>
      </c>
      <c r="D1514" s="1820">
        <v>930000000</v>
      </c>
      <c r="E1514" s="1821">
        <v>24</v>
      </c>
      <c r="F1514" s="1821">
        <v>18</v>
      </c>
      <c r="G1514" s="1822"/>
      <c r="H1514" s="1822"/>
      <c r="I1514" s="1823">
        <v>42522</v>
      </c>
      <c r="J1514" s="1596" t="e">
        <f>VLOOKUP(A1514,#REF!,2,0)</f>
        <v>#REF!</v>
      </c>
    </row>
    <row r="1515" spans="1:10">
      <c r="A1515" s="1819" t="s">
        <v>1567</v>
      </c>
      <c r="B1515" s="1819" t="s">
        <v>1821</v>
      </c>
      <c r="C1515" s="1820">
        <v>1361000000</v>
      </c>
      <c r="D1515" s="1820">
        <v>1293000000</v>
      </c>
      <c r="E1515" s="1821">
        <v>44</v>
      </c>
      <c r="F1515" s="1821">
        <v>20</v>
      </c>
      <c r="G1515" s="1822"/>
      <c r="H1515" s="1822"/>
      <c r="I1515" s="1823">
        <v>42522</v>
      </c>
      <c r="J1515" s="1596" t="e">
        <f>VLOOKUP(A1515,#REF!,2,0)</f>
        <v>#REF!</v>
      </c>
    </row>
    <row r="1516" spans="1:10">
      <c r="A1516" s="1819" t="s">
        <v>3522</v>
      </c>
      <c r="B1516" s="1819" t="s">
        <v>3558</v>
      </c>
      <c r="C1516" s="1820">
        <v>300000000</v>
      </c>
      <c r="D1516" s="1820">
        <v>200000000</v>
      </c>
      <c r="E1516" s="1821">
        <v>5</v>
      </c>
      <c r="F1516" s="1821">
        <v>10</v>
      </c>
      <c r="G1516" s="1822"/>
      <c r="H1516" s="1822"/>
      <c r="I1516" s="1823">
        <v>42522</v>
      </c>
      <c r="J1516" s="1596" t="e">
        <f>VLOOKUP(A1516,#REF!,2,0)</f>
        <v>#REF!</v>
      </c>
    </row>
    <row r="1517" spans="1:10">
      <c r="A1517" s="1819" t="s">
        <v>177</v>
      </c>
      <c r="B1517" s="1819" t="s">
        <v>1782</v>
      </c>
      <c r="C1517" s="1820">
        <v>1967000000</v>
      </c>
      <c r="D1517" s="1820">
        <v>1868500000</v>
      </c>
      <c r="E1517" s="1821">
        <v>74</v>
      </c>
      <c r="F1517" s="1821">
        <v>25</v>
      </c>
      <c r="G1517" s="1822"/>
      <c r="H1517" s="1822"/>
      <c r="I1517" s="1823">
        <v>42522</v>
      </c>
      <c r="J1517" s="1596" t="e">
        <f>VLOOKUP(A1517,#REF!,2,0)</f>
        <v>#REF!</v>
      </c>
    </row>
    <row r="1518" spans="1:10">
      <c r="A1518" s="1819" t="s">
        <v>2659</v>
      </c>
      <c r="B1518" s="1819" t="s">
        <v>2714</v>
      </c>
      <c r="C1518" s="1820">
        <v>684000000</v>
      </c>
      <c r="D1518" s="1820">
        <v>650000000</v>
      </c>
      <c r="E1518" s="1821">
        <v>13</v>
      </c>
      <c r="F1518" s="1821">
        <v>13</v>
      </c>
      <c r="G1518" s="1822"/>
      <c r="H1518" s="1822"/>
      <c r="I1518" s="1823">
        <v>42522</v>
      </c>
      <c r="J1518" s="1596" t="e">
        <f>VLOOKUP(A1518,#REF!,2,0)</f>
        <v>#REF!</v>
      </c>
    </row>
    <row r="1519" spans="1:10">
      <c r="A1519" s="1819" t="s">
        <v>3524</v>
      </c>
      <c r="B1519" s="1819" t="s">
        <v>3559</v>
      </c>
      <c r="C1519" s="1820">
        <v>300000000</v>
      </c>
      <c r="D1519" s="1820">
        <v>200000000</v>
      </c>
      <c r="E1519" s="1821">
        <v>5</v>
      </c>
      <c r="F1519" s="1821">
        <v>10</v>
      </c>
      <c r="G1519" s="1822"/>
      <c r="H1519" s="1822"/>
      <c r="I1519" s="1823">
        <v>42522</v>
      </c>
      <c r="J1519" s="1596" t="e">
        <f>VLOOKUP(A1519,#REF!,2,0)</f>
        <v>#REF!</v>
      </c>
    </row>
    <row r="1520" spans="1:10">
      <c r="A1520" s="1819" t="s">
        <v>1568</v>
      </c>
      <c r="B1520" s="1819" t="s">
        <v>1820</v>
      </c>
      <c r="C1520" s="1820">
        <v>1459000000</v>
      </c>
      <c r="D1520" s="1820">
        <v>1386000000</v>
      </c>
      <c r="E1520" s="1821">
        <v>63</v>
      </c>
      <c r="F1520" s="1821">
        <v>65</v>
      </c>
      <c r="G1520" s="1822"/>
      <c r="H1520" s="1822"/>
      <c r="I1520" s="1823">
        <v>42522</v>
      </c>
      <c r="J1520" s="1596" t="e">
        <f>VLOOKUP(A1520,#REF!,2,0)</f>
        <v>#REF!</v>
      </c>
    </row>
    <row r="1521" spans="1:10">
      <c r="A1521" s="1819" t="s">
        <v>3173</v>
      </c>
      <c r="B1521" s="1819" t="s">
        <v>1785</v>
      </c>
      <c r="C1521" s="1820">
        <v>2190000000</v>
      </c>
      <c r="D1521" s="1820">
        <v>2080500000</v>
      </c>
      <c r="E1521" s="1821">
        <v>81</v>
      </c>
      <c r="F1521" s="1821">
        <v>40</v>
      </c>
      <c r="G1521" s="1822"/>
      <c r="H1521" s="1822"/>
      <c r="I1521" s="1823">
        <v>42522</v>
      </c>
      <c r="J1521" s="1596" t="e">
        <f>VLOOKUP(A1521,#REF!,2,0)</f>
        <v>#REF!</v>
      </c>
    </row>
    <row r="1522" spans="1:10">
      <c r="A1522" s="1819" t="s">
        <v>3174</v>
      </c>
      <c r="B1522" s="1819" t="s">
        <v>1791</v>
      </c>
      <c r="C1522" s="1820">
        <v>1126000000</v>
      </c>
      <c r="D1522" s="1820">
        <v>1070000000</v>
      </c>
      <c r="E1522" s="1821">
        <v>56</v>
      </c>
      <c r="F1522" s="1821">
        <v>25</v>
      </c>
      <c r="G1522" s="1822"/>
      <c r="H1522" s="1822"/>
      <c r="I1522" s="1823">
        <v>42522</v>
      </c>
      <c r="J1522" s="1596" t="e">
        <f>VLOOKUP(A1522,#REF!,2,0)</f>
        <v>#REF!</v>
      </c>
    </row>
    <row r="1523" spans="1:10">
      <c r="A1523" s="1819" t="s">
        <v>2710</v>
      </c>
      <c r="B1523" s="1819" t="s">
        <v>2712</v>
      </c>
      <c r="C1523" s="1820">
        <v>475000000</v>
      </c>
      <c r="D1523" s="1820">
        <v>451000000</v>
      </c>
      <c r="E1523" s="1821">
        <v>23</v>
      </c>
      <c r="F1523" s="1821">
        <v>65</v>
      </c>
      <c r="G1523" s="1822"/>
      <c r="H1523" s="1822"/>
      <c r="I1523" s="1823">
        <v>42522</v>
      </c>
      <c r="J1523" s="1596" t="e">
        <f>VLOOKUP(A1523,#REF!,2,0)</f>
        <v>#REF!</v>
      </c>
    </row>
    <row r="1524" spans="1:10">
      <c r="A1524" s="1819" t="s">
        <v>1572</v>
      </c>
      <c r="B1524" s="1819" t="s">
        <v>1824</v>
      </c>
      <c r="C1524" s="1820">
        <v>747000000</v>
      </c>
      <c r="D1524" s="1820">
        <v>710000000</v>
      </c>
      <c r="E1524" s="1821">
        <v>38</v>
      </c>
      <c r="F1524" s="1821">
        <v>40</v>
      </c>
      <c r="G1524" s="1822"/>
      <c r="H1524" s="1822"/>
      <c r="I1524" s="1823">
        <v>42522</v>
      </c>
      <c r="J1524" s="1596" t="e">
        <f>VLOOKUP(A1524,#REF!,2,0)</f>
        <v>#REF!</v>
      </c>
    </row>
    <row r="1525" spans="1:10">
      <c r="A1525" s="1819" t="s">
        <v>1104</v>
      </c>
      <c r="B1525" s="1819" t="s">
        <v>1810</v>
      </c>
      <c r="C1525" s="1820">
        <v>900000000</v>
      </c>
      <c r="D1525" s="1820">
        <v>855000000</v>
      </c>
      <c r="E1525" s="1821">
        <v>50</v>
      </c>
      <c r="F1525" s="1821">
        <v>40</v>
      </c>
      <c r="G1525" s="1822"/>
      <c r="H1525" s="1822"/>
      <c r="I1525" s="1823">
        <v>42522</v>
      </c>
      <c r="J1525" s="1596" t="e">
        <f>VLOOKUP(A1525,#REF!,2,0)</f>
        <v>#REF!</v>
      </c>
    </row>
    <row r="1526" spans="1:10">
      <c r="A1526" s="1819" t="s">
        <v>905</v>
      </c>
      <c r="B1526" s="1819" t="s">
        <v>1805</v>
      </c>
      <c r="C1526" s="1820">
        <v>947000000</v>
      </c>
      <c r="D1526" s="1820">
        <v>900000000</v>
      </c>
      <c r="E1526" s="1821">
        <v>27</v>
      </c>
      <c r="F1526" s="1821">
        <v>15</v>
      </c>
      <c r="G1526" s="1822"/>
      <c r="H1526" s="1822"/>
      <c r="I1526" s="1823">
        <v>42522</v>
      </c>
      <c r="J1526" s="1596" t="e">
        <f>VLOOKUP(A1526,#REF!,2,0)</f>
        <v>#REF!</v>
      </c>
    </row>
    <row r="1527" spans="1:10">
      <c r="A1527" s="1819" t="s">
        <v>648</v>
      </c>
      <c r="B1527" s="1819" t="s">
        <v>1792</v>
      </c>
      <c r="C1527" s="1820">
        <v>895000000</v>
      </c>
      <c r="D1527" s="1820">
        <v>850000000</v>
      </c>
      <c r="E1527" s="1821">
        <v>26</v>
      </c>
      <c r="F1527" s="1821">
        <v>35</v>
      </c>
      <c r="G1527" s="1822"/>
      <c r="H1527" s="1822"/>
      <c r="I1527" s="1823">
        <v>42522</v>
      </c>
      <c r="J1527" s="1596" t="e">
        <f>VLOOKUP(A1527,#REF!,2,0)</f>
        <v>#REF!</v>
      </c>
    </row>
    <row r="1528" spans="1:10" ht="30">
      <c r="A1528" s="1819" t="s">
        <v>1291</v>
      </c>
      <c r="B1528" s="1819" t="s">
        <v>1839</v>
      </c>
      <c r="C1528" s="1820">
        <v>4052000000</v>
      </c>
      <c r="D1528" s="1820">
        <v>3850000000</v>
      </c>
      <c r="E1528" s="1821">
        <v>108</v>
      </c>
      <c r="F1528" s="1821">
        <v>99</v>
      </c>
      <c r="G1528" s="1822"/>
      <c r="H1528" s="1822"/>
      <c r="I1528" s="1823">
        <v>42522</v>
      </c>
      <c r="J1528" s="1596" t="e">
        <f>VLOOKUP(A1528,#REF!,2,0)</f>
        <v>#REF!</v>
      </c>
    </row>
    <row r="1529" spans="1:10">
      <c r="A1529" s="1819" t="s">
        <v>1292</v>
      </c>
      <c r="B1529" s="1819" t="s">
        <v>1840</v>
      </c>
      <c r="C1529" s="1820">
        <v>5856000000</v>
      </c>
      <c r="D1529" s="1820">
        <v>5488500000</v>
      </c>
      <c r="E1529" s="1821">
        <v>196</v>
      </c>
      <c r="F1529" s="1821">
        <v>140</v>
      </c>
      <c r="G1529" s="1822"/>
      <c r="H1529" s="1822"/>
      <c r="I1529" s="1823">
        <v>42522</v>
      </c>
      <c r="J1529" s="1596" t="e">
        <f>VLOOKUP(A1529,#REF!,2,0)</f>
        <v>#REF!</v>
      </c>
    </row>
    <row r="1530" spans="1:10">
      <c r="A1530" s="1819" t="s">
        <v>1293</v>
      </c>
      <c r="B1530" s="1819" t="s">
        <v>1841</v>
      </c>
      <c r="C1530" s="1820">
        <v>3328000000</v>
      </c>
      <c r="D1530" s="1820">
        <v>3161500000</v>
      </c>
      <c r="E1530" s="1821">
        <v>118</v>
      </c>
      <c r="F1530" s="1821">
        <v>45</v>
      </c>
      <c r="G1530" s="1822"/>
      <c r="H1530" s="1822"/>
      <c r="I1530" s="1823">
        <v>42522</v>
      </c>
      <c r="J1530" s="1596" t="e">
        <f>VLOOKUP(A1530,#REF!,2,0)</f>
        <v>#REF!</v>
      </c>
    </row>
    <row r="1531" spans="1:10">
      <c r="A1531" s="1819" t="s">
        <v>1294</v>
      </c>
      <c r="B1531" s="1819" t="s">
        <v>1842</v>
      </c>
      <c r="C1531" s="1820">
        <v>5732000000</v>
      </c>
      <c r="D1531" s="1820">
        <v>5447000000</v>
      </c>
      <c r="E1531" s="1821">
        <v>162</v>
      </c>
      <c r="F1531" s="1821">
        <v>124</v>
      </c>
      <c r="G1531" s="1822"/>
      <c r="H1531" s="1822"/>
      <c r="I1531" s="1823">
        <v>42522</v>
      </c>
      <c r="J1531" s="1596" t="e">
        <f>VLOOKUP(A1531,#REF!,2,0)</f>
        <v>#REF!</v>
      </c>
    </row>
    <row r="1532" spans="1:10">
      <c r="A1532" s="1819" t="s">
        <v>1296</v>
      </c>
      <c r="B1532" s="1819" t="s">
        <v>1844</v>
      </c>
      <c r="C1532" s="1820">
        <v>2295000000</v>
      </c>
      <c r="D1532" s="1820">
        <v>2180000000</v>
      </c>
      <c r="E1532" s="1821">
        <v>69</v>
      </c>
      <c r="F1532" s="1821">
        <v>62</v>
      </c>
      <c r="G1532" s="1822"/>
      <c r="H1532" s="1822"/>
      <c r="I1532" s="1823">
        <v>42522</v>
      </c>
      <c r="J1532" s="1596" t="e">
        <f>VLOOKUP(A1532,#REF!,2,0)</f>
        <v>#REF!</v>
      </c>
    </row>
    <row r="1533" spans="1:10">
      <c r="A1533" s="1819" t="s">
        <v>1297</v>
      </c>
      <c r="B1533" s="1819" t="s">
        <v>1845</v>
      </c>
      <c r="C1533" s="1820">
        <v>2175000000</v>
      </c>
      <c r="D1533" s="1820">
        <v>2106000000</v>
      </c>
      <c r="E1533" s="1821">
        <v>72</v>
      </c>
      <c r="F1533" s="1821">
        <v>170</v>
      </c>
      <c r="G1533" s="1822"/>
      <c r="H1533" s="1822"/>
      <c r="I1533" s="1823">
        <v>42522</v>
      </c>
      <c r="J1533" s="1596" t="e">
        <f>VLOOKUP(A1533,#REF!,2,0)</f>
        <v>#REF!</v>
      </c>
    </row>
    <row r="1534" spans="1:10">
      <c r="A1534" s="1819" t="s">
        <v>2662</v>
      </c>
      <c r="B1534" s="1819" t="s">
        <v>1847</v>
      </c>
      <c r="C1534" s="1820">
        <v>1368000000</v>
      </c>
      <c r="D1534" s="1820">
        <v>1300000000</v>
      </c>
      <c r="E1534" s="1821">
        <v>51</v>
      </c>
      <c r="F1534" s="1821">
        <v>40</v>
      </c>
      <c r="G1534" s="1822"/>
      <c r="H1534" s="1822"/>
      <c r="I1534" s="1823">
        <v>42522</v>
      </c>
      <c r="J1534" s="1596" t="e">
        <f>VLOOKUP(A1534,#REF!,2,0)</f>
        <v>#REF!</v>
      </c>
    </row>
    <row r="1535" spans="1:10">
      <c r="A1535" s="1819" t="s">
        <v>1300</v>
      </c>
      <c r="B1535" s="1819" t="s">
        <v>1848</v>
      </c>
      <c r="C1535" s="1820">
        <v>2763000000</v>
      </c>
      <c r="D1535" s="1820">
        <v>2625000000</v>
      </c>
      <c r="E1535" s="1821">
        <v>55</v>
      </c>
      <c r="F1535" s="1821">
        <v>73</v>
      </c>
      <c r="G1535" s="1822"/>
      <c r="H1535" s="1822"/>
      <c r="I1535" s="1823">
        <v>42522</v>
      </c>
      <c r="J1535" s="1596" t="e">
        <f>VLOOKUP(A1535,#REF!,2,0)</f>
        <v>#REF!</v>
      </c>
    </row>
    <row r="1536" spans="1:10">
      <c r="A1536" s="1819" t="s">
        <v>3179</v>
      </c>
      <c r="B1536" s="1819" t="s">
        <v>1849</v>
      </c>
      <c r="C1536" s="1820">
        <v>2190000000</v>
      </c>
      <c r="D1536" s="1820">
        <v>2080500000</v>
      </c>
      <c r="E1536" s="1821">
        <v>81</v>
      </c>
      <c r="F1536" s="1821">
        <v>40</v>
      </c>
      <c r="G1536" s="1822"/>
      <c r="H1536" s="1822"/>
      <c r="I1536" s="1823">
        <v>42522</v>
      </c>
      <c r="J1536" s="1596" t="e">
        <f>VLOOKUP(A1536,#REF!,2,0)</f>
        <v>#REF!</v>
      </c>
    </row>
    <row r="1537" spans="1:10">
      <c r="A1537" s="1819" t="s">
        <v>1302</v>
      </c>
      <c r="B1537" s="1819" t="s">
        <v>1850</v>
      </c>
      <c r="C1537" s="1820">
        <v>3474000000</v>
      </c>
      <c r="D1537" s="1820">
        <v>3300000000</v>
      </c>
      <c r="E1537" s="1821">
        <v>83</v>
      </c>
      <c r="F1537" s="1821">
        <v>83</v>
      </c>
      <c r="G1537" s="1822"/>
      <c r="H1537" s="1822"/>
      <c r="I1537" s="1823">
        <v>42522</v>
      </c>
      <c r="J1537" s="1596" t="e">
        <f>VLOOKUP(A1537,#REF!,2,0)</f>
        <v>#REF!</v>
      </c>
    </row>
    <row r="1538" spans="1:10">
      <c r="A1538" s="1819" t="s">
        <v>1303</v>
      </c>
      <c r="B1538" s="1819" t="s">
        <v>1851</v>
      </c>
      <c r="C1538" s="1820">
        <v>1895000000</v>
      </c>
      <c r="D1538" s="1820">
        <v>1800000000</v>
      </c>
      <c r="E1538" s="1821">
        <v>33</v>
      </c>
      <c r="F1538" s="1821">
        <v>34</v>
      </c>
      <c r="G1538" s="1822"/>
      <c r="H1538" s="1822"/>
      <c r="I1538" s="1823">
        <v>42522</v>
      </c>
      <c r="J1538" s="1596" t="e">
        <f>VLOOKUP(A1538,#REF!,2,0)</f>
        <v>#REF!</v>
      </c>
    </row>
    <row r="1539" spans="1:10">
      <c r="A1539" s="1819" t="s">
        <v>1422</v>
      </c>
      <c r="B1539" s="1819" t="s">
        <v>1852</v>
      </c>
      <c r="C1539" s="1820">
        <v>2269000000</v>
      </c>
      <c r="D1539" s="1820">
        <v>2156000000</v>
      </c>
      <c r="E1539" s="1821">
        <v>123</v>
      </c>
      <c r="F1539" s="1821">
        <v>90</v>
      </c>
      <c r="G1539" s="1822"/>
      <c r="H1539" s="1822"/>
      <c r="I1539" s="1823">
        <v>42522</v>
      </c>
      <c r="J1539" s="1596" t="e">
        <f>VLOOKUP(A1539,#REF!,2,0)</f>
        <v>#REF!</v>
      </c>
    </row>
    <row r="1540" spans="1:10">
      <c r="A1540" s="1819" t="s">
        <v>1305</v>
      </c>
      <c r="B1540" s="1819" t="s">
        <v>1853</v>
      </c>
      <c r="C1540" s="1820">
        <v>526000000</v>
      </c>
      <c r="D1540" s="1820">
        <v>500000000</v>
      </c>
      <c r="E1540" s="1821">
        <v>33</v>
      </c>
      <c r="F1540" s="1821">
        <v>26</v>
      </c>
      <c r="G1540" s="1822"/>
      <c r="H1540" s="1822"/>
      <c r="I1540" s="1823">
        <v>42522</v>
      </c>
      <c r="J1540" s="1596" t="e">
        <f>VLOOKUP(A1540,#REF!,2,0)</f>
        <v>#REF!</v>
      </c>
    </row>
    <row r="1541" spans="1:10">
      <c r="A1541" s="1819" t="s">
        <v>1423</v>
      </c>
      <c r="B1541" s="1819" t="s">
        <v>1854</v>
      </c>
      <c r="C1541" s="1820">
        <v>1105000000</v>
      </c>
      <c r="D1541" s="1820">
        <v>1050000000</v>
      </c>
      <c r="E1541" s="1821">
        <v>60</v>
      </c>
      <c r="F1541" s="1821">
        <v>30</v>
      </c>
      <c r="G1541" s="1822"/>
      <c r="H1541" s="1822"/>
      <c r="I1541" s="1823">
        <v>42522</v>
      </c>
      <c r="J1541" s="1596" t="e">
        <f>VLOOKUP(A1541,#REF!,2,0)</f>
        <v>#REF!</v>
      </c>
    </row>
    <row r="1542" spans="1:10">
      <c r="A1542" s="1819" t="s">
        <v>1424</v>
      </c>
      <c r="B1542" s="1819" t="s">
        <v>1855</v>
      </c>
      <c r="C1542" s="1820">
        <v>900000000</v>
      </c>
      <c r="D1542" s="1820">
        <v>855000000</v>
      </c>
      <c r="E1542" s="1821">
        <v>50</v>
      </c>
      <c r="F1542" s="1821">
        <v>30</v>
      </c>
      <c r="G1542" s="1822"/>
      <c r="H1542" s="1822"/>
      <c r="I1542" s="1823">
        <v>42522</v>
      </c>
      <c r="J1542" s="1596" t="e">
        <f>VLOOKUP(A1542,#REF!,2,0)</f>
        <v>#REF!</v>
      </c>
    </row>
    <row r="1543" spans="1:10">
      <c r="A1543" s="1819" t="s">
        <v>2051</v>
      </c>
      <c r="B1543" s="1819" t="s">
        <v>2052</v>
      </c>
      <c r="C1543" s="1820">
        <v>737000000</v>
      </c>
      <c r="D1543" s="1820">
        <v>700000000</v>
      </c>
      <c r="E1543" s="1821">
        <v>47</v>
      </c>
      <c r="F1543" s="1821">
        <v>48</v>
      </c>
      <c r="G1543" s="1822"/>
      <c r="H1543" s="1822"/>
      <c r="I1543" s="1823">
        <v>42522</v>
      </c>
      <c r="J1543" s="1596" t="e">
        <f>VLOOKUP(A1543,#REF!,2,0)</f>
        <v>#REF!</v>
      </c>
    </row>
    <row r="1544" spans="1:10">
      <c r="A1544" s="1819" t="s">
        <v>2221</v>
      </c>
      <c r="B1544" s="1819" t="s">
        <v>2222</v>
      </c>
      <c r="C1544" s="1820">
        <v>1126000000</v>
      </c>
      <c r="D1544" s="1820">
        <v>1070000000</v>
      </c>
      <c r="E1544" s="1821">
        <v>56</v>
      </c>
      <c r="F1544" s="1821">
        <v>25</v>
      </c>
      <c r="G1544" s="1822"/>
      <c r="H1544" s="1822"/>
      <c r="I1544" s="1823">
        <v>42522</v>
      </c>
      <c r="J1544" s="1596" t="e">
        <f>VLOOKUP(A1544,#REF!,2,0)</f>
        <v>#REF!</v>
      </c>
    </row>
    <row r="1545" spans="1:10">
      <c r="A1545" s="1819" t="s">
        <v>2219</v>
      </c>
      <c r="B1545" s="1819" t="s">
        <v>2220</v>
      </c>
      <c r="C1545" s="1820">
        <v>1652000000</v>
      </c>
      <c r="D1545" s="1820">
        <v>1570000000</v>
      </c>
      <c r="E1545" s="1821">
        <v>84</v>
      </c>
      <c r="F1545" s="1821">
        <v>60</v>
      </c>
      <c r="G1545" s="1822"/>
      <c r="H1545" s="1822"/>
      <c r="I1545" s="1823">
        <v>42522</v>
      </c>
      <c r="J1545" s="1596" t="e">
        <f>VLOOKUP(A1545,#REF!,2,0)</f>
        <v>#REF!</v>
      </c>
    </row>
    <row r="1546" spans="1:10">
      <c r="A1546" s="1819" t="s">
        <v>2439</v>
      </c>
      <c r="B1546" s="1819" t="s">
        <v>2440</v>
      </c>
      <c r="C1546" s="1820">
        <v>789000000</v>
      </c>
      <c r="D1546" s="1820">
        <v>750000000</v>
      </c>
      <c r="E1546" s="1821">
        <v>44</v>
      </c>
      <c r="F1546" s="1821">
        <v>30</v>
      </c>
      <c r="G1546" s="1822"/>
      <c r="H1546" s="1822"/>
      <c r="I1546" s="1823">
        <v>42522</v>
      </c>
      <c r="J1546" s="1596" t="e">
        <f>VLOOKUP(A1546,#REF!,2,0)</f>
        <v>#REF!</v>
      </c>
    </row>
    <row r="1547" spans="1:10">
      <c r="A1547" s="1819" t="s">
        <v>2566</v>
      </c>
      <c r="B1547" s="1819" t="s">
        <v>2567</v>
      </c>
      <c r="C1547" s="1820">
        <v>1000000000</v>
      </c>
      <c r="D1547" s="1820">
        <v>950000000</v>
      </c>
      <c r="E1547" s="1821">
        <v>46</v>
      </c>
      <c r="F1547" s="1821">
        <v>40</v>
      </c>
      <c r="G1547" s="1822"/>
      <c r="H1547" s="1822"/>
      <c r="I1547" s="1823">
        <v>42522</v>
      </c>
      <c r="J1547" s="1596" t="e">
        <f>VLOOKUP(A1547,#REF!,2,0)</f>
        <v>#REF!</v>
      </c>
    </row>
    <row r="1548" spans="1:10">
      <c r="A1548" s="1819" t="s">
        <v>3560</v>
      </c>
      <c r="B1548" s="1819" t="s">
        <v>3561</v>
      </c>
      <c r="C1548" s="1820">
        <v>2779000000</v>
      </c>
      <c r="D1548" s="1820">
        <v>2640000000</v>
      </c>
      <c r="E1548" s="1821">
        <v>84</v>
      </c>
      <c r="F1548" s="1821">
        <v>76</v>
      </c>
      <c r="G1548" s="1822"/>
      <c r="H1548" s="1822"/>
      <c r="I1548" s="1823">
        <v>42522</v>
      </c>
      <c r="J1548" s="1596" t="e">
        <f>VLOOKUP(A1548,#REF!,2,0)</f>
        <v>#REF!</v>
      </c>
    </row>
    <row r="1549" spans="1:10">
      <c r="A1549" s="1819" t="s">
        <v>3562</v>
      </c>
      <c r="B1549" s="1819" t="s">
        <v>3563</v>
      </c>
      <c r="C1549" s="1820">
        <v>2059000000</v>
      </c>
      <c r="D1549" s="1820">
        <v>1786000000</v>
      </c>
      <c r="E1549" s="1821">
        <v>73</v>
      </c>
      <c r="F1549" s="1821">
        <v>85</v>
      </c>
      <c r="G1549" s="1822"/>
      <c r="H1549" s="1822"/>
      <c r="I1549" s="1823">
        <v>42522</v>
      </c>
      <c r="J1549" s="1596" t="e">
        <f>VLOOKUP(A1549,#REF!,2,0)</f>
        <v>#REF!</v>
      </c>
    </row>
    <row r="1550" spans="1:10">
      <c r="A1550" s="1819" t="s">
        <v>3564</v>
      </c>
      <c r="B1550" s="1819" t="s">
        <v>3565</v>
      </c>
      <c r="C1550" s="1820">
        <v>475000000</v>
      </c>
      <c r="D1550" s="1820">
        <v>451000000</v>
      </c>
      <c r="E1550" s="1821">
        <v>23</v>
      </c>
      <c r="F1550" s="1821">
        <v>65</v>
      </c>
      <c r="G1550" s="1822"/>
      <c r="H1550" s="1822"/>
      <c r="I1550" s="1823">
        <v>42522</v>
      </c>
      <c r="J1550" s="1596" t="e">
        <f>VLOOKUP(A1550,#REF!,2,0)</f>
        <v>#REF!</v>
      </c>
    </row>
    <row r="1551" spans="1:10" ht="30">
      <c r="A1551" s="1819" t="s">
        <v>3566</v>
      </c>
      <c r="B1551" s="1819" t="s">
        <v>3567</v>
      </c>
      <c r="C1551" s="1820">
        <v>3143000000</v>
      </c>
      <c r="D1551" s="1820">
        <v>2985000000</v>
      </c>
      <c r="E1551" s="1821">
        <v>50</v>
      </c>
      <c r="F1551" s="1821">
        <v>27</v>
      </c>
      <c r="G1551" s="1822"/>
      <c r="H1551" s="1822"/>
      <c r="I1551" s="1823">
        <v>42522</v>
      </c>
      <c r="J1551" s="1596" t="e">
        <f>VLOOKUP(A1551,#REF!,2,0)</f>
        <v>#REF!</v>
      </c>
    </row>
    <row r="1552" spans="1:10">
      <c r="A1552" s="1819" t="s">
        <v>1158</v>
      </c>
      <c r="B1552" s="1819" t="s">
        <v>1159</v>
      </c>
      <c r="C1552" s="1820">
        <v>53688000000</v>
      </c>
      <c r="D1552" s="1820">
        <v>50801500000</v>
      </c>
      <c r="E1552" s="1821">
        <v>1801</v>
      </c>
      <c r="F1552" s="1821">
        <v>1542</v>
      </c>
      <c r="G1552" s="1822"/>
      <c r="H1552" s="1822"/>
      <c r="I1552" s="1823">
        <v>42522</v>
      </c>
      <c r="J1552" s="1596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workbookViewId="0"/>
  </sheetViews>
  <sheetFormatPr defaultColWidth="9.140625" defaultRowHeight="12.75"/>
  <cols>
    <col min="1" max="1" width="32.42578125" style="1016" customWidth="1"/>
    <col min="2" max="2" width="13.5703125" style="1016" customWidth="1"/>
    <col min="3" max="3" width="37.85546875" style="1016" customWidth="1"/>
    <col min="4" max="4" width="15.7109375" style="1016" bestFit="1" customWidth="1"/>
    <col min="5" max="5" width="13.7109375" style="1016" bestFit="1" customWidth="1"/>
    <col min="6" max="6" width="16" style="1016" bestFit="1" customWidth="1"/>
    <col min="7" max="7" width="13.140625" style="1016" customWidth="1"/>
    <col min="8" max="17" width="4.7109375" style="1016" customWidth="1"/>
    <col min="18" max="16384" width="9.140625" style="1016"/>
  </cols>
  <sheetData>
    <row r="1" spans="1:18" s="1208" customFormat="1">
      <c r="A1" s="1208" t="s">
        <v>623</v>
      </c>
      <c r="B1" s="1208" t="s">
        <v>15</v>
      </c>
      <c r="C1" s="1208" t="s">
        <v>624</v>
      </c>
      <c r="D1" s="1208" t="s">
        <v>625</v>
      </c>
      <c r="E1" s="1208" t="s">
        <v>626</v>
      </c>
      <c r="F1" s="1208" t="s">
        <v>627</v>
      </c>
      <c r="G1" s="1208" t="s">
        <v>34</v>
      </c>
      <c r="H1" s="1208" t="s">
        <v>35</v>
      </c>
      <c r="I1" s="1208" t="s">
        <v>36</v>
      </c>
      <c r="J1" s="1208" t="s">
        <v>37</v>
      </c>
      <c r="K1" s="1208" t="s">
        <v>38</v>
      </c>
      <c r="L1" s="1208" t="s">
        <v>39</v>
      </c>
      <c r="M1" s="1208" t="s">
        <v>40</v>
      </c>
      <c r="N1" s="1208" t="s">
        <v>41</v>
      </c>
      <c r="O1" s="1208" t="s">
        <v>42</v>
      </c>
      <c r="P1" s="1208" t="s">
        <v>43</v>
      </c>
      <c r="Q1" s="1208" t="s">
        <v>44</v>
      </c>
      <c r="R1" s="1599" t="s">
        <v>1146</v>
      </c>
    </row>
    <row r="2" spans="1:18">
      <c r="A2" s="1232" t="s">
        <v>576</v>
      </c>
      <c r="B2" s="1232" t="s">
        <v>792</v>
      </c>
      <c r="C2" s="1233" t="s">
        <v>92</v>
      </c>
      <c r="D2" s="1234" t="s">
        <v>91</v>
      </c>
      <c r="E2" s="1234">
        <v>201301</v>
      </c>
      <c r="F2" s="1109">
        <v>13</v>
      </c>
      <c r="G2" s="1109">
        <v>14</v>
      </c>
      <c r="H2" s="1109">
        <v>15</v>
      </c>
      <c r="I2" s="1109">
        <v>16</v>
      </c>
      <c r="J2" s="1109">
        <v>17</v>
      </c>
      <c r="K2" s="1109">
        <v>18</v>
      </c>
      <c r="L2" s="1109">
        <v>19</v>
      </c>
      <c r="M2" s="1109">
        <v>20</v>
      </c>
      <c r="N2" s="1109">
        <v>21</v>
      </c>
      <c r="O2" s="1109">
        <v>22</v>
      </c>
      <c r="P2" s="1109">
        <v>23</v>
      </c>
      <c r="Q2" s="1109">
        <v>24</v>
      </c>
    </row>
    <row r="3" spans="1:18">
      <c r="A3" s="1232" t="s">
        <v>577</v>
      </c>
      <c r="B3" s="1232" t="s">
        <v>1154</v>
      </c>
      <c r="C3" s="1233" t="s">
        <v>483</v>
      </c>
      <c r="D3" s="1234" t="s">
        <v>630</v>
      </c>
      <c r="E3" s="1234">
        <v>201312</v>
      </c>
      <c r="F3" s="1109">
        <v>2</v>
      </c>
      <c r="G3" s="1109">
        <v>3</v>
      </c>
      <c r="H3" s="1109">
        <v>4</v>
      </c>
      <c r="I3" s="1109">
        <v>5</v>
      </c>
      <c r="J3" s="1109">
        <v>6</v>
      </c>
      <c r="K3" s="1109">
        <v>7</v>
      </c>
      <c r="L3" s="1109">
        <v>8</v>
      </c>
      <c r="M3" s="1109">
        <v>9</v>
      </c>
      <c r="N3" s="1109">
        <v>10</v>
      </c>
      <c r="O3" s="1109">
        <v>11</v>
      </c>
      <c r="P3" s="1109">
        <v>12</v>
      </c>
      <c r="Q3" s="1109">
        <v>13</v>
      </c>
    </row>
    <row r="4" spans="1:18">
      <c r="A4" s="1232" t="s">
        <v>578</v>
      </c>
      <c r="B4" s="1232" t="s">
        <v>1154</v>
      </c>
      <c r="C4" s="1233" t="s">
        <v>194</v>
      </c>
      <c r="D4" s="1234" t="s">
        <v>187</v>
      </c>
      <c r="E4" s="1234">
        <v>201303</v>
      </c>
      <c r="F4" s="1109">
        <v>11</v>
      </c>
      <c r="G4" s="1109">
        <v>12</v>
      </c>
      <c r="H4" s="1109">
        <v>13</v>
      </c>
      <c r="I4" s="1235">
        <v>22</v>
      </c>
      <c r="J4" s="1235">
        <v>23</v>
      </c>
      <c r="K4" s="1235">
        <v>24</v>
      </c>
      <c r="L4" s="1235">
        <v>25</v>
      </c>
      <c r="M4" s="1235">
        <v>26</v>
      </c>
      <c r="N4" s="1235">
        <v>27</v>
      </c>
      <c r="O4" s="1235">
        <v>28</v>
      </c>
      <c r="P4" s="1235">
        <v>29</v>
      </c>
      <c r="Q4" s="1235">
        <v>30</v>
      </c>
    </row>
    <row r="5" spans="1:18">
      <c r="A5" s="1232" t="s">
        <v>579</v>
      </c>
      <c r="B5" s="1232" t="s">
        <v>1154</v>
      </c>
      <c r="C5" s="1233" t="s">
        <v>17</v>
      </c>
      <c r="D5" s="1234" t="s">
        <v>47</v>
      </c>
      <c r="E5" s="1234">
        <v>201207</v>
      </c>
      <c r="F5" s="1109">
        <v>19</v>
      </c>
      <c r="G5" s="1109">
        <v>20</v>
      </c>
      <c r="H5" s="1109">
        <v>21</v>
      </c>
      <c r="I5" s="1109">
        <v>22</v>
      </c>
      <c r="J5" s="1109">
        <v>23</v>
      </c>
      <c r="K5" s="1109">
        <v>24</v>
      </c>
      <c r="L5" s="1109">
        <v>25</v>
      </c>
      <c r="M5" s="1109">
        <v>26</v>
      </c>
      <c r="N5" s="1109">
        <v>27</v>
      </c>
      <c r="O5" s="1109">
        <v>28</v>
      </c>
      <c r="P5" s="1109">
        <v>29</v>
      </c>
      <c r="Q5" s="1109">
        <v>30</v>
      </c>
    </row>
    <row r="6" spans="1:18">
      <c r="A6" s="1232" t="s">
        <v>631</v>
      </c>
      <c r="B6" s="1232" t="s">
        <v>1154</v>
      </c>
      <c r="C6" s="1233" t="s">
        <v>629</v>
      </c>
      <c r="D6" s="1234" t="s">
        <v>628</v>
      </c>
      <c r="E6" s="1234">
        <v>201403</v>
      </c>
      <c r="F6" s="1109">
        <v>0</v>
      </c>
      <c r="G6" s="1109">
        <v>0</v>
      </c>
      <c r="H6" s="1109">
        <v>1</v>
      </c>
      <c r="I6" s="1109">
        <f>H6+1</f>
        <v>2</v>
      </c>
      <c r="J6" s="1109">
        <f t="shared" ref="J6:Q6" si="0">I6+1</f>
        <v>3</v>
      </c>
      <c r="K6" s="1109">
        <f t="shared" si="0"/>
        <v>4</v>
      </c>
      <c r="L6" s="1109">
        <f t="shared" si="0"/>
        <v>5</v>
      </c>
      <c r="M6" s="1109">
        <f t="shared" si="0"/>
        <v>6</v>
      </c>
      <c r="N6" s="1109">
        <f t="shared" si="0"/>
        <v>7</v>
      </c>
      <c r="O6" s="1109">
        <f t="shared" si="0"/>
        <v>8</v>
      </c>
      <c r="P6" s="1109">
        <f t="shared" si="0"/>
        <v>9</v>
      </c>
      <c r="Q6" s="1109">
        <f t="shared" si="0"/>
        <v>10</v>
      </c>
    </row>
    <row r="7" spans="1:18">
      <c r="A7" s="1236" t="s">
        <v>651</v>
      </c>
      <c r="B7" s="1236" t="s">
        <v>1154</v>
      </c>
      <c r="C7" s="1233" t="s">
        <v>641</v>
      </c>
      <c r="D7" s="1233" t="s">
        <v>642</v>
      </c>
      <c r="E7" s="1234">
        <v>201404</v>
      </c>
      <c r="F7" s="1109">
        <v>0</v>
      </c>
      <c r="G7" s="1109">
        <v>0</v>
      </c>
      <c r="H7" s="1109">
        <v>0</v>
      </c>
      <c r="I7" s="1109">
        <v>1</v>
      </c>
      <c r="J7" s="1109">
        <v>2</v>
      </c>
      <c r="K7" s="1109">
        <v>3</v>
      </c>
      <c r="L7" s="1109">
        <v>4</v>
      </c>
      <c r="M7" s="1109">
        <v>5</v>
      </c>
      <c r="N7" s="1109">
        <v>6</v>
      </c>
      <c r="O7" s="1109">
        <v>7</v>
      </c>
      <c r="P7" s="1109">
        <v>8</v>
      </c>
      <c r="Q7" s="1109">
        <v>9</v>
      </c>
    </row>
    <row r="8" spans="1:18">
      <c r="A8" s="1236" t="s">
        <v>653</v>
      </c>
      <c r="B8" s="1236" t="s">
        <v>1154</v>
      </c>
      <c r="C8" s="1233" t="s">
        <v>644</v>
      </c>
      <c r="D8" s="1233" t="s">
        <v>648</v>
      </c>
      <c r="E8" s="1234">
        <v>201404</v>
      </c>
      <c r="F8" s="1109">
        <v>0</v>
      </c>
      <c r="G8" s="1109">
        <v>0</v>
      </c>
      <c r="H8" s="1109">
        <v>0</v>
      </c>
      <c r="I8" s="1109">
        <v>1</v>
      </c>
      <c r="J8" s="1109">
        <v>2</v>
      </c>
      <c r="K8" s="1109">
        <v>3</v>
      </c>
      <c r="L8" s="1109">
        <v>4</v>
      </c>
      <c r="M8" s="1109">
        <v>5</v>
      </c>
      <c r="N8" s="1109">
        <v>6</v>
      </c>
      <c r="O8" s="1109">
        <v>7</v>
      </c>
      <c r="P8" s="1109">
        <v>8</v>
      </c>
      <c r="Q8" s="1109">
        <v>9</v>
      </c>
    </row>
    <row r="9" spans="1:18">
      <c r="A9" s="1236" t="s">
        <v>654</v>
      </c>
      <c r="B9" s="1236" t="s">
        <v>1154</v>
      </c>
      <c r="C9" s="1233" t="s">
        <v>645</v>
      </c>
      <c r="D9" s="1233" t="s">
        <v>649</v>
      </c>
      <c r="E9" s="1234">
        <v>201404</v>
      </c>
      <c r="F9" s="1109">
        <v>0</v>
      </c>
      <c r="G9" s="1109">
        <v>0</v>
      </c>
      <c r="H9" s="1109">
        <v>0</v>
      </c>
      <c r="I9" s="1109">
        <v>1</v>
      </c>
      <c r="J9" s="1109">
        <v>2</v>
      </c>
      <c r="K9" s="1109">
        <v>3</v>
      </c>
      <c r="L9" s="1109">
        <v>4</v>
      </c>
      <c r="M9" s="1109">
        <v>5</v>
      </c>
      <c r="N9" s="1109">
        <v>6</v>
      </c>
      <c r="O9" s="1109">
        <v>7</v>
      </c>
      <c r="P9" s="1109">
        <v>8</v>
      </c>
      <c r="Q9" s="1109">
        <v>9</v>
      </c>
    </row>
    <row r="10" spans="1:18">
      <c r="A10" s="1236" t="s">
        <v>1778</v>
      </c>
      <c r="B10" s="1236" t="s">
        <v>1154</v>
      </c>
      <c r="C10" s="1233" t="s">
        <v>1777</v>
      </c>
      <c r="D10" s="1233" t="s">
        <v>650</v>
      </c>
      <c r="E10" s="1234">
        <v>201403</v>
      </c>
      <c r="F10" s="1109">
        <v>0</v>
      </c>
      <c r="G10" s="1109">
        <v>0</v>
      </c>
      <c r="H10" s="1109">
        <v>1</v>
      </c>
      <c r="I10" s="1109">
        <v>2</v>
      </c>
      <c r="J10" s="1109">
        <v>3</v>
      </c>
      <c r="K10" s="1109">
        <v>4</v>
      </c>
      <c r="L10" s="1109">
        <v>5</v>
      </c>
      <c r="M10" s="1109">
        <v>6</v>
      </c>
      <c r="N10" s="1109">
        <v>7</v>
      </c>
      <c r="O10" s="1109">
        <v>8</v>
      </c>
      <c r="P10" s="1109">
        <v>9</v>
      </c>
      <c r="Q10" s="1109">
        <v>10</v>
      </c>
    </row>
    <row r="11" spans="1:18">
      <c r="A11" s="1237" t="s">
        <v>743</v>
      </c>
      <c r="B11" s="1236" t="s">
        <v>1154</v>
      </c>
      <c r="C11" s="1233" t="s">
        <v>790</v>
      </c>
      <c r="D11" s="1233" t="s">
        <v>735</v>
      </c>
      <c r="E11" s="1234">
        <v>201405</v>
      </c>
      <c r="F11" s="1109">
        <v>0</v>
      </c>
      <c r="G11" s="1109">
        <v>0</v>
      </c>
      <c r="H11" s="1109">
        <v>0</v>
      </c>
      <c r="I11" s="1109">
        <v>0</v>
      </c>
      <c r="J11" s="1109">
        <v>1</v>
      </c>
      <c r="K11" s="1109">
        <v>2</v>
      </c>
      <c r="L11" s="1109">
        <v>3</v>
      </c>
      <c r="M11" s="1109">
        <v>4</v>
      </c>
      <c r="N11" s="1109">
        <v>5</v>
      </c>
      <c r="O11" s="1109">
        <v>6</v>
      </c>
      <c r="P11" s="1109">
        <v>7</v>
      </c>
      <c r="Q11" s="1109">
        <v>8</v>
      </c>
    </row>
    <row r="12" spans="1:18">
      <c r="A12" s="1237" t="s">
        <v>731</v>
      </c>
      <c r="B12" s="1236" t="s">
        <v>1154</v>
      </c>
      <c r="C12" s="1233" t="s">
        <v>697</v>
      </c>
      <c r="D12" s="1233" t="s">
        <v>736</v>
      </c>
      <c r="E12" s="1238">
        <v>201405</v>
      </c>
      <c r="F12" s="1109">
        <v>0</v>
      </c>
      <c r="G12" s="1109">
        <v>0</v>
      </c>
      <c r="H12" s="1109">
        <v>0</v>
      </c>
      <c r="I12" s="1109">
        <v>0</v>
      </c>
      <c r="J12" s="1109">
        <v>1</v>
      </c>
      <c r="K12" s="1109">
        <v>2</v>
      </c>
      <c r="L12" s="1109">
        <v>3</v>
      </c>
      <c r="M12" s="1109">
        <v>4</v>
      </c>
      <c r="N12" s="1109">
        <v>5</v>
      </c>
      <c r="O12" s="1109">
        <v>6</v>
      </c>
      <c r="P12" s="1109">
        <v>7</v>
      </c>
      <c r="Q12" s="1109">
        <v>8</v>
      </c>
    </row>
    <row r="13" spans="1:18" ht="12.95" customHeight="1">
      <c r="A13" s="1237" t="s">
        <v>1767</v>
      </c>
      <c r="B13" s="1236" t="s">
        <v>1675</v>
      </c>
      <c r="C13" s="1233" t="s">
        <v>1766</v>
      </c>
      <c r="D13" s="1233" t="s">
        <v>734</v>
      </c>
      <c r="E13" s="1238">
        <v>201405</v>
      </c>
      <c r="F13" s="1109">
        <v>0</v>
      </c>
      <c r="G13" s="1109">
        <v>0</v>
      </c>
      <c r="H13" s="1109">
        <v>0</v>
      </c>
      <c r="I13" s="1109">
        <v>0</v>
      </c>
      <c r="J13" s="1109">
        <v>1</v>
      </c>
      <c r="K13" s="1109">
        <v>2</v>
      </c>
      <c r="L13" s="1109">
        <v>3</v>
      </c>
      <c r="M13" s="1109">
        <v>4</v>
      </c>
      <c r="N13" s="1109">
        <v>5</v>
      </c>
      <c r="O13" s="1109">
        <v>6</v>
      </c>
      <c r="P13" s="1109">
        <v>7</v>
      </c>
      <c r="Q13" s="1109">
        <v>8</v>
      </c>
    </row>
    <row r="14" spans="1:18" ht="12.95" customHeight="1">
      <c r="A14" s="1237" t="s">
        <v>1164</v>
      </c>
      <c r="B14" s="1236" t="s">
        <v>458</v>
      </c>
      <c r="C14" s="1233" t="s">
        <v>2897</v>
      </c>
      <c r="D14" s="1233" t="s">
        <v>1101</v>
      </c>
      <c r="E14" s="1610">
        <v>201501</v>
      </c>
      <c r="F14" s="1109">
        <v>0</v>
      </c>
      <c r="G14" s="1109">
        <v>0</v>
      </c>
      <c r="H14" s="1109">
        <v>0</v>
      </c>
      <c r="I14" s="1109">
        <v>0</v>
      </c>
      <c r="J14" s="1109">
        <v>0</v>
      </c>
      <c r="K14" s="1109">
        <v>0</v>
      </c>
      <c r="L14" s="1109">
        <v>0</v>
      </c>
      <c r="M14" s="1109">
        <v>0</v>
      </c>
      <c r="N14" s="1109">
        <v>0</v>
      </c>
      <c r="O14" s="1109">
        <v>0</v>
      </c>
      <c r="P14" s="1109">
        <v>0</v>
      </c>
      <c r="Q14" s="1109">
        <v>0</v>
      </c>
      <c r="R14" s="1109">
        <v>1</v>
      </c>
    </row>
    <row r="15" spans="1:18" ht="12.95" customHeight="1">
      <c r="A15" s="1237" t="s">
        <v>1165</v>
      </c>
      <c r="B15" s="1236" t="s">
        <v>3513</v>
      </c>
      <c r="C15" s="1233" t="s">
        <v>1163</v>
      </c>
      <c r="D15" s="1233" t="s">
        <v>1102</v>
      </c>
      <c r="E15" s="1610">
        <v>201501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9">
        <v>0</v>
      </c>
      <c r="M15" s="1109">
        <v>0</v>
      </c>
      <c r="N15" s="1109">
        <v>0</v>
      </c>
      <c r="O15" s="1109">
        <v>0</v>
      </c>
      <c r="P15" s="1109">
        <v>0</v>
      </c>
      <c r="Q15" s="1109">
        <v>0</v>
      </c>
      <c r="R15" s="1109">
        <v>1</v>
      </c>
    </row>
    <row r="16" spans="1:18">
      <c r="A16" s="1237" t="s">
        <v>801</v>
      </c>
      <c r="B16" s="1236" t="s">
        <v>1154</v>
      </c>
      <c r="C16" s="1233" t="s">
        <v>797</v>
      </c>
      <c r="D16" s="1233" t="s">
        <v>796</v>
      </c>
      <c r="E16" s="1238">
        <v>201406</v>
      </c>
      <c r="F16" s="1109">
        <v>0</v>
      </c>
      <c r="G16" s="1109">
        <v>0</v>
      </c>
      <c r="H16" s="1109">
        <v>0</v>
      </c>
      <c r="I16" s="1109">
        <v>0</v>
      </c>
      <c r="J16" s="1109">
        <v>0</v>
      </c>
      <c r="K16" s="1109">
        <v>1</v>
      </c>
      <c r="L16" s="1109">
        <v>2</v>
      </c>
      <c r="M16" s="1109">
        <v>3</v>
      </c>
      <c r="N16" s="1109">
        <v>4</v>
      </c>
      <c r="O16" s="1109">
        <v>5</v>
      </c>
      <c r="P16" s="1109">
        <v>6</v>
      </c>
      <c r="Q16" s="1109">
        <v>7</v>
      </c>
    </row>
    <row r="17" spans="1:19">
      <c r="A17" s="1237" t="s">
        <v>1769</v>
      </c>
      <c r="B17" s="1236" t="s">
        <v>1154</v>
      </c>
      <c r="C17" s="1233" t="s">
        <v>1768</v>
      </c>
      <c r="D17" s="1233" t="s">
        <v>798</v>
      </c>
      <c r="E17" s="1238">
        <v>201407</v>
      </c>
      <c r="F17" s="1109">
        <v>0</v>
      </c>
      <c r="G17" s="1109">
        <v>0</v>
      </c>
      <c r="H17" s="1109">
        <v>0</v>
      </c>
      <c r="I17" s="1109">
        <v>0</v>
      </c>
      <c r="J17" s="1109">
        <v>0</v>
      </c>
      <c r="K17" s="1109">
        <v>0</v>
      </c>
      <c r="L17" s="1109">
        <v>1</v>
      </c>
      <c r="M17" s="1109">
        <v>2</v>
      </c>
      <c r="N17" s="1109">
        <v>3</v>
      </c>
      <c r="O17" s="1109">
        <v>4</v>
      </c>
      <c r="P17" s="1109">
        <v>5</v>
      </c>
      <c r="Q17" s="1109">
        <v>6</v>
      </c>
    </row>
    <row r="18" spans="1:19">
      <c r="A18" s="1237" t="s">
        <v>1096</v>
      </c>
      <c r="B18" s="1236" t="s">
        <v>1154</v>
      </c>
      <c r="C18" s="1233" t="s">
        <v>1014</v>
      </c>
      <c r="D18" s="1233" t="s">
        <v>902</v>
      </c>
      <c r="E18" s="1238">
        <v>201410</v>
      </c>
      <c r="F18" s="1109">
        <v>0</v>
      </c>
      <c r="G18" s="1109">
        <v>0</v>
      </c>
      <c r="H18" s="1109">
        <v>0</v>
      </c>
      <c r="I18" s="1109">
        <v>0</v>
      </c>
      <c r="J18" s="1109">
        <v>0</v>
      </c>
      <c r="K18" s="1109">
        <v>0</v>
      </c>
      <c r="L18" s="1109">
        <v>0</v>
      </c>
      <c r="M18" s="1109">
        <v>0</v>
      </c>
      <c r="N18" s="1109">
        <v>0</v>
      </c>
      <c r="O18" s="1109">
        <v>1</v>
      </c>
      <c r="P18" s="1109">
        <v>2</v>
      </c>
      <c r="Q18" s="1109">
        <v>3</v>
      </c>
    </row>
    <row r="19" spans="1:19">
      <c r="A19" s="1237" t="s">
        <v>908</v>
      </c>
      <c r="B19" s="1236" t="s">
        <v>1154</v>
      </c>
      <c r="C19" s="1233" t="s">
        <v>901</v>
      </c>
      <c r="D19" s="1233" t="s">
        <v>900</v>
      </c>
      <c r="E19" s="1238">
        <v>201410</v>
      </c>
      <c r="F19" s="1109">
        <v>0</v>
      </c>
      <c r="G19" s="1109">
        <v>0</v>
      </c>
      <c r="H19" s="1109">
        <v>0</v>
      </c>
      <c r="I19" s="1109">
        <v>0</v>
      </c>
      <c r="J19" s="1109">
        <v>0</v>
      </c>
      <c r="K19" s="1109">
        <v>0</v>
      </c>
      <c r="L19" s="1109">
        <v>0</v>
      </c>
      <c r="M19" s="1109">
        <v>0</v>
      </c>
      <c r="N19" s="1109">
        <v>0</v>
      </c>
      <c r="O19" s="1109">
        <v>1</v>
      </c>
      <c r="P19" s="1109">
        <v>2</v>
      </c>
      <c r="Q19" s="1109">
        <v>3</v>
      </c>
    </row>
    <row r="20" spans="1:19">
      <c r="A20" s="1237" t="s">
        <v>907</v>
      </c>
      <c r="B20" s="1236" t="s">
        <v>1154</v>
      </c>
      <c r="C20" s="1233" t="s">
        <v>904</v>
      </c>
      <c r="D20" s="1233" t="s">
        <v>903</v>
      </c>
      <c r="E20" s="1238">
        <v>201410</v>
      </c>
      <c r="F20" s="1109">
        <v>0</v>
      </c>
      <c r="G20" s="1109">
        <v>0</v>
      </c>
      <c r="H20" s="1109">
        <v>0</v>
      </c>
      <c r="I20" s="1109">
        <v>0</v>
      </c>
      <c r="J20" s="1109">
        <v>0</v>
      </c>
      <c r="K20" s="1109">
        <v>0</v>
      </c>
      <c r="L20" s="1109">
        <v>0</v>
      </c>
      <c r="M20" s="1109">
        <v>0</v>
      </c>
      <c r="N20" s="1109">
        <v>0</v>
      </c>
      <c r="O20" s="1109">
        <v>1</v>
      </c>
      <c r="P20" s="1109">
        <v>2</v>
      </c>
      <c r="Q20" s="1109">
        <v>3</v>
      </c>
    </row>
    <row r="21" spans="1:19" ht="15">
      <c r="A21" s="1237" t="s">
        <v>1288</v>
      </c>
      <c r="B21" s="1236" t="s">
        <v>1154</v>
      </c>
      <c r="C21" s="1233" t="s">
        <v>1286</v>
      </c>
      <c r="D21" s="1233" t="s">
        <v>1099</v>
      </c>
      <c r="E21" s="1608">
        <v>201502</v>
      </c>
      <c r="F21" s="1109">
        <v>0</v>
      </c>
      <c r="G21" s="1109">
        <v>0</v>
      </c>
      <c r="H21" s="1109">
        <v>0</v>
      </c>
      <c r="I21" s="1109">
        <v>0</v>
      </c>
      <c r="J21" s="1109">
        <v>0</v>
      </c>
      <c r="K21" s="1109">
        <v>0</v>
      </c>
      <c r="L21" s="1109">
        <v>0</v>
      </c>
      <c r="M21" s="1109">
        <v>0</v>
      </c>
      <c r="N21" s="1109">
        <v>0</v>
      </c>
      <c r="O21" s="1109">
        <v>0</v>
      </c>
      <c r="P21" s="1109">
        <v>0</v>
      </c>
      <c r="Q21" s="1109">
        <v>0</v>
      </c>
      <c r="R21" s="1109">
        <v>0</v>
      </c>
      <c r="S21" s="1109">
        <v>1</v>
      </c>
    </row>
    <row r="22" spans="1:19" ht="15">
      <c r="A22" s="1237" t="s">
        <v>1577</v>
      </c>
      <c r="B22" s="1236" t="s">
        <v>1154</v>
      </c>
      <c r="C22" s="327" t="s">
        <v>1564</v>
      </c>
      <c r="D22" s="1233" t="s">
        <v>1563</v>
      </c>
      <c r="E22" s="1608">
        <v>201504</v>
      </c>
      <c r="F22" s="1109"/>
      <c r="G22" s="1109"/>
      <c r="H22" s="1109"/>
      <c r="I22" s="1109"/>
      <c r="J22" s="1109"/>
      <c r="K22" s="1109"/>
      <c r="L22" s="1109"/>
      <c r="M22" s="1109"/>
      <c r="N22" s="1109"/>
      <c r="O22" s="1109"/>
      <c r="P22" s="1109"/>
      <c r="Q22" s="1109"/>
      <c r="R22" s="1109"/>
      <c r="S22" s="1109"/>
    </row>
    <row r="23" spans="1:19" ht="15">
      <c r="A23" s="1237" t="s">
        <v>1772</v>
      </c>
      <c r="B23" s="1236" t="s">
        <v>1154</v>
      </c>
      <c r="C23" s="1233" t="s">
        <v>1771</v>
      </c>
      <c r="D23" s="1233" t="s">
        <v>1418</v>
      </c>
      <c r="E23" s="1608">
        <v>201504</v>
      </c>
      <c r="F23" s="1109"/>
      <c r="G23" s="1109"/>
      <c r="H23" s="1109"/>
      <c r="I23" s="1109"/>
      <c r="J23" s="1109"/>
      <c r="K23" s="1109"/>
      <c r="L23" s="1109"/>
      <c r="M23" s="1109"/>
      <c r="N23" s="1109"/>
      <c r="O23" s="1109"/>
      <c r="P23" s="1109"/>
      <c r="Q23" s="1109"/>
      <c r="R23" s="1109"/>
      <c r="S23" s="1109"/>
    </row>
    <row r="24" spans="1:19" ht="15">
      <c r="A24" s="1237" t="s">
        <v>1671</v>
      </c>
      <c r="B24" s="1236" t="s">
        <v>1154</v>
      </c>
      <c r="C24" s="1233" t="s">
        <v>1566</v>
      </c>
      <c r="D24" s="1233" t="s">
        <v>1565</v>
      </c>
      <c r="E24" s="1680">
        <v>201506</v>
      </c>
      <c r="F24" s="1109"/>
      <c r="G24" s="1109"/>
      <c r="H24" s="1109"/>
      <c r="I24" s="1109"/>
      <c r="J24" s="1109"/>
      <c r="K24" s="1109"/>
      <c r="L24" s="1109"/>
      <c r="M24" s="1109"/>
      <c r="N24" s="1109"/>
      <c r="O24" s="1109"/>
      <c r="P24" s="1109"/>
      <c r="Q24" s="1109"/>
      <c r="R24" s="1109"/>
      <c r="S24" s="1109"/>
    </row>
    <row r="25" spans="1:19" ht="15">
      <c r="A25" s="1237" t="s">
        <v>1672</v>
      </c>
      <c r="B25" s="1236" t="s">
        <v>1154</v>
      </c>
      <c r="C25" s="1233" t="s">
        <v>1670</v>
      </c>
      <c r="D25" s="1233" t="s">
        <v>1669</v>
      </c>
      <c r="E25" s="1680">
        <v>201506</v>
      </c>
      <c r="F25" s="1109"/>
      <c r="G25" s="1109"/>
      <c r="H25" s="1109"/>
      <c r="I25" s="1109"/>
      <c r="J25" s="1109"/>
      <c r="K25" s="1109"/>
      <c r="L25" s="1109"/>
      <c r="M25" s="1109"/>
      <c r="N25" s="1109"/>
      <c r="O25" s="1109"/>
      <c r="P25" s="1109"/>
      <c r="Q25" s="1109"/>
      <c r="R25" s="1109"/>
      <c r="S25" s="1109"/>
    </row>
    <row r="26" spans="1:19">
      <c r="A26" s="1237" t="s">
        <v>951</v>
      </c>
      <c r="B26" s="1236" t="s">
        <v>1675</v>
      </c>
      <c r="C26" s="1233" t="s">
        <v>950</v>
      </c>
      <c r="D26" s="1233" t="s">
        <v>949</v>
      </c>
      <c r="E26" s="1238">
        <v>201411</v>
      </c>
      <c r="F26" s="1109">
        <v>0</v>
      </c>
      <c r="G26" s="1109">
        <v>0</v>
      </c>
      <c r="H26" s="1109">
        <v>0</v>
      </c>
      <c r="I26" s="1109">
        <v>0</v>
      </c>
      <c r="J26" s="1109">
        <v>0</v>
      </c>
      <c r="K26" s="1109">
        <v>0</v>
      </c>
      <c r="L26" s="1109">
        <v>0</v>
      </c>
      <c r="M26" s="1109">
        <v>0</v>
      </c>
      <c r="N26" s="1109">
        <v>0</v>
      </c>
      <c r="O26" s="1109">
        <v>0</v>
      </c>
      <c r="P26" s="1109">
        <v>1</v>
      </c>
      <c r="Q26" s="1109">
        <v>0</v>
      </c>
    </row>
    <row r="27" spans="1:19">
      <c r="A27" s="1237" t="s">
        <v>909</v>
      </c>
      <c r="B27" s="1236" t="s">
        <v>792</v>
      </c>
      <c r="C27" s="1233" t="s">
        <v>906</v>
      </c>
      <c r="D27" s="1233" t="s">
        <v>905</v>
      </c>
      <c r="E27" s="1238">
        <v>201409</v>
      </c>
      <c r="F27" s="1109">
        <v>0</v>
      </c>
      <c r="G27" s="1109">
        <v>0</v>
      </c>
      <c r="H27" s="1109">
        <v>0</v>
      </c>
      <c r="I27" s="1109">
        <v>0</v>
      </c>
      <c r="J27" s="1109">
        <v>0</v>
      </c>
      <c r="K27" s="1109">
        <v>0</v>
      </c>
      <c r="L27" s="1109">
        <v>0</v>
      </c>
      <c r="M27" s="1109">
        <v>0</v>
      </c>
      <c r="N27" s="1109">
        <v>1</v>
      </c>
      <c r="O27" s="1109">
        <v>2</v>
      </c>
      <c r="P27" s="1109">
        <v>3</v>
      </c>
      <c r="Q27" s="1109">
        <v>4</v>
      </c>
    </row>
    <row r="28" spans="1:19">
      <c r="A28" s="1237" t="s">
        <v>2053</v>
      </c>
      <c r="B28" s="1236" t="s">
        <v>3514</v>
      </c>
      <c r="C28" s="1233" t="s">
        <v>2054</v>
      </c>
      <c r="D28" s="1233" t="s">
        <v>2046</v>
      </c>
      <c r="E28" s="1238">
        <v>201509</v>
      </c>
      <c r="F28" s="1109"/>
      <c r="G28" s="1109"/>
      <c r="H28" s="1109"/>
      <c r="I28" s="1109"/>
      <c r="J28" s="1109"/>
      <c r="K28" s="1109"/>
      <c r="L28" s="1109"/>
      <c r="M28" s="1109"/>
      <c r="N28" s="1109"/>
      <c r="O28" s="1109"/>
      <c r="P28" s="1109"/>
      <c r="Q28" s="1109"/>
    </row>
    <row r="29" spans="1:19">
      <c r="A29" s="1239" t="s">
        <v>802</v>
      </c>
      <c r="B29" s="1239" t="s">
        <v>3515</v>
      </c>
      <c r="C29" s="1563" t="s">
        <v>800</v>
      </c>
      <c r="D29" s="1563" t="s">
        <v>799</v>
      </c>
      <c r="E29" s="1238">
        <v>201407</v>
      </c>
      <c r="F29" s="1109">
        <v>0</v>
      </c>
      <c r="G29" s="1109">
        <v>0</v>
      </c>
      <c r="H29" s="1109">
        <v>0</v>
      </c>
      <c r="I29" s="1109">
        <v>0</v>
      </c>
      <c r="J29" s="1109">
        <v>0</v>
      </c>
      <c r="K29" s="1109">
        <v>0</v>
      </c>
      <c r="L29" s="1109">
        <v>1</v>
      </c>
      <c r="M29" s="1109">
        <v>2</v>
      </c>
      <c r="N29" s="1109">
        <v>3</v>
      </c>
      <c r="O29" s="1109">
        <v>4</v>
      </c>
      <c r="P29" s="1109">
        <v>5</v>
      </c>
      <c r="Q29" s="1109">
        <v>6</v>
      </c>
    </row>
    <row r="30" spans="1:19">
      <c r="A30" s="1239" t="s">
        <v>732</v>
      </c>
      <c r="B30" s="1239" t="s">
        <v>3515</v>
      </c>
      <c r="C30" s="1241" t="s">
        <v>698</v>
      </c>
      <c r="D30" s="1241" t="s">
        <v>699</v>
      </c>
      <c r="E30" s="1243">
        <v>201405</v>
      </c>
      <c r="F30" s="1235">
        <v>0</v>
      </c>
      <c r="G30" s="1235">
        <v>0</v>
      </c>
      <c r="H30" s="1235">
        <v>0</v>
      </c>
      <c r="I30" s="1235">
        <v>0</v>
      </c>
      <c r="J30" s="1235">
        <v>1</v>
      </c>
      <c r="K30" s="1235">
        <v>2</v>
      </c>
      <c r="L30" s="1235">
        <v>3</v>
      </c>
      <c r="M30" s="1235">
        <v>4</v>
      </c>
      <c r="N30" s="1235">
        <v>5</v>
      </c>
      <c r="O30" s="1235">
        <v>6</v>
      </c>
      <c r="P30" s="1235">
        <v>7</v>
      </c>
      <c r="Q30" s="1235">
        <v>8</v>
      </c>
    </row>
    <row r="31" spans="1:19" s="1235" customFormat="1">
      <c r="A31" s="1239" t="s">
        <v>663</v>
      </c>
      <c r="B31" s="1240" t="s">
        <v>3516</v>
      </c>
      <c r="C31" s="1241" t="s">
        <v>655</v>
      </c>
      <c r="D31" s="1241" t="s">
        <v>659</v>
      </c>
      <c r="E31" s="1242">
        <v>201403</v>
      </c>
      <c r="F31" s="1235">
        <v>0</v>
      </c>
      <c r="G31" s="1235">
        <v>0</v>
      </c>
      <c r="H31" s="1235">
        <v>1</v>
      </c>
      <c r="I31" s="1235">
        <v>2</v>
      </c>
      <c r="J31" s="1235">
        <v>3</v>
      </c>
      <c r="K31" s="1235">
        <v>4</v>
      </c>
      <c r="L31" s="1235">
        <v>5</v>
      </c>
      <c r="M31" s="1235">
        <v>6</v>
      </c>
      <c r="N31" s="1235">
        <v>7</v>
      </c>
      <c r="O31" s="1235">
        <v>8</v>
      </c>
      <c r="P31" s="1235">
        <v>9</v>
      </c>
      <c r="Q31" s="1235">
        <v>10</v>
      </c>
    </row>
    <row r="32" spans="1:19" s="1235" customFormat="1">
      <c r="A32" s="1239" t="s">
        <v>664</v>
      </c>
      <c r="B32" s="1240" t="s">
        <v>3516</v>
      </c>
      <c r="C32" s="1241" t="s">
        <v>656</v>
      </c>
      <c r="D32" s="1241" t="s">
        <v>660</v>
      </c>
      <c r="E32" s="1242">
        <v>201403</v>
      </c>
      <c r="F32" s="1235">
        <v>0</v>
      </c>
      <c r="G32" s="1235">
        <v>0</v>
      </c>
      <c r="H32" s="1235">
        <v>1</v>
      </c>
      <c r="I32" s="1235">
        <v>2</v>
      </c>
      <c r="J32" s="1235">
        <v>3</v>
      </c>
      <c r="K32" s="1235">
        <v>4</v>
      </c>
      <c r="L32" s="1235">
        <v>5</v>
      </c>
      <c r="M32" s="1235">
        <v>6</v>
      </c>
      <c r="N32" s="1235">
        <v>7</v>
      </c>
      <c r="O32" s="1235">
        <v>8</v>
      </c>
      <c r="P32" s="1235">
        <v>9</v>
      </c>
      <c r="Q32" s="1235">
        <v>10</v>
      </c>
    </row>
    <row r="33" spans="1:19" s="1235" customFormat="1">
      <c r="A33" s="1239" t="s">
        <v>2434</v>
      </c>
      <c r="B33" s="1240" t="s">
        <v>3516</v>
      </c>
      <c r="C33" s="1241" t="s">
        <v>1950</v>
      </c>
      <c r="D33" s="1241" t="s">
        <v>661</v>
      </c>
      <c r="E33" s="1242">
        <v>201403</v>
      </c>
      <c r="F33" s="1235">
        <v>0</v>
      </c>
      <c r="G33" s="1235">
        <v>0</v>
      </c>
      <c r="H33" s="1235">
        <v>1</v>
      </c>
      <c r="I33" s="1235">
        <v>2</v>
      </c>
      <c r="J33" s="1235">
        <v>3</v>
      </c>
      <c r="K33" s="1235">
        <v>4</v>
      </c>
      <c r="L33" s="1235">
        <v>5</v>
      </c>
      <c r="M33" s="1235">
        <v>6</v>
      </c>
      <c r="N33" s="1235">
        <v>7</v>
      </c>
      <c r="O33" s="1235">
        <v>8</v>
      </c>
      <c r="P33" s="1235">
        <v>9</v>
      </c>
      <c r="Q33" s="1235">
        <v>10</v>
      </c>
    </row>
    <row r="34" spans="1:19" s="1235" customFormat="1">
      <c r="A34" s="1240" t="s">
        <v>580</v>
      </c>
      <c r="B34" s="1240" t="s">
        <v>3516</v>
      </c>
      <c r="C34" s="1241" t="s">
        <v>191</v>
      </c>
      <c r="D34" s="1242" t="s">
        <v>179</v>
      </c>
      <c r="E34" s="1242">
        <v>201303</v>
      </c>
      <c r="F34" s="1235">
        <v>11</v>
      </c>
      <c r="G34" s="1235">
        <v>12</v>
      </c>
      <c r="H34" s="1235">
        <v>13</v>
      </c>
      <c r="I34" s="1235">
        <v>14</v>
      </c>
      <c r="J34" s="1235">
        <v>15</v>
      </c>
      <c r="K34" s="1235">
        <v>16</v>
      </c>
      <c r="L34" s="1235">
        <v>17</v>
      </c>
      <c r="M34" s="1235">
        <v>18</v>
      </c>
      <c r="N34" s="1235">
        <v>19</v>
      </c>
      <c r="O34" s="1235">
        <v>20</v>
      </c>
      <c r="P34" s="1235">
        <v>21</v>
      </c>
      <c r="Q34" s="1235">
        <v>22</v>
      </c>
    </row>
    <row r="35" spans="1:19" s="1235" customFormat="1">
      <c r="A35" s="1240" t="s">
        <v>581</v>
      </c>
      <c r="B35" s="1240" t="s">
        <v>3516</v>
      </c>
      <c r="C35" s="1241" t="s">
        <v>190</v>
      </c>
      <c r="D35" s="1242" t="s">
        <v>185</v>
      </c>
      <c r="E35" s="1242">
        <v>201303</v>
      </c>
      <c r="F35" s="1235">
        <v>11</v>
      </c>
      <c r="G35" s="1235">
        <v>12</v>
      </c>
      <c r="H35" s="1235">
        <v>13</v>
      </c>
      <c r="I35" s="1235">
        <v>14</v>
      </c>
      <c r="J35" s="1235">
        <v>15</v>
      </c>
      <c r="K35" s="1235">
        <v>16</v>
      </c>
      <c r="L35" s="1235">
        <v>17</v>
      </c>
      <c r="M35" s="1235">
        <v>18</v>
      </c>
      <c r="N35" s="1235">
        <v>19</v>
      </c>
      <c r="O35" s="1235">
        <v>20</v>
      </c>
      <c r="P35" s="1235">
        <v>21</v>
      </c>
      <c r="Q35" s="1235">
        <v>22</v>
      </c>
    </row>
    <row r="36" spans="1:19" s="1235" customFormat="1">
      <c r="A36" s="1240" t="s">
        <v>582</v>
      </c>
      <c r="B36" s="1240" t="s">
        <v>794</v>
      </c>
      <c r="C36" s="1241" t="s">
        <v>189</v>
      </c>
      <c r="D36" s="1242" t="s">
        <v>177</v>
      </c>
      <c r="E36" s="1242">
        <v>201303</v>
      </c>
      <c r="F36" s="1235">
        <v>11</v>
      </c>
      <c r="G36" s="1235">
        <v>12</v>
      </c>
      <c r="H36" s="1235">
        <v>13</v>
      </c>
      <c r="I36" s="1235">
        <v>14</v>
      </c>
      <c r="J36" s="1235">
        <v>15</v>
      </c>
      <c r="K36" s="1235">
        <v>16</v>
      </c>
      <c r="L36" s="1235">
        <v>17</v>
      </c>
      <c r="M36" s="1235">
        <v>18</v>
      </c>
      <c r="N36" s="1235">
        <v>19</v>
      </c>
      <c r="O36" s="1235">
        <v>20</v>
      </c>
      <c r="P36" s="1235">
        <v>21</v>
      </c>
      <c r="Q36" s="1235">
        <v>22</v>
      </c>
    </row>
    <row r="37" spans="1:19" s="1235" customFormat="1">
      <c r="A37" s="1240" t="s">
        <v>583</v>
      </c>
      <c r="B37" s="1240" t="s">
        <v>3516</v>
      </c>
      <c r="C37" s="1241" t="s">
        <v>188</v>
      </c>
      <c r="D37" s="1242" t="s">
        <v>176</v>
      </c>
      <c r="E37" s="1242">
        <v>201303</v>
      </c>
      <c r="F37" s="1235">
        <v>11</v>
      </c>
      <c r="G37" s="1235">
        <v>12</v>
      </c>
      <c r="H37" s="1235">
        <v>13</v>
      </c>
      <c r="I37" s="1235">
        <v>14</v>
      </c>
      <c r="J37" s="1235">
        <v>15</v>
      </c>
      <c r="K37" s="1235">
        <v>16</v>
      </c>
      <c r="L37" s="1235">
        <v>17</v>
      </c>
      <c r="M37" s="1235">
        <v>18</v>
      </c>
      <c r="N37" s="1235">
        <v>19</v>
      </c>
      <c r="O37" s="1235">
        <v>20</v>
      </c>
      <c r="P37" s="1235">
        <v>21</v>
      </c>
      <c r="Q37" s="1235">
        <v>22</v>
      </c>
    </row>
    <row r="38" spans="1:19" s="1235" customFormat="1" ht="13.5">
      <c r="A38" s="1240" t="s">
        <v>1574</v>
      </c>
      <c r="B38" s="1240" t="s">
        <v>3516</v>
      </c>
      <c r="C38" s="327" t="s">
        <v>1028</v>
      </c>
      <c r="D38" s="1242" t="s">
        <v>1567</v>
      </c>
      <c r="E38" s="1242">
        <v>201505</v>
      </c>
    </row>
    <row r="39" spans="1:19" s="1235" customFormat="1" ht="13.5">
      <c r="A39" s="1240" t="s">
        <v>1575</v>
      </c>
      <c r="B39" s="1240" t="s">
        <v>3516</v>
      </c>
      <c r="C39" s="327" t="s">
        <v>1569</v>
      </c>
      <c r="D39" s="1242" t="s">
        <v>1568</v>
      </c>
      <c r="E39" s="1242">
        <v>201505</v>
      </c>
    </row>
    <row r="40" spans="1:19" s="1235" customFormat="1" ht="13.5">
      <c r="A40" s="1240" t="s">
        <v>1576</v>
      </c>
      <c r="B40" s="1239" t="s">
        <v>3515</v>
      </c>
      <c r="C40" s="327" t="s">
        <v>1573</v>
      </c>
      <c r="D40" s="1242" t="s">
        <v>1572</v>
      </c>
      <c r="E40" s="1242">
        <v>201505</v>
      </c>
    </row>
    <row r="41" spans="1:19" s="1235" customFormat="1">
      <c r="A41" s="1240" t="s">
        <v>1289</v>
      </c>
      <c r="B41" s="1239" t="s">
        <v>3515</v>
      </c>
      <c r="C41" s="1241" t="s">
        <v>1161</v>
      </c>
      <c r="D41" s="1242" t="s">
        <v>1103</v>
      </c>
      <c r="E41" s="1651">
        <v>201504</v>
      </c>
    </row>
    <row r="42" spans="1:19" s="1235" customFormat="1">
      <c r="A42" s="1240" t="s">
        <v>1349</v>
      </c>
      <c r="B42" s="1239" t="s">
        <v>3515</v>
      </c>
      <c r="C42" s="1241" t="s">
        <v>1348</v>
      </c>
      <c r="D42" s="1242" t="s">
        <v>1015</v>
      </c>
      <c r="E42" s="1650">
        <v>201502</v>
      </c>
      <c r="F42" s="1235">
        <v>0</v>
      </c>
      <c r="G42" s="1235">
        <v>0</v>
      </c>
      <c r="H42" s="1235">
        <v>0</v>
      </c>
      <c r="I42" s="1235">
        <v>0</v>
      </c>
      <c r="J42" s="1235">
        <v>0</v>
      </c>
      <c r="K42" s="1235">
        <v>0</v>
      </c>
      <c r="L42" s="1235">
        <v>0</v>
      </c>
      <c r="M42" s="1235">
        <v>0</v>
      </c>
      <c r="N42" s="1235">
        <v>0</v>
      </c>
      <c r="O42" s="1235">
        <v>0</v>
      </c>
      <c r="P42" s="1235">
        <v>0</v>
      </c>
      <c r="Q42" s="1235">
        <v>0</v>
      </c>
      <c r="R42" s="1235">
        <v>0</v>
      </c>
      <c r="S42" s="1235">
        <v>1</v>
      </c>
    </row>
    <row r="43" spans="1:19" s="1235" customFormat="1" ht="15">
      <c r="A43" s="1240" t="s">
        <v>1673</v>
      </c>
      <c r="B43" s="1239" t="s">
        <v>3515</v>
      </c>
      <c r="C43" s="1241" t="s">
        <v>1571</v>
      </c>
      <c r="D43" s="1242" t="s">
        <v>1570</v>
      </c>
      <c r="E43" s="1680">
        <v>201506</v>
      </c>
    </row>
    <row r="44" spans="1:19" s="1235" customFormat="1" ht="15">
      <c r="A44" s="1240" t="s">
        <v>3181</v>
      </c>
      <c r="B44" s="1239" t="s">
        <v>1154</v>
      </c>
      <c r="C44" s="1241" t="s">
        <v>3169</v>
      </c>
      <c r="D44" s="1242" t="s">
        <v>3168</v>
      </c>
      <c r="E44" s="1680">
        <v>201605</v>
      </c>
    </row>
    <row r="45" spans="1:19" s="1235" customFormat="1" ht="15">
      <c r="A45" s="1240" t="s">
        <v>3182</v>
      </c>
      <c r="B45" s="1239" t="s">
        <v>1154</v>
      </c>
      <c r="C45" s="1241" t="s">
        <v>1410</v>
      </c>
      <c r="D45" s="1242" t="s">
        <v>2896</v>
      </c>
      <c r="E45" s="1680">
        <v>201605</v>
      </c>
    </row>
    <row r="46" spans="1:19" s="1235" customFormat="1" ht="15">
      <c r="A46" s="1240" t="s">
        <v>3183</v>
      </c>
      <c r="B46" s="1239" t="s">
        <v>3516</v>
      </c>
      <c r="C46" s="1241" t="s">
        <v>3184</v>
      </c>
      <c r="D46" s="1242" t="s">
        <v>3170</v>
      </c>
      <c r="E46" s="1680">
        <v>201605</v>
      </c>
    </row>
    <row r="47" spans="1:19" s="1235" customFormat="1" ht="15">
      <c r="A47" s="1240" t="s">
        <v>3185</v>
      </c>
      <c r="B47" s="1239" t="s">
        <v>3516</v>
      </c>
      <c r="C47" s="1241" t="s">
        <v>3180</v>
      </c>
      <c r="D47" s="1242" t="s">
        <v>3171</v>
      </c>
      <c r="E47" s="1680">
        <v>201605</v>
      </c>
    </row>
    <row r="48" spans="1:19" s="1235" customFormat="1" ht="15">
      <c r="A48" s="1240" t="s">
        <v>3188</v>
      </c>
      <c r="B48" s="1239" t="s">
        <v>3515</v>
      </c>
      <c r="C48" s="1241" t="s">
        <v>3189</v>
      </c>
      <c r="D48" s="1242" t="s">
        <v>3172</v>
      </c>
      <c r="E48" s="1680">
        <v>201605</v>
      </c>
    </row>
    <row r="49" spans="1:19" s="1235" customFormat="1" ht="15">
      <c r="A49" s="1240" t="s">
        <v>3186</v>
      </c>
      <c r="B49" s="1239" t="s">
        <v>3516</v>
      </c>
      <c r="C49" s="1241" t="s">
        <v>3190</v>
      </c>
      <c r="D49" s="1242" t="s">
        <v>3173</v>
      </c>
      <c r="E49" s="1680">
        <v>201605</v>
      </c>
    </row>
    <row r="50" spans="1:19" s="1235" customFormat="1" ht="15">
      <c r="A50" s="1240" t="s">
        <v>3187</v>
      </c>
      <c r="B50" s="1239" t="s">
        <v>3516</v>
      </c>
      <c r="C50" s="1241" t="s">
        <v>3191</v>
      </c>
      <c r="D50" s="1242" t="s">
        <v>3174</v>
      </c>
      <c r="E50" s="1680">
        <v>201605</v>
      </c>
    </row>
    <row r="51" spans="1:19" s="1235" customFormat="1">
      <c r="A51" s="1240" t="s">
        <v>1421</v>
      </c>
      <c r="B51" s="1239" t="s">
        <v>3515</v>
      </c>
      <c r="C51" s="1241" t="s">
        <v>1420</v>
      </c>
      <c r="D51" s="1242" t="s">
        <v>1419</v>
      </c>
      <c r="E51" s="1610">
        <v>201504</v>
      </c>
    </row>
    <row r="52" spans="1:19" s="1235" customFormat="1">
      <c r="A52" s="1240" t="s">
        <v>1290</v>
      </c>
      <c r="B52" s="1239" t="s">
        <v>3515</v>
      </c>
      <c r="C52" s="1241" t="s">
        <v>1287</v>
      </c>
      <c r="D52" s="1242" t="s">
        <v>1104</v>
      </c>
      <c r="E52" s="1610">
        <v>201502</v>
      </c>
      <c r="F52" s="1235">
        <v>0</v>
      </c>
      <c r="G52" s="1235">
        <v>0</v>
      </c>
      <c r="H52" s="1235">
        <v>0</v>
      </c>
      <c r="I52" s="1235">
        <v>0</v>
      </c>
      <c r="J52" s="1235">
        <v>0</v>
      </c>
      <c r="K52" s="1235">
        <v>0</v>
      </c>
      <c r="L52" s="1235">
        <v>0</v>
      </c>
      <c r="M52" s="1235">
        <v>0</v>
      </c>
      <c r="N52" s="1235">
        <v>0</v>
      </c>
      <c r="O52" s="1235">
        <v>0</v>
      </c>
      <c r="P52" s="1235">
        <v>0</v>
      </c>
      <c r="Q52" s="1235">
        <v>0</v>
      </c>
      <c r="R52" s="1235">
        <v>0</v>
      </c>
      <c r="S52" s="1235">
        <v>1</v>
      </c>
    </row>
    <row r="53" spans="1:19">
      <c r="A53" s="1239" t="s">
        <v>1775</v>
      </c>
      <c r="B53" s="1239" t="s">
        <v>3515</v>
      </c>
      <c r="C53" s="1241" t="s">
        <v>1773</v>
      </c>
      <c r="D53" s="1242" t="s">
        <v>825</v>
      </c>
      <c r="E53" s="1238">
        <v>201407</v>
      </c>
      <c r="F53" s="1235">
        <v>0</v>
      </c>
      <c r="G53" s="1235">
        <v>0</v>
      </c>
      <c r="H53" s="1235">
        <v>0</v>
      </c>
      <c r="I53" s="1235">
        <v>0</v>
      </c>
      <c r="J53" s="1235">
        <v>0</v>
      </c>
      <c r="K53" s="1235">
        <v>0</v>
      </c>
      <c r="L53" s="1235">
        <v>1</v>
      </c>
      <c r="M53" s="1235">
        <v>2</v>
      </c>
      <c r="N53" s="1235">
        <v>3</v>
      </c>
      <c r="O53" s="1235">
        <v>4</v>
      </c>
      <c r="P53" s="1235">
        <v>5</v>
      </c>
      <c r="Q53" s="1235">
        <v>6</v>
      </c>
    </row>
    <row r="54" spans="1:19">
      <c r="A54" s="1239" t="s">
        <v>1776</v>
      </c>
      <c r="B54" s="1239" t="s">
        <v>3515</v>
      </c>
      <c r="C54" s="1241" t="s">
        <v>1774</v>
      </c>
      <c r="D54" s="1242" t="s">
        <v>1100</v>
      </c>
      <c r="E54" s="1610">
        <v>201501</v>
      </c>
      <c r="F54" s="1235">
        <v>0</v>
      </c>
      <c r="G54" s="1235">
        <v>0</v>
      </c>
      <c r="H54" s="1235">
        <v>0</v>
      </c>
      <c r="I54" s="1235">
        <v>0</v>
      </c>
      <c r="J54" s="1235">
        <v>0</v>
      </c>
      <c r="K54" s="1235">
        <v>0</v>
      </c>
      <c r="L54" s="1235">
        <v>0</v>
      </c>
      <c r="M54" s="1235">
        <v>0</v>
      </c>
      <c r="N54" s="1235">
        <v>0</v>
      </c>
      <c r="O54" s="1235">
        <v>0</v>
      </c>
      <c r="P54" s="1235">
        <v>0</v>
      </c>
      <c r="Q54" s="1235">
        <v>0</v>
      </c>
      <c r="R54" s="1235">
        <v>1</v>
      </c>
    </row>
    <row r="55" spans="1:19">
      <c r="A55" s="1239" t="s">
        <v>2891</v>
      </c>
      <c r="B55" s="1239" t="s">
        <v>1154</v>
      </c>
      <c r="C55" s="1090" t="s">
        <v>2705</v>
      </c>
      <c r="D55" s="1090" t="s">
        <v>3517</v>
      </c>
      <c r="E55" s="1090">
        <v>201603</v>
      </c>
      <c r="F55" s="1120"/>
    </row>
    <row r="56" spans="1:19">
      <c r="A56" s="1239" t="s">
        <v>2892</v>
      </c>
      <c r="B56" s="1239" t="s">
        <v>1154</v>
      </c>
      <c r="C56" s="1016" t="s">
        <v>2706</v>
      </c>
      <c r="D56" s="1016" t="s">
        <v>2659</v>
      </c>
      <c r="E56" s="1090">
        <v>201603</v>
      </c>
    </row>
    <row r="57" spans="1:19">
      <c r="A57" s="1239" t="s">
        <v>2893</v>
      </c>
      <c r="B57" s="1239" t="s">
        <v>1154</v>
      </c>
      <c r="C57" s="1016" t="s">
        <v>2707</v>
      </c>
      <c r="D57" s="1016" t="s">
        <v>2660</v>
      </c>
      <c r="E57" s="1090">
        <v>201603</v>
      </c>
    </row>
    <row r="58" spans="1:19">
      <c r="A58" s="1239" t="s">
        <v>3527</v>
      </c>
      <c r="B58" s="1239" t="s">
        <v>1154</v>
      </c>
      <c r="C58" s="1016" t="s">
        <v>3528</v>
      </c>
      <c r="D58" s="1016" t="s">
        <v>2900</v>
      </c>
      <c r="E58" s="1090">
        <v>201606</v>
      </c>
    </row>
    <row r="59" spans="1:19">
      <c r="A59" s="1239" t="s">
        <v>3568</v>
      </c>
      <c r="B59" s="1239" t="s">
        <v>1154</v>
      </c>
      <c r="C59" s="1016" t="s">
        <v>3530</v>
      </c>
      <c r="D59" s="1016" t="s">
        <v>798</v>
      </c>
      <c r="E59" s="1090">
        <v>201606</v>
      </c>
    </row>
    <row r="60" spans="1:19">
      <c r="A60" s="1232" t="s">
        <v>3576</v>
      </c>
      <c r="B60" s="1232" t="s">
        <v>1154</v>
      </c>
      <c r="C60" s="1233" t="s">
        <v>3529</v>
      </c>
      <c r="D60" s="1234" t="s">
        <v>91</v>
      </c>
      <c r="E60" s="1234">
        <v>201606</v>
      </c>
    </row>
    <row r="61" spans="1:19">
      <c r="A61" s="1239" t="s">
        <v>3577</v>
      </c>
      <c r="B61" s="1239" t="s">
        <v>1154</v>
      </c>
      <c r="C61" s="1016" t="s">
        <v>3575</v>
      </c>
      <c r="D61" s="1016" t="s">
        <v>905</v>
      </c>
      <c r="E61" s="1090">
        <v>201606</v>
      </c>
    </row>
    <row r="62" spans="1:19">
      <c r="A62" s="1239" t="s">
        <v>3574</v>
      </c>
      <c r="B62" s="1239" t="s">
        <v>3516</v>
      </c>
      <c r="C62" s="1016" t="s">
        <v>3573</v>
      </c>
      <c r="D62" s="1016" t="s">
        <v>177</v>
      </c>
      <c r="E62" s="1090">
        <v>201606</v>
      </c>
      <c r="F62" s="1016">
        <v>11</v>
      </c>
      <c r="G62" s="1016">
        <v>12</v>
      </c>
      <c r="H62" s="1016">
        <v>13</v>
      </c>
      <c r="I62" s="1016">
        <v>14</v>
      </c>
      <c r="J62" s="1016">
        <v>15</v>
      </c>
      <c r="K62" s="1016">
        <v>16</v>
      </c>
      <c r="L62" s="1016">
        <v>17</v>
      </c>
      <c r="M62" s="1016">
        <v>18</v>
      </c>
      <c r="N62" s="1016">
        <v>19</v>
      </c>
      <c r="O62" s="1016">
        <v>20</v>
      </c>
      <c r="P62" s="1016">
        <v>21</v>
      </c>
      <c r="Q62" s="1016">
        <v>22</v>
      </c>
    </row>
    <row r="63" spans="1:19">
      <c r="A63" s="1239" t="s">
        <v>3569</v>
      </c>
      <c r="B63" s="1239" t="s">
        <v>3516</v>
      </c>
      <c r="C63" s="1016" t="s">
        <v>3519</v>
      </c>
      <c r="D63" s="1016" t="s">
        <v>3518</v>
      </c>
      <c r="E63" s="1090">
        <v>201606</v>
      </c>
    </row>
    <row r="64" spans="1:19">
      <c r="A64" s="1239" t="s">
        <v>3570</v>
      </c>
      <c r="B64" s="1239" t="s">
        <v>3516</v>
      </c>
      <c r="C64" s="1016" t="s">
        <v>3521</v>
      </c>
      <c r="D64" s="1016" t="s">
        <v>3520</v>
      </c>
      <c r="E64" s="1090">
        <v>201606</v>
      </c>
    </row>
    <row r="65" spans="1:5">
      <c r="A65" s="1239" t="s">
        <v>3571</v>
      </c>
      <c r="B65" s="1239" t="s">
        <v>3516</v>
      </c>
      <c r="C65" s="1016" t="s">
        <v>3523</v>
      </c>
      <c r="D65" s="1016" t="s">
        <v>3522</v>
      </c>
      <c r="E65" s="1090">
        <v>201606</v>
      </c>
    </row>
    <row r="66" spans="1:5">
      <c r="A66" s="1239" t="s">
        <v>3572</v>
      </c>
      <c r="B66" s="1239" t="s">
        <v>3516</v>
      </c>
      <c r="C66" s="1016" t="s">
        <v>3525</v>
      </c>
      <c r="D66" s="1016" t="s">
        <v>3524</v>
      </c>
      <c r="E66" s="1090">
        <v>201606</v>
      </c>
    </row>
    <row r="67" spans="1:5">
      <c r="A67" s="1239" t="s">
        <v>2894</v>
      </c>
      <c r="B67" s="1239" t="s">
        <v>3515</v>
      </c>
      <c r="C67" s="1016" t="s">
        <v>2709</v>
      </c>
      <c r="D67" s="1016" t="s">
        <v>2708</v>
      </c>
      <c r="E67" s="1090">
        <v>201603</v>
      </c>
    </row>
    <row r="68" spans="1:5">
      <c r="A68" s="1239" t="s">
        <v>2895</v>
      </c>
      <c r="B68" s="1239" t="s">
        <v>3516</v>
      </c>
      <c r="C68" s="1016" t="s">
        <v>2711</v>
      </c>
      <c r="D68" s="1234" t="s">
        <v>2710</v>
      </c>
      <c r="E68" s="1090">
        <v>201603</v>
      </c>
    </row>
    <row r="69" spans="1:5" ht="13.5">
      <c r="A69" s="327"/>
      <c r="B69" s="327"/>
      <c r="D69" s="1234"/>
      <c r="E69" s="1233"/>
    </row>
    <row r="70" spans="1:5" ht="13.5">
      <c r="A70" s="325"/>
      <c r="B70" s="325"/>
      <c r="D70" s="1234"/>
      <c r="E70" s="1233"/>
    </row>
    <row r="71" spans="1:5" ht="13.5">
      <c r="A71" s="327"/>
      <c r="B71" s="327"/>
      <c r="D71" s="1234"/>
      <c r="E71" s="1233"/>
    </row>
    <row r="72" spans="1:5" ht="13.5">
      <c r="A72" s="325"/>
      <c r="B72" s="325"/>
      <c r="D72" s="1234"/>
      <c r="E72" s="1233"/>
    </row>
    <row r="73" spans="1:5" ht="13.5">
      <c r="A73" s="327"/>
      <c r="B73" s="327"/>
      <c r="D73" s="1233"/>
      <c r="E73" s="1233"/>
    </row>
    <row r="74" spans="1:5" ht="13.5">
      <c r="A74" s="325"/>
      <c r="B74" s="325"/>
      <c r="D74" s="1233"/>
      <c r="E74" s="1233"/>
    </row>
    <row r="75" spans="1:5" ht="13.5">
      <c r="A75" s="327"/>
      <c r="B75" s="327"/>
      <c r="D75" s="1233"/>
      <c r="E75" s="1233"/>
    </row>
    <row r="76" spans="1:5" ht="13.5">
      <c r="A76" s="325"/>
      <c r="B76" s="325"/>
      <c r="D76" s="1233"/>
      <c r="E76" s="1233"/>
    </row>
    <row r="77" spans="1:5" ht="13.5">
      <c r="A77" s="327"/>
      <c r="B77" s="327"/>
      <c r="D77" s="1233"/>
      <c r="E77" s="1233"/>
    </row>
    <row r="78" spans="1:5" ht="13.5">
      <c r="A78" s="325"/>
      <c r="B78" s="325"/>
      <c r="D78" s="1233"/>
      <c r="E78" s="1233"/>
    </row>
    <row r="79" spans="1:5" ht="13.5">
      <c r="A79" s="327"/>
      <c r="B79" s="327"/>
      <c r="D79" s="1233"/>
      <c r="E79" s="1233"/>
    </row>
    <row r="80" spans="1:5" ht="13.5">
      <c r="A80" s="325"/>
      <c r="B80" s="325"/>
      <c r="D80" s="1233"/>
      <c r="E80" s="1233"/>
    </row>
    <row r="81" spans="1:5" ht="13.5">
      <c r="A81" s="327"/>
      <c r="B81" s="327"/>
      <c r="D81" s="1233"/>
      <c r="E81" s="1233"/>
    </row>
    <row r="82" spans="1:5" ht="13.5">
      <c r="A82" s="325"/>
      <c r="B82" s="325"/>
      <c r="D82" s="1233"/>
      <c r="E82" s="1233"/>
    </row>
    <row r="83" spans="1:5" ht="13.5">
      <c r="A83" s="327"/>
      <c r="B83" s="327"/>
      <c r="D83" s="1233"/>
      <c r="E83" s="1233"/>
    </row>
    <row r="84" spans="1:5" ht="13.5">
      <c r="A84" s="325"/>
      <c r="B84" s="325"/>
      <c r="D84" s="1233"/>
      <c r="E84" s="1233"/>
    </row>
    <row r="85" spans="1:5" ht="13.5">
      <c r="A85" s="327"/>
      <c r="B85" s="327"/>
      <c r="D85" s="1233"/>
      <c r="E85" s="1233"/>
    </row>
    <row r="86" spans="1:5" ht="13.5">
      <c r="A86" s="325"/>
      <c r="B86" s="325"/>
      <c r="D86" s="1233"/>
      <c r="E86" s="1233"/>
    </row>
    <row r="87" spans="1:5" ht="13.5">
      <c r="A87" s="327"/>
      <c r="B87" s="327"/>
      <c r="D87" s="1233"/>
      <c r="E87" s="1233"/>
    </row>
    <row r="88" spans="1:5" ht="13.5">
      <c r="A88" s="325"/>
      <c r="B88" s="325"/>
      <c r="D88" s="1233"/>
      <c r="E88" s="327"/>
    </row>
    <row r="89" spans="1:5" ht="13.5">
      <c r="A89" s="327"/>
      <c r="B89" s="327"/>
      <c r="D89" s="1233"/>
      <c r="E89" s="1233"/>
    </row>
    <row r="90" spans="1:5" ht="13.5">
      <c r="A90" s="325"/>
      <c r="B90" s="325"/>
      <c r="D90" s="1233"/>
      <c r="E90" s="1233"/>
    </row>
    <row r="91" spans="1:5" ht="13.5">
      <c r="A91" s="327"/>
      <c r="B91" s="327"/>
      <c r="D91" s="1233"/>
      <c r="E91" s="1233"/>
    </row>
    <row r="92" spans="1:5" ht="13.5">
      <c r="A92" s="325"/>
      <c r="B92" s="325"/>
      <c r="D92" s="1233"/>
      <c r="E92" s="1233"/>
    </row>
    <row r="93" spans="1:5" ht="13.5">
      <c r="A93" s="327"/>
      <c r="B93" s="327"/>
      <c r="D93" s="1233"/>
      <c r="E93" s="1233"/>
    </row>
    <row r="94" spans="1:5" ht="13.5">
      <c r="A94" s="325"/>
      <c r="B94" s="325"/>
      <c r="D94" s="1233"/>
      <c r="E94" s="1233"/>
    </row>
    <row r="95" spans="1:5" ht="13.5">
      <c r="A95" s="327"/>
      <c r="B95" s="327"/>
      <c r="D95" s="1563"/>
      <c r="E95" s="1563"/>
    </row>
    <row r="96" spans="1:5" ht="13.5">
      <c r="A96" s="325"/>
      <c r="B96" s="325"/>
      <c r="D96" s="1241"/>
      <c r="E96" s="1241"/>
    </row>
    <row r="97" spans="1:5" ht="13.5">
      <c r="A97" s="327"/>
      <c r="B97" s="327"/>
      <c r="D97" s="1241"/>
      <c r="E97" s="1241"/>
    </row>
    <row r="98" spans="1:5" ht="13.5">
      <c r="A98" s="325"/>
      <c r="B98" s="325"/>
      <c r="D98" s="1241"/>
      <c r="E98" s="1241"/>
    </row>
    <row r="99" spans="1:5" ht="13.5">
      <c r="A99" s="327"/>
      <c r="B99" s="327"/>
      <c r="D99" s="1241"/>
      <c r="E99" s="1241"/>
    </row>
    <row r="100" spans="1:5" ht="13.5">
      <c r="A100" s="325"/>
      <c r="B100" s="325"/>
      <c r="D100" s="1242"/>
      <c r="E100" s="1241"/>
    </row>
    <row r="101" spans="1:5" ht="13.5">
      <c r="A101" s="327"/>
      <c r="B101" s="327"/>
      <c r="D101" s="1242"/>
      <c r="E101" s="1241"/>
    </row>
    <row r="102" spans="1:5" ht="13.5">
      <c r="A102" s="325"/>
      <c r="B102" s="325"/>
      <c r="D102" s="1242"/>
      <c r="E102" s="1241"/>
    </row>
    <row r="103" spans="1:5" ht="13.5">
      <c r="A103" s="327"/>
      <c r="B103" s="327"/>
      <c r="D103" s="1242"/>
      <c r="E103" s="1241"/>
    </row>
    <row r="104" spans="1:5" ht="13.5">
      <c r="A104" s="325"/>
      <c r="B104" s="325"/>
      <c r="D104" s="1242"/>
      <c r="E104" s="327"/>
    </row>
    <row r="105" spans="1:5" ht="13.5">
      <c r="A105" s="327"/>
      <c r="B105" s="327"/>
      <c r="D105" s="1242"/>
      <c r="E105" s="327"/>
    </row>
    <row r="106" spans="1:5" ht="13.5">
      <c r="A106" s="325"/>
      <c r="B106" s="325"/>
      <c r="D106" s="1242"/>
      <c r="E106" s="327"/>
    </row>
    <row r="107" spans="1:5" ht="13.5">
      <c r="A107" s="327"/>
      <c r="B107" s="327"/>
      <c r="D107" s="1242"/>
      <c r="E107" s="1241"/>
    </row>
    <row r="108" spans="1:5" ht="13.5">
      <c r="A108" s="325"/>
      <c r="B108" s="325"/>
      <c r="D108" s="1242"/>
      <c r="E108" s="1241"/>
    </row>
    <row r="109" spans="1:5" ht="13.5">
      <c r="A109" s="327"/>
      <c r="B109" s="327"/>
      <c r="D109" s="1242"/>
      <c r="E109" s="1241"/>
    </row>
    <row r="110" spans="1:5" ht="13.5">
      <c r="A110" s="325"/>
      <c r="B110" s="325"/>
      <c r="D110" s="1242"/>
      <c r="E110" s="1241"/>
    </row>
    <row r="111" spans="1:5" ht="13.5">
      <c r="A111" s="327"/>
      <c r="B111" s="327"/>
      <c r="D111" s="1242"/>
      <c r="E111" s="1241"/>
    </row>
    <row r="112" spans="1:5" ht="13.5">
      <c r="A112" s="325"/>
      <c r="B112" s="325"/>
      <c r="D112" s="1242"/>
      <c r="E112" s="1241"/>
    </row>
    <row r="113" spans="1:5" ht="13.5">
      <c r="A113" s="327"/>
      <c r="B113" s="327"/>
      <c r="D113" s="1242"/>
      <c r="E113" s="1241"/>
    </row>
    <row r="114" spans="1:5" ht="13.5">
      <c r="A114" s="325"/>
      <c r="B114" s="325"/>
    </row>
  </sheetData>
  <autoFilter ref="A1:S54"/>
  <conditionalFormatting sqref="D1:D59 D61:D1048576">
    <cfRule type="duplicateValues" dxfId="61" priority="4"/>
  </conditionalFormatting>
  <conditionalFormatting sqref="C60">
    <cfRule type="duplicateValues" dxfId="60" priority="3"/>
  </conditionalFormatting>
  <conditionalFormatting sqref="A60">
    <cfRule type="duplicateValues" dxfId="59" priority="2"/>
  </conditionalFormatting>
  <conditionalFormatting sqref="D60">
    <cfRule type="duplicateValues" dxfId="58" priority="1"/>
  </conditionalFormatting>
  <conditionalFormatting sqref="C2:C59 C61:C68">
    <cfRule type="duplicateValues" dxfId="57" priority="49385"/>
  </conditionalFormatting>
  <conditionalFormatting sqref="A2:A59 A61:A68">
    <cfRule type="duplicateValues" dxfId="56" priority="49388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workbookViewId="0"/>
  </sheetViews>
  <sheetFormatPr defaultRowHeight="15"/>
  <cols>
    <col min="1" max="1" width="33.28515625" style="1600" customWidth="1"/>
    <col min="2" max="2" width="33.5703125" style="1600" bestFit="1" customWidth="1"/>
    <col min="4" max="4" width="36.42578125" customWidth="1"/>
    <col min="5" max="5" width="20.7109375" customWidth="1"/>
    <col min="6" max="6" width="37" customWidth="1"/>
    <col min="7" max="7" width="8.7109375" style="1596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598">
        <f>MONTH(Cover!G5)</f>
        <v>7</v>
      </c>
      <c r="H1" s="1598">
        <v>1</v>
      </c>
      <c r="I1" s="1598">
        <v>2</v>
      </c>
      <c r="J1" s="1598">
        <v>3</v>
      </c>
      <c r="K1" s="1598">
        <v>4</v>
      </c>
      <c r="L1" s="1598">
        <v>5</v>
      </c>
      <c r="M1" s="1598">
        <v>6</v>
      </c>
      <c r="N1" s="1598">
        <v>7</v>
      </c>
      <c r="O1" s="1598">
        <v>8</v>
      </c>
      <c r="P1" s="1598">
        <v>9</v>
      </c>
      <c r="Q1" s="1598">
        <v>10</v>
      </c>
      <c r="R1" s="1598">
        <v>11</v>
      </c>
      <c r="S1" s="1598">
        <v>12</v>
      </c>
    </row>
    <row r="2" spans="1:19">
      <c r="A2" s="1233"/>
      <c r="B2" s="1601"/>
      <c r="D2" s="1663" t="s">
        <v>1145</v>
      </c>
      <c r="E2" s="1664" t="s">
        <v>1109</v>
      </c>
      <c r="F2" s="1348" t="s">
        <v>554</v>
      </c>
      <c r="G2" s="1604" t="s">
        <v>163</v>
      </c>
      <c r="H2" s="252" t="s">
        <v>1097</v>
      </c>
      <c r="I2" s="211" t="s">
        <v>34</v>
      </c>
      <c r="J2" s="211" t="s">
        <v>35</v>
      </c>
      <c r="K2" s="211" t="s">
        <v>36</v>
      </c>
      <c r="L2" s="211" t="s">
        <v>37</v>
      </c>
      <c r="M2" s="211" t="s">
        <v>38</v>
      </c>
      <c r="N2" s="211" t="s">
        <v>39</v>
      </c>
      <c r="O2" s="211" t="s">
        <v>40</v>
      </c>
      <c r="P2" s="211" t="s">
        <v>41</v>
      </c>
      <c r="Q2" s="211" t="s">
        <v>42</v>
      </c>
      <c r="R2" s="211" t="s">
        <v>43</v>
      </c>
      <c r="S2" s="211" t="s">
        <v>44</v>
      </c>
    </row>
    <row r="3" spans="1:19">
      <c r="A3" s="1233"/>
      <c r="B3" s="1601"/>
      <c r="D3" s="1645" t="str">
        <f t="shared" ref="D3:D35" si="0">INDEX(A:A,MATCH(E3,B:B,0))</f>
        <v>NGUYỄN THU HẰNG</v>
      </c>
      <c r="E3" s="1665" t="s">
        <v>47</v>
      </c>
      <c r="G3" s="1596">
        <f>SUMIF($H$1:$S$1,"&lt;="&amp;$E$1,$H3:$S3)</f>
        <v>2</v>
      </c>
      <c r="H3" s="1596">
        <f>VLOOKUP(Target!E3,TargetTeam!B:H,7,0)</f>
        <v>2</v>
      </c>
    </row>
    <row r="4" spans="1:19">
      <c r="A4" s="1233"/>
      <c r="B4" s="1601"/>
      <c r="D4" s="1645" t="str">
        <f t="shared" si="0"/>
        <v>NGUYỄN THỊ LAN ANH</v>
      </c>
      <c r="E4" s="1665" t="s">
        <v>91</v>
      </c>
      <c r="G4" s="1596">
        <f t="shared" ref="G4:G42" si="1">SUMIF($H$1:$S$1,"&lt;="&amp;$E$1,$H4:$S4)</f>
        <v>2</v>
      </c>
      <c r="H4" s="1596">
        <f>VLOOKUP(Target!E4,TargetTeam!B:H,7,0)</f>
        <v>2</v>
      </c>
    </row>
    <row r="5" spans="1:19">
      <c r="A5" s="1233"/>
      <c r="B5" s="1601"/>
      <c r="D5" s="1645" t="str">
        <f t="shared" si="0"/>
        <v>MAI QUỐC HUY</v>
      </c>
      <c r="E5" s="1665" t="s">
        <v>177</v>
      </c>
      <c r="G5" s="1596">
        <f t="shared" si="1"/>
        <v>0</v>
      </c>
      <c r="H5" s="1596">
        <f>VLOOKUP(Target!E5,TargetTeam!B:H,7,0)</f>
        <v>0</v>
      </c>
    </row>
    <row r="6" spans="1:19">
      <c r="A6" s="1233"/>
      <c r="B6" s="1601"/>
      <c r="D6" s="1645" t="str">
        <f t="shared" si="0"/>
        <v>NGUYỄN THỊ BÌNH</v>
      </c>
      <c r="E6" s="1665" t="s">
        <v>185</v>
      </c>
      <c r="G6" s="1596">
        <f t="shared" si="1"/>
        <v>0</v>
      </c>
      <c r="H6" s="1596">
        <f>VLOOKUP(Target!E6,TargetTeam!B:H,7,0)</f>
        <v>0</v>
      </c>
    </row>
    <row r="7" spans="1:19">
      <c r="A7" s="1233"/>
      <c r="B7" s="1601"/>
      <c r="D7" s="1645" t="str">
        <f t="shared" si="0"/>
        <v>LÊ THANH HUYỀN</v>
      </c>
      <c r="E7" s="1665" t="s">
        <v>179</v>
      </c>
      <c r="G7" s="1596">
        <f t="shared" si="1"/>
        <v>0</v>
      </c>
      <c r="H7" s="1596">
        <f>VLOOKUP(Target!E7,TargetTeam!B:H,7,0)</f>
        <v>0</v>
      </c>
    </row>
    <row r="8" spans="1:19">
      <c r="A8" s="1233"/>
      <c r="B8" s="1640"/>
      <c r="D8" s="1645" t="str">
        <f t="shared" si="0"/>
        <v>NGUYỄN VĂN CÔNG</v>
      </c>
      <c r="E8" s="1665" t="s">
        <v>176</v>
      </c>
      <c r="G8" s="1596">
        <f t="shared" si="1"/>
        <v>1</v>
      </c>
      <c r="H8" s="1596">
        <f>VLOOKUP(Target!E8,TargetTeam!B:H,7,0)</f>
        <v>1</v>
      </c>
    </row>
    <row r="9" spans="1:19">
      <c r="A9" s="1233"/>
      <c r="B9" s="1640"/>
      <c r="D9" s="1645" t="str">
        <f t="shared" si="0"/>
        <v>NGUYỄN HỮU NGHIỆM</v>
      </c>
      <c r="E9" s="1665" t="s">
        <v>187</v>
      </c>
      <c r="G9" s="1596">
        <f t="shared" si="1"/>
        <v>2</v>
      </c>
      <c r="H9" s="1596">
        <f>VLOOKUP(Target!E9,TargetTeam!B:H,7,0)</f>
        <v>2</v>
      </c>
    </row>
    <row r="10" spans="1:19">
      <c r="A10" s="1233"/>
      <c r="B10" s="1640"/>
      <c r="D10" s="1645" t="str">
        <f t="shared" si="0"/>
        <v>NGUYỄN VĂN HẠNH</v>
      </c>
      <c r="E10" s="1665" t="s">
        <v>630</v>
      </c>
      <c r="G10" s="1596">
        <f t="shared" si="1"/>
        <v>2</v>
      </c>
      <c r="H10" s="1596">
        <f>VLOOKUP(Target!E10,TargetTeam!B:H,7,0)</f>
        <v>2</v>
      </c>
    </row>
    <row r="11" spans="1:19">
      <c r="A11" s="1233"/>
      <c r="B11" s="1640"/>
      <c r="D11" s="1645" t="str">
        <f t="shared" si="0"/>
        <v>ĐỖ KIM HẠNH</v>
      </c>
      <c r="E11" s="1665" t="s">
        <v>661</v>
      </c>
      <c r="G11" s="1596">
        <f t="shared" si="1"/>
        <v>0</v>
      </c>
      <c r="H11" s="1596">
        <f>VLOOKUP(Target!E11,TargetTeam!B:H,7,0)</f>
        <v>0</v>
      </c>
    </row>
    <row r="12" spans="1:19">
      <c r="A12" s="1233"/>
      <c r="B12" s="1640"/>
      <c r="D12" s="1645" t="str">
        <f t="shared" si="0"/>
        <v>NGUYỄN VĂN VŨ - OCEAN</v>
      </c>
      <c r="E12" s="1665" t="s">
        <v>557</v>
      </c>
      <c r="G12" s="1596">
        <f t="shared" si="1"/>
        <v>2</v>
      </c>
      <c r="H12" s="1596">
        <f>VLOOKUP(Target!E12,TargetTeam!B:H,7,0)</f>
        <v>2</v>
      </c>
    </row>
    <row r="13" spans="1:19">
      <c r="A13" s="1233"/>
      <c r="B13" s="1640"/>
      <c r="D13" s="1645" t="str">
        <f t="shared" si="0"/>
        <v>NGUYỄN THỊ KIM HỒNG</v>
      </c>
      <c r="E13" s="1665" t="s">
        <v>628</v>
      </c>
      <c r="G13" s="1596">
        <f t="shared" si="1"/>
        <v>2</v>
      </c>
      <c r="H13" s="1596">
        <f>VLOOKUP(Target!E13,TargetTeam!B:H,7,0)</f>
        <v>2</v>
      </c>
    </row>
    <row r="14" spans="1:19">
      <c r="A14" s="1233"/>
      <c r="B14" s="1640"/>
      <c r="D14" s="1645" t="str">
        <f t="shared" si="0"/>
        <v>HỒNG KHÁNH HƯNG - DRAGON</v>
      </c>
      <c r="E14" s="1665" t="s">
        <v>650</v>
      </c>
      <c r="G14" s="1596">
        <f t="shared" si="1"/>
        <v>2</v>
      </c>
      <c r="H14" s="1596">
        <f>VLOOKUP(Target!E14,TargetTeam!B:H,7,0)</f>
        <v>2</v>
      </c>
    </row>
    <row r="15" spans="1:19">
      <c r="A15" s="1233"/>
      <c r="B15" s="1640"/>
      <c r="D15" s="1645" t="str">
        <f t="shared" si="0"/>
        <v>CHU THỊ ÁI THƯƠNG</v>
      </c>
      <c r="E15" s="1665" t="s">
        <v>660</v>
      </c>
      <c r="G15" s="1596">
        <f t="shared" si="1"/>
        <v>0</v>
      </c>
      <c r="H15" s="1596">
        <f>VLOOKUP(Target!E15,TargetTeam!B:H,7,0)</f>
        <v>0</v>
      </c>
    </row>
    <row r="16" spans="1:19">
      <c r="A16" s="1233"/>
      <c r="B16" s="1640"/>
      <c r="D16" s="1645" t="str">
        <f t="shared" si="0"/>
        <v>NGUYỄN QUÝ NHÂN</v>
      </c>
      <c r="E16" s="1665" t="s">
        <v>648</v>
      </c>
      <c r="G16" s="1596">
        <f t="shared" si="1"/>
        <v>2</v>
      </c>
      <c r="H16" s="1596">
        <f>VLOOKUP(Target!E16,TargetTeam!B:H,7,0)</f>
        <v>2</v>
      </c>
    </row>
    <row r="17" spans="1:8">
      <c r="A17" s="1233"/>
      <c r="B17" s="1640"/>
      <c r="D17" s="1645" t="e">
        <f t="shared" si="0"/>
        <v>#N/A</v>
      </c>
      <c r="E17" s="1665" t="s">
        <v>647</v>
      </c>
      <c r="G17" s="1596">
        <f t="shared" si="1"/>
        <v>2</v>
      </c>
      <c r="H17" s="1596">
        <f>VLOOKUP(Target!E17,TargetTeam!B:H,7,0)</f>
        <v>2</v>
      </c>
    </row>
    <row r="18" spans="1:8">
      <c r="A18" s="1233"/>
      <c r="B18" s="1640"/>
      <c r="D18" s="1645" t="str">
        <f t="shared" si="0"/>
        <v>NGUYỄN THỊ ĐÀO</v>
      </c>
      <c r="E18" s="1665" t="s">
        <v>659</v>
      </c>
      <c r="G18" s="1596">
        <f t="shared" si="1"/>
        <v>0</v>
      </c>
      <c r="H18" s="1596">
        <f>VLOOKUP(Target!E18,TargetTeam!B:H,7,0)</f>
        <v>0</v>
      </c>
    </row>
    <row r="19" spans="1:8">
      <c r="A19" s="1233"/>
      <c r="B19" s="1640"/>
      <c r="D19" s="1645" t="e">
        <f t="shared" si="0"/>
        <v>#N/A</v>
      </c>
      <c r="E19" s="1665" t="s">
        <v>662</v>
      </c>
      <c r="G19" s="1596">
        <f t="shared" si="1"/>
        <v>0</v>
      </c>
      <c r="H19" s="1596">
        <f>VLOOKUP(Target!E19,TargetTeam!B:H,7,0)</f>
        <v>0</v>
      </c>
    </row>
    <row r="20" spans="1:8">
      <c r="A20" s="1233"/>
      <c r="B20" s="1640"/>
      <c r="D20" s="1645" t="str">
        <f t="shared" si="0"/>
        <v>PHẠM THÀNH TRÍ</v>
      </c>
      <c r="E20" s="1665" t="s">
        <v>649</v>
      </c>
      <c r="G20" s="1596">
        <f t="shared" si="1"/>
        <v>2</v>
      </c>
      <c r="H20" s="1596">
        <f>VLOOKUP(Target!E20,TargetTeam!B:H,7,0)</f>
        <v>2</v>
      </c>
    </row>
    <row r="21" spans="1:8">
      <c r="A21" s="1233"/>
      <c r="B21" s="1640"/>
      <c r="D21" s="1645" t="str">
        <f t="shared" si="0"/>
        <v>LÊ THỊ HỒNG LĨNH</v>
      </c>
      <c r="E21" s="1665" t="s">
        <v>642</v>
      </c>
      <c r="G21" s="1596">
        <f t="shared" si="1"/>
        <v>2</v>
      </c>
      <c r="H21" s="1596">
        <f>VLOOKUP(Target!E21,TargetTeam!B:H,7,0)</f>
        <v>2</v>
      </c>
    </row>
    <row r="22" spans="1:8">
      <c r="A22" s="1233"/>
      <c r="B22" s="1640"/>
      <c r="D22" s="1645" t="str">
        <f t="shared" si="0"/>
        <v>NGUYỄN THỊ PHƯƠNG TRINH</v>
      </c>
      <c r="E22" s="1665" t="s">
        <v>736</v>
      </c>
      <c r="G22" s="1596">
        <f t="shared" si="1"/>
        <v>2</v>
      </c>
      <c r="H22" s="1596">
        <f>VLOOKUP(Target!E22,TargetTeam!B:H,7,0)</f>
        <v>2</v>
      </c>
    </row>
    <row r="23" spans="1:8">
      <c r="A23" s="1563"/>
      <c r="B23" s="1641"/>
      <c r="D23" s="1645" t="str">
        <f t="shared" si="0"/>
        <v>NGUYỄN THỊ NGỌC LAN</v>
      </c>
      <c r="E23" s="1665" t="s">
        <v>699</v>
      </c>
      <c r="G23" s="1596">
        <f t="shared" si="1"/>
        <v>0</v>
      </c>
      <c r="H23" s="1596">
        <f>VLOOKUP(Target!E23,TargetTeam!B:H,7,0)</f>
        <v>0</v>
      </c>
    </row>
    <row r="24" spans="1:8">
      <c r="A24" s="1241"/>
      <c r="B24" s="1642"/>
      <c r="D24" s="1645" t="str">
        <f t="shared" si="0"/>
        <v>NGUYỄN THỊ LAN ANH - HAN</v>
      </c>
      <c r="E24" s="1665" t="s">
        <v>737</v>
      </c>
      <c r="G24" s="1596">
        <f t="shared" si="1"/>
        <v>0</v>
      </c>
      <c r="H24" s="1596">
        <f>VLOOKUP(Target!E24,TargetTeam!B:H,7,0)</f>
        <v>0</v>
      </c>
    </row>
    <row r="25" spans="1:8">
      <c r="A25" s="1241"/>
      <c r="B25" s="1642"/>
      <c r="D25" s="1645" t="str">
        <f t="shared" si="0"/>
        <v>HỒNG KHÁNH HƯNG - MDRT HCM</v>
      </c>
      <c r="E25" s="1665" t="s">
        <v>735</v>
      </c>
      <c r="G25" s="1596">
        <f t="shared" si="1"/>
        <v>2</v>
      </c>
      <c r="H25" s="1596">
        <f>VLOOKUP(Target!E25,TargetTeam!B:H,7,0)</f>
        <v>2</v>
      </c>
    </row>
    <row r="26" spans="1:8">
      <c r="A26" s="1241"/>
      <c r="B26" s="1642"/>
      <c r="D26" s="1645" t="str">
        <f t="shared" si="0"/>
        <v>NGUYỄN VĂN VŨ - MDRT BH</v>
      </c>
      <c r="E26" s="1665" t="s">
        <v>734</v>
      </c>
      <c r="G26" s="1596">
        <f t="shared" si="1"/>
        <v>2</v>
      </c>
      <c r="H26" s="1596">
        <f>VLOOKUP(Target!E26,TargetTeam!B:H,7,0)</f>
        <v>2</v>
      </c>
    </row>
    <row r="27" spans="1:8">
      <c r="A27" s="1241"/>
      <c r="B27" s="1642"/>
      <c r="D27" s="1645" t="str">
        <f t="shared" si="0"/>
        <v>NGUYỄN VĂN VŨ - MDRT HCM2</v>
      </c>
      <c r="E27" s="1665" t="s">
        <v>798</v>
      </c>
      <c r="G27" s="1596">
        <f t="shared" si="1"/>
        <v>2</v>
      </c>
      <c r="H27" s="1596">
        <f>VLOOKUP(Target!E27,TargetTeam!B:H,7,0)</f>
        <v>2</v>
      </c>
    </row>
    <row r="28" spans="1:8">
      <c r="A28" s="1241"/>
      <c r="B28" s="1642"/>
      <c r="D28" s="1645" t="str">
        <f t="shared" si="0"/>
        <v>ĐỖ THỊ THANH THÚY</v>
      </c>
      <c r="E28" s="1665" t="s">
        <v>796</v>
      </c>
      <c r="G28" s="1596">
        <f t="shared" si="1"/>
        <v>2</v>
      </c>
      <c r="H28" s="1596">
        <f>VLOOKUP(Target!E28,TargetTeam!B:H,7,0)</f>
        <v>2</v>
      </c>
    </row>
    <row r="29" spans="1:8">
      <c r="A29" s="1241"/>
      <c r="B29" s="1602"/>
      <c r="D29" s="1645" t="str">
        <f t="shared" si="0"/>
        <v>NGUYỄN THỊ KIM CHUNG</v>
      </c>
      <c r="E29" s="1665" t="s">
        <v>799</v>
      </c>
      <c r="G29" s="1596">
        <f t="shared" si="1"/>
        <v>0</v>
      </c>
      <c r="H29" s="1596">
        <f>VLOOKUP(Target!E29,TargetTeam!B:H,7,0)</f>
        <v>0</v>
      </c>
    </row>
    <row r="30" spans="1:8">
      <c r="A30" s="1241"/>
      <c r="B30" s="1602"/>
      <c r="D30" s="1645" t="str">
        <f t="shared" si="0"/>
        <v>NGUYỄN VĂN NINH - HẢI ĐĂNG</v>
      </c>
      <c r="E30" s="1665" t="s">
        <v>825</v>
      </c>
      <c r="G30" s="1596">
        <f t="shared" si="1"/>
        <v>0</v>
      </c>
      <c r="H30" s="1596">
        <f>VLOOKUP(Target!E30,TargetTeam!B:H,7,0)</f>
        <v>0</v>
      </c>
    </row>
    <row r="31" spans="1:8">
      <c r="A31" s="1241"/>
      <c r="B31" s="1602"/>
      <c r="D31" s="1645" t="str">
        <f t="shared" si="0"/>
        <v>PHẠM THỊ THANH TRÚC</v>
      </c>
      <c r="E31" s="1665" t="s">
        <v>905</v>
      </c>
      <c r="G31" s="1596">
        <f t="shared" si="1"/>
        <v>2</v>
      </c>
      <c r="H31" s="1596">
        <f>VLOOKUP(Target!E31,TargetTeam!B:H,7,0)</f>
        <v>2</v>
      </c>
    </row>
    <row r="32" spans="1:8">
      <c r="A32" s="1241"/>
      <c r="B32" s="1602"/>
      <c r="D32" s="1645" t="str">
        <f t="shared" si="0"/>
        <v>TRẦN THỊ THÚY HẰNG</v>
      </c>
      <c r="E32" s="1665" t="s">
        <v>903</v>
      </c>
      <c r="G32" s="1596">
        <f t="shared" si="1"/>
        <v>2</v>
      </c>
      <c r="H32" s="1596">
        <f>VLOOKUP(Target!E32,TargetTeam!B:H,7,0)</f>
        <v>2</v>
      </c>
    </row>
    <row r="33" spans="1:19">
      <c r="A33" s="1563"/>
      <c r="B33" s="1641"/>
      <c r="D33" s="1645" t="str">
        <f t="shared" si="0"/>
        <v>TRƯƠNG THỊ THU TRÂM</v>
      </c>
      <c r="E33" s="1665" t="s">
        <v>902</v>
      </c>
      <c r="G33" s="1596">
        <f t="shared" si="1"/>
        <v>2</v>
      </c>
      <c r="H33" s="1596">
        <f>VLOOKUP(Target!E33,TargetTeam!B:H,7,0)</f>
        <v>2</v>
      </c>
    </row>
    <row r="34" spans="1:19">
      <c r="A34" s="1241"/>
      <c r="B34" s="1602"/>
      <c r="D34" s="1645" t="str">
        <f t="shared" si="0"/>
        <v>HOÀNG NGUYỆT HẰNG</v>
      </c>
      <c r="E34" s="1665" t="s">
        <v>900</v>
      </c>
      <c r="G34" s="1596">
        <f t="shared" si="1"/>
        <v>2</v>
      </c>
      <c r="H34" s="1596">
        <f>VLOOKUP(Target!E34,TargetTeam!B:H,7,0)</f>
        <v>2</v>
      </c>
    </row>
    <row r="35" spans="1:19">
      <c r="A35" s="1603"/>
      <c r="D35" s="1645" t="str">
        <f t="shared" si="0"/>
        <v>HỒNG KHÁNH HƯNG - MDRT VT</v>
      </c>
      <c r="E35" s="1665" t="s">
        <v>949</v>
      </c>
      <c r="G35" s="1596">
        <f t="shared" si="1"/>
        <v>5</v>
      </c>
      <c r="H35" s="1596">
        <f>VLOOKUP(Target!E35,TargetTeam!B:H,7,0)</f>
        <v>5</v>
      </c>
    </row>
    <row r="36" spans="1:19">
      <c r="A36" s="1603"/>
      <c r="D36" s="1645" t="e">
        <f>VLOOKUP(E36,$A$45:$B$82,2,0)</f>
        <v>#N/A</v>
      </c>
      <c r="E36" s="1665" t="s">
        <v>1104</v>
      </c>
      <c r="G36" s="1596">
        <f t="shared" si="1"/>
        <v>2</v>
      </c>
      <c r="H36" s="1596">
        <f>VLOOKUP(Target!E36,TargetTeam!B:H,7,0)</f>
        <v>2</v>
      </c>
    </row>
    <row r="37" spans="1:19">
      <c r="A37" s="1603"/>
      <c r="D37" s="1666" t="s">
        <v>1348</v>
      </c>
      <c r="E37" s="1665" t="s">
        <v>1015</v>
      </c>
      <c r="G37" s="1596">
        <f t="shared" si="1"/>
        <v>0</v>
      </c>
      <c r="H37" s="1596">
        <f>VLOOKUP(Target!E37,TargetTeam!B:H,7,0)</f>
        <v>0</v>
      </c>
    </row>
    <row r="38" spans="1:19">
      <c r="A38" s="1603"/>
      <c r="D38" s="1667" t="s">
        <v>1161</v>
      </c>
      <c r="E38" s="1665" t="s">
        <v>1103</v>
      </c>
      <c r="G38" s="1596">
        <f t="shared" si="1"/>
        <v>3</v>
      </c>
      <c r="H38" s="1596">
        <f>VLOOKUP(Target!E38,TargetTeam!B:H,7,0)</f>
        <v>3</v>
      </c>
    </row>
    <row r="39" spans="1:19" ht="17.25" customHeight="1">
      <c r="A39" s="1603"/>
      <c r="D39" s="1668" t="e">
        <f>VLOOKUP(E39,$A$45:$B$82,2,0)</f>
        <v>#N/A</v>
      </c>
      <c r="E39" s="1665" t="s">
        <v>1102</v>
      </c>
      <c r="G39" s="1596">
        <f t="shared" si="1"/>
        <v>5</v>
      </c>
      <c r="H39" s="1596">
        <f>VLOOKUP(Target!E39,TargetTeam!B:H,7,0)</f>
        <v>5</v>
      </c>
    </row>
    <row r="40" spans="1:19" ht="15" customHeight="1">
      <c r="A40" s="1603"/>
      <c r="D40" s="1668" t="e">
        <f>VLOOKUP(E40,$A$45:$B$82,2,0)</f>
        <v>#N/A</v>
      </c>
      <c r="E40" s="1665" t="s">
        <v>1101</v>
      </c>
      <c r="G40" s="1596">
        <f t="shared" si="1"/>
        <v>5</v>
      </c>
      <c r="H40" s="1596">
        <f>VLOOKUP(Target!E40,TargetTeam!B:H,7,0)</f>
        <v>5</v>
      </c>
    </row>
    <row r="41" spans="1:19" ht="12.75" customHeight="1">
      <c r="A41" s="1603"/>
      <c r="D41" s="1668" t="e">
        <f>VLOOKUP(E41,$A$45:$B$82,2,0)</f>
        <v>#N/A</v>
      </c>
      <c r="E41" s="1665" t="s">
        <v>1100</v>
      </c>
      <c r="G41" s="1596">
        <f t="shared" si="1"/>
        <v>0</v>
      </c>
      <c r="H41" s="1596">
        <f>VLOOKUP(Target!E41,TargetTeam!B:H,7,0)</f>
        <v>0</v>
      </c>
    </row>
    <row r="42" spans="1:19" ht="10.5" customHeight="1">
      <c r="D42" s="1668" t="e">
        <f>VLOOKUP(E42,$A$45:$B$82,2,0)</f>
        <v>#N/A</v>
      </c>
      <c r="E42" s="1665" t="s">
        <v>1099</v>
      </c>
      <c r="G42" s="1596">
        <f t="shared" si="1"/>
        <v>2</v>
      </c>
      <c r="H42" s="1596">
        <f>VLOOKUP(Target!E42,TargetTeam!B:H,7,0)</f>
        <v>2</v>
      </c>
    </row>
    <row r="43" spans="1:19" ht="15.75" customHeight="1">
      <c r="E43" s="1596"/>
      <c r="F43" s="1596"/>
      <c r="H43" s="1596"/>
      <c r="M43" t="s">
        <v>3578</v>
      </c>
    </row>
    <row r="44" spans="1:19">
      <c r="A44" s="1208" t="s">
        <v>624</v>
      </c>
      <c r="B44" s="1208" t="s">
        <v>584</v>
      </c>
      <c r="E44" s="1598">
        <f>E1</f>
        <v>7</v>
      </c>
      <c r="H44" s="1598">
        <v>1</v>
      </c>
      <c r="I44" s="1598">
        <v>2</v>
      </c>
      <c r="J44" s="1598">
        <v>3</v>
      </c>
      <c r="K44" s="1598">
        <v>4</v>
      </c>
      <c r="L44" s="1598">
        <v>5</v>
      </c>
      <c r="M44" s="1598">
        <v>6</v>
      </c>
      <c r="N44" s="1598">
        <v>7</v>
      </c>
      <c r="O44" s="1598">
        <v>8</v>
      </c>
      <c r="P44" s="1598">
        <v>9</v>
      </c>
      <c r="Q44" s="1598">
        <v>10</v>
      </c>
      <c r="R44" s="1598">
        <v>11</v>
      </c>
      <c r="S44" s="1598">
        <v>12</v>
      </c>
    </row>
    <row r="45" spans="1:19">
      <c r="A45" s="1233" t="s">
        <v>92</v>
      </c>
      <c r="B45" s="1234" t="s">
        <v>91</v>
      </c>
      <c r="E45" s="1596" t="s">
        <v>1109</v>
      </c>
      <c r="F45" s="1348" t="s">
        <v>572</v>
      </c>
      <c r="G45" s="1648" t="s">
        <v>163</v>
      </c>
      <c r="H45" s="252" t="s">
        <v>2552</v>
      </c>
      <c r="I45" s="211" t="s">
        <v>34</v>
      </c>
      <c r="J45" s="211" t="s">
        <v>35</v>
      </c>
      <c r="K45" s="211" t="s">
        <v>36</v>
      </c>
      <c r="L45" s="211" t="s">
        <v>37</v>
      </c>
      <c r="M45" s="211" t="s">
        <v>38</v>
      </c>
      <c r="N45" s="211" t="s">
        <v>39</v>
      </c>
      <c r="O45" s="211" t="s">
        <v>40</v>
      </c>
      <c r="P45" s="211" t="s">
        <v>41</v>
      </c>
      <c r="Q45" s="211" t="s">
        <v>42</v>
      </c>
      <c r="R45" s="211" t="s">
        <v>43</v>
      </c>
      <c r="S45" s="211" t="s">
        <v>44</v>
      </c>
    </row>
    <row r="46" spans="1:19">
      <c r="A46" s="1233" t="s">
        <v>483</v>
      </c>
      <c r="B46" s="1234" t="s">
        <v>630</v>
      </c>
      <c r="D46" s="1685" t="str">
        <f t="shared" ref="D46:D77" si="2">INDEX(A:A,MATCH(E46,B:B,0))</f>
        <v>NGUYỄN THU HẰNG</v>
      </c>
      <c r="E46" s="1686" t="s">
        <v>47</v>
      </c>
      <c r="G46" s="1596">
        <f>SUMIF($H$44:$S$44,"="&amp;$E$44,$H46:$S46)</f>
        <v>0</v>
      </c>
      <c r="H46" s="1633">
        <v>46</v>
      </c>
      <c r="I46" s="1633">
        <v>48</v>
      </c>
      <c r="J46" s="1633">
        <v>58</v>
      </c>
      <c r="K46" s="1633">
        <v>66</v>
      </c>
      <c r="L46" s="1633">
        <v>73</v>
      </c>
      <c r="M46" s="1633"/>
      <c r="N46" s="1633"/>
      <c r="O46" s="1633"/>
      <c r="P46" s="1633"/>
      <c r="Q46" s="1633"/>
      <c r="R46" s="1633"/>
      <c r="S46" s="1633"/>
    </row>
    <row r="47" spans="1:19">
      <c r="A47" s="1233" t="s">
        <v>194</v>
      </c>
      <c r="B47" s="1234" t="s">
        <v>187</v>
      </c>
      <c r="D47" s="1685" t="str">
        <f t="shared" si="2"/>
        <v>NGUYỄN THỊ LAN ANH</v>
      </c>
      <c r="E47" s="1686" t="s">
        <v>91</v>
      </c>
      <c r="G47" s="1596">
        <f>SUMIF($H$44:$S$44,"="&amp;$E$44,$H47:$S47)</f>
        <v>0</v>
      </c>
      <c r="H47" s="1633">
        <v>114</v>
      </c>
      <c r="I47" s="1633">
        <v>116</v>
      </c>
      <c r="J47" s="1633">
        <v>123</v>
      </c>
      <c r="K47" s="1633">
        <v>126</v>
      </c>
      <c r="L47" s="1633">
        <v>129</v>
      </c>
      <c r="M47" s="1633"/>
      <c r="N47" s="1633"/>
      <c r="O47" s="1633"/>
      <c r="P47" s="1633"/>
      <c r="Q47" s="1633"/>
      <c r="R47" s="1633"/>
      <c r="S47" s="1633"/>
    </row>
    <row r="48" spans="1:19">
      <c r="A48" s="1233" t="s">
        <v>1770</v>
      </c>
      <c r="B48" s="1234" t="s">
        <v>557</v>
      </c>
      <c r="D48" s="1685" t="str">
        <f t="shared" si="2"/>
        <v>MAI QUỐC HUY</v>
      </c>
      <c r="E48" s="1686" t="s">
        <v>177</v>
      </c>
      <c r="G48" s="1596">
        <f>SUMIF($H$44:$S$44,"="&amp;$E$44,$H48:$S48)</f>
        <v>0</v>
      </c>
      <c r="H48" s="1633">
        <v>104</v>
      </c>
      <c r="I48" s="1633">
        <v>107</v>
      </c>
      <c r="J48" s="1633">
        <v>93</v>
      </c>
      <c r="K48" s="1633">
        <v>84</v>
      </c>
      <c r="L48" s="1633">
        <v>120</v>
      </c>
      <c r="M48" s="1633"/>
      <c r="N48" s="1633"/>
      <c r="O48" s="1633"/>
      <c r="P48" s="1633"/>
      <c r="Q48" s="1633"/>
      <c r="R48" s="1633"/>
      <c r="S48" s="1633"/>
    </row>
    <row r="49" spans="1:19">
      <c r="A49" s="1233" t="s">
        <v>17</v>
      </c>
      <c r="B49" s="1234" t="s">
        <v>47</v>
      </c>
      <c r="D49" s="1685" t="str">
        <f t="shared" si="2"/>
        <v>NGUYỄN THỊ BÌNH</v>
      </c>
      <c r="E49" s="1686" t="s">
        <v>185</v>
      </c>
      <c r="G49" s="1596">
        <f>SUMIF($H$44:$S$44,"="&amp;$E$44,$H49:$S49)</f>
        <v>0</v>
      </c>
      <c r="H49" s="1633">
        <v>105</v>
      </c>
      <c r="I49" s="1633">
        <v>102</v>
      </c>
      <c r="J49" s="1633">
        <v>106</v>
      </c>
      <c r="K49" s="1633">
        <v>112</v>
      </c>
      <c r="L49" s="1633">
        <v>115</v>
      </c>
      <c r="M49" s="1633"/>
      <c r="N49" s="1633"/>
      <c r="O49" s="1633"/>
      <c r="P49" s="1633"/>
      <c r="Q49" s="1633"/>
      <c r="R49" s="1633"/>
      <c r="S49" s="1633"/>
    </row>
    <row r="50" spans="1:19">
      <c r="A50" s="1233" t="s">
        <v>629</v>
      </c>
      <c r="B50" s="1234" t="s">
        <v>628</v>
      </c>
      <c r="D50" s="1685" t="str">
        <f t="shared" si="2"/>
        <v>LÊ THANH HUYỀN</v>
      </c>
      <c r="E50" s="1686" t="s">
        <v>179</v>
      </c>
      <c r="G50" s="1596">
        <f t="shared" ref="G50:G97" si="3">SUMIF($H$44:$S$44,"="&amp;$E$44,$H50:$S50)</f>
        <v>0</v>
      </c>
      <c r="H50" s="1633">
        <v>148</v>
      </c>
      <c r="I50" s="1633">
        <v>133</v>
      </c>
      <c r="J50" s="1633">
        <v>153</v>
      </c>
      <c r="K50" s="1633">
        <v>164</v>
      </c>
      <c r="L50" s="1633">
        <v>171</v>
      </c>
      <c r="M50" s="1633"/>
      <c r="N50" s="1633"/>
      <c r="O50" s="1633"/>
      <c r="P50" s="1633"/>
      <c r="Q50" s="1633"/>
      <c r="R50" s="1633"/>
      <c r="S50" s="1633"/>
    </row>
    <row r="51" spans="1:19">
      <c r="A51" s="1233" t="s">
        <v>641</v>
      </c>
      <c r="B51" s="1233" t="s">
        <v>642</v>
      </c>
      <c r="D51" s="1685" t="str">
        <f t="shared" si="2"/>
        <v>NGUYỄN VĂN CÔNG</v>
      </c>
      <c r="E51" s="1686" t="s">
        <v>176</v>
      </c>
      <c r="G51" s="1596">
        <f t="shared" si="3"/>
        <v>0</v>
      </c>
      <c r="H51" s="1633">
        <v>205</v>
      </c>
      <c r="I51" s="1633">
        <v>191</v>
      </c>
      <c r="J51" s="1633">
        <v>194</v>
      </c>
      <c r="K51" s="1633">
        <v>204</v>
      </c>
      <c r="L51" s="1633">
        <v>214</v>
      </c>
      <c r="M51" s="1633"/>
      <c r="N51" s="1633"/>
      <c r="O51" s="1633"/>
      <c r="P51" s="1633"/>
      <c r="Q51" s="1633"/>
      <c r="R51" s="1633"/>
      <c r="S51" s="1633"/>
    </row>
    <row r="52" spans="1:19">
      <c r="A52" s="1233" t="s">
        <v>644</v>
      </c>
      <c r="B52" s="1233" t="s">
        <v>648</v>
      </c>
      <c r="D52" s="1685" t="str">
        <f t="shared" si="2"/>
        <v>NGUYỄN HỮU NGHIỆM</v>
      </c>
      <c r="E52" s="1686" t="s">
        <v>187</v>
      </c>
      <c r="G52" s="1596">
        <f t="shared" si="3"/>
        <v>0</v>
      </c>
      <c r="H52" s="1633">
        <v>82</v>
      </c>
      <c r="I52" s="1633">
        <v>84</v>
      </c>
      <c r="J52" s="1633">
        <v>93</v>
      </c>
      <c r="K52" s="1633">
        <v>99</v>
      </c>
      <c r="L52" s="1633">
        <v>104</v>
      </c>
      <c r="M52" s="1633"/>
      <c r="N52" s="1633"/>
      <c r="O52" s="1633"/>
      <c r="P52" s="1633"/>
      <c r="Q52" s="1633"/>
      <c r="R52" s="1633"/>
      <c r="S52" s="1633"/>
    </row>
    <row r="53" spans="1:19">
      <c r="A53" s="1233" t="s">
        <v>645</v>
      </c>
      <c r="B53" s="1233" t="s">
        <v>649</v>
      </c>
      <c r="D53" s="1685" t="str">
        <f t="shared" si="2"/>
        <v>ĐẶNG THỊ THU THỦY</v>
      </c>
      <c r="E53" s="1755" t="s">
        <v>1563</v>
      </c>
      <c r="G53" s="1596">
        <f t="shared" si="3"/>
        <v>0</v>
      </c>
      <c r="H53" s="1633">
        <v>44</v>
      </c>
      <c r="I53" s="1633">
        <v>46</v>
      </c>
      <c r="J53" s="1633">
        <v>56</v>
      </c>
      <c r="K53" s="1633">
        <v>64</v>
      </c>
      <c r="L53" s="1633">
        <v>72</v>
      </c>
      <c r="M53" s="1633"/>
      <c r="N53" s="1633"/>
      <c r="O53" s="1633"/>
      <c r="P53" s="1633"/>
      <c r="Q53" s="1633"/>
      <c r="R53" s="1633"/>
      <c r="S53" s="1633"/>
    </row>
    <row r="54" spans="1:19">
      <c r="A54" s="1233" t="s">
        <v>1777</v>
      </c>
      <c r="B54" s="1233" t="s">
        <v>650</v>
      </c>
      <c r="D54" s="1685" t="str">
        <f t="shared" si="2"/>
        <v>ĐỖ KIM HẠNH</v>
      </c>
      <c r="E54" s="1686" t="s">
        <v>661</v>
      </c>
      <c r="G54" s="1596">
        <f t="shared" si="3"/>
        <v>0</v>
      </c>
      <c r="H54" s="1633">
        <v>48</v>
      </c>
      <c r="I54" s="1633">
        <v>45</v>
      </c>
      <c r="J54" s="1633">
        <v>54</v>
      </c>
      <c r="K54" s="1633">
        <v>68</v>
      </c>
      <c r="L54" s="1633">
        <v>118</v>
      </c>
      <c r="M54" s="1633"/>
      <c r="N54" s="1633"/>
      <c r="O54" s="1633"/>
      <c r="P54" s="1633"/>
      <c r="Q54" s="1633"/>
      <c r="R54" s="1633"/>
      <c r="S54" s="1633"/>
    </row>
    <row r="55" spans="1:19">
      <c r="A55" s="1233" t="s">
        <v>790</v>
      </c>
      <c r="B55" s="1233" t="s">
        <v>735</v>
      </c>
      <c r="D55" s="1685" t="str">
        <f t="shared" si="2"/>
        <v>NGUYỄN VĂN VŨ - THE SUN</v>
      </c>
      <c r="E55" s="1755" t="s">
        <v>1418</v>
      </c>
      <c r="G55" s="1596">
        <f t="shared" si="3"/>
        <v>0</v>
      </c>
      <c r="H55" s="1633">
        <v>59</v>
      </c>
      <c r="I55" s="1633">
        <v>61</v>
      </c>
      <c r="J55" s="1633">
        <v>106</v>
      </c>
      <c r="K55" s="1633">
        <v>105</v>
      </c>
      <c r="L55" s="1633">
        <v>104</v>
      </c>
      <c r="M55" s="1633"/>
      <c r="N55" s="1633"/>
      <c r="O55" s="1633"/>
      <c r="P55" s="1633"/>
      <c r="Q55" s="1633"/>
      <c r="R55" s="1633"/>
      <c r="S55" s="1633"/>
    </row>
    <row r="56" spans="1:19">
      <c r="A56" s="1233" t="s">
        <v>697</v>
      </c>
      <c r="B56" s="1233" t="s">
        <v>736</v>
      </c>
      <c r="D56" s="1685" t="str">
        <f t="shared" si="2"/>
        <v>NGUYỄN THỊ KIM HỒNG</v>
      </c>
      <c r="E56" s="1686" t="s">
        <v>628</v>
      </c>
      <c r="G56" s="1596">
        <f t="shared" si="3"/>
        <v>0</v>
      </c>
      <c r="H56" s="1633">
        <v>56</v>
      </c>
      <c r="I56" s="1633">
        <v>58</v>
      </c>
      <c r="J56" s="1633">
        <v>68</v>
      </c>
      <c r="K56" s="1633">
        <v>75</v>
      </c>
      <c r="L56" s="1633">
        <v>82</v>
      </c>
      <c r="M56" s="1633"/>
      <c r="N56" s="1633"/>
      <c r="O56" s="1633"/>
      <c r="P56" s="1633"/>
      <c r="Q56" s="1633"/>
      <c r="R56" s="1633"/>
      <c r="S56" s="1633"/>
    </row>
    <row r="57" spans="1:19">
      <c r="A57" s="1233" t="s">
        <v>1766</v>
      </c>
      <c r="B57" s="1233" t="s">
        <v>734</v>
      </c>
      <c r="D57" s="1685" t="str">
        <f t="shared" si="2"/>
        <v>HỒNG KHÁNH HƯNG - DRAGON</v>
      </c>
      <c r="E57" s="1686" t="s">
        <v>650</v>
      </c>
      <c r="G57" s="1596">
        <f t="shared" si="3"/>
        <v>0</v>
      </c>
      <c r="H57" s="1633">
        <v>39</v>
      </c>
      <c r="I57" s="1633">
        <v>41</v>
      </c>
      <c r="J57" s="1633">
        <v>51</v>
      </c>
      <c r="K57" s="1633">
        <v>59</v>
      </c>
      <c r="L57" s="1633">
        <v>67</v>
      </c>
      <c r="M57" s="1633"/>
      <c r="N57" s="1633"/>
      <c r="O57" s="1633"/>
      <c r="P57" s="1633"/>
      <c r="Q57" s="1633"/>
      <c r="R57" s="1633"/>
      <c r="S57" s="1633"/>
    </row>
    <row r="58" spans="1:19">
      <c r="A58" s="1233" t="s">
        <v>1162</v>
      </c>
      <c r="B58" s="1233" t="s">
        <v>1101</v>
      </c>
      <c r="D58" s="1685" t="str">
        <f t="shared" si="2"/>
        <v>CHU THỊ ÁI THƯƠNG</v>
      </c>
      <c r="E58" s="1686" t="s">
        <v>660</v>
      </c>
      <c r="G58" s="1596">
        <f t="shared" si="3"/>
        <v>0</v>
      </c>
      <c r="H58" s="1633">
        <v>147</v>
      </c>
      <c r="I58" s="1633">
        <v>144</v>
      </c>
      <c r="J58" s="1633">
        <v>153</v>
      </c>
      <c r="K58" s="1633">
        <v>159</v>
      </c>
      <c r="L58" s="1633">
        <v>167</v>
      </c>
      <c r="M58" s="1633"/>
      <c r="N58" s="1633"/>
      <c r="O58" s="1633"/>
      <c r="P58" s="1633"/>
      <c r="Q58" s="1633"/>
      <c r="R58" s="1633"/>
      <c r="S58" s="1633"/>
    </row>
    <row r="59" spans="1:19">
      <c r="A59" s="1233" t="s">
        <v>1163</v>
      </c>
      <c r="B59" s="1233" t="s">
        <v>1102</v>
      </c>
      <c r="D59" s="1685" t="str">
        <f t="shared" si="2"/>
        <v>NGUYỄN QUÝ NHÂN</v>
      </c>
      <c r="E59" s="1686" t="s">
        <v>648</v>
      </c>
      <c r="G59" s="1596">
        <f t="shared" si="3"/>
        <v>0</v>
      </c>
      <c r="H59" s="1633">
        <v>57</v>
      </c>
      <c r="I59" s="1633">
        <v>59</v>
      </c>
      <c r="J59" s="1633">
        <v>69</v>
      </c>
      <c r="K59" s="1633">
        <v>76</v>
      </c>
      <c r="L59" s="1633">
        <v>83</v>
      </c>
      <c r="M59" s="1633"/>
      <c r="N59" s="1633"/>
      <c r="O59" s="1633"/>
      <c r="P59" s="1633"/>
      <c r="Q59" s="1633"/>
      <c r="R59" s="1633"/>
      <c r="S59" s="1633"/>
    </row>
    <row r="60" spans="1:19">
      <c r="A60" s="1233" t="s">
        <v>797</v>
      </c>
      <c r="B60" s="1233" t="s">
        <v>796</v>
      </c>
      <c r="D60" s="1685" t="str">
        <f t="shared" si="2"/>
        <v>NGUYỄN VĂN PHÚ</v>
      </c>
      <c r="E60" s="1755" t="s">
        <v>1565</v>
      </c>
      <c r="G60" s="1596">
        <f t="shared" si="3"/>
        <v>0</v>
      </c>
      <c r="H60" s="1633">
        <v>42</v>
      </c>
      <c r="I60" s="1633">
        <v>44</v>
      </c>
      <c r="J60" s="1633">
        <v>0</v>
      </c>
      <c r="K60" s="1633">
        <v>0</v>
      </c>
      <c r="L60" s="1633">
        <v>0</v>
      </c>
      <c r="M60" s="1633"/>
      <c r="N60" s="1633"/>
      <c r="O60" s="1633"/>
      <c r="P60" s="1633"/>
      <c r="Q60" s="1633"/>
      <c r="R60" s="1633"/>
      <c r="S60" s="1633"/>
    </row>
    <row r="61" spans="1:19">
      <c r="A61" s="1233" t="s">
        <v>1768</v>
      </c>
      <c r="B61" s="1233" t="s">
        <v>798</v>
      </c>
      <c r="D61" s="1685" t="str">
        <f t="shared" si="2"/>
        <v>NGUYỄN THỊ ĐÀO</v>
      </c>
      <c r="E61" s="1686" t="s">
        <v>659</v>
      </c>
      <c r="G61" s="1596">
        <f t="shared" si="3"/>
        <v>0</v>
      </c>
      <c r="H61" s="1633">
        <v>101</v>
      </c>
      <c r="I61" s="1633">
        <v>103</v>
      </c>
      <c r="J61" s="1633">
        <v>103</v>
      </c>
      <c r="K61" s="1633">
        <v>124</v>
      </c>
      <c r="L61" s="1633">
        <v>131</v>
      </c>
      <c r="M61" s="1633"/>
      <c r="N61" s="1633"/>
      <c r="O61" s="1633"/>
      <c r="P61" s="1633"/>
      <c r="Q61" s="1633"/>
      <c r="R61" s="1633"/>
      <c r="S61" s="1633"/>
    </row>
    <row r="62" spans="1:19">
      <c r="A62" s="1233" t="s">
        <v>1014</v>
      </c>
      <c r="B62" s="1233" t="s">
        <v>902</v>
      </c>
      <c r="D62" s="1685" t="str">
        <f t="shared" si="2"/>
        <v>QUÁCH CẨM TÚ</v>
      </c>
      <c r="E62" s="1755" t="s">
        <v>1669</v>
      </c>
      <c r="G62" s="1596">
        <f t="shared" si="3"/>
        <v>0</v>
      </c>
      <c r="H62" s="1633">
        <v>26</v>
      </c>
      <c r="I62" s="1633">
        <v>28</v>
      </c>
      <c r="J62" s="1633">
        <v>39</v>
      </c>
      <c r="K62" s="1633">
        <v>0</v>
      </c>
      <c r="L62" s="1633">
        <v>0</v>
      </c>
      <c r="M62" s="1633"/>
      <c r="N62" s="1633"/>
      <c r="O62" s="1633"/>
      <c r="P62" s="1633"/>
      <c r="Q62" s="1633"/>
      <c r="R62" s="1633"/>
      <c r="S62" s="1633"/>
    </row>
    <row r="63" spans="1:19">
      <c r="A63" s="1233" t="s">
        <v>901</v>
      </c>
      <c r="B63" s="1233" t="s">
        <v>900</v>
      </c>
      <c r="D63" s="1685" t="str">
        <f t="shared" si="2"/>
        <v>PHẠM THÀNH TRÍ</v>
      </c>
      <c r="E63" s="1686" t="s">
        <v>649</v>
      </c>
      <c r="G63" s="1596">
        <f t="shared" si="3"/>
        <v>0</v>
      </c>
      <c r="H63" s="1633">
        <v>77</v>
      </c>
      <c r="I63" s="1633">
        <v>79</v>
      </c>
      <c r="J63" s="1633">
        <v>88</v>
      </c>
      <c r="K63" s="1633">
        <v>94</v>
      </c>
      <c r="L63" s="1633">
        <v>99</v>
      </c>
      <c r="M63" s="1633"/>
      <c r="N63" s="1633"/>
      <c r="O63" s="1633"/>
      <c r="P63" s="1633"/>
      <c r="Q63" s="1633"/>
      <c r="R63" s="1633"/>
      <c r="S63" s="1633"/>
    </row>
    <row r="64" spans="1:19">
      <c r="A64" s="1233" t="s">
        <v>904</v>
      </c>
      <c r="B64" s="1233" t="s">
        <v>903</v>
      </c>
      <c r="D64" s="1685" t="str">
        <f t="shared" si="2"/>
        <v>LÊ THỊ HỒNG LĨNH</v>
      </c>
      <c r="E64" s="1686" t="s">
        <v>642</v>
      </c>
      <c r="G64" s="1596">
        <f t="shared" si="3"/>
        <v>0</v>
      </c>
      <c r="H64" s="1633">
        <v>76</v>
      </c>
      <c r="I64" s="1633">
        <v>78</v>
      </c>
      <c r="J64" s="1633">
        <v>87</v>
      </c>
      <c r="K64" s="1633">
        <v>93</v>
      </c>
      <c r="L64" s="1633">
        <v>98</v>
      </c>
      <c r="M64" s="1633"/>
      <c r="N64" s="1633"/>
      <c r="O64" s="1633"/>
      <c r="P64" s="1633"/>
      <c r="Q64" s="1633"/>
      <c r="R64" s="1633"/>
      <c r="S64" s="1633"/>
    </row>
    <row r="65" spans="1:19">
      <c r="A65" s="1233" t="s">
        <v>1286</v>
      </c>
      <c r="B65" s="1233" t="s">
        <v>1099</v>
      </c>
      <c r="D65" s="1685" t="str">
        <f t="shared" si="2"/>
        <v>NGUYỄN THỊ PHƯƠNG TRINH</v>
      </c>
      <c r="E65" s="1686" t="s">
        <v>736</v>
      </c>
      <c r="G65" s="1596">
        <f t="shared" si="3"/>
        <v>0</v>
      </c>
      <c r="H65" s="1633">
        <v>92</v>
      </c>
      <c r="I65" s="1633">
        <v>94</v>
      </c>
      <c r="J65" s="1633">
        <v>102</v>
      </c>
      <c r="K65" s="1633">
        <v>107</v>
      </c>
      <c r="L65" s="1633">
        <v>111</v>
      </c>
      <c r="M65" s="1633"/>
      <c r="N65" s="1633"/>
      <c r="O65" s="1633"/>
      <c r="P65" s="1633"/>
      <c r="Q65" s="1633"/>
      <c r="R65" s="1633"/>
      <c r="S65" s="1633"/>
    </row>
    <row r="66" spans="1:19">
      <c r="A66" s="327" t="s">
        <v>1564</v>
      </c>
      <c r="B66" s="1233" t="s">
        <v>1563</v>
      </c>
      <c r="D66" s="1685" t="str">
        <f t="shared" si="2"/>
        <v>NGUYỄN THỊ NGỌC LAN</v>
      </c>
      <c r="E66" s="1686" t="s">
        <v>699</v>
      </c>
      <c r="G66" s="1596">
        <f t="shared" si="3"/>
        <v>0</v>
      </c>
      <c r="H66" s="1633">
        <v>37</v>
      </c>
      <c r="I66" s="1633">
        <v>38</v>
      </c>
      <c r="J66" s="1633">
        <v>33</v>
      </c>
      <c r="K66" s="1633">
        <v>50</v>
      </c>
      <c r="L66" s="1633">
        <v>0</v>
      </c>
      <c r="M66" s="1633"/>
      <c r="N66" s="1633"/>
      <c r="O66" s="1633"/>
      <c r="P66" s="1633"/>
      <c r="Q66" s="1633"/>
      <c r="R66" s="1633"/>
      <c r="S66" s="1633"/>
    </row>
    <row r="67" spans="1:19">
      <c r="A67" s="1233" t="s">
        <v>1771</v>
      </c>
      <c r="B67" s="1233" t="s">
        <v>1418</v>
      </c>
      <c r="D67" s="1685" t="str">
        <f t="shared" si="2"/>
        <v>NGUYỄN THỊ HOÀNG YẾN</v>
      </c>
      <c r="E67" s="1755" t="s">
        <v>1567</v>
      </c>
      <c r="G67" s="1596">
        <f t="shared" si="3"/>
        <v>0</v>
      </c>
      <c r="H67" s="1633">
        <v>135</v>
      </c>
      <c r="I67" s="1633">
        <v>126</v>
      </c>
      <c r="J67" s="1633">
        <v>123</v>
      </c>
      <c r="K67" s="1633">
        <v>127</v>
      </c>
      <c r="L67" s="1633">
        <v>128</v>
      </c>
      <c r="M67" s="1633"/>
      <c r="N67" s="1633"/>
      <c r="O67" s="1633"/>
      <c r="P67" s="1633"/>
      <c r="Q67" s="1633"/>
      <c r="R67" s="1633"/>
      <c r="S67" s="1633"/>
    </row>
    <row r="68" spans="1:19">
      <c r="A68" s="1233" t="s">
        <v>1566</v>
      </c>
      <c r="B68" s="1233" t="s">
        <v>1565</v>
      </c>
      <c r="D68" s="1685" t="str">
        <f t="shared" si="2"/>
        <v>HỒNG KHÁNH HƯNG - MDRT HCM</v>
      </c>
      <c r="E68" s="1686" t="s">
        <v>735</v>
      </c>
      <c r="G68" s="1596">
        <f t="shared" si="3"/>
        <v>0</v>
      </c>
      <c r="H68" s="1633">
        <v>69</v>
      </c>
      <c r="I68" s="1633">
        <v>71</v>
      </c>
      <c r="J68" s="1633">
        <v>80</v>
      </c>
      <c r="K68" s="1633">
        <v>86</v>
      </c>
      <c r="L68" s="1633">
        <v>92</v>
      </c>
      <c r="M68" s="1633"/>
      <c r="N68" s="1633"/>
      <c r="O68" s="1633"/>
      <c r="P68" s="1633"/>
      <c r="Q68" s="1633"/>
      <c r="R68" s="1633"/>
      <c r="S68" s="1633"/>
    </row>
    <row r="69" spans="1:19">
      <c r="A69" s="1233" t="s">
        <v>1670</v>
      </c>
      <c r="B69" s="1233" t="s">
        <v>1669</v>
      </c>
      <c r="D69" s="1685" t="str">
        <f t="shared" si="2"/>
        <v>NGUYỄN VĂN VŨ - MDRT BH</v>
      </c>
      <c r="E69" s="1686" t="s">
        <v>734</v>
      </c>
      <c r="G69" s="1596">
        <f t="shared" si="3"/>
        <v>0</v>
      </c>
      <c r="H69" s="1633">
        <v>162</v>
      </c>
      <c r="I69" s="1633">
        <v>164</v>
      </c>
      <c r="J69" s="1633">
        <v>169</v>
      </c>
      <c r="K69" s="1633">
        <v>169</v>
      </c>
      <c r="L69" s="1633">
        <v>169</v>
      </c>
      <c r="M69" s="1633"/>
      <c r="N69" s="1633"/>
      <c r="O69" s="1633"/>
      <c r="P69" s="1633"/>
      <c r="Q69" s="1633"/>
      <c r="R69" s="1633"/>
      <c r="S69" s="1633"/>
    </row>
    <row r="70" spans="1:19">
      <c r="A70" s="1233" t="s">
        <v>950</v>
      </c>
      <c r="B70" s="1233" t="s">
        <v>949</v>
      </c>
      <c r="D70" s="1685" t="str">
        <f t="shared" si="2"/>
        <v>NGUYỄN VĂN VŨ - MDRT HCM2</v>
      </c>
      <c r="E70" s="1686" t="s">
        <v>798</v>
      </c>
      <c r="G70" s="1596">
        <f t="shared" si="3"/>
        <v>0</v>
      </c>
      <c r="H70" s="1633">
        <v>48</v>
      </c>
      <c r="I70" s="1633">
        <v>50</v>
      </c>
      <c r="J70" s="1633">
        <v>60</v>
      </c>
      <c r="K70" s="1633">
        <v>68</v>
      </c>
      <c r="L70" s="1633">
        <v>75</v>
      </c>
      <c r="M70" s="1633"/>
      <c r="N70" s="1633"/>
      <c r="O70" s="1633"/>
      <c r="P70" s="1633"/>
      <c r="Q70" s="1633"/>
      <c r="R70" s="1633"/>
      <c r="S70" s="1633"/>
    </row>
    <row r="71" spans="1:19">
      <c r="A71" s="1233" t="s">
        <v>906</v>
      </c>
      <c r="B71" s="1233" t="s">
        <v>905</v>
      </c>
      <c r="D71" s="1685" t="str">
        <f t="shared" si="2"/>
        <v>ĐỖ THỊ THANH THÚY</v>
      </c>
      <c r="E71" s="1686" t="s">
        <v>796</v>
      </c>
      <c r="G71" s="1596">
        <f t="shared" si="3"/>
        <v>0</v>
      </c>
      <c r="H71" s="1633">
        <v>50</v>
      </c>
      <c r="I71" s="1633">
        <v>52</v>
      </c>
      <c r="J71" s="1633">
        <v>62</v>
      </c>
      <c r="K71" s="1633">
        <v>70</v>
      </c>
      <c r="L71" s="1633">
        <v>77</v>
      </c>
      <c r="M71" s="1633"/>
      <c r="N71" s="1633"/>
      <c r="O71" s="1633"/>
      <c r="P71" s="1633"/>
      <c r="Q71" s="1633"/>
      <c r="R71" s="1633"/>
      <c r="S71" s="1633"/>
    </row>
    <row r="72" spans="1:19">
      <c r="A72" s="1563" t="s">
        <v>800</v>
      </c>
      <c r="B72" s="1563" t="s">
        <v>799</v>
      </c>
      <c r="D72" s="1685" t="str">
        <f t="shared" si="2"/>
        <v>NGUYỄN THỊ KIM CHUNG</v>
      </c>
      <c r="E72" s="1686" t="s">
        <v>799</v>
      </c>
      <c r="G72" s="1596">
        <f t="shared" si="3"/>
        <v>0</v>
      </c>
      <c r="H72" s="1633">
        <v>102</v>
      </c>
      <c r="I72" s="1633">
        <v>92</v>
      </c>
      <c r="J72" s="1633">
        <v>92</v>
      </c>
      <c r="K72" s="1633">
        <v>95</v>
      </c>
      <c r="L72" s="1633">
        <v>99</v>
      </c>
      <c r="M72" s="1633"/>
      <c r="N72" s="1633"/>
      <c r="O72" s="1633"/>
      <c r="P72" s="1633"/>
      <c r="Q72" s="1633"/>
      <c r="R72" s="1633"/>
      <c r="S72" s="1633"/>
    </row>
    <row r="73" spans="1:19">
      <c r="A73" s="1241" t="s">
        <v>698</v>
      </c>
      <c r="B73" s="1241" t="s">
        <v>699</v>
      </c>
      <c r="D73" s="1685" t="str">
        <f t="shared" si="2"/>
        <v>NGUYỄN VĂN NINH - HẢI ĐĂNG</v>
      </c>
      <c r="E73" s="1686" t="s">
        <v>825</v>
      </c>
      <c r="G73" s="1596">
        <f t="shared" si="3"/>
        <v>0</v>
      </c>
      <c r="H73" s="1633">
        <v>98</v>
      </c>
      <c r="I73" s="1633">
        <v>95</v>
      </c>
      <c r="J73" s="1633">
        <v>97</v>
      </c>
      <c r="K73" s="1633">
        <v>108</v>
      </c>
      <c r="L73" s="1633">
        <v>112</v>
      </c>
      <c r="M73" s="1633"/>
      <c r="N73" s="1633"/>
      <c r="O73" s="1633"/>
      <c r="P73" s="1633"/>
      <c r="Q73" s="1633"/>
      <c r="R73" s="1633"/>
      <c r="S73" s="1633"/>
    </row>
    <row r="74" spans="1:19">
      <c r="A74" s="1241" t="s">
        <v>655</v>
      </c>
      <c r="B74" s="1241" t="s">
        <v>659</v>
      </c>
      <c r="D74" s="1685" t="str">
        <f t="shared" si="2"/>
        <v>PHẠM THỊ THANH TRÚC</v>
      </c>
      <c r="E74" s="1686" t="s">
        <v>905</v>
      </c>
      <c r="G74" s="1596">
        <f t="shared" si="3"/>
        <v>0</v>
      </c>
      <c r="H74" s="1633">
        <v>61</v>
      </c>
      <c r="I74" s="1633">
        <v>63</v>
      </c>
      <c r="J74" s="1633">
        <v>72</v>
      </c>
      <c r="K74" s="1633">
        <v>79</v>
      </c>
      <c r="L74" s="1633">
        <v>85</v>
      </c>
      <c r="M74" s="1633"/>
      <c r="N74" s="1633"/>
      <c r="O74" s="1633"/>
      <c r="P74" s="1633"/>
      <c r="Q74" s="1633"/>
      <c r="R74" s="1633"/>
      <c r="S74" s="1633"/>
    </row>
    <row r="75" spans="1:19">
      <c r="A75" s="1241" t="s">
        <v>656</v>
      </c>
      <c r="B75" s="1241" t="s">
        <v>660</v>
      </c>
      <c r="D75" s="1685" t="str">
        <f t="shared" si="2"/>
        <v>TRẦN THỊ THÚY HẰNG</v>
      </c>
      <c r="E75" s="1686" t="s">
        <v>903</v>
      </c>
      <c r="G75" s="1596">
        <f t="shared" si="3"/>
        <v>0</v>
      </c>
      <c r="H75" s="1633">
        <v>108</v>
      </c>
      <c r="I75" s="1633">
        <v>110</v>
      </c>
      <c r="J75" s="1633">
        <v>118</v>
      </c>
      <c r="K75" s="1633">
        <v>122</v>
      </c>
      <c r="L75" s="1633">
        <v>125</v>
      </c>
      <c r="M75" s="1633"/>
      <c r="N75" s="1633"/>
      <c r="O75" s="1633"/>
      <c r="P75" s="1633"/>
      <c r="Q75" s="1633"/>
      <c r="R75" s="1633"/>
      <c r="S75" s="1633"/>
    </row>
    <row r="76" spans="1:19">
      <c r="A76" s="1241" t="s">
        <v>1950</v>
      </c>
      <c r="B76" s="1241" t="s">
        <v>661</v>
      </c>
      <c r="D76" s="1685" t="str">
        <f t="shared" si="2"/>
        <v>TRƯƠNG THỊ THU TRÂM</v>
      </c>
      <c r="E76" s="1686" t="s">
        <v>902</v>
      </c>
      <c r="G76" s="1596">
        <f t="shared" si="3"/>
        <v>0</v>
      </c>
      <c r="H76" s="1633">
        <v>94</v>
      </c>
      <c r="I76" s="1633">
        <v>96</v>
      </c>
      <c r="J76" s="1633">
        <v>104</v>
      </c>
      <c r="K76" s="1633">
        <v>109</v>
      </c>
      <c r="L76" s="1633">
        <v>113</v>
      </c>
      <c r="M76" s="1633"/>
      <c r="N76" s="1633"/>
      <c r="O76" s="1633"/>
      <c r="P76" s="1633"/>
      <c r="Q76" s="1633"/>
      <c r="R76" s="1633"/>
      <c r="S76" s="1633"/>
    </row>
    <row r="77" spans="1:19">
      <c r="A77" s="1241" t="s">
        <v>191</v>
      </c>
      <c r="B77" s="1242" t="s">
        <v>179</v>
      </c>
      <c r="D77" s="1685" t="str">
        <f t="shared" si="2"/>
        <v>HOÀNG NGUYỆT HẰNG</v>
      </c>
      <c r="E77" s="1686" t="s">
        <v>900</v>
      </c>
      <c r="G77" s="1596">
        <f t="shared" si="3"/>
        <v>0</v>
      </c>
      <c r="H77" s="1633">
        <v>58</v>
      </c>
      <c r="I77" s="1633">
        <v>60</v>
      </c>
      <c r="J77" s="1633">
        <v>70</v>
      </c>
      <c r="K77" s="1633">
        <v>77</v>
      </c>
      <c r="L77" s="1633">
        <v>84</v>
      </c>
      <c r="M77" s="1633"/>
      <c r="N77" s="1633"/>
      <c r="O77" s="1633"/>
      <c r="P77" s="1633"/>
      <c r="Q77" s="1633"/>
      <c r="R77" s="1633"/>
      <c r="S77" s="1633"/>
    </row>
    <row r="78" spans="1:19">
      <c r="A78" s="1241" t="s">
        <v>190</v>
      </c>
      <c r="B78" s="1242" t="s">
        <v>185</v>
      </c>
      <c r="D78" s="1685" t="str">
        <f t="shared" ref="D78:D97" si="4">INDEX(A:A,MATCH(E78,B:B,0))</f>
        <v>HỒNG KHÁNH HƯNG - MDRT VT</v>
      </c>
      <c r="E78" s="1686" t="s">
        <v>949</v>
      </c>
      <c r="G78" s="1596">
        <f t="shared" si="3"/>
        <v>0</v>
      </c>
      <c r="H78" s="1633">
        <v>89</v>
      </c>
      <c r="I78" s="1633">
        <v>91</v>
      </c>
      <c r="J78" s="1633">
        <v>99</v>
      </c>
      <c r="K78" s="1633">
        <v>104</v>
      </c>
      <c r="L78" s="1633">
        <v>109</v>
      </c>
      <c r="M78" s="1633"/>
      <c r="N78" s="1633"/>
      <c r="O78" s="1633"/>
      <c r="P78" s="1633"/>
      <c r="Q78" s="1633"/>
      <c r="R78" s="1633"/>
      <c r="S78" s="1633"/>
    </row>
    <row r="79" spans="1:19">
      <c r="A79" s="1241" t="s">
        <v>189</v>
      </c>
      <c r="B79" s="1242" t="s">
        <v>177</v>
      </c>
      <c r="D79" s="1685" t="str">
        <f t="shared" si="4"/>
        <v>LÊ THỊ THƠI</v>
      </c>
      <c r="E79" s="1690" t="s">
        <v>1104</v>
      </c>
      <c r="G79" s="1596">
        <f t="shared" si="3"/>
        <v>0</v>
      </c>
      <c r="H79" s="1633">
        <v>122</v>
      </c>
      <c r="I79" s="1633">
        <v>123</v>
      </c>
      <c r="J79" s="1633">
        <v>121</v>
      </c>
      <c r="K79" s="1633">
        <v>140</v>
      </c>
      <c r="L79" s="1633">
        <v>143</v>
      </c>
      <c r="M79" s="1633"/>
      <c r="N79" s="1633"/>
      <c r="O79" s="1633"/>
      <c r="P79" s="1633"/>
      <c r="Q79" s="1633"/>
      <c r="R79" s="1633"/>
      <c r="S79" s="1633"/>
    </row>
    <row r="80" spans="1:19">
      <c r="A80" s="1241" t="s">
        <v>188</v>
      </c>
      <c r="B80" s="1242" t="s">
        <v>176</v>
      </c>
      <c r="D80" s="1685" t="str">
        <f t="shared" si="4"/>
        <v>VŨ THỊ LỆ HẰNG</v>
      </c>
      <c r="E80" s="1686" t="s">
        <v>1015</v>
      </c>
      <c r="G80" s="1596">
        <f t="shared" si="3"/>
        <v>0</v>
      </c>
      <c r="H80" s="1633">
        <v>104</v>
      </c>
      <c r="I80" s="1633">
        <v>105</v>
      </c>
      <c r="J80" s="1633">
        <v>113</v>
      </c>
      <c r="K80" s="1633">
        <v>122</v>
      </c>
      <c r="L80" s="1633">
        <v>125</v>
      </c>
      <c r="M80" s="1633"/>
      <c r="N80" s="1633"/>
      <c r="O80" s="1633"/>
      <c r="P80" s="1633"/>
      <c r="Q80" s="1633"/>
      <c r="R80" s="1633"/>
      <c r="S80" s="1633"/>
    </row>
    <row r="81" spans="1:19">
      <c r="A81" s="327" t="s">
        <v>1028</v>
      </c>
      <c r="B81" s="1242" t="s">
        <v>1567</v>
      </c>
      <c r="D81" s="1685" t="str">
        <f t="shared" si="4"/>
        <v>NGUYỄN THỊ HỒNG</v>
      </c>
      <c r="E81" s="1687" t="s">
        <v>1103</v>
      </c>
      <c r="G81" s="1596">
        <f t="shared" si="3"/>
        <v>0</v>
      </c>
      <c r="H81" s="1633">
        <v>61</v>
      </c>
      <c r="I81" s="1633">
        <v>62</v>
      </c>
      <c r="J81" s="1633">
        <v>70</v>
      </c>
      <c r="K81" s="1633">
        <v>79</v>
      </c>
      <c r="L81" s="1633">
        <v>82</v>
      </c>
      <c r="M81" s="1633"/>
      <c r="N81" s="1633"/>
      <c r="O81" s="1633"/>
      <c r="P81" s="1633"/>
      <c r="Q81" s="1633"/>
      <c r="R81" s="1633"/>
      <c r="S81" s="1633"/>
    </row>
    <row r="82" spans="1:19">
      <c r="A82" s="327" t="s">
        <v>1569</v>
      </c>
      <c r="B82" s="1242" t="s">
        <v>1568</v>
      </c>
      <c r="D82" s="1685" t="str">
        <f t="shared" si="4"/>
        <v>NGUYỄN HỮU HIỀN</v>
      </c>
      <c r="E82" s="1686" t="s">
        <v>1102</v>
      </c>
      <c r="G82" s="1596">
        <f t="shared" si="3"/>
        <v>0</v>
      </c>
      <c r="H82" s="1633">
        <v>129</v>
      </c>
      <c r="I82" s="1633">
        <v>133</v>
      </c>
      <c r="J82" s="1633">
        <v>143</v>
      </c>
      <c r="K82" s="1633">
        <v>148</v>
      </c>
      <c r="L82" s="1633">
        <v>153</v>
      </c>
      <c r="M82" s="1633"/>
      <c r="N82" s="1633"/>
      <c r="O82" s="1633"/>
      <c r="P82" s="1633"/>
      <c r="Q82" s="1633"/>
      <c r="R82" s="1633"/>
      <c r="S82" s="1633"/>
    </row>
    <row r="83" spans="1:19">
      <c r="A83" s="327" t="s">
        <v>1573</v>
      </c>
      <c r="B83" s="1242" t="s">
        <v>1572</v>
      </c>
      <c r="D83" s="1685" t="str">
        <f t="shared" si="4"/>
        <v>NGUYỄN TRẦN QUỐC TOẢN</v>
      </c>
      <c r="E83" s="1686" t="s">
        <v>1101</v>
      </c>
      <c r="G83" s="1596">
        <f t="shared" si="3"/>
        <v>0</v>
      </c>
      <c r="H83" s="1633">
        <v>74</v>
      </c>
      <c r="I83" s="1633">
        <v>78</v>
      </c>
      <c r="J83" s="1633">
        <v>90</v>
      </c>
      <c r="K83" s="1633">
        <v>99</v>
      </c>
      <c r="L83" s="1633">
        <v>107</v>
      </c>
      <c r="M83" s="1633"/>
      <c r="N83" s="1633"/>
      <c r="O83" s="1633"/>
      <c r="P83" s="1633"/>
      <c r="Q83" s="1633"/>
      <c r="R83" s="1633"/>
      <c r="S83" s="1633"/>
    </row>
    <row r="84" spans="1:19">
      <c r="A84" s="1241" t="s">
        <v>1161</v>
      </c>
      <c r="B84" s="1242" t="s">
        <v>1103</v>
      </c>
      <c r="D84" s="1685" t="str">
        <f t="shared" si="4"/>
        <v>NGUYỄN VĂN NINH - BÌNH MINH</v>
      </c>
      <c r="E84" s="1686" t="s">
        <v>1100</v>
      </c>
      <c r="G84" s="1596">
        <f t="shared" si="3"/>
        <v>0</v>
      </c>
      <c r="H84" s="1633">
        <v>123</v>
      </c>
      <c r="I84" s="1633">
        <v>113</v>
      </c>
      <c r="J84" s="1633">
        <v>124</v>
      </c>
      <c r="K84" s="1633">
        <v>139</v>
      </c>
      <c r="L84" s="1633">
        <v>143</v>
      </c>
      <c r="M84" s="1633"/>
      <c r="N84" s="1633"/>
      <c r="O84" s="1633"/>
      <c r="P84" s="1633"/>
      <c r="Q84" s="1633"/>
      <c r="R84" s="1633"/>
      <c r="S84" s="1633"/>
    </row>
    <row r="85" spans="1:19">
      <c r="A85" s="1241" t="s">
        <v>1348</v>
      </c>
      <c r="B85" s="1242" t="s">
        <v>1015</v>
      </c>
      <c r="D85" s="1685" t="str">
        <f t="shared" si="4"/>
        <v>LƯƠNG HỮU PHÚC</v>
      </c>
      <c r="E85" s="1686" t="s">
        <v>1099</v>
      </c>
      <c r="G85" s="1596">
        <f t="shared" si="3"/>
        <v>0</v>
      </c>
      <c r="H85" s="1633">
        <v>78</v>
      </c>
      <c r="I85" s="1633">
        <v>80</v>
      </c>
      <c r="J85" s="1633">
        <v>89</v>
      </c>
      <c r="K85" s="1633">
        <v>95</v>
      </c>
      <c r="L85" s="1633">
        <v>100</v>
      </c>
      <c r="M85" s="1633"/>
      <c r="N85" s="1633"/>
      <c r="O85" s="1633"/>
      <c r="P85" s="1633"/>
      <c r="Q85" s="1633"/>
      <c r="R85" s="1633"/>
      <c r="S85" s="1633"/>
    </row>
    <row r="86" spans="1:19">
      <c r="A86" s="1708" t="s">
        <v>2054</v>
      </c>
      <c r="B86" s="1709" t="s">
        <v>2046</v>
      </c>
      <c r="D86" s="1685" t="str">
        <f t="shared" si="4"/>
        <v>PHAN THỊ THANH LAN</v>
      </c>
      <c r="E86" s="1710" t="s">
        <v>2046</v>
      </c>
      <c r="G86" s="1596">
        <f t="shared" si="3"/>
        <v>0</v>
      </c>
      <c r="H86" s="1633">
        <v>131</v>
      </c>
      <c r="I86" s="1633">
        <v>135</v>
      </c>
      <c r="J86" s="1633">
        <v>145</v>
      </c>
      <c r="K86" s="1633">
        <v>150</v>
      </c>
      <c r="L86" s="1633">
        <v>155</v>
      </c>
      <c r="M86" s="1633"/>
      <c r="N86" s="1633"/>
      <c r="O86" s="1633"/>
      <c r="P86" s="1633"/>
      <c r="Q86" s="1633"/>
      <c r="R86" s="1633"/>
      <c r="S86" s="1633"/>
    </row>
    <row r="87" spans="1:19">
      <c r="A87" s="1708" t="s">
        <v>2705</v>
      </c>
      <c r="B87" s="1709" t="s">
        <v>2658</v>
      </c>
      <c r="D87" s="1685" t="str">
        <f t="shared" si="4"/>
        <v>NGUYỄN VĂN HUỆ</v>
      </c>
      <c r="E87" s="1685" t="s">
        <v>1568</v>
      </c>
      <c r="G87" s="1596">
        <f t="shared" si="3"/>
        <v>0</v>
      </c>
      <c r="H87" s="1633">
        <v>223</v>
      </c>
      <c r="I87" s="1633">
        <v>204</v>
      </c>
      <c r="J87" s="1633">
        <v>207</v>
      </c>
      <c r="K87" s="1633">
        <v>213</v>
      </c>
      <c r="L87" s="1633">
        <v>217</v>
      </c>
      <c r="M87" s="1633"/>
      <c r="N87" s="1633"/>
      <c r="O87" s="1633"/>
      <c r="P87" s="1633"/>
      <c r="Q87" s="1633"/>
      <c r="R87" s="1633"/>
      <c r="S87" s="1633"/>
    </row>
    <row r="88" spans="1:19">
      <c r="A88" s="1708" t="s">
        <v>2706</v>
      </c>
      <c r="B88" s="1709" t="s">
        <v>2659</v>
      </c>
      <c r="D88" s="1685" t="str">
        <f t="shared" si="4"/>
        <v>NGUYỄN PHƯỚC LẬP</v>
      </c>
      <c r="E88" s="1685" t="s">
        <v>2658</v>
      </c>
      <c r="G88" s="1596">
        <f t="shared" si="3"/>
        <v>0</v>
      </c>
      <c r="H88" s="1633">
        <v>0</v>
      </c>
      <c r="I88" s="1633">
        <v>0</v>
      </c>
      <c r="J88" s="1633">
        <v>11</v>
      </c>
      <c r="K88" s="1633">
        <v>23</v>
      </c>
      <c r="L88" s="1633">
        <v>33</v>
      </c>
      <c r="M88" s="1774"/>
      <c r="N88" s="1774"/>
      <c r="O88" s="1774"/>
      <c r="P88" s="1774"/>
      <c r="Q88" s="1774"/>
      <c r="R88" s="1774"/>
      <c r="S88" s="1774"/>
    </row>
    <row r="89" spans="1:19">
      <c r="A89" s="1708" t="s">
        <v>1410</v>
      </c>
      <c r="B89" s="1709" t="s">
        <v>2896</v>
      </c>
      <c r="D89" s="1685" t="str">
        <f t="shared" si="4"/>
        <v>TRẦN HOÀNG NGÂN KHÁNH</v>
      </c>
      <c r="E89" s="1685" t="s">
        <v>2659</v>
      </c>
      <c r="G89" s="1596">
        <f t="shared" si="3"/>
        <v>0</v>
      </c>
      <c r="H89" s="1633">
        <v>0</v>
      </c>
      <c r="I89" s="1633">
        <v>0</v>
      </c>
      <c r="J89" s="1633">
        <v>13</v>
      </c>
      <c r="K89" s="1633">
        <v>28</v>
      </c>
      <c r="L89" s="1633">
        <v>39</v>
      </c>
      <c r="M89" s="1774"/>
      <c r="N89" s="1774"/>
      <c r="O89" s="1774"/>
      <c r="P89" s="1774"/>
      <c r="Q89" s="1774"/>
      <c r="R89" s="1774"/>
      <c r="S89" s="1774"/>
    </row>
    <row r="90" spans="1:19">
      <c r="A90" s="1708" t="s">
        <v>3169</v>
      </c>
      <c r="B90" s="1709" t="s">
        <v>3168</v>
      </c>
      <c r="D90" s="1685" t="str">
        <f t="shared" si="4"/>
        <v>BÙI THỊ KIM LIÊN</v>
      </c>
      <c r="E90" s="1685" t="s">
        <v>2896</v>
      </c>
      <c r="H90" s="1774"/>
      <c r="I90" s="1774"/>
      <c r="J90" s="1774"/>
      <c r="K90" s="1774"/>
      <c r="L90" s="1633">
        <v>15</v>
      </c>
      <c r="M90" s="1774"/>
      <c r="N90" s="1774"/>
      <c r="O90" s="1774"/>
      <c r="P90" s="1774"/>
      <c r="Q90" s="1774"/>
      <c r="R90" s="1774"/>
      <c r="S90" s="1774"/>
    </row>
    <row r="91" spans="1:19">
      <c r="A91" s="1708"/>
      <c r="B91" s="1709"/>
      <c r="D91" s="1685" t="str">
        <f t="shared" si="4"/>
        <v>NGUYỄN DUY SƠN</v>
      </c>
      <c r="E91" s="1685" t="s">
        <v>3168</v>
      </c>
      <c r="H91" s="1774"/>
      <c r="I91" s="1774"/>
      <c r="J91" s="1774"/>
      <c r="K91" s="1774"/>
      <c r="L91" s="1633">
        <v>18</v>
      </c>
      <c r="M91" s="1774"/>
      <c r="N91" s="1774"/>
      <c r="O91" s="1774"/>
      <c r="P91" s="1774"/>
      <c r="Q91" s="1774"/>
      <c r="R91" s="1774"/>
      <c r="S91" s="1774"/>
    </row>
    <row r="92" spans="1:19">
      <c r="A92" s="1708"/>
      <c r="B92" s="1709"/>
      <c r="D92" s="1685" t="str">
        <f t="shared" si="4"/>
        <v>PHẠM TẤN PHÁT</v>
      </c>
      <c r="E92" s="1685" t="s">
        <v>2660</v>
      </c>
      <c r="G92" s="1596">
        <f t="shared" si="3"/>
        <v>0</v>
      </c>
      <c r="H92" s="1633">
        <v>0</v>
      </c>
      <c r="I92" s="1633">
        <v>0</v>
      </c>
      <c r="J92" s="1633">
        <v>13</v>
      </c>
      <c r="K92" s="1633">
        <v>28</v>
      </c>
      <c r="L92" s="1633">
        <v>39</v>
      </c>
      <c r="M92" s="1774"/>
      <c r="N92" s="1774"/>
      <c r="O92" s="1774"/>
      <c r="P92" s="1774"/>
      <c r="Q92" s="1774"/>
      <c r="R92" s="1774"/>
      <c r="S92" s="1774"/>
    </row>
    <row r="93" spans="1:19">
      <c r="A93" s="1708"/>
      <c r="B93" s="1709"/>
      <c r="D93" s="1685" t="str">
        <f t="shared" si="4"/>
        <v>LƯƠNG THU HƯƠNG</v>
      </c>
      <c r="E93" s="1685" t="s">
        <v>2708</v>
      </c>
      <c r="G93" s="1596">
        <f t="shared" si="3"/>
        <v>0</v>
      </c>
      <c r="H93" s="1633">
        <v>0</v>
      </c>
      <c r="I93" s="1633">
        <v>0</v>
      </c>
      <c r="J93" s="1633">
        <v>20</v>
      </c>
      <c r="K93" s="1633">
        <v>38</v>
      </c>
      <c r="L93" s="1633">
        <v>57</v>
      </c>
      <c r="M93" s="1774"/>
      <c r="N93" s="1774"/>
      <c r="O93" s="1774"/>
      <c r="P93" s="1774"/>
      <c r="Q93" s="1774"/>
      <c r="R93" s="1774"/>
      <c r="S93" s="1774"/>
    </row>
    <row r="94" spans="1:19">
      <c r="A94" s="1708" t="s">
        <v>2707</v>
      </c>
      <c r="B94" s="1709" t="s">
        <v>2660</v>
      </c>
      <c r="D94" s="1685" t="str">
        <f t="shared" si="4"/>
        <v>NGUYỄN ĐÌNH TÙNG</v>
      </c>
      <c r="E94" s="1685" t="s">
        <v>2710</v>
      </c>
      <c r="G94" s="1596">
        <f t="shared" si="3"/>
        <v>0</v>
      </c>
      <c r="H94" s="1633">
        <v>0</v>
      </c>
      <c r="I94" s="1633">
        <v>0</v>
      </c>
      <c r="J94" s="1633">
        <v>20</v>
      </c>
      <c r="K94" s="1633">
        <v>38</v>
      </c>
      <c r="L94" s="1633">
        <v>57</v>
      </c>
      <c r="M94" s="1774"/>
      <c r="N94" s="1774"/>
      <c r="O94" s="1774"/>
      <c r="P94" s="1774"/>
      <c r="Q94" s="1774"/>
      <c r="R94" s="1774"/>
      <c r="S94" s="1774"/>
    </row>
    <row r="95" spans="1:19">
      <c r="A95" s="1708" t="s">
        <v>2709</v>
      </c>
      <c r="B95" s="1709" t="s">
        <v>2708</v>
      </c>
      <c r="D95" s="1685" t="str">
        <f t="shared" si="4"/>
        <v>ĐINH THỊ KIM LIÊN</v>
      </c>
      <c r="E95" s="1685" t="s">
        <v>1572</v>
      </c>
      <c r="G95" s="1596">
        <f t="shared" si="3"/>
        <v>0</v>
      </c>
      <c r="H95" s="1633">
        <v>91</v>
      </c>
      <c r="I95" s="1633">
        <v>89</v>
      </c>
      <c r="J95" s="1633">
        <v>97</v>
      </c>
      <c r="K95" s="1633">
        <v>103</v>
      </c>
      <c r="L95" s="1633">
        <v>109</v>
      </c>
      <c r="M95" s="1633"/>
      <c r="N95" s="1633"/>
      <c r="O95" s="1633"/>
      <c r="P95" s="1633"/>
      <c r="Q95" s="1633"/>
      <c r="R95" s="1633"/>
      <c r="S95" s="1633"/>
    </row>
    <row r="96" spans="1:19">
      <c r="A96" s="1708" t="s">
        <v>2711</v>
      </c>
      <c r="B96" s="1709" t="s">
        <v>2710</v>
      </c>
      <c r="D96" s="1685" t="str">
        <f t="shared" si="4"/>
        <v>ĐỖ THỊ MƠ</v>
      </c>
      <c r="E96" s="1685" t="s">
        <v>1419</v>
      </c>
      <c r="G96" s="1596">
        <f t="shared" si="3"/>
        <v>0</v>
      </c>
      <c r="H96" s="1633">
        <v>111</v>
      </c>
      <c r="I96" s="1633">
        <v>112</v>
      </c>
      <c r="J96" s="1633">
        <v>120</v>
      </c>
      <c r="K96" s="1633">
        <v>129</v>
      </c>
      <c r="L96" s="1633">
        <v>132</v>
      </c>
      <c r="M96" s="1633"/>
      <c r="N96" s="1633"/>
      <c r="O96" s="1633"/>
      <c r="P96" s="1633"/>
      <c r="Q96" s="1633"/>
      <c r="R96" s="1633"/>
      <c r="S96" s="1633"/>
    </row>
    <row r="97" spans="1:19">
      <c r="A97" s="1241" t="s">
        <v>1571</v>
      </c>
      <c r="B97" s="1242" t="s">
        <v>1570</v>
      </c>
      <c r="D97" s="1685" t="str">
        <f t="shared" si="4"/>
        <v>LƯU THỊ OANH</v>
      </c>
      <c r="E97" s="1685" t="s">
        <v>1570</v>
      </c>
      <c r="G97" s="1596">
        <f t="shared" si="3"/>
        <v>0</v>
      </c>
      <c r="H97" s="1633">
        <v>129</v>
      </c>
      <c r="I97" s="1633">
        <v>120</v>
      </c>
      <c r="J97" s="1633">
        <v>120</v>
      </c>
      <c r="K97" s="1633">
        <v>124</v>
      </c>
      <c r="L97" s="1633">
        <v>128</v>
      </c>
      <c r="M97" s="1633"/>
      <c r="N97" s="1633"/>
      <c r="O97" s="1633"/>
      <c r="P97" s="1633"/>
      <c r="Q97" s="1633"/>
      <c r="R97" s="1633"/>
      <c r="S97" s="1633"/>
    </row>
    <row r="98" spans="1:19">
      <c r="A98" s="1241" t="s">
        <v>1420</v>
      </c>
      <c r="B98" s="1242" t="s">
        <v>1419</v>
      </c>
      <c r="E98" s="1598">
        <f>E1</f>
        <v>7</v>
      </c>
      <c r="H98" s="1598">
        <v>1</v>
      </c>
      <c r="I98" s="1598">
        <v>2</v>
      </c>
      <c r="J98" s="1598">
        <v>3</v>
      </c>
      <c r="K98" s="1598">
        <v>4</v>
      </c>
      <c r="L98" s="1598">
        <v>5</v>
      </c>
      <c r="M98" s="1598">
        <v>6</v>
      </c>
      <c r="N98" s="1598">
        <v>7</v>
      </c>
      <c r="O98" s="1598">
        <v>8</v>
      </c>
      <c r="P98" s="1598">
        <v>9</v>
      </c>
      <c r="Q98" s="1598">
        <v>10</v>
      </c>
      <c r="R98" s="1598">
        <v>11</v>
      </c>
      <c r="S98" s="1598">
        <v>12</v>
      </c>
    </row>
    <row r="99" spans="1:19" ht="15.75" thickBot="1">
      <c r="A99" s="1241" t="s">
        <v>1287</v>
      </c>
      <c r="B99" s="1242" t="s">
        <v>1104</v>
      </c>
      <c r="E99" s="1596" t="s">
        <v>1109</v>
      </c>
      <c r="F99" s="1348" t="s">
        <v>551</v>
      </c>
      <c r="G99" s="1604" t="s">
        <v>163</v>
      </c>
      <c r="H99" s="252" t="s">
        <v>2552</v>
      </c>
      <c r="I99" s="211" t="s">
        <v>34</v>
      </c>
      <c r="J99" s="211" t="s">
        <v>35</v>
      </c>
      <c r="K99" s="211" t="s">
        <v>36</v>
      </c>
      <c r="L99" s="211" t="s">
        <v>37</v>
      </c>
      <c r="M99" s="211" t="s">
        <v>38</v>
      </c>
      <c r="N99" s="211" t="s">
        <v>39</v>
      </c>
      <c r="O99" s="211" t="s">
        <v>40</v>
      </c>
      <c r="P99" s="211" t="s">
        <v>41</v>
      </c>
      <c r="Q99" s="211" t="s">
        <v>42</v>
      </c>
      <c r="R99" s="211" t="s">
        <v>43</v>
      </c>
      <c r="S99" s="211" t="s">
        <v>44</v>
      </c>
    </row>
    <row r="100" spans="1:19" ht="15.75" thickBot="1">
      <c r="A100" s="1241" t="s">
        <v>1773</v>
      </c>
      <c r="B100" s="1242" t="s">
        <v>825</v>
      </c>
      <c r="D100" s="1682" t="str">
        <f>INDEX(A:A,MATCH(E100,B:B,0))</f>
        <v>NGUYỄN THU HẰNG</v>
      </c>
      <c r="E100" s="1683" t="s">
        <v>47</v>
      </c>
      <c r="G100" s="1596">
        <f t="shared" ref="G100:G147" si="5">SUMIF($H$98:$S$98,"&lt;="&amp;$E$44,$H100:$S100)</f>
        <v>92</v>
      </c>
      <c r="H100" s="1644">
        <v>13</v>
      </c>
      <c r="I100" s="1644">
        <v>7</v>
      </c>
      <c r="J100" s="1644">
        <v>13</v>
      </c>
      <c r="K100" s="1644">
        <f>IF(ISNA(VLOOKUP(E100,TargetTeam!$A$1270:$I$1359,5,0)),0,VLOOKUP(E100,TargetTeam!$A$1270:$I$1359,5,0))</f>
        <v>17</v>
      </c>
      <c r="L100" s="1644">
        <f>IF(ISNA(VLOOKUP(E100,TargetTeam!$A$1363:$I$1454,5,0)),0,VLOOKUP(E100,TargetTeam!$A$1363:$I$1454,5,0))</f>
        <v>19</v>
      </c>
      <c r="M100" s="1644">
        <f>IF(ISNA(VLOOKUP(E100,TargetTeam!$A$1456:$I$1552,5,0)),0,VLOOKUP(E100,TargetTeam!$A$1456:$I$1552,5,0))</f>
        <v>23</v>
      </c>
      <c r="N100" s="1644"/>
      <c r="O100" s="1644"/>
      <c r="P100" s="1644"/>
      <c r="Q100" s="1644"/>
      <c r="R100" s="1644"/>
      <c r="S100" s="1644"/>
    </row>
    <row r="101" spans="1:19" ht="15.75" thickBot="1">
      <c r="A101" s="1241" t="s">
        <v>1774</v>
      </c>
      <c r="B101" s="1242" t="s">
        <v>1100</v>
      </c>
      <c r="D101" s="1682" t="s">
        <v>3529</v>
      </c>
      <c r="E101" s="1683" t="s">
        <v>91</v>
      </c>
      <c r="G101" s="1596">
        <f t="shared" si="5"/>
        <v>223</v>
      </c>
      <c r="H101" s="1644">
        <v>34</v>
      </c>
      <c r="I101" s="1644">
        <v>17</v>
      </c>
      <c r="J101" s="1644">
        <v>30</v>
      </c>
      <c r="K101" s="1644">
        <f>IF(ISNA(VLOOKUP(E101,TargetTeam!$A$1270:$I$1359,5,0)),0,VLOOKUP(E101,TargetTeam!$A$1270:$I$1359,5,0))</f>
        <v>35</v>
      </c>
      <c r="L101" s="1644">
        <f>IF(ISNA(VLOOKUP(E101,TargetTeam!$A$1363:$I$1454,5,0)),0,VLOOKUP(E101,TargetTeam!$A$1363:$I$1454,5,0))</f>
        <v>36</v>
      </c>
      <c r="M101" s="1644">
        <f>IF(ISNA(VLOOKUP(E101,TargetTeam!$A$1456:$I$1552,5,0)),0,VLOOKUP(E101,TargetTeam!$A$1456:$I$1552,5,0))</f>
        <v>71</v>
      </c>
      <c r="N101" s="1644"/>
      <c r="O101" s="1644"/>
      <c r="P101" s="1644"/>
      <c r="Q101" s="1644"/>
      <c r="R101" s="1644"/>
      <c r="S101" s="1644"/>
    </row>
    <row r="102" spans="1:19" ht="15.75" thickBot="1">
      <c r="A102" s="1241" t="s">
        <v>791</v>
      </c>
      <c r="B102" s="1242" t="s">
        <v>737</v>
      </c>
      <c r="D102" s="1682" t="s">
        <v>3573</v>
      </c>
      <c r="E102" s="1683" t="s">
        <v>177</v>
      </c>
      <c r="G102" s="1596">
        <f t="shared" si="5"/>
        <v>221</v>
      </c>
      <c r="H102" s="1644">
        <v>24</v>
      </c>
      <c r="I102" s="1644">
        <v>21</v>
      </c>
      <c r="J102" s="1644">
        <v>24</v>
      </c>
      <c r="K102" s="1644">
        <f>IF(ISNA(VLOOKUP(E102,TargetTeam!$A$1270:$I$1359,5,0)),0,VLOOKUP(E102,TargetTeam!$A$1270:$I$1359,5,0))</f>
        <v>34</v>
      </c>
      <c r="L102" s="1644">
        <f>IF(ISNA(VLOOKUP(E102,TargetTeam!$A$1363:$I$1454,5,0)),0,VLOOKUP(E102,TargetTeam!$A$1363:$I$1454,5,0))</f>
        <v>44</v>
      </c>
      <c r="M102" s="1644">
        <f>IF(ISNA(VLOOKUP(E102,TargetTeam!$A$1456:$I$1552,5,0)),0,VLOOKUP(E102,TargetTeam!$A$1456:$I$1552,5,0))</f>
        <v>74</v>
      </c>
      <c r="N102" s="1644"/>
      <c r="O102" s="1644"/>
      <c r="P102" s="1644"/>
      <c r="Q102" s="1644"/>
      <c r="R102" s="1644"/>
      <c r="S102" s="1644"/>
    </row>
    <row r="103" spans="1:19" ht="15.75" thickBot="1">
      <c r="D103" s="1682" t="str">
        <f t="shared" ref="D103:D123" si="6">INDEX(A:A,MATCH(E103,B:B,0))</f>
        <v>NGUYỄN THỊ BÌNH</v>
      </c>
      <c r="E103" s="1683" t="s">
        <v>185</v>
      </c>
      <c r="G103" s="1596">
        <f t="shared" si="5"/>
        <v>98</v>
      </c>
      <c r="H103" s="1644">
        <v>22</v>
      </c>
      <c r="I103" s="1644">
        <v>21</v>
      </c>
      <c r="J103" s="1644">
        <v>21</v>
      </c>
      <c r="K103" s="1644">
        <f>IF(ISNA(VLOOKUP(E103,TargetTeam!$A$1270:$I$1359,5,0)),0,VLOOKUP(E103,TargetTeam!$A$1270:$I$1359,5,0))</f>
        <v>34</v>
      </c>
      <c r="L103" s="1644">
        <f>IF(ISNA(VLOOKUP(E103,TargetTeam!$A$1363:$I$1454,5,0)),0,VLOOKUP(E103,TargetTeam!$A$1363:$I$1454,5,0))</f>
        <v>0</v>
      </c>
      <c r="M103" s="1644">
        <f>IF(ISNA(VLOOKUP(E103,TargetTeam!$A$1456:$I$1552,5,0)),0,VLOOKUP(E103,TargetTeam!$A$1456:$I$1552,5,0))</f>
        <v>0</v>
      </c>
      <c r="N103" s="1644"/>
      <c r="O103" s="1644"/>
      <c r="P103" s="1644"/>
      <c r="Q103" s="1644"/>
      <c r="R103" s="1644"/>
      <c r="S103" s="1644"/>
    </row>
    <row r="104" spans="1:19" ht="15.75" thickBot="1">
      <c r="D104" s="1682" t="str">
        <f t="shared" si="6"/>
        <v>LÊ THANH HUYỀN</v>
      </c>
      <c r="E104" s="1683" t="s">
        <v>179</v>
      </c>
      <c r="G104" s="1596">
        <f t="shared" si="5"/>
        <v>294</v>
      </c>
      <c r="H104" s="1644">
        <v>32</v>
      </c>
      <c r="I104" s="1644">
        <v>36</v>
      </c>
      <c r="J104" s="1644">
        <v>57</v>
      </c>
      <c r="K104" s="1644">
        <f>IF(ISNA(VLOOKUP(E104,TargetTeam!$A$1270:$I$1359,5,0)),0,VLOOKUP(E104,TargetTeam!$A$1270:$I$1359,5,0))</f>
        <v>53</v>
      </c>
      <c r="L104" s="1644">
        <f>IF(ISNA(VLOOKUP(E104,TargetTeam!$A$1363:$I$1454,5,0)),0,VLOOKUP(E104,TargetTeam!$A$1363:$I$1454,5,0))</f>
        <v>49</v>
      </c>
      <c r="M104" s="1644">
        <f>IF(ISNA(VLOOKUP(E104,TargetTeam!$A$1456:$I$1552,5,0)),0,VLOOKUP(E104,TargetTeam!$A$1456:$I$1552,5,0))</f>
        <v>67</v>
      </c>
      <c r="N104" s="1644"/>
      <c r="O104" s="1644"/>
      <c r="P104" s="1644"/>
      <c r="Q104" s="1644"/>
      <c r="R104" s="1644"/>
      <c r="S104" s="1644"/>
    </row>
    <row r="105" spans="1:19" ht="15.75" thickBot="1">
      <c r="D105" s="1682" t="str">
        <f t="shared" si="6"/>
        <v>NGUYỄN VĂN CÔNG</v>
      </c>
      <c r="E105" s="1683" t="s">
        <v>176</v>
      </c>
      <c r="G105" s="1596">
        <f t="shared" si="5"/>
        <v>208</v>
      </c>
      <c r="H105" s="1644">
        <v>41</v>
      </c>
      <c r="I105" s="1644">
        <v>36</v>
      </c>
      <c r="J105" s="1644">
        <v>63</v>
      </c>
      <c r="K105" s="1644">
        <f>IF(ISNA(VLOOKUP(E105,TargetTeam!$A$1270:$I$1359,5,0)),0,VLOOKUP(E105,TargetTeam!$A$1270:$I$1359,5,0))</f>
        <v>68</v>
      </c>
      <c r="L105" s="1644">
        <f>IF(ISNA(VLOOKUP(E105,TargetTeam!$A$1363:$I$1454,5,0)),0,VLOOKUP(E105,TargetTeam!$A$1363:$I$1454,5,0))</f>
        <v>0</v>
      </c>
      <c r="M105" s="1644">
        <f>IF(ISNA(VLOOKUP(E105,TargetTeam!$A$1456:$I$1552,5,0)),0,VLOOKUP(E105,TargetTeam!$A$1456:$I$1552,5,0))</f>
        <v>0</v>
      </c>
      <c r="N105" s="1644"/>
      <c r="O105" s="1644"/>
      <c r="P105" s="1644"/>
      <c r="Q105" s="1644"/>
      <c r="R105" s="1644"/>
      <c r="S105" s="1644"/>
    </row>
    <row r="106" spans="1:19" ht="15.75" thickBot="1">
      <c r="D106" s="1682" t="str">
        <f t="shared" si="6"/>
        <v>NGUYỄN HỮU NGHIỆM</v>
      </c>
      <c r="E106" s="1683" t="s">
        <v>187</v>
      </c>
      <c r="G106" s="1596">
        <f t="shared" si="5"/>
        <v>113</v>
      </c>
      <c r="H106" s="1644">
        <v>24</v>
      </c>
      <c r="I106" s="1644">
        <v>12</v>
      </c>
      <c r="J106" s="1644">
        <v>22</v>
      </c>
      <c r="K106" s="1644">
        <f>IF(ISNA(VLOOKUP(E106,TargetTeam!$A$1270:$I$1359,5,0)),0,VLOOKUP(E106,TargetTeam!$A$1270:$I$1359,5,0))</f>
        <v>27</v>
      </c>
      <c r="L106" s="1644">
        <f>IF(ISNA(VLOOKUP(E106,TargetTeam!$A$1363:$I$1454,5,0)),0,VLOOKUP(E106,TargetTeam!$A$1363:$I$1454,5,0))</f>
        <v>28</v>
      </c>
      <c r="M106" s="1644">
        <f>IF(ISNA(VLOOKUP(E106,TargetTeam!$A$1456:$I$1552,5,0)),0,VLOOKUP(E106,TargetTeam!$A$1456:$I$1552,5,0))</f>
        <v>0</v>
      </c>
      <c r="N106" s="1644"/>
      <c r="O106" s="1644"/>
      <c r="P106" s="1644"/>
      <c r="Q106" s="1644"/>
      <c r="R106" s="1644"/>
      <c r="S106" s="1644"/>
    </row>
    <row r="107" spans="1:19" ht="15.75" thickBot="1">
      <c r="D107" s="1682" t="str">
        <f t="shared" si="6"/>
        <v>ĐẶNG THỊ THU THỦY</v>
      </c>
      <c r="E107" s="1683" t="s">
        <v>1563</v>
      </c>
      <c r="G107" s="1596">
        <f t="shared" si="5"/>
        <v>92</v>
      </c>
      <c r="H107" s="1644">
        <v>13</v>
      </c>
      <c r="I107" s="1644">
        <v>7</v>
      </c>
      <c r="J107" s="1644">
        <v>13</v>
      </c>
      <c r="K107" s="1644">
        <f>IF(ISNA(VLOOKUP(E107,TargetTeam!$A$1270:$I$1359,5,0)),0,VLOOKUP(E107,TargetTeam!$A$1270:$I$1359,5,0))</f>
        <v>17</v>
      </c>
      <c r="L107" s="1644">
        <f>IF(ISNA(VLOOKUP(E107,TargetTeam!$A$1363:$I$1454,5,0)),0,VLOOKUP(E107,TargetTeam!$A$1363:$I$1454,5,0))</f>
        <v>19</v>
      </c>
      <c r="M107" s="1644">
        <f>IF(ISNA(VLOOKUP(E107,TargetTeam!$A$1456:$I$1552,5,0)),0,VLOOKUP(E107,TargetTeam!$A$1456:$I$1552,5,0))</f>
        <v>23</v>
      </c>
      <c r="N107" s="1644"/>
      <c r="O107" s="1644"/>
      <c r="P107" s="1644"/>
      <c r="Q107" s="1644"/>
      <c r="R107" s="1644"/>
      <c r="S107" s="1644"/>
    </row>
    <row r="108" spans="1:19" ht="15.75" thickBot="1">
      <c r="D108" s="1682" t="str">
        <f t="shared" si="6"/>
        <v>ĐỖ KIM HẠNH</v>
      </c>
      <c r="E108" s="1683" t="s">
        <v>661</v>
      </c>
      <c r="G108" s="1596">
        <f t="shared" si="5"/>
        <v>69</v>
      </c>
      <c r="H108" s="1644">
        <v>13</v>
      </c>
      <c r="I108" s="1644">
        <v>10</v>
      </c>
      <c r="J108" s="1644">
        <v>22</v>
      </c>
      <c r="K108" s="1644">
        <f>IF(ISNA(VLOOKUP(E108,TargetTeam!$A$1270:$I$1359,5,0)),0,VLOOKUP(E108,TargetTeam!$A$1270:$I$1359,5,0))</f>
        <v>24</v>
      </c>
      <c r="L108" s="1644">
        <f>IF(ISNA(VLOOKUP(E108,TargetTeam!$A$1363:$I$1454,5,0)),0,VLOOKUP(E108,TargetTeam!$A$1363:$I$1454,5,0))</f>
        <v>0</v>
      </c>
      <c r="M108" s="1644">
        <f>IF(ISNA(VLOOKUP(E108,TargetTeam!$A$1456:$I$1552,5,0)),0,VLOOKUP(E108,TargetTeam!$A$1456:$I$1552,5,0))</f>
        <v>0</v>
      </c>
      <c r="N108" s="1644"/>
      <c r="O108" s="1644"/>
      <c r="P108" s="1644"/>
      <c r="Q108" s="1644"/>
      <c r="R108" s="1644"/>
      <c r="S108" s="1644"/>
    </row>
    <row r="109" spans="1:19" ht="15.75" thickBot="1">
      <c r="D109" s="1682" t="str">
        <f t="shared" si="6"/>
        <v>NGUYỄN VĂN VŨ - THE SUN</v>
      </c>
      <c r="E109" s="1686" t="s">
        <v>1418</v>
      </c>
      <c r="G109" s="1596">
        <f t="shared" si="5"/>
        <v>116</v>
      </c>
      <c r="H109" s="1644">
        <v>17</v>
      </c>
      <c r="I109" s="1644">
        <v>15</v>
      </c>
      <c r="J109" s="1644">
        <v>26</v>
      </c>
      <c r="K109" s="1644">
        <f>IF(ISNA(VLOOKUP(E109,TargetTeam!$A$1270:$I$1359,5,0)),0,VLOOKUP(E109,TargetTeam!$A$1270:$I$1359,5,0))</f>
        <v>29</v>
      </c>
      <c r="L109" s="1644">
        <f>IF(ISNA(VLOOKUP(E109,TargetTeam!$A$1363:$I$1454,5,0)),0,VLOOKUP(E109,TargetTeam!$A$1363:$I$1454,5,0))</f>
        <v>29</v>
      </c>
      <c r="M109" s="1644">
        <f>IF(ISNA(VLOOKUP(E109,TargetTeam!$A$1456:$I$1552,5,0)),0,VLOOKUP(E109,TargetTeam!$A$1456:$I$1552,5,0))</f>
        <v>0</v>
      </c>
      <c r="N109" s="1644"/>
      <c r="O109" s="1644"/>
      <c r="P109" s="1644"/>
      <c r="Q109" s="1644"/>
      <c r="R109" s="1644"/>
      <c r="S109" s="1644"/>
    </row>
    <row r="110" spans="1:19" ht="15.75" thickBot="1">
      <c r="D110" s="1682" t="str">
        <f t="shared" si="6"/>
        <v>NGUYỄN THỊ KIM HỒNG</v>
      </c>
      <c r="E110" s="1683" t="s">
        <v>628</v>
      </c>
      <c r="G110" s="1596">
        <f t="shared" si="5"/>
        <v>82</v>
      </c>
      <c r="H110" s="1644">
        <v>16</v>
      </c>
      <c r="I110" s="1644">
        <v>8</v>
      </c>
      <c r="J110" s="1644">
        <v>16</v>
      </c>
      <c r="K110" s="1644">
        <f>IF(ISNA(VLOOKUP(E110,TargetTeam!$A$1270:$I$1359,5,0)),0,VLOOKUP(E110,TargetTeam!$A$1270:$I$1359,5,0))</f>
        <v>20</v>
      </c>
      <c r="L110" s="1644">
        <f>IF(ISNA(VLOOKUP(E110,TargetTeam!$A$1363:$I$1454,5,0)),0,VLOOKUP(E110,TargetTeam!$A$1363:$I$1454,5,0))</f>
        <v>22</v>
      </c>
      <c r="M110" s="1644">
        <f>IF(ISNA(VLOOKUP(E110,TargetTeam!$A$1456:$I$1552,5,0)),0,VLOOKUP(E110,TargetTeam!$A$1456:$I$1552,5,0))</f>
        <v>0</v>
      </c>
      <c r="N110" s="1644"/>
      <c r="O110" s="1644"/>
      <c r="P110" s="1644"/>
      <c r="Q110" s="1644"/>
      <c r="R110" s="1644"/>
      <c r="S110" s="1644"/>
    </row>
    <row r="111" spans="1:19" ht="15.75" thickBot="1">
      <c r="D111" s="1682" t="str">
        <f t="shared" si="6"/>
        <v>HỒNG KHÁNH HƯNG - DRAGON</v>
      </c>
      <c r="E111" s="1683" t="s">
        <v>650</v>
      </c>
      <c r="G111" s="1596">
        <f t="shared" si="5"/>
        <v>62</v>
      </c>
      <c r="H111" s="1644">
        <v>11</v>
      </c>
      <c r="I111" s="1644">
        <v>6</v>
      </c>
      <c r="J111" s="1644">
        <v>12</v>
      </c>
      <c r="K111" s="1644">
        <f>IF(ISNA(VLOOKUP(E111,TargetTeam!$A$1270:$I$1359,5,0)),0,VLOOKUP(E111,TargetTeam!$A$1270:$I$1359,5,0))</f>
        <v>15</v>
      </c>
      <c r="L111" s="1644">
        <f>IF(ISNA(VLOOKUP(E111,TargetTeam!$A$1363:$I$1454,5,0)),0,VLOOKUP(E111,TargetTeam!$A$1363:$I$1454,5,0))</f>
        <v>18</v>
      </c>
      <c r="M111" s="1644">
        <f>IF(ISNA(VLOOKUP(E111,TargetTeam!$A$1456:$I$1552,5,0)),0,VLOOKUP(E111,TargetTeam!$A$1456:$I$1552,5,0))</f>
        <v>0</v>
      </c>
      <c r="N111" s="1644"/>
      <c r="O111" s="1644"/>
      <c r="P111" s="1644"/>
      <c r="Q111" s="1644"/>
      <c r="R111" s="1644"/>
      <c r="S111" s="1644"/>
    </row>
    <row r="112" spans="1:19" ht="15.75" thickBot="1">
      <c r="D112" s="1682" t="str">
        <f t="shared" si="6"/>
        <v>CHU THỊ ÁI THƯƠNG</v>
      </c>
      <c r="E112" s="1683" t="s">
        <v>660</v>
      </c>
      <c r="G112" s="1596">
        <f t="shared" si="5"/>
        <v>141</v>
      </c>
      <c r="H112" s="1644">
        <v>29</v>
      </c>
      <c r="I112" s="1644">
        <v>24</v>
      </c>
      <c r="J112" s="1644">
        <v>44</v>
      </c>
      <c r="K112" s="1644">
        <f>IF(ISNA(VLOOKUP(E112,TargetTeam!$A$1270:$I$1359,5,0)),0,VLOOKUP(E112,TargetTeam!$A$1270:$I$1359,5,0))</f>
        <v>44</v>
      </c>
      <c r="L112" s="1644">
        <f>IF(ISNA(VLOOKUP(E112,TargetTeam!$A$1363:$I$1454,5,0)),0,VLOOKUP(E112,TargetTeam!$A$1363:$I$1454,5,0))</f>
        <v>0</v>
      </c>
      <c r="M112" s="1644">
        <f>IF(ISNA(VLOOKUP(E112,TargetTeam!$A$1456:$I$1552,5,0)),0,VLOOKUP(E112,TargetTeam!$A$1456:$I$1552,5,0))</f>
        <v>0</v>
      </c>
      <c r="N112" s="1644"/>
      <c r="O112" s="1644"/>
      <c r="P112" s="1644"/>
      <c r="Q112" s="1644"/>
      <c r="R112" s="1644"/>
      <c r="S112" s="1644"/>
    </row>
    <row r="113" spans="4:19" ht="15.75" thickBot="1">
      <c r="D113" s="1682" t="str">
        <f t="shared" si="6"/>
        <v>NGUYỄN QUÝ NHÂN</v>
      </c>
      <c r="E113" s="1683" t="s">
        <v>648</v>
      </c>
      <c r="G113" s="1596">
        <f t="shared" si="5"/>
        <v>109</v>
      </c>
      <c r="H113" s="1644">
        <v>16</v>
      </c>
      <c r="I113" s="1644">
        <v>9</v>
      </c>
      <c r="J113" s="1644">
        <v>16</v>
      </c>
      <c r="K113" s="1644">
        <f>IF(ISNA(VLOOKUP(E113,TargetTeam!$A$1270:$I$1359,5,0)),0,VLOOKUP(E113,TargetTeam!$A$1270:$I$1359,5,0))</f>
        <v>20</v>
      </c>
      <c r="L113" s="1644">
        <f>IF(ISNA(VLOOKUP(E113,TargetTeam!$A$1363:$I$1454,5,0)),0,VLOOKUP(E113,TargetTeam!$A$1363:$I$1454,5,0))</f>
        <v>22</v>
      </c>
      <c r="M113" s="1644">
        <f>IF(ISNA(VLOOKUP(E113,TargetTeam!$A$1456:$I$1552,5,0)),0,VLOOKUP(E113,TargetTeam!$A$1456:$I$1552,5,0))</f>
        <v>26</v>
      </c>
      <c r="N113" s="1644"/>
      <c r="O113" s="1644"/>
      <c r="P113" s="1644"/>
      <c r="Q113" s="1644"/>
      <c r="R113" s="1644"/>
      <c r="S113" s="1644"/>
    </row>
    <row r="114" spans="4:19" ht="15.75" thickBot="1">
      <c r="D114" s="1682" t="str">
        <f t="shared" si="6"/>
        <v>NGUYỄN VĂN PHÚ</v>
      </c>
      <c r="E114" s="1683" t="s">
        <v>1565</v>
      </c>
      <c r="G114" s="1596">
        <f t="shared" si="5"/>
        <v>12</v>
      </c>
      <c r="H114" s="1644">
        <v>12</v>
      </c>
      <c r="I114" s="1644">
        <v>0</v>
      </c>
      <c r="J114" s="1644">
        <v>0</v>
      </c>
      <c r="K114" s="1644">
        <f>IF(ISNA(VLOOKUP(E114,TargetTeam!$A$1270:$I$1359,5,0)),0,VLOOKUP(E114,TargetTeam!$A$1270:$I$1359,5,0))</f>
        <v>0</v>
      </c>
      <c r="L114" s="1644">
        <f>IF(ISNA(VLOOKUP(E114,TargetTeam!$A$1363:$I$1454,5,0)),0,VLOOKUP(E114,TargetTeam!$A$1363:$I$1454,5,0))</f>
        <v>0</v>
      </c>
      <c r="M114" s="1644">
        <f>IF(ISNA(VLOOKUP(E114,TargetTeam!$A$1456:$I$1552,5,0)),0,VLOOKUP(E114,TargetTeam!$A$1456:$I$1552,5,0))</f>
        <v>0</v>
      </c>
      <c r="N114" s="1644"/>
      <c r="O114" s="1644"/>
      <c r="P114" s="1644"/>
      <c r="Q114" s="1644"/>
      <c r="R114" s="1644"/>
      <c r="S114" s="1644"/>
    </row>
    <row r="115" spans="4:19" ht="15.75" thickBot="1">
      <c r="D115" s="1682" t="str">
        <f t="shared" si="6"/>
        <v>NGUYỄN THỊ ĐÀO</v>
      </c>
      <c r="E115" s="1683" t="s">
        <v>659</v>
      </c>
      <c r="G115" s="1596">
        <f t="shared" si="5"/>
        <v>156</v>
      </c>
      <c r="H115" s="1644">
        <v>24</v>
      </c>
      <c r="I115" s="1644">
        <v>24</v>
      </c>
      <c r="J115" s="1644">
        <v>40</v>
      </c>
      <c r="K115" s="1644">
        <f>IF(ISNA(VLOOKUP(E115,TargetTeam!$A$1270:$I$1359,5,0)),0,VLOOKUP(E115,TargetTeam!$A$1270:$I$1359,5,0))</f>
        <v>35</v>
      </c>
      <c r="L115" s="1644">
        <f>IF(ISNA(VLOOKUP(E115,TargetTeam!$A$1363:$I$1454,5,0)),0,VLOOKUP(E115,TargetTeam!$A$1363:$I$1454,5,0))</f>
        <v>33</v>
      </c>
      <c r="M115" s="1644">
        <f>IF(ISNA(VLOOKUP(E115,TargetTeam!$A$1456:$I$1552,5,0)),0,VLOOKUP(E115,TargetTeam!$A$1456:$I$1552,5,0))</f>
        <v>0</v>
      </c>
      <c r="N115" s="1644"/>
      <c r="O115" s="1644"/>
      <c r="P115" s="1644"/>
      <c r="Q115" s="1644"/>
      <c r="R115" s="1644"/>
      <c r="S115" s="1644"/>
    </row>
    <row r="116" spans="4:19" ht="15.75" thickBot="1">
      <c r="D116" s="1682" t="str">
        <f t="shared" si="6"/>
        <v>QUÁCH CẨM TÚ</v>
      </c>
      <c r="E116" s="1683" t="s">
        <v>1669</v>
      </c>
      <c r="G116" s="1596">
        <f t="shared" si="5"/>
        <v>19</v>
      </c>
      <c r="H116" s="1644">
        <v>7</v>
      </c>
      <c r="I116" s="1644">
        <v>4</v>
      </c>
      <c r="J116" s="1644">
        <v>8</v>
      </c>
      <c r="K116" s="1644">
        <f>IF(ISNA(VLOOKUP(E116,TargetTeam!$A$1270:$I$1359,5,0)),0,VLOOKUP(E116,TargetTeam!$A$1270:$I$1359,5,0))</f>
        <v>0</v>
      </c>
      <c r="L116" s="1644">
        <f>IF(ISNA(VLOOKUP(E116,TargetTeam!$A$1363:$I$1454,5,0)),0,VLOOKUP(E116,TargetTeam!$A$1363:$I$1454,5,0))</f>
        <v>0</v>
      </c>
      <c r="M116" s="1644">
        <f>IF(ISNA(VLOOKUP(E116,TargetTeam!$A$1456:$I$1552,5,0)),0,VLOOKUP(E116,TargetTeam!$A$1456:$I$1552,5,0))</f>
        <v>0</v>
      </c>
      <c r="N116" s="1644"/>
      <c r="O116" s="1644"/>
      <c r="P116" s="1644"/>
      <c r="Q116" s="1644"/>
      <c r="R116" s="1644"/>
      <c r="S116" s="1644"/>
    </row>
    <row r="117" spans="4:19" ht="15.75" thickBot="1">
      <c r="D117" s="1682" t="str">
        <f t="shared" si="6"/>
        <v>PHẠM THÀNH TRÍ</v>
      </c>
      <c r="E117" s="1683" t="s">
        <v>649</v>
      </c>
      <c r="G117" s="1596">
        <f t="shared" si="5"/>
        <v>163</v>
      </c>
      <c r="H117" s="1644">
        <v>23</v>
      </c>
      <c r="I117" s="1644">
        <v>12</v>
      </c>
      <c r="J117" s="1644">
        <v>21</v>
      </c>
      <c r="K117" s="1644">
        <f>IF(ISNA(VLOOKUP(E117,TargetTeam!$A$1270:$I$1359,5,0)),0,VLOOKUP(E117,TargetTeam!$A$1270:$I$1359,5,0))</f>
        <v>25</v>
      </c>
      <c r="L117" s="1644">
        <f>IF(ISNA(VLOOKUP(E117,TargetTeam!$A$1363:$I$1454,5,0)),0,VLOOKUP(E117,TargetTeam!$A$1363:$I$1454,5,0))</f>
        <v>27</v>
      </c>
      <c r="M117" s="1644">
        <f>IF(ISNA(VLOOKUP(E117,TargetTeam!$A$1456:$I$1552,5,0)),0,VLOOKUP(E117,TargetTeam!$A$1456:$I$1552,5,0))</f>
        <v>55</v>
      </c>
      <c r="N117" s="1644"/>
      <c r="O117" s="1644"/>
      <c r="P117" s="1644"/>
      <c r="Q117" s="1644"/>
      <c r="R117" s="1644"/>
      <c r="S117" s="1644"/>
    </row>
    <row r="118" spans="4:19" ht="15.75" thickBot="1">
      <c r="D118" s="1682" t="str">
        <f t="shared" si="6"/>
        <v>LÊ THỊ HỒNG LĨNH</v>
      </c>
      <c r="E118" s="1683" t="s">
        <v>642</v>
      </c>
      <c r="G118" s="1596">
        <f t="shared" si="5"/>
        <v>136</v>
      </c>
      <c r="H118" s="1644">
        <v>22</v>
      </c>
      <c r="I118" s="1644">
        <v>11</v>
      </c>
      <c r="J118" s="1644">
        <v>21</v>
      </c>
      <c r="K118" s="1644">
        <f>IF(ISNA(VLOOKUP(E118,TargetTeam!$A$1270:$I$1359,5,0)),0,VLOOKUP(E118,TargetTeam!$A$1270:$I$1359,5,0))</f>
        <v>25</v>
      </c>
      <c r="L118" s="1644">
        <f>IF(ISNA(VLOOKUP(E118,TargetTeam!$A$1363:$I$1454,5,0)),0,VLOOKUP(E118,TargetTeam!$A$1363:$I$1454,5,0))</f>
        <v>27</v>
      </c>
      <c r="M118" s="1644">
        <f>IF(ISNA(VLOOKUP(E118,TargetTeam!$A$1456:$I$1552,5,0)),0,VLOOKUP(E118,TargetTeam!$A$1456:$I$1552,5,0))</f>
        <v>30</v>
      </c>
      <c r="N118" s="1644"/>
      <c r="O118" s="1644"/>
      <c r="P118" s="1644"/>
      <c r="Q118" s="1644"/>
      <c r="R118" s="1644"/>
      <c r="S118" s="1644"/>
    </row>
    <row r="119" spans="4:19" ht="15.75" thickBot="1">
      <c r="D119" s="1682" t="str">
        <f t="shared" si="6"/>
        <v>NGUYỄN THỊ PHƯƠNG TRINH</v>
      </c>
      <c r="E119" s="1683" t="s">
        <v>736</v>
      </c>
      <c r="G119" s="1596">
        <f t="shared" si="5"/>
        <v>160</v>
      </c>
      <c r="H119" s="1644">
        <v>27</v>
      </c>
      <c r="I119" s="1644">
        <v>14</v>
      </c>
      <c r="J119" s="1644">
        <v>25</v>
      </c>
      <c r="K119" s="1644">
        <f>IF(ISNA(VLOOKUP(E119,TargetTeam!$A$1270:$I$1359,5,0)),0,VLOOKUP(E119,TargetTeam!$A$1270:$I$1359,5,0))</f>
        <v>29</v>
      </c>
      <c r="L119" s="1644">
        <f>IF(ISNA(VLOOKUP(E119,TargetTeam!$A$1363:$I$1454,5,0)),0,VLOOKUP(E119,TargetTeam!$A$1363:$I$1454,5,0))</f>
        <v>31</v>
      </c>
      <c r="M119" s="1644">
        <f>IF(ISNA(VLOOKUP(E119,TargetTeam!$A$1456:$I$1552,5,0)),0,VLOOKUP(E119,TargetTeam!$A$1456:$I$1552,5,0))</f>
        <v>34</v>
      </c>
      <c r="N119" s="1644"/>
      <c r="O119" s="1644"/>
      <c r="P119" s="1644"/>
      <c r="Q119" s="1644"/>
      <c r="R119" s="1644"/>
      <c r="S119" s="1644"/>
    </row>
    <row r="120" spans="4:19" ht="15.75" thickBot="1">
      <c r="D120" s="1682" t="str">
        <f t="shared" si="6"/>
        <v>NGUYỄN THỊ NGỌC LAN</v>
      </c>
      <c r="E120" s="1683" t="s">
        <v>699</v>
      </c>
      <c r="G120" s="1596">
        <f t="shared" si="5"/>
        <v>41</v>
      </c>
      <c r="H120" s="1644">
        <v>9</v>
      </c>
      <c r="I120" s="1644">
        <v>5</v>
      </c>
      <c r="J120" s="1644">
        <v>9</v>
      </c>
      <c r="K120" s="1644">
        <f>IF(ISNA(VLOOKUP(E120,TargetTeam!$A$1270:$I$1359,5,0)),0,VLOOKUP(E120,TargetTeam!$A$1270:$I$1359,5,0))</f>
        <v>18</v>
      </c>
      <c r="L120" s="1644">
        <f>IF(ISNA(VLOOKUP(E120,TargetTeam!$A$1363:$I$1454,5,0)),0,VLOOKUP(E120,TargetTeam!$A$1363:$I$1454,5,0))</f>
        <v>0</v>
      </c>
      <c r="M120" s="1644">
        <f>IF(ISNA(VLOOKUP(E120,TargetTeam!$A$1456:$I$1552,5,0)),0,VLOOKUP(E120,TargetTeam!$A$1456:$I$1552,5,0))</f>
        <v>0</v>
      </c>
      <c r="N120" s="1644"/>
      <c r="O120" s="1644"/>
      <c r="P120" s="1644"/>
      <c r="Q120" s="1644"/>
      <c r="R120" s="1644"/>
      <c r="S120" s="1644"/>
    </row>
    <row r="121" spans="4:19" ht="15.75" thickBot="1">
      <c r="D121" s="1682" t="str">
        <f t="shared" si="6"/>
        <v>NGUYỄN THỊ HOÀNG YẾN</v>
      </c>
      <c r="E121" s="1683" t="s">
        <v>1567</v>
      </c>
      <c r="G121" s="1596">
        <f t="shared" si="5"/>
        <v>201</v>
      </c>
      <c r="H121" s="1644">
        <v>24</v>
      </c>
      <c r="I121" s="1644">
        <v>23</v>
      </c>
      <c r="J121" s="1644">
        <v>42</v>
      </c>
      <c r="K121" s="1644">
        <f>IF(ISNA(VLOOKUP(E121,TargetTeam!$A$1270:$I$1359,5,0)),0,VLOOKUP(E121,TargetTeam!$A$1270:$I$1359,5,0))</f>
        <v>35</v>
      </c>
      <c r="L121" s="1644">
        <f>IF(ISNA(VLOOKUP(E121,TargetTeam!$A$1363:$I$1454,5,0)),0,VLOOKUP(E121,TargetTeam!$A$1363:$I$1454,5,0))</f>
        <v>33</v>
      </c>
      <c r="M121" s="1644">
        <f>IF(ISNA(VLOOKUP(E121,TargetTeam!$A$1456:$I$1552,5,0)),0,VLOOKUP(E121,TargetTeam!$A$1456:$I$1552,5,0))</f>
        <v>44</v>
      </c>
      <c r="N121" s="1644"/>
      <c r="O121" s="1644"/>
      <c r="P121" s="1644"/>
      <c r="Q121" s="1644"/>
      <c r="R121" s="1644"/>
      <c r="S121" s="1644"/>
    </row>
    <row r="122" spans="4:19" ht="15.75" thickBot="1">
      <c r="D122" s="1682" t="str">
        <f t="shared" si="6"/>
        <v>HỒNG KHÁNH HƯNG - MDRT HCM</v>
      </c>
      <c r="E122" s="1683" t="s">
        <v>735</v>
      </c>
      <c r="G122" s="1596">
        <f t="shared" si="5"/>
        <v>147</v>
      </c>
      <c r="H122" s="1644">
        <v>20</v>
      </c>
      <c r="I122" s="1644">
        <v>10</v>
      </c>
      <c r="J122" s="1644">
        <v>19</v>
      </c>
      <c r="K122" s="1644">
        <f>IF(ISNA(VLOOKUP(E122,TargetTeam!$A$1270:$I$1359,5,0)),0,VLOOKUP(E122,TargetTeam!$A$1270:$I$1359,5,0))</f>
        <v>23</v>
      </c>
      <c r="L122" s="1644">
        <f>IF(ISNA(VLOOKUP(E122,TargetTeam!$A$1363:$I$1454,5,0)),0,VLOOKUP(E122,TargetTeam!$A$1363:$I$1454,5,0))</f>
        <v>25</v>
      </c>
      <c r="M122" s="1644">
        <f>IF(ISNA(VLOOKUP(E122,TargetTeam!$A$1456:$I$1552,5,0)),0,VLOOKUP(E122,TargetTeam!$A$1456:$I$1552,5,0))</f>
        <v>50</v>
      </c>
      <c r="N122" s="1644"/>
      <c r="O122" s="1644"/>
      <c r="P122" s="1644"/>
      <c r="Q122" s="1644"/>
      <c r="R122" s="1644"/>
      <c r="S122" s="1644"/>
    </row>
    <row r="123" spans="4:19" ht="15.75" thickBot="1">
      <c r="D123" s="1682" t="str">
        <f t="shared" si="6"/>
        <v>NGUYỄN VĂN VŨ - MDRT BH</v>
      </c>
      <c r="E123" s="1683" t="s">
        <v>734</v>
      </c>
      <c r="G123" s="1596">
        <f t="shared" si="5"/>
        <v>261</v>
      </c>
      <c r="H123" s="1644">
        <v>49</v>
      </c>
      <c r="I123" s="1644">
        <v>25</v>
      </c>
      <c r="J123" s="1644">
        <v>42</v>
      </c>
      <c r="K123" s="1644">
        <f>IF(ISNA(VLOOKUP(E123,TargetTeam!$A$1270:$I$1359,5,0)),0,VLOOKUP(E123,TargetTeam!$A$1270:$I$1359,5,0))</f>
        <v>47</v>
      </c>
      <c r="L123" s="1644">
        <f>IF(ISNA(VLOOKUP(E123,TargetTeam!$A$1363:$I$1454,5,0)),0,VLOOKUP(E123,TargetTeam!$A$1363:$I$1454,5,0))</f>
        <v>47</v>
      </c>
      <c r="M123" s="1644">
        <f>IF(ISNA(VLOOKUP(E123,TargetTeam!$A$1456:$I$1552,5,0)),0,VLOOKUP(E123,TargetTeam!$A$1456:$I$1552,5,0))</f>
        <v>51</v>
      </c>
      <c r="N123" s="1644"/>
      <c r="O123" s="1644"/>
      <c r="P123" s="1644"/>
      <c r="Q123" s="1644"/>
      <c r="R123" s="1644"/>
      <c r="S123" s="1644"/>
    </row>
    <row r="124" spans="4:19" ht="15.75" thickBot="1">
      <c r="D124" s="1682" t="s">
        <v>3530</v>
      </c>
      <c r="E124" s="1683" t="s">
        <v>798</v>
      </c>
      <c r="G124" s="1596">
        <f t="shared" si="5"/>
        <v>128</v>
      </c>
      <c r="H124" s="1644">
        <v>14</v>
      </c>
      <c r="I124" s="1644">
        <v>7</v>
      </c>
      <c r="J124" s="1644">
        <v>14</v>
      </c>
      <c r="K124" s="1644">
        <f>IF(ISNA(VLOOKUP(E124,TargetTeam!$A$1270:$I$1359,5,0)),0,VLOOKUP(E124,TargetTeam!$A$1270:$I$1359,5,0))</f>
        <v>18</v>
      </c>
      <c r="L124" s="1644">
        <f>IF(ISNA(VLOOKUP(E124,TargetTeam!$A$1363:$I$1454,5,0)),0,VLOOKUP(E124,TargetTeam!$A$1363:$I$1454,5,0))</f>
        <v>20</v>
      </c>
      <c r="M124" s="1644">
        <f>IF(ISNA(VLOOKUP(E124,TargetTeam!$A$1456:$I$1552,5,0)),0,VLOOKUP(E124,TargetTeam!$A$1456:$I$1552,5,0))</f>
        <v>55</v>
      </c>
      <c r="N124" s="1644"/>
      <c r="O124" s="1644"/>
      <c r="P124" s="1644"/>
      <c r="Q124" s="1644"/>
      <c r="R124" s="1644"/>
      <c r="S124" s="1644"/>
    </row>
    <row r="125" spans="4:19" ht="15.75" thickBot="1">
      <c r="D125" s="1682" t="str">
        <f>INDEX(A:A,MATCH(E125,B:B,0))</f>
        <v>ĐỖ THỊ THANH THÚY</v>
      </c>
      <c r="E125" s="1683" t="s">
        <v>796</v>
      </c>
      <c r="G125" s="1596">
        <f t="shared" si="5"/>
        <v>99</v>
      </c>
      <c r="H125" s="1644">
        <v>14</v>
      </c>
      <c r="I125" s="1644">
        <v>8</v>
      </c>
      <c r="J125" s="1644">
        <v>14</v>
      </c>
      <c r="K125" s="1644">
        <f>IF(ISNA(VLOOKUP(E125,TargetTeam!$A$1270:$I$1359,5,0)),0,VLOOKUP(E125,TargetTeam!$A$1270:$I$1359,5,0))</f>
        <v>18</v>
      </c>
      <c r="L125" s="1644">
        <f>IF(ISNA(VLOOKUP(E125,TargetTeam!$A$1363:$I$1454,5,0)),0,VLOOKUP(E125,TargetTeam!$A$1363:$I$1454,5,0))</f>
        <v>21</v>
      </c>
      <c r="M125" s="1644">
        <f>IF(ISNA(VLOOKUP(E125,TargetTeam!$A$1456:$I$1552,5,0)),0,VLOOKUP(E125,TargetTeam!$A$1456:$I$1552,5,0))</f>
        <v>24</v>
      </c>
      <c r="N125" s="1644"/>
      <c r="O125" s="1644"/>
      <c r="P125" s="1644"/>
      <c r="Q125" s="1644"/>
      <c r="R125" s="1644"/>
      <c r="S125" s="1644"/>
    </row>
    <row r="126" spans="4:19" ht="15.75" thickBot="1">
      <c r="D126" s="1682" t="str">
        <f>INDEX(A:A,MATCH(E126,B:B,0))</f>
        <v>NGUYỄN THỊ KIM CHUNG</v>
      </c>
      <c r="E126" s="1683" t="s">
        <v>799</v>
      </c>
      <c r="G126" s="1596">
        <f t="shared" si="5"/>
        <v>159</v>
      </c>
      <c r="H126" s="1644">
        <v>21</v>
      </c>
      <c r="I126" s="1644">
        <v>12</v>
      </c>
      <c r="J126" s="1644">
        <v>27</v>
      </c>
      <c r="K126" s="1644">
        <f>IF(ISNA(VLOOKUP(E126,TargetTeam!$A$1270:$I$1359,5,0)),0,VLOOKUP(E126,TargetTeam!$A$1270:$I$1359,5,0))</f>
        <v>31</v>
      </c>
      <c r="L126" s="1644">
        <f>IF(ISNA(VLOOKUP(E126,TargetTeam!$A$1363:$I$1454,5,0)),0,VLOOKUP(E126,TargetTeam!$A$1363:$I$1454,5,0))</f>
        <v>29</v>
      </c>
      <c r="M126" s="1644">
        <f>IF(ISNA(VLOOKUP(E126,TargetTeam!$A$1456:$I$1552,5,0)),0,VLOOKUP(E126,TargetTeam!$A$1456:$I$1552,5,0))</f>
        <v>39</v>
      </c>
      <c r="N126" s="1644"/>
      <c r="O126" s="1644"/>
      <c r="P126" s="1644"/>
      <c r="Q126" s="1644"/>
      <c r="R126" s="1644"/>
      <c r="S126" s="1644"/>
    </row>
    <row r="127" spans="4:19" ht="15.75" thickBot="1">
      <c r="D127" s="1682" t="str">
        <f>INDEX(A:A,MATCH(E127,B:B,0))</f>
        <v>NGUYỄN VĂN NINH - HẢI ĐĂNG</v>
      </c>
      <c r="E127" s="1683" t="s">
        <v>825</v>
      </c>
      <c r="G127" s="1596">
        <f t="shared" si="5"/>
        <v>180</v>
      </c>
      <c r="H127" s="1644">
        <v>23</v>
      </c>
      <c r="I127" s="1644">
        <v>12</v>
      </c>
      <c r="J127" s="1644">
        <v>29</v>
      </c>
      <c r="K127" s="1644">
        <f>IF(ISNA(VLOOKUP(E127,TargetTeam!$A$1270:$I$1359,5,0)),0,VLOOKUP(E127,TargetTeam!$A$1270:$I$1359,5,0))</f>
        <v>36</v>
      </c>
      <c r="L127" s="1644">
        <f>IF(ISNA(VLOOKUP(E127,TargetTeam!$A$1363:$I$1454,5,0)),0,VLOOKUP(E127,TargetTeam!$A$1363:$I$1454,5,0))</f>
        <v>34</v>
      </c>
      <c r="M127" s="1644">
        <f>IF(ISNA(VLOOKUP(E127,TargetTeam!$A$1456:$I$1552,5,0)),0,VLOOKUP(E127,TargetTeam!$A$1456:$I$1552,5,0))</f>
        <v>46</v>
      </c>
      <c r="N127" s="1644"/>
      <c r="O127" s="1644"/>
      <c r="P127" s="1644"/>
      <c r="Q127" s="1644"/>
      <c r="R127" s="1644"/>
      <c r="S127" s="1644"/>
    </row>
    <row r="128" spans="4:19" ht="15.75" thickBot="1">
      <c r="D128" s="1682" t="s">
        <v>3575</v>
      </c>
      <c r="E128" s="1683" t="s">
        <v>905</v>
      </c>
      <c r="G128" s="1596">
        <f t="shared" si="5"/>
        <v>115</v>
      </c>
      <c r="H128" s="1644">
        <v>18</v>
      </c>
      <c r="I128" s="1644">
        <v>9</v>
      </c>
      <c r="J128" s="1644">
        <v>17</v>
      </c>
      <c r="K128" s="1644">
        <f>IF(ISNA(VLOOKUP(E128,TargetTeam!$A$1270:$I$1359,5,0)),0,VLOOKUP(E128,TargetTeam!$A$1270:$I$1359,5,0))</f>
        <v>21</v>
      </c>
      <c r="L128" s="1644">
        <f>IF(ISNA(VLOOKUP(E128,TargetTeam!$A$1363:$I$1454,5,0)),0,VLOOKUP(E128,TargetTeam!$A$1363:$I$1454,5,0))</f>
        <v>23</v>
      </c>
      <c r="M128" s="1644">
        <f>IF(ISNA(VLOOKUP(E128,TargetTeam!$A$1456:$I$1552,5,0)),0,VLOOKUP(E128,TargetTeam!$A$1456:$I$1552,5,0))</f>
        <v>27</v>
      </c>
      <c r="N128" s="1644"/>
      <c r="O128" s="1644"/>
      <c r="P128" s="1644"/>
      <c r="Q128" s="1644"/>
      <c r="R128" s="1644"/>
      <c r="S128" s="1644"/>
    </row>
    <row r="129" spans="4:19" ht="15.75" thickBot="1">
      <c r="D129" s="1682" t="str">
        <f t="shared" ref="D129:D136" si="7">INDEX(A:A,MATCH(E129,B:B,0))</f>
        <v>TRẦN THỊ THÚY HẰNG</v>
      </c>
      <c r="E129" s="1683" t="s">
        <v>903</v>
      </c>
      <c r="G129" s="1596">
        <f t="shared" si="5"/>
        <v>182</v>
      </c>
      <c r="H129" s="1644">
        <v>32</v>
      </c>
      <c r="I129" s="1644">
        <v>16</v>
      </c>
      <c r="J129" s="1644">
        <v>28</v>
      </c>
      <c r="K129" s="1644">
        <f>IF(ISNA(VLOOKUP(E129,TargetTeam!$A$1270:$I$1359,5,0)),0,VLOOKUP(E129,TargetTeam!$A$1270:$I$1359,5,0))</f>
        <v>34</v>
      </c>
      <c r="L129" s="1644">
        <f>IF(ISNA(VLOOKUP(E129,TargetTeam!$A$1363:$I$1454,5,0)),0,VLOOKUP(E129,TargetTeam!$A$1363:$I$1454,5,0))</f>
        <v>34</v>
      </c>
      <c r="M129" s="1644">
        <f>IF(ISNA(VLOOKUP(E129,TargetTeam!$A$1456:$I$1552,5,0)),0,VLOOKUP(E129,TargetTeam!$A$1456:$I$1552,5,0))</f>
        <v>38</v>
      </c>
      <c r="N129" s="1644"/>
      <c r="O129" s="1644"/>
      <c r="P129" s="1644"/>
      <c r="Q129" s="1644"/>
      <c r="R129" s="1644"/>
      <c r="S129" s="1644"/>
    </row>
    <row r="130" spans="4:19" ht="15.75" thickBot="1">
      <c r="D130" s="1682" t="str">
        <f t="shared" si="7"/>
        <v>TRƯƠNG THỊ THU TRÂM</v>
      </c>
      <c r="E130" s="1683" t="s">
        <v>902</v>
      </c>
      <c r="G130" s="1596">
        <f t="shared" si="5"/>
        <v>163</v>
      </c>
      <c r="H130" s="1644">
        <v>28</v>
      </c>
      <c r="I130" s="1644">
        <v>14</v>
      </c>
      <c r="J130" s="1644">
        <v>25</v>
      </c>
      <c r="K130" s="1644">
        <f>IF(ISNA(VLOOKUP(E130,TargetTeam!$A$1270:$I$1359,5,0)),0,VLOOKUP(E130,TargetTeam!$A$1270:$I$1359,5,0))</f>
        <v>30</v>
      </c>
      <c r="L130" s="1644">
        <f>IF(ISNA(VLOOKUP(E130,TargetTeam!$A$1363:$I$1454,5,0)),0,VLOOKUP(E130,TargetTeam!$A$1363:$I$1454,5,0))</f>
        <v>31</v>
      </c>
      <c r="M130" s="1644">
        <f>IF(ISNA(VLOOKUP(E130,TargetTeam!$A$1456:$I$1552,5,0)),0,VLOOKUP(E130,TargetTeam!$A$1456:$I$1552,5,0))</f>
        <v>35</v>
      </c>
      <c r="N130" s="1644"/>
      <c r="O130" s="1644"/>
      <c r="P130" s="1644"/>
      <c r="Q130" s="1644"/>
      <c r="R130" s="1644"/>
      <c r="S130" s="1644"/>
    </row>
    <row r="131" spans="4:19" ht="15.75" thickBot="1">
      <c r="D131" s="1682" t="str">
        <f t="shared" si="7"/>
        <v>HOÀNG NGUYỆT HẰNG</v>
      </c>
      <c r="E131" s="1683" t="s">
        <v>900</v>
      </c>
      <c r="G131" s="1596">
        <f t="shared" si="5"/>
        <v>110</v>
      </c>
      <c r="H131" s="1644">
        <v>17</v>
      </c>
      <c r="I131" s="1644">
        <v>9</v>
      </c>
      <c r="J131" s="1644">
        <v>16</v>
      </c>
      <c r="K131" s="1644">
        <f>IF(ISNA(VLOOKUP(E131,TargetTeam!$A$1270:$I$1359,5,0)),0,VLOOKUP(E131,TargetTeam!$A$1270:$I$1359,5,0))</f>
        <v>20</v>
      </c>
      <c r="L131" s="1644">
        <f>IF(ISNA(VLOOKUP(E131,TargetTeam!$A$1363:$I$1454,5,0)),0,VLOOKUP(E131,TargetTeam!$A$1363:$I$1454,5,0))</f>
        <v>22</v>
      </c>
      <c r="M131" s="1644">
        <f>IF(ISNA(VLOOKUP(E131,TargetTeam!$A$1456:$I$1552,5,0)),0,VLOOKUP(E131,TargetTeam!$A$1456:$I$1552,5,0))</f>
        <v>26</v>
      </c>
      <c r="N131" s="1644"/>
      <c r="O131" s="1644"/>
      <c r="P131" s="1644"/>
      <c r="Q131" s="1644"/>
      <c r="R131" s="1644"/>
      <c r="S131" s="1644"/>
    </row>
    <row r="132" spans="4:19" ht="15.75" thickBot="1">
      <c r="D132" s="1682" t="str">
        <f t="shared" si="7"/>
        <v>HỒNG KHÁNH HƯNG - MDRT VT</v>
      </c>
      <c r="E132" s="1683" t="s">
        <v>949</v>
      </c>
      <c r="G132" s="1596">
        <f t="shared" si="5"/>
        <v>155</v>
      </c>
      <c r="H132" s="1644">
        <v>26</v>
      </c>
      <c r="I132" s="1644">
        <v>13</v>
      </c>
      <c r="J132" s="1644">
        <v>24</v>
      </c>
      <c r="K132" s="1644">
        <f>IF(ISNA(VLOOKUP(E132,TargetTeam!$A$1270:$I$1359,5,0)),0,VLOOKUP(E132,TargetTeam!$A$1270:$I$1359,5,0))</f>
        <v>29</v>
      </c>
      <c r="L132" s="1644">
        <f>IF(ISNA(VLOOKUP(E132,TargetTeam!$A$1363:$I$1454,5,0)),0,VLOOKUP(E132,TargetTeam!$A$1363:$I$1454,5,0))</f>
        <v>30</v>
      </c>
      <c r="M132" s="1644">
        <f>IF(ISNA(VLOOKUP(E132,TargetTeam!$A$1456:$I$1552,5,0)),0,VLOOKUP(E132,TargetTeam!$A$1456:$I$1552,5,0))</f>
        <v>33</v>
      </c>
      <c r="N132" s="1644"/>
      <c r="O132" s="1644"/>
      <c r="P132" s="1644"/>
      <c r="Q132" s="1644"/>
      <c r="R132" s="1644"/>
      <c r="S132" s="1644"/>
    </row>
    <row r="133" spans="4:19" ht="15.75" thickBot="1">
      <c r="D133" s="1682" t="str">
        <f t="shared" si="7"/>
        <v>LÊ THỊ THƠI</v>
      </c>
      <c r="E133" s="1683" t="s">
        <v>1104</v>
      </c>
      <c r="G133" s="1596">
        <f t="shared" si="5"/>
        <v>200</v>
      </c>
      <c r="H133" s="1644">
        <v>26</v>
      </c>
      <c r="I133" s="1644">
        <v>14</v>
      </c>
      <c r="J133" s="1644">
        <v>34</v>
      </c>
      <c r="K133" s="1644">
        <f>IF(ISNA(VLOOKUP(E133,TargetTeam!$A$1270:$I$1359,5,0)),0,VLOOKUP(E133,TargetTeam!$A$1270:$I$1359,5,0))</f>
        <v>39</v>
      </c>
      <c r="L133" s="1644">
        <f>IF(ISNA(VLOOKUP(E133,TargetTeam!$A$1363:$I$1454,5,0)),0,VLOOKUP(E133,TargetTeam!$A$1363:$I$1454,5,0))</f>
        <v>37</v>
      </c>
      <c r="M133" s="1644">
        <f>IF(ISNA(VLOOKUP(E133,TargetTeam!$A$1456:$I$1552,5,0)),0,VLOOKUP(E133,TargetTeam!$A$1456:$I$1552,5,0))</f>
        <v>50</v>
      </c>
      <c r="N133" s="1644"/>
      <c r="O133" s="1644"/>
      <c r="P133" s="1644"/>
      <c r="Q133" s="1644"/>
      <c r="R133" s="1644"/>
      <c r="S133" s="1644"/>
    </row>
    <row r="134" spans="4:19" ht="15.75" thickBot="1">
      <c r="D134" s="1682" t="str">
        <f t="shared" si="7"/>
        <v>VŨ THỊ LỆ HẰNG</v>
      </c>
      <c r="E134" s="1683" t="s">
        <v>1015</v>
      </c>
      <c r="G134" s="1596">
        <f t="shared" si="5"/>
        <v>185</v>
      </c>
      <c r="H134" s="1644">
        <v>23</v>
      </c>
      <c r="I134" s="1644">
        <v>13</v>
      </c>
      <c r="J134" s="1644">
        <v>30</v>
      </c>
      <c r="K134" s="1644">
        <f>IF(ISNA(VLOOKUP(E134,TargetTeam!$A$1270:$I$1359,5,0)),0,VLOOKUP(E134,TargetTeam!$A$1270:$I$1359,5,0))</f>
        <v>37</v>
      </c>
      <c r="L134" s="1644">
        <f>IF(ISNA(VLOOKUP(E134,TargetTeam!$A$1363:$I$1454,5,0)),0,VLOOKUP(E134,TargetTeam!$A$1363:$I$1454,5,0))</f>
        <v>35</v>
      </c>
      <c r="M134" s="1644">
        <f>IF(ISNA(VLOOKUP(E134,TargetTeam!$A$1456:$I$1552,5,0)),0,VLOOKUP(E134,TargetTeam!$A$1456:$I$1552,5,0))</f>
        <v>47</v>
      </c>
      <c r="N134" s="1644"/>
      <c r="O134" s="1644"/>
      <c r="P134" s="1644"/>
      <c r="Q134" s="1644"/>
      <c r="R134" s="1644"/>
      <c r="S134" s="1644"/>
    </row>
    <row r="135" spans="4:19" ht="15.75" thickBot="1">
      <c r="D135" s="1682" t="str">
        <f t="shared" si="7"/>
        <v>NGUYỄN THỊ HỒNG</v>
      </c>
      <c r="E135" s="1816" t="s">
        <v>1103</v>
      </c>
      <c r="G135" s="1596">
        <f t="shared" si="5"/>
        <v>107</v>
      </c>
      <c r="H135" s="1644">
        <v>15</v>
      </c>
      <c r="I135" s="1644">
        <v>8</v>
      </c>
      <c r="J135" s="1644">
        <v>19</v>
      </c>
      <c r="K135" s="1644">
        <f>IF(ISNA(VLOOKUP(E135,TargetTeam!$A$1270:$I$1359,5,0)),0,VLOOKUP(E135,TargetTeam!$A$1270:$I$1359,5,0))</f>
        <v>20</v>
      </c>
      <c r="L135" s="1644">
        <f>IF(ISNA(VLOOKUP(E135,TargetTeam!$A$1363:$I$1454,5,0)),0,VLOOKUP(E135,TargetTeam!$A$1363:$I$1454,5,0))</f>
        <v>19</v>
      </c>
      <c r="M135" s="1644">
        <f>IF(ISNA(VLOOKUP(E135,TargetTeam!$A$1456:$I$1552,5,0)),0,VLOOKUP(E135,TargetTeam!$A$1456:$I$1552,5,0))</f>
        <v>26</v>
      </c>
      <c r="N135" s="1644"/>
      <c r="O135" s="1644"/>
      <c r="P135" s="1644"/>
      <c r="Q135" s="1644"/>
      <c r="R135" s="1644"/>
      <c r="S135" s="1644"/>
    </row>
    <row r="136" spans="4:19" ht="15.75" thickBot="1">
      <c r="D136" s="1682" t="str">
        <f t="shared" si="7"/>
        <v>NGUYỄN HỮU HIỀN</v>
      </c>
      <c r="E136" s="1683" t="s">
        <v>1102</v>
      </c>
      <c r="G136" s="1596">
        <f t="shared" si="5"/>
        <v>220</v>
      </c>
      <c r="H136" s="1644">
        <v>38</v>
      </c>
      <c r="I136" s="1644">
        <v>19</v>
      </c>
      <c r="J136" s="1644">
        <v>34</v>
      </c>
      <c r="K136" s="1644">
        <f>IF(ISNA(VLOOKUP(E136,TargetTeam!$A$1270:$I$1359,5,0)),0,VLOOKUP(E136,TargetTeam!$A$1270:$I$1359,5,0))</f>
        <v>41</v>
      </c>
      <c r="L136" s="1644">
        <f>IF(ISNA(VLOOKUP(E136,TargetTeam!$A$1363:$I$1454,5,0)),0,VLOOKUP(E136,TargetTeam!$A$1363:$I$1454,5,0))</f>
        <v>42</v>
      </c>
      <c r="M136" s="1644">
        <f>IF(ISNA(VLOOKUP(E136,TargetTeam!$A$1456:$I$1552,5,0)),0,VLOOKUP(E136,TargetTeam!$A$1456:$I$1552,5,0))</f>
        <v>46</v>
      </c>
      <c r="N136" s="1644"/>
      <c r="O136" s="1644"/>
      <c r="P136" s="1644"/>
      <c r="Q136" s="1644"/>
      <c r="R136" s="1644"/>
      <c r="S136" s="1644"/>
    </row>
    <row r="137" spans="4:19" ht="15.75" thickBot="1">
      <c r="D137" s="1682" t="s">
        <v>2897</v>
      </c>
      <c r="E137" s="1683" t="s">
        <v>1101</v>
      </c>
      <c r="G137" s="1596">
        <f t="shared" si="5"/>
        <v>141</v>
      </c>
      <c r="H137" s="1644">
        <v>21</v>
      </c>
      <c r="I137" s="1644">
        <v>11</v>
      </c>
      <c r="J137" s="1644">
        <v>21</v>
      </c>
      <c r="K137" s="1644">
        <f>IF(ISNA(VLOOKUP(E137,TargetTeam!$A$1270:$I$1359,5,0)),0,VLOOKUP(E137,TargetTeam!$A$1270:$I$1359,5,0))</f>
        <v>26</v>
      </c>
      <c r="L137" s="1644">
        <f>IF(ISNA(VLOOKUP(E137,TargetTeam!$A$1363:$I$1454,5,0)),0,VLOOKUP(E137,TargetTeam!$A$1363:$I$1454,5,0))</f>
        <v>29</v>
      </c>
      <c r="M137" s="1644">
        <f>IF(ISNA(VLOOKUP(E137,TargetTeam!$A$1456:$I$1552,5,0)),0,VLOOKUP(E137,TargetTeam!$A$1456:$I$1552,5,0))</f>
        <v>33</v>
      </c>
      <c r="N137" s="1644"/>
      <c r="O137" s="1644"/>
      <c r="P137" s="1644"/>
      <c r="Q137" s="1644"/>
      <c r="R137" s="1644"/>
      <c r="S137" s="1644"/>
    </row>
    <row r="138" spans="4:19" ht="15.75" thickBot="1">
      <c r="D138" s="1682" t="str">
        <f>INDEX(A:A,MATCH(E138,B:B,0))</f>
        <v>NGUYỄN VĂN NINH - BÌNH MINH</v>
      </c>
      <c r="E138" s="1683" t="s">
        <v>1100</v>
      </c>
      <c r="G138" s="1596">
        <f t="shared" si="5"/>
        <v>234</v>
      </c>
      <c r="H138" s="1644">
        <v>29</v>
      </c>
      <c r="I138" s="1644">
        <v>16</v>
      </c>
      <c r="J138" s="1644">
        <v>38</v>
      </c>
      <c r="K138" s="1644">
        <f>IF(ISNA(VLOOKUP(E138,TargetTeam!$A$1270:$I$1359,5,0)),0,VLOOKUP(E138,TargetTeam!$A$1270:$I$1359,5,0))</f>
        <v>47</v>
      </c>
      <c r="L138" s="1644">
        <f>IF(ISNA(VLOOKUP(E138,TargetTeam!$A$1363:$I$1454,5,0)),0,VLOOKUP(E138,TargetTeam!$A$1363:$I$1454,5,0))</f>
        <v>44</v>
      </c>
      <c r="M138" s="1644">
        <f>IF(ISNA(VLOOKUP(E138,TargetTeam!$A$1456:$I$1552,5,0)),0,VLOOKUP(E138,TargetTeam!$A$1456:$I$1552,5,0))</f>
        <v>60</v>
      </c>
      <c r="N138" s="1644"/>
      <c r="O138" s="1644"/>
      <c r="P138" s="1644"/>
      <c r="Q138" s="1644"/>
      <c r="R138" s="1644"/>
      <c r="S138" s="1644"/>
    </row>
    <row r="139" spans="4:19" ht="15.75" thickBot="1">
      <c r="D139" s="1682" t="str">
        <f>INDEX(A:A,MATCH(E139,B:B,0))</f>
        <v>LƯƠNG HỮU PHÚC</v>
      </c>
      <c r="E139" s="1683" t="s">
        <v>1099</v>
      </c>
      <c r="G139" s="1596">
        <f t="shared" si="5"/>
        <v>140</v>
      </c>
      <c r="H139" s="1644">
        <v>23</v>
      </c>
      <c r="I139" s="1644">
        <v>12</v>
      </c>
      <c r="J139" s="1644">
        <v>21</v>
      </c>
      <c r="K139" s="1644">
        <f>IF(ISNA(VLOOKUP(E139,TargetTeam!$A$1270:$I$1359,5,0)),0,VLOOKUP(E139,TargetTeam!$A$1270:$I$1359,5,0))</f>
        <v>26</v>
      </c>
      <c r="L139" s="1644">
        <f>IF(ISNA(VLOOKUP(E139,TargetTeam!$A$1363:$I$1454,5,0)),0,VLOOKUP(E139,TargetTeam!$A$1363:$I$1454,5,0))</f>
        <v>27</v>
      </c>
      <c r="M139" s="1644">
        <f>IF(ISNA(VLOOKUP(E139,TargetTeam!$A$1456:$I$1552,5,0)),0,VLOOKUP(E139,TargetTeam!$A$1456:$I$1552,5,0))</f>
        <v>31</v>
      </c>
      <c r="N139" s="1644"/>
      <c r="O139" s="1644"/>
      <c r="P139" s="1644"/>
      <c r="Q139" s="1644"/>
      <c r="R139" s="1644"/>
      <c r="S139" s="1644"/>
    </row>
    <row r="140" spans="4:19" ht="15.75" thickBot="1">
      <c r="D140" s="1682" t="s">
        <v>3169</v>
      </c>
      <c r="E140" s="1683" t="s">
        <v>3168</v>
      </c>
      <c r="G140" s="1596">
        <f t="shared" si="5"/>
        <v>11</v>
      </c>
      <c r="H140" s="1644"/>
      <c r="I140" s="1644"/>
      <c r="J140" s="1644"/>
      <c r="K140" s="1644"/>
      <c r="L140" s="1644">
        <f>IF(ISNA(VLOOKUP(E140,TargetTeam!$A$1363:$I$1454,5,0)),0,VLOOKUP(E140,TargetTeam!$A$1363:$I$1454,5,0))</f>
        <v>3</v>
      </c>
      <c r="M140" s="1644">
        <f>IF(ISNA(VLOOKUP(E140,TargetTeam!$A$1456:$I$1552,5,0)),0,VLOOKUP(E140,TargetTeam!$A$1456:$I$1552,5,0))</f>
        <v>8</v>
      </c>
      <c r="N140" s="1644"/>
      <c r="O140" s="1644"/>
      <c r="P140" s="1644"/>
      <c r="Q140" s="1644"/>
      <c r="R140" s="1644"/>
      <c r="S140" s="1644"/>
    </row>
    <row r="141" spans="4:19" ht="15.75" thickBot="1">
      <c r="D141" s="1682" t="s">
        <v>1410</v>
      </c>
      <c r="E141" s="1683" t="s">
        <v>2896</v>
      </c>
      <c r="G141" s="1596">
        <f t="shared" si="5"/>
        <v>9</v>
      </c>
      <c r="H141" s="1644"/>
      <c r="I141" s="1644"/>
      <c r="J141" s="1644"/>
      <c r="K141" s="1644"/>
      <c r="L141" s="1644">
        <f>IF(ISNA(VLOOKUP(E141,TargetTeam!$A$1363:$I$1454,5,0)),0,VLOOKUP(E141,TargetTeam!$A$1363:$I$1454,5,0))</f>
        <v>2</v>
      </c>
      <c r="M141" s="1644">
        <f>IF(ISNA(VLOOKUP(E141,TargetTeam!$A$1456:$I$1552,5,0)),0,VLOOKUP(E141,TargetTeam!$A$1456:$I$1552,5,0))</f>
        <v>7</v>
      </c>
      <c r="N141" s="1644"/>
      <c r="O141" s="1644"/>
      <c r="P141" s="1644"/>
      <c r="Q141" s="1644"/>
      <c r="R141" s="1644"/>
      <c r="S141" s="1644"/>
    </row>
    <row r="142" spans="4:19" ht="15.75" thickBot="1">
      <c r="D142" s="1682" t="s">
        <v>3184</v>
      </c>
      <c r="E142" s="1683" t="s">
        <v>3170</v>
      </c>
      <c r="G142" s="1596">
        <f t="shared" si="5"/>
        <v>76</v>
      </c>
      <c r="H142" s="1644"/>
      <c r="I142" s="1644"/>
      <c r="J142" s="1644"/>
      <c r="K142" s="1644"/>
      <c r="L142" s="1644">
        <f>IF(ISNA(VLOOKUP(E142,TargetTeam!$A$1363:$I$1454,5,0)),0,VLOOKUP(E142,TargetTeam!$A$1363:$I$1454,5,0))</f>
        <v>32</v>
      </c>
      <c r="M142" s="1644">
        <f>IF(ISNA(VLOOKUP(E142,TargetTeam!$A$1456:$I$1552,5,0)),0,VLOOKUP(E142,TargetTeam!$A$1456:$I$1552,5,0))</f>
        <v>44</v>
      </c>
      <c r="N142" s="1644"/>
      <c r="O142" s="1644"/>
      <c r="P142" s="1644"/>
      <c r="Q142" s="1644"/>
      <c r="R142" s="1644"/>
      <c r="S142" s="1644"/>
    </row>
    <row r="143" spans="4:19" ht="15.75" thickBot="1">
      <c r="D143" s="1682" t="s">
        <v>3180</v>
      </c>
      <c r="E143" s="1683" t="s">
        <v>3171</v>
      </c>
      <c r="G143" s="1596">
        <f t="shared" si="5"/>
        <v>99</v>
      </c>
      <c r="H143" s="1644"/>
      <c r="I143" s="1644"/>
      <c r="J143" s="1644"/>
      <c r="K143" s="1644"/>
      <c r="L143" s="1644">
        <f>IF(ISNA(VLOOKUP(E143,TargetTeam!$A$1363:$I$1454,5,0)),0,VLOOKUP(E143,TargetTeam!$A$1363:$I$1454,5,0))</f>
        <v>36</v>
      </c>
      <c r="M143" s="1644">
        <f>IF(ISNA(VLOOKUP(E143,TargetTeam!$A$1456:$I$1552,5,0)),0,VLOOKUP(E143,TargetTeam!$A$1456:$I$1552,5,0))</f>
        <v>63</v>
      </c>
      <c r="N143" s="1644"/>
      <c r="O143" s="1644"/>
      <c r="P143" s="1644"/>
      <c r="Q143" s="1644"/>
      <c r="R143" s="1644"/>
      <c r="S143" s="1644"/>
    </row>
    <row r="144" spans="4:19" ht="15.75" thickBot="1">
      <c r="D144" s="1682" t="s">
        <v>3189</v>
      </c>
      <c r="E144" s="1683" t="s">
        <v>3172</v>
      </c>
      <c r="G144" s="1596">
        <f t="shared" si="5"/>
        <v>10</v>
      </c>
      <c r="H144" s="1644"/>
      <c r="I144" s="1644"/>
      <c r="J144" s="1644"/>
      <c r="K144" s="1644"/>
      <c r="L144" s="1644">
        <f>IF(ISNA(VLOOKUP(E144,TargetTeam!$A$1363:$I$1454,5,0)),0,VLOOKUP(E144,TargetTeam!$A$1363:$I$1454,5,0))</f>
        <v>0</v>
      </c>
      <c r="M144" s="1644">
        <f>IF(ISNA(VLOOKUP(E144,TargetTeam!$A$1456:$I$1552,5,0)),0,VLOOKUP(E144,TargetTeam!$A$1456:$I$1552,5,0))</f>
        <v>10</v>
      </c>
      <c r="N144" s="1644"/>
      <c r="O144" s="1644"/>
      <c r="P144" s="1644"/>
      <c r="Q144" s="1644"/>
      <c r="R144" s="1644"/>
      <c r="S144" s="1644"/>
    </row>
    <row r="145" spans="4:19" ht="15.75" thickBot="1">
      <c r="D145" s="1682" t="s">
        <v>3190</v>
      </c>
      <c r="E145" s="1683" t="s">
        <v>3173</v>
      </c>
      <c r="G145" s="1596">
        <f t="shared" si="5"/>
        <v>144</v>
      </c>
      <c r="H145" s="1644"/>
      <c r="I145" s="1644"/>
      <c r="J145" s="1644"/>
      <c r="K145" s="1644"/>
      <c r="L145" s="1644">
        <f>IF(ISNA(VLOOKUP(E145,TargetTeam!$A$1363:$I$1454,5,0)),0,VLOOKUP(E145,TargetTeam!$A$1363:$I$1454,5,0))</f>
        <v>63</v>
      </c>
      <c r="M145" s="1644">
        <f>IF(ISNA(VLOOKUP(E145,TargetTeam!$A$1456:$I$1552,5,0)),0,VLOOKUP(E145,TargetTeam!$A$1456:$I$1552,5,0))</f>
        <v>81</v>
      </c>
      <c r="N145" s="1644"/>
      <c r="O145" s="1644"/>
      <c r="P145" s="1644"/>
      <c r="Q145" s="1644"/>
      <c r="R145" s="1644"/>
      <c r="S145" s="1644"/>
    </row>
    <row r="146" spans="4:19" ht="15.75" thickBot="1">
      <c r="D146" s="1682" t="s">
        <v>3191</v>
      </c>
      <c r="E146" s="1683" t="s">
        <v>3174</v>
      </c>
      <c r="G146" s="1596">
        <f t="shared" si="5"/>
        <v>97</v>
      </c>
      <c r="H146" s="1644"/>
      <c r="I146" s="1644"/>
      <c r="J146" s="1644"/>
      <c r="K146" s="1644"/>
      <c r="L146" s="1644">
        <f>IF(ISNA(VLOOKUP(E146,TargetTeam!$A$1363:$I$1454,5,0)),0,VLOOKUP(E146,TargetTeam!$A$1363:$I$1454,5,0))</f>
        <v>41</v>
      </c>
      <c r="M146" s="1644">
        <f>IF(ISNA(VLOOKUP(E146,TargetTeam!$A$1456:$I$1552,5,0)),0,VLOOKUP(E146,TargetTeam!$A$1456:$I$1552,5,0))</f>
        <v>56</v>
      </c>
      <c r="N146" s="1644"/>
      <c r="O146" s="1644"/>
      <c r="P146" s="1644"/>
      <c r="Q146" s="1644"/>
      <c r="R146" s="1644"/>
      <c r="S146" s="1644"/>
    </row>
    <row r="147" spans="4:19" ht="15.75" thickBot="1">
      <c r="D147" s="1682" t="str">
        <f t="shared" ref="D147:D152" si="8">INDEX(A:A,MATCH(E147,B:B,0))</f>
        <v>PHAN THỊ THANH LAN</v>
      </c>
      <c r="E147" s="1684" t="s">
        <v>2046</v>
      </c>
      <c r="G147" s="1596">
        <f t="shared" si="5"/>
        <v>225</v>
      </c>
      <c r="H147" s="1644">
        <v>39</v>
      </c>
      <c r="I147" s="1644">
        <v>20</v>
      </c>
      <c r="J147" s="1644">
        <v>35</v>
      </c>
      <c r="K147" s="1644">
        <f>IF(ISNA(VLOOKUP(E147,TargetTeam!$A$1270:$I$1359,5,0)),0,VLOOKUP(E147,TargetTeam!$A$1270:$I$1359,5,0))</f>
        <v>41</v>
      </c>
      <c r="L147" s="1644">
        <f>IF(ISNA(VLOOKUP(E147,TargetTeam!$A$1363:$I$1454,5,0)),0,VLOOKUP(E147,TargetTeam!$A$1363:$I$1454,5,0))</f>
        <v>43</v>
      </c>
      <c r="M147" s="1644">
        <f>IF(ISNA(VLOOKUP(E147,TargetTeam!$A$1456:$I$1552,5,0)),0,VLOOKUP(E147,TargetTeam!$A$1456:$I$1552,5,0))</f>
        <v>47</v>
      </c>
      <c r="N147" s="1644"/>
      <c r="O147" s="1644"/>
      <c r="P147" s="1644"/>
      <c r="Q147" s="1644"/>
      <c r="R147" s="1644"/>
      <c r="S147" s="1644"/>
    </row>
    <row r="148" spans="4:19" ht="15.75" thickBot="1">
      <c r="D148" s="1682" t="str">
        <f t="shared" si="8"/>
        <v>NGUYỄN VĂN HUỆ</v>
      </c>
      <c r="E148" s="1684" t="s">
        <v>1568</v>
      </c>
      <c r="G148" s="1596">
        <f t="shared" ref="G148:G159" si="9">IF(ISNA(SUMIF($H$98:$S$98,"&lt;="&amp;$E$44,$H148:$S148)),0,SUMIF($H$98:$S$98,"&lt;="&amp;$E$44,$H148:$S148))</f>
        <v>299</v>
      </c>
      <c r="H148" s="1644">
        <v>39</v>
      </c>
      <c r="I148" s="1644">
        <v>32</v>
      </c>
      <c r="J148" s="1644">
        <v>69</v>
      </c>
      <c r="K148" s="1644">
        <f>IF(ISNA(VLOOKUP(E148,TargetTeam!$A$1270:$I$1359,5,0)),0,VLOOKUP(E148,TargetTeam!$A$1270:$I$1359,5,0))</f>
        <v>50</v>
      </c>
      <c r="L148" s="1644">
        <f>IF(ISNA(VLOOKUP(E148,TargetTeam!$A$1363:$I$1454,5,0)),0,VLOOKUP(E148,TargetTeam!$A$1363:$I$1454,5,0))</f>
        <v>46</v>
      </c>
      <c r="M148" s="1644">
        <f>IF(ISNA(VLOOKUP(E148,TargetTeam!$A$1456:$I$1552,5,0)),0,VLOOKUP(E148,TargetTeam!$A$1456:$I$1552,5,0))</f>
        <v>63</v>
      </c>
      <c r="N148" s="1644"/>
      <c r="O148" s="1644"/>
      <c r="P148" s="1644"/>
      <c r="Q148" s="1644"/>
      <c r="R148" s="1644"/>
      <c r="S148" s="1644"/>
    </row>
    <row r="149" spans="4:19" ht="15.75" thickBot="1">
      <c r="D149" s="1775" t="str">
        <f t="shared" si="8"/>
        <v>NGUYỄN PHƯỚC LẬP</v>
      </c>
      <c r="E149" s="1776" t="s">
        <v>2658</v>
      </c>
      <c r="G149" s="1596">
        <f t="shared" si="9"/>
        <v>17</v>
      </c>
      <c r="H149" s="1644">
        <v>0</v>
      </c>
      <c r="I149" s="1644">
        <v>0</v>
      </c>
      <c r="J149" s="1644">
        <v>4</v>
      </c>
      <c r="K149" s="1644">
        <f>IF(ISNA(VLOOKUP(E149,TargetTeam!$A$1270:$I$1359,5,0)),0,VLOOKUP(E149,TargetTeam!$A$1270:$I$1359,5,0))</f>
        <v>5</v>
      </c>
      <c r="L149" s="1644">
        <f>IF(ISNA(VLOOKUP(E149,TargetTeam!$A$1363:$I$1454,5,0)),0,VLOOKUP(E149,TargetTeam!$A$1363:$I$1454,5,0))</f>
        <v>8</v>
      </c>
      <c r="M149" s="1644">
        <f>IF(ISNA(VLOOKUP(E149,TargetTeam!$A$1456:$I$1552,5,0)),0,VLOOKUP(E149,TargetTeam!$A$1456:$I$1552,5,0))</f>
        <v>0</v>
      </c>
      <c r="N149" s="1644"/>
      <c r="O149" s="1644"/>
      <c r="P149" s="1644"/>
      <c r="Q149" s="1644"/>
      <c r="R149" s="1644"/>
      <c r="S149" s="1644"/>
    </row>
    <row r="150" spans="4:19" ht="15.75" thickBot="1">
      <c r="D150" s="1775" t="str">
        <f t="shared" si="8"/>
        <v>TRẦN HOÀNG NGÂN KHÁNH</v>
      </c>
      <c r="E150" s="1776" t="s">
        <v>2659</v>
      </c>
      <c r="G150" s="1596">
        <f t="shared" si="9"/>
        <v>35</v>
      </c>
      <c r="H150" s="1644">
        <v>0</v>
      </c>
      <c r="I150" s="1644">
        <v>0</v>
      </c>
      <c r="J150" s="1644">
        <v>5</v>
      </c>
      <c r="K150" s="1644">
        <f>IF(ISNA(VLOOKUP(E150,TargetTeam!$A$1270:$I$1359,5,0)),0,VLOOKUP(E150,TargetTeam!$A$1270:$I$1359,5,0))</f>
        <v>8</v>
      </c>
      <c r="L150" s="1644">
        <f>IF(ISNA(VLOOKUP(E150,TargetTeam!$A$1363:$I$1454,5,0)),0,VLOOKUP(E150,TargetTeam!$A$1363:$I$1454,5,0))</f>
        <v>9</v>
      </c>
      <c r="M150" s="1644">
        <f>IF(ISNA(VLOOKUP(E150,TargetTeam!$A$1456:$I$1552,5,0)),0,VLOOKUP(E150,TargetTeam!$A$1456:$I$1552,5,0))</f>
        <v>13</v>
      </c>
      <c r="N150" s="1644"/>
      <c r="O150" s="1644"/>
      <c r="P150" s="1644"/>
      <c r="Q150" s="1644"/>
      <c r="R150" s="1644"/>
      <c r="S150" s="1644"/>
    </row>
    <row r="151" spans="4:19" ht="15.75" thickBot="1">
      <c r="D151" s="1775" t="str">
        <f t="shared" si="8"/>
        <v>PHẠM TẤN PHÁT</v>
      </c>
      <c r="E151" s="1776" t="s">
        <v>2660</v>
      </c>
      <c r="G151" s="1596">
        <f t="shared" si="9"/>
        <v>22</v>
      </c>
      <c r="H151" s="1644">
        <v>0</v>
      </c>
      <c r="I151" s="1644">
        <v>0</v>
      </c>
      <c r="J151" s="1644">
        <v>5</v>
      </c>
      <c r="K151" s="1644">
        <f>IF(ISNA(VLOOKUP(E151,TargetTeam!$A$1270:$I$1359,5,0)),0,VLOOKUP(E151,TargetTeam!$A$1270:$I$1359,5,0))</f>
        <v>8</v>
      </c>
      <c r="L151" s="1644">
        <f>IF(ISNA(VLOOKUP(E151,TargetTeam!$A$1363:$I$1454,5,0)),0,VLOOKUP(E151,TargetTeam!$A$1363:$I$1454,5,0))</f>
        <v>9</v>
      </c>
      <c r="M151" s="1644">
        <f>IF(ISNA(VLOOKUP(E151,TargetTeam!$A$1456:$I$1552,5,0)),0,VLOOKUP(E151,TargetTeam!$A$1456:$I$1552,5,0))</f>
        <v>0</v>
      </c>
      <c r="N151" s="1644"/>
      <c r="O151" s="1644"/>
      <c r="P151" s="1644"/>
      <c r="Q151" s="1644"/>
      <c r="R151" s="1644"/>
      <c r="S151" s="1644"/>
    </row>
    <row r="152" spans="4:19" ht="15.75" thickBot="1">
      <c r="D152" s="1775" t="str">
        <f t="shared" si="8"/>
        <v>LƯƠNG THU HƯƠNG</v>
      </c>
      <c r="E152" s="1776" t="s">
        <v>2708</v>
      </c>
      <c r="G152" s="1596">
        <f t="shared" si="9"/>
        <v>52</v>
      </c>
      <c r="H152" s="1644">
        <v>0</v>
      </c>
      <c r="I152" s="1644">
        <v>0</v>
      </c>
      <c r="J152" s="1644">
        <v>5</v>
      </c>
      <c r="K152" s="1644">
        <f>IF(ISNA(VLOOKUP(E152,TargetTeam!$A$1270:$I$1359,5,0)),0,VLOOKUP(E152,TargetTeam!$A$1270:$I$1359,5,0))</f>
        <v>10</v>
      </c>
      <c r="L152" s="1644">
        <f>IF(ISNA(VLOOKUP(E152,TargetTeam!$A$1363:$I$1454,5,0)),0,VLOOKUP(E152,TargetTeam!$A$1363:$I$1454,5,0))</f>
        <v>14</v>
      </c>
      <c r="M152" s="1644">
        <f>IF(ISNA(VLOOKUP(E152,TargetTeam!$A$1456:$I$1552,5,0)),0,VLOOKUP(E152,TargetTeam!$A$1456:$I$1552,5,0))</f>
        <v>23</v>
      </c>
      <c r="N152" s="1644"/>
      <c r="O152" s="1644"/>
      <c r="P152" s="1644"/>
      <c r="Q152" s="1644"/>
      <c r="R152" s="1644"/>
      <c r="S152" s="1644"/>
    </row>
    <row r="153" spans="4:19" ht="15.75" thickBot="1">
      <c r="D153" s="1775" t="s">
        <v>3528</v>
      </c>
      <c r="E153" s="1776" t="s">
        <v>2900</v>
      </c>
      <c r="H153" s="1644"/>
      <c r="I153" s="1644"/>
      <c r="J153" s="1644"/>
      <c r="K153" s="1644"/>
      <c r="L153" s="1644"/>
      <c r="M153" s="1644">
        <f>IF(ISNA(VLOOKUP(E153,TargetTeam!$A$1456:$I$1552,5,0)),0,VLOOKUP(E153,TargetTeam!$A$1456:$I$1552,5,0))</f>
        <v>11</v>
      </c>
      <c r="N153" s="1644"/>
      <c r="O153" s="1644"/>
      <c r="P153" s="1644"/>
      <c r="Q153" s="1644"/>
      <c r="R153" s="1644"/>
      <c r="S153" s="1644"/>
    </row>
    <row r="154" spans="4:19" ht="15.75" thickBot="1">
      <c r="D154" s="1775" t="s">
        <v>2705</v>
      </c>
      <c r="E154" s="1776" t="s">
        <v>3517</v>
      </c>
      <c r="H154" s="1644"/>
      <c r="I154" s="1644"/>
      <c r="J154" s="1644"/>
      <c r="K154" s="1644"/>
      <c r="L154" s="1644"/>
      <c r="M154" s="1644">
        <f>IF(ISNA(VLOOKUP(E154,TargetTeam!$A$1456:$I$1552,5,0)),0,VLOOKUP(E154,TargetTeam!$A$1456:$I$1552,5,0))</f>
        <v>24</v>
      </c>
      <c r="N154" s="1644"/>
      <c r="O154" s="1644"/>
      <c r="P154" s="1644"/>
      <c r="Q154" s="1644"/>
      <c r="R154" s="1644"/>
      <c r="S154" s="1644"/>
    </row>
    <row r="155" spans="4:19" ht="15.75" thickBot="1">
      <c r="D155" s="1775" t="s">
        <v>3519</v>
      </c>
      <c r="E155" s="1776" t="s">
        <v>3518</v>
      </c>
      <c r="H155" s="1644"/>
      <c r="I155" s="1644"/>
      <c r="J155" s="1644"/>
      <c r="K155" s="1644"/>
      <c r="L155" s="1644"/>
      <c r="M155" s="1644">
        <f>IF(ISNA(VLOOKUP(E155,TargetTeam!$A$1456:$I$1552,5,0)),0,VLOOKUP(E155,TargetTeam!$A$1456:$I$1552,5,0))</f>
        <v>10</v>
      </c>
      <c r="N155" s="1644"/>
      <c r="O155" s="1644"/>
      <c r="P155" s="1644"/>
      <c r="Q155" s="1644"/>
      <c r="R155" s="1644"/>
      <c r="S155" s="1644"/>
    </row>
    <row r="156" spans="4:19" ht="15.75" thickBot="1">
      <c r="D156" s="1775" t="s">
        <v>3521</v>
      </c>
      <c r="E156" s="1776" t="s">
        <v>3520</v>
      </c>
      <c r="H156" s="1644"/>
      <c r="I156" s="1644"/>
      <c r="J156" s="1644"/>
      <c r="K156" s="1644"/>
      <c r="L156" s="1644"/>
      <c r="M156" s="1644">
        <f>IF(ISNA(VLOOKUP(E156,TargetTeam!$A$1456:$I$1552,5,0)),0,VLOOKUP(E156,TargetTeam!$A$1456:$I$1552,5,0))</f>
        <v>12</v>
      </c>
      <c r="N156" s="1644"/>
      <c r="O156" s="1644"/>
      <c r="P156" s="1644"/>
      <c r="Q156" s="1644"/>
      <c r="R156" s="1644"/>
      <c r="S156" s="1644"/>
    </row>
    <row r="157" spans="4:19" ht="15.75" thickBot="1">
      <c r="D157" s="1775" t="s">
        <v>3523</v>
      </c>
      <c r="E157" s="1776" t="s">
        <v>3522</v>
      </c>
      <c r="H157" s="1644"/>
      <c r="I157" s="1644"/>
      <c r="J157" s="1644"/>
      <c r="K157" s="1644"/>
      <c r="L157" s="1644"/>
      <c r="M157" s="1644">
        <f>IF(ISNA(VLOOKUP(E157,TargetTeam!$A$1456:$I$1552,5,0)),0,VLOOKUP(E157,TargetTeam!$A$1456:$I$1552,5,0))</f>
        <v>5</v>
      </c>
      <c r="N157" s="1644"/>
      <c r="O157" s="1644"/>
      <c r="P157" s="1644"/>
      <c r="Q157" s="1644"/>
      <c r="R157" s="1644"/>
      <c r="S157" s="1644"/>
    </row>
    <row r="158" spans="4:19" ht="15.75" thickBot="1">
      <c r="D158" s="1775" t="s">
        <v>3525</v>
      </c>
      <c r="E158" s="1776" t="s">
        <v>3524</v>
      </c>
      <c r="H158" s="1644"/>
      <c r="I158" s="1644"/>
      <c r="J158" s="1644"/>
      <c r="K158" s="1644"/>
      <c r="L158" s="1644"/>
      <c r="M158" s="1644">
        <f>IF(ISNA(VLOOKUP(E158,TargetTeam!$A$1456:$I$1552,5,0)),0,VLOOKUP(E158,TargetTeam!$A$1456:$I$1552,5,0))</f>
        <v>5</v>
      </c>
      <c r="N158" s="1644"/>
      <c r="O158" s="1644"/>
      <c r="P158" s="1644"/>
      <c r="Q158" s="1644"/>
      <c r="R158" s="1644"/>
      <c r="S158" s="1644"/>
    </row>
    <row r="159" spans="4:19" ht="15.75" thickBot="1">
      <c r="D159" s="1775" t="str">
        <f>INDEX(A:A,MATCH(E159,B:B,0))</f>
        <v>NGUYỄN ĐÌNH TÙNG</v>
      </c>
      <c r="E159" s="1777" t="s">
        <v>2710</v>
      </c>
      <c r="G159" s="1596">
        <f t="shared" si="9"/>
        <v>52</v>
      </c>
      <c r="H159" s="1644">
        <v>0</v>
      </c>
      <c r="I159" s="1644">
        <v>0</v>
      </c>
      <c r="J159" s="1644">
        <v>5</v>
      </c>
      <c r="K159" s="1644">
        <f>IF(ISNA(VLOOKUP(E159,TargetTeam!$A$1270:$I$1359,5,0)),0,VLOOKUP(E159,TargetTeam!$A$1270:$I$1359,5,0))</f>
        <v>10</v>
      </c>
      <c r="L159" s="1644">
        <f>IF(ISNA(VLOOKUP(E159,TargetTeam!$A$1363:$I$1454,5,0)),0,VLOOKUP(E159,TargetTeam!$A$1363:$I$1454,5,0))</f>
        <v>14</v>
      </c>
      <c r="M159" s="1644">
        <f>IF(ISNA(VLOOKUP(E159,TargetTeam!$A$1456:$I$1552,5,0)),0,VLOOKUP(E159,TargetTeam!$A$1456:$I$1552,5,0))</f>
        <v>23</v>
      </c>
      <c r="N159" s="1644"/>
      <c r="O159" s="1644"/>
      <c r="P159" s="1644"/>
      <c r="Q159" s="1644"/>
      <c r="R159" s="1644"/>
      <c r="S159" s="1644"/>
    </row>
    <row r="160" spans="4:19" ht="15.75" thickBot="1">
      <c r="D160" s="1682" t="str">
        <f>INDEX(A:A,MATCH(E160,B:B,0))</f>
        <v>ĐINH THỊ KIM LIÊN</v>
      </c>
      <c r="E160" s="1684" t="s">
        <v>1572</v>
      </c>
      <c r="G160" s="1596">
        <f>SUMIF($H$98:$S$98,"&lt;="&amp;$E$44,$H160:$S160)</f>
        <v>158</v>
      </c>
      <c r="H160" s="1644">
        <v>22</v>
      </c>
      <c r="I160" s="1644">
        <v>12</v>
      </c>
      <c r="J160" s="1644">
        <v>28</v>
      </c>
      <c r="K160" s="1644">
        <f>IF(ISNA(VLOOKUP(E160,TargetTeam!$A$1270:$I$1359,5,0)),0,VLOOKUP(E160,TargetTeam!$A$1270:$I$1359,5,0))</f>
        <v>30</v>
      </c>
      <c r="L160" s="1644">
        <f>IF(ISNA(VLOOKUP(E160,TargetTeam!$A$1363:$I$1454,5,0)),0,VLOOKUP(E160,TargetTeam!$A$1363:$I$1454,5,0))</f>
        <v>28</v>
      </c>
      <c r="M160" s="1644">
        <f>IF(ISNA(VLOOKUP(E160,TargetTeam!$A$1456:$I$1552,5,0)),0,VLOOKUP(E160,TargetTeam!$A$1456:$I$1552,5,0))</f>
        <v>38</v>
      </c>
      <c r="N160" s="1644"/>
      <c r="O160" s="1644"/>
      <c r="P160" s="1644"/>
      <c r="Q160" s="1644"/>
      <c r="R160" s="1644"/>
      <c r="S160" s="1644"/>
    </row>
    <row r="161" spans="4:19" ht="15.75" thickBot="1">
      <c r="D161" s="1682" t="str">
        <f>INDEX(A:A,MATCH(E161,B:B,0))</f>
        <v>ĐỖ THỊ MƠ</v>
      </c>
      <c r="E161" s="1684" t="s">
        <v>1419</v>
      </c>
      <c r="G161" s="1596">
        <f>SUMIF($H$98:$S$98,"&lt;="&amp;$E$44,$H161:$S161)</f>
        <v>201</v>
      </c>
      <c r="H161" s="1644">
        <v>26</v>
      </c>
      <c r="I161" s="1644">
        <v>14</v>
      </c>
      <c r="J161" s="1644">
        <v>34</v>
      </c>
      <c r="K161" s="1644">
        <f>IF(ISNA(VLOOKUP(E161,TargetTeam!$A$1270:$I$1359,5,0)),0,VLOOKUP(E161,TargetTeam!$A$1270:$I$1359,5,0))</f>
        <v>40</v>
      </c>
      <c r="L161" s="1644">
        <f>IF(ISNA(VLOOKUP(E161,TargetTeam!$A$1363:$I$1454,5,0)),0,VLOOKUP(E161,TargetTeam!$A$1363:$I$1454,5,0))</f>
        <v>37</v>
      </c>
      <c r="M161" s="1644">
        <f>IF(ISNA(VLOOKUP(E161,TargetTeam!$A$1456:$I$1552,5,0)),0,VLOOKUP(E161,TargetTeam!$A$1456:$I$1552,5,0))</f>
        <v>50</v>
      </c>
      <c r="N161" s="1644"/>
      <c r="O161" s="1644"/>
      <c r="P161" s="1644"/>
      <c r="Q161" s="1644"/>
      <c r="R161" s="1644"/>
      <c r="S161" s="1644"/>
    </row>
    <row r="162" spans="4:19" ht="15.75" thickBot="1">
      <c r="D162" s="1682" t="str">
        <f>INDEX(A:A,MATCH(E162,B:B,0))</f>
        <v>LƯU THỊ OANH</v>
      </c>
      <c r="E162" s="1684" t="s">
        <v>1570</v>
      </c>
      <c r="G162" s="1596">
        <f>SUMIF($H$98:$S$98,"&lt;="&amp;$E$44,$H162:$S162)</f>
        <v>175</v>
      </c>
      <c r="H162" s="1644">
        <v>22</v>
      </c>
      <c r="I162" s="1644">
        <v>12</v>
      </c>
      <c r="J162" s="1644">
        <v>29</v>
      </c>
      <c r="K162" s="1644">
        <f>IF(ISNA(VLOOKUP(E162,TargetTeam!$A$1270:$I$1359,5,0)),0,VLOOKUP(E162,TargetTeam!$A$1270:$I$1359,5,0))</f>
        <v>35</v>
      </c>
      <c r="L162" s="1644">
        <f>IF(ISNA(VLOOKUP(E162,TargetTeam!$A$1363:$I$1454,5,0)),0,VLOOKUP(E162,TargetTeam!$A$1363:$I$1454,5,0))</f>
        <v>33</v>
      </c>
      <c r="M162" s="1644">
        <f>IF(ISNA(VLOOKUP(E162,TargetTeam!$A$1456:$I$1552,5,0)),0,VLOOKUP(E162,TargetTeam!$A$1456:$I$1552,5,0))</f>
        <v>44</v>
      </c>
      <c r="N162" s="1644"/>
      <c r="O162" s="1644"/>
      <c r="P162" s="1644"/>
      <c r="Q162" s="1644"/>
      <c r="R162" s="1644"/>
      <c r="S162" s="1644"/>
    </row>
    <row r="163" spans="4:19" ht="13.5" customHeight="1">
      <c r="E163" s="1596"/>
    </row>
    <row r="164" spans="4:19">
      <c r="E164" s="1598">
        <f>E98</f>
        <v>7</v>
      </c>
      <c r="H164" s="1598">
        <v>1</v>
      </c>
      <c r="I164" s="1598">
        <v>2</v>
      </c>
      <c r="J164" s="1598">
        <v>3</v>
      </c>
      <c r="K164" s="1598">
        <v>4</v>
      </c>
      <c r="L164" s="1598">
        <v>5</v>
      </c>
      <c r="M164" s="1598">
        <v>6</v>
      </c>
      <c r="N164" s="1598">
        <v>7</v>
      </c>
      <c r="O164" s="1598">
        <v>8</v>
      </c>
      <c r="P164" s="1598">
        <v>9</v>
      </c>
      <c r="Q164" s="1598">
        <v>10</v>
      </c>
      <c r="R164" s="1598">
        <v>11</v>
      </c>
      <c r="S164" s="1598">
        <v>12</v>
      </c>
    </row>
    <row r="165" spans="4:19">
      <c r="E165" s="1596" t="s">
        <v>1109</v>
      </c>
      <c r="F165" s="1349" t="s">
        <v>518</v>
      </c>
      <c r="G165" s="1604" t="s">
        <v>163</v>
      </c>
      <c r="H165" s="252" t="s">
        <v>2552</v>
      </c>
      <c r="I165" s="211" t="s">
        <v>34</v>
      </c>
      <c r="J165" s="211" t="s">
        <v>35</v>
      </c>
      <c r="K165" s="211" t="s">
        <v>36</v>
      </c>
      <c r="L165" s="211" t="s">
        <v>37</v>
      </c>
      <c r="M165" s="211" t="s">
        <v>38</v>
      </c>
      <c r="N165" s="211" t="s">
        <v>39</v>
      </c>
      <c r="O165" s="211" t="s">
        <v>40</v>
      </c>
      <c r="P165" s="211" t="s">
        <v>41</v>
      </c>
      <c r="Q165" s="211" t="s">
        <v>42</v>
      </c>
      <c r="R165" s="211" t="s">
        <v>43</v>
      </c>
      <c r="S165" s="211" t="s">
        <v>44</v>
      </c>
    </row>
    <row r="166" spans="4:19">
      <c r="D166" s="1669" t="s">
        <v>17</v>
      </c>
      <c r="E166" s="1670" t="s">
        <v>47</v>
      </c>
      <c r="G166" s="1596">
        <f t="shared" ref="G166:G212" si="10">SUMIF($H$164:$S$164,"&lt;="&amp;$E$44,$H166:$S166)</f>
        <v>3830</v>
      </c>
      <c r="H166" s="1633">
        <f>(IF(ISNA(VLOOKUP(E166,TargetTeam!$A$1002:$I$1086,4,0)),0,VLOOKUP(E166,TargetTeam!$A$1002:$I$1086,4,0)))/1000000</f>
        <v>300</v>
      </c>
      <c r="I166" s="1633">
        <f>(IF(ISNA(VLOOKUP(E166,TargetTeam!$A$1091:$D$1174,4,0)),0,VLOOKUP(E166,TargetTeam!$A$1091:$D$1174,4,0)))/1000000</f>
        <v>200</v>
      </c>
      <c r="J166" s="1633">
        <f>(IF(ISNA(VLOOKUP(E166,TargetTeam!$A$1178:$I$1266,4,0)),0,VLOOKUP(E166,TargetTeam!$A$1178:$I$1266,4,0)))/1000000</f>
        <v>900</v>
      </c>
      <c r="K166" s="1633">
        <f>(IF(ISNA(VLOOKUP(E166,TargetTeam!$A$1270:$I$1359,4,0)),0,VLOOKUP(E166,TargetTeam!$A$1270:$I$1359,4,0)))/1000000</f>
        <v>800</v>
      </c>
      <c r="L166" s="1633">
        <f>(IF(ISNA(VLOOKUP(E166,TargetTeam!$A$1363:$I$1414,4,0)),0,VLOOKUP(E166,TargetTeam!$A$1363:$I$1414,4,0)))/1000000</f>
        <v>700.00000000000011</v>
      </c>
      <c r="M166" s="1633">
        <f>(IF(ISNA(VLOOKUP(E166,TargetTeam!$A$1456:$I$1552,4,0)),0,VLOOKUP(E166,TargetTeam!$A$1456:$I$1552,4,0)))/1000000</f>
        <v>930</v>
      </c>
      <c r="N166" s="1633"/>
      <c r="O166" s="1633"/>
      <c r="P166" s="1633"/>
      <c r="Q166" s="1633"/>
      <c r="R166" s="1633"/>
      <c r="S166" s="1633"/>
    </row>
    <row r="167" spans="4:19">
      <c r="D167" s="1669" t="s">
        <v>3529</v>
      </c>
      <c r="E167" s="1670" t="s">
        <v>91</v>
      </c>
      <c r="G167" s="1596">
        <f t="shared" si="10"/>
        <v>5770</v>
      </c>
      <c r="H167" s="1633">
        <f>(IF(ISNA(VLOOKUP(E167,TargetTeam!$A$1002:$I$1086,4,0)),0,VLOOKUP(E167,TargetTeam!$A$1002:$I$1086,4,0)))/1000000</f>
        <v>390</v>
      </c>
      <c r="I167" s="1633">
        <f>(IF(ISNA(VLOOKUP(E167,TargetTeam!$A$1091:$D$1174,4,0)),0,VLOOKUP(E167,TargetTeam!$A$1091:$D$1174,4,0)))/1000000</f>
        <v>260</v>
      </c>
      <c r="J167" s="1633">
        <f>(IF(ISNA(VLOOKUP(E167,TargetTeam!$A$1178:$I$1266,4,0)),0,VLOOKUP(E167,TargetTeam!$A$1178:$I$1266,4,0)))/1000000</f>
        <v>1170</v>
      </c>
      <c r="K167" s="1633">
        <f>(IF(ISNA(VLOOKUP(E167,TargetTeam!$A$1270:$I$1359,4,0)),0,VLOOKUP(E167,TargetTeam!$A$1270:$I$1359,4,0)))/1000000</f>
        <v>1000</v>
      </c>
      <c r="L167" s="1633">
        <f>(IF(ISNA(VLOOKUP(E167,TargetTeam!$A$1363:$I$1414,4,0)),0,VLOOKUP(E167,TargetTeam!$A$1363:$I$1414,4,0)))/1000000</f>
        <v>900.00000000000011</v>
      </c>
      <c r="M167" s="1633">
        <f>(IF(ISNA(VLOOKUP(E167,TargetTeam!$A$1456:$I$1552,4,0)),0,VLOOKUP(E167,TargetTeam!$A$1456:$I$1552,4,0)))/1000000</f>
        <v>2050</v>
      </c>
      <c r="N167" s="1633"/>
      <c r="O167" s="1633"/>
      <c r="P167" s="1633"/>
      <c r="Q167" s="1633"/>
      <c r="R167" s="1633"/>
      <c r="S167" s="1633"/>
    </row>
    <row r="168" spans="4:19">
      <c r="D168" s="1669" t="s">
        <v>3573</v>
      </c>
      <c r="E168" s="1670" t="s">
        <v>177</v>
      </c>
      <c r="G168" s="1596">
        <f t="shared" si="10"/>
        <v>6407.2</v>
      </c>
      <c r="H168" s="1633">
        <f>(IF(ISNA(VLOOKUP(E168,TargetTeam!$A$1002:$I$1086,4,0)),0,VLOOKUP(E168,TargetTeam!$A$1002:$I$1086,4,0)))/1000000</f>
        <v>673.1</v>
      </c>
      <c r="I168" s="1633">
        <f>(IF(ISNA(VLOOKUP(E168,TargetTeam!$A$1091:$D$1174,4,0)),0,VLOOKUP(E168,TargetTeam!$A$1091:$D$1174,4,0)))/1000000</f>
        <v>505.1</v>
      </c>
      <c r="J168" s="1633">
        <f>(IF(ISNA(VLOOKUP(E168,TargetTeam!$A$1178:$I$1266,4,0)),0,VLOOKUP(E168,TargetTeam!$A$1178:$I$1266,4,0)))/1000000</f>
        <v>1059</v>
      </c>
      <c r="K168" s="1633">
        <f>(IF(ISNA(VLOOKUP(E168,TargetTeam!$A$1270:$I$1359,4,0)),0,VLOOKUP(E168,TargetTeam!$A$1270:$I$1359,4,0)))/1000000</f>
        <v>1063</v>
      </c>
      <c r="L168" s="1633">
        <f>(IF(ISNA(VLOOKUP(E168,TargetTeam!$A$1363:$I$1414,4,0)),0,VLOOKUP(E168,TargetTeam!$A$1363:$I$1414,4,0)))/1000000</f>
        <v>1238.5</v>
      </c>
      <c r="M168" s="1633">
        <f>(IF(ISNA(VLOOKUP(E168,TargetTeam!$A$1456:$I$1552,4,0)),0,VLOOKUP(E168,TargetTeam!$A$1456:$I$1552,4,0)))/1000000</f>
        <v>1868.5</v>
      </c>
      <c r="N168" s="1633"/>
      <c r="O168" s="1633"/>
      <c r="P168" s="1633"/>
      <c r="Q168" s="1633"/>
      <c r="R168" s="1633"/>
      <c r="S168" s="1633"/>
    </row>
    <row r="169" spans="4:19">
      <c r="D169" s="1669" t="s">
        <v>190</v>
      </c>
      <c r="E169" s="1670" t="s">
        <v>185</v>
      </c>
      <c r="G169" s="1596">
        <f t="shared" si="10"/>
        <v>2370</v>
      </c>
      <c r="H169" s="1633">
        <f>(IF(ISNA(VLOOKUP(E169,TargetTeam!$A$1002:$I$1086,4,0)),0,VLOOKUP(E169,TargetTeam!$A$1002:$I$1086,4,0)))/1000000</f>
        <v>345</v>
      </c>
      <c r="I169" s="1633">
        <f>(IF(ISNA(VLOOKUP(E169,TargetTeam!$A$1091:$D$1174,4,0)),0,VLOOKUP(E169,TargetTeam!$A$1091:$D$1174,4,0)))/1000000</f>
        <v>345</v>
      </c>
      <c r="J169" s="1633">
        <f>(IF(ISNA(VLOOKUP(E169,TargetTeam!$A$1178:$I$1266,4,0)),0,VLOOKUP(E169,TargetTeam!$A$1178:$I$1266,4,0)))/1000000</f>
        <v>805</v>
      </c>
      <c r="K169" s="1633">
        <f>(IF(ISNA(VLOOKUP(E169,TargetTeam!$A$1270:$I$1359,4,0)),0,VLOOKUP(E169,TargetTeam!$A$1270:$I$1359,4,0)))/1000000</f>
        <v>875</v>
      </c>
      <c r="L169" s="1633">
        <f>(IF(ISNA(VLOOKUP(E169,TargetTeam!$A$1363:$I$1414,4,0)),0,VLOOKUP(E169,TargetTeam!$A$1363:$I$1414,4,0)))/1000000</f>
        <v>0</v>
      </c>
      <c r="M169" s="1633">
        <f>(IF(ISNA(VLOOKUP(E169,TargetTeam!$A$1456:$I$1552,4,0)),0,VLOOKUP(E169,TargetTeam!$A$1456:$I$1552,4,0)))/1000000</f>
        <v>0</v>
      </c>
      <c r="N169" s="1633"/>
      <c r="O169" s="1633"/>
      <c r="P169" s="1633"/>
      <c r="Q169" s="1633"/>
      <c r="R169" s="1633"/>
      <c r="S169" s="1633"/>
    </row>
    <row r="170" spans="4:19">
      <c r="D170" s="1669" t="s">
        <v>191</v>
      </c>
      <c r="E170" s="1670" t="s">
        <v>179</v>
      </c>
      <c r="G170" s="1596">
        <f t="shared" si="10"/>
        <v>6226</v>
      </c>
      <c r="H170" s="1633">
        <f>(IF(ISNA(VLOOKUP(E170,TargetTeam!$A$1002:$I$1086,4,0)),0,VLOOKUP(E170,TargetTeam!$A$1002:$I$1086,4,0)))/1000000</f>
        <v>486</v>
      </c>
      <c r="I170" s="1633">
        <f>(IF(ISNA(VLOOKUP(E170,TargetTeam!$A$1091:$D$1174,4,0)),0,VLOOKUP(E170,TargetTeam!$A$1091:$D$1174,4,0)))/1000000</f>
        <v>486</v>
      </c>
      <c r="J170" s="1633">
        <f>(IF(ISNA(VLOOKUP(E170,TargetTeam!$A$1178:$I$1266,4,0)),0,VLOOKUP(E170,TargetTeam!$A$1178:$I$1266,4,0)))/1000000</f>
        <v>1134</v>
      </c>
      <c r="K170" s="1633">
        <f>(IF(ISNA(VLOOKUP(E170,TargetTeam!$A$1270:$I$1359,4,0)),0,VLOOKUP(E170,TargetTeam!$A$1270:$I$1359,4,0)))/1000000</f>
        <v>1233</v>
      </c>
      <c r="L170" s="1633">
        <f>(IF(ISNA(VLOOKUP(E170,TargetTeam!$A$1363:$I$1414,4,0)),0,VLOOKUP(E170,TargetTeam!$A$1363:$I$1414,4,0)))/1000000</f>
        <v>1243.5</v>
      </c>
      <c r="M170" s="1633">
        <f>(IF(ISNA(VLOOKUP(E170,TargetTeam!$A$1456:$I$1552,4,0)),0,VLOOKUP(E170,TargetTeam!$A$1456:$I$1552,4,0)))/1000000</f>
        <v>1643.5</v>
      </c>
      <c r="N170" s="1633"/>
      <c r="O170" s="1633"/>
      <c r="P170" s="1633"/>
      <c r="Q170" s="1633"/>
      <c r="R170" s="1633"/>
      <c r="S170" s="1633"/>
    </row>
    <row r="171" spans="4:19">
      <c r="D171" s="1669" t="s">
        <v>188</v>
      </c>
      <c r="E171" s="1670" t="s">
        <v>176</v>
      </c>
      <c r="G171" s="1596">
        <f t="shared" si="10"/>
        <v>4224</v>
      </c>
      <c r="H171" s="1633">
        <f>(IF(ISNA(VLOOKUP(E171,TargetTeam!$A$1002:$I$1086,4,0)),0,VLOOKUP(E171,TargetTeam!$A$1002:$I$1086,4,0)))/1000000</f>
        <v>615</v>
      </c>
      <c r="I171" s="1633">
        <f>(IF(ISNA(VLOOKUP(E171,TargetTeam!$A$1091:$D$1174,4,0)),0,VLOOKUP(E171,TargetTeam!$A$1091:$D$1174,4,0)))/1000000</f>
        <v>615</v>
      </c>
      <c r="J171" s="1633">
        <f>(IF(ISNA(VLOOKUP(E171,TargetTeam!$A$1178:$I$1266,4,0)),0,VLOOKUP(E171,TargetTeam!$A$1178:$I$1266,4,0)))/1000000</f>
        <v>1435.0000000000002</v>
      </c>
      <c r="K171" s="1633">
        <f>(IF(ISNA(VLOOKUP(E171,TargetTeam!$A$1270:$I$1359,4,0)),0,VLOOKUP(E171,TargetTeam!$A$1270:$I$1359,4,0)))/1000000</f>
        <v>1559</v>
      </c>
      <c r="L171" s="1633">
        <f>(IF(ISNA(VLOOKUP(E171,TargetTeam!$A$1363:$I$1414,4,0)),0,VLOOKUP(E171,TargetTeam!$A$1363:$I$1414,4,0)))/1000000</f>
        <v>0</v>
      </c>
      <c r="M171" s="1633">
        <f>(IF(ISNA(VLOOKUP(E171,TargetTeam!$A$1456:$I$1552,4,0)),0,VLOOKUP(E171,TargetTeam!$A$1456:$I$1552,4,0)))/1000000</f>
        <v>0</v>
      </c>
      <c r="N171" s="1633"/>
      <c r="O171" s="1633"/>
      <c r="P171" s="1633"/>
      <c r="Q171" s="1633"/>
      <c r="R171" s="1633"/>
      <c r="S171" s="1633"/>
    </row>
    <row r="172" spans="4:19">
      <c r="D172" s="1669" t="s">
        <v>194</v>
      </c>
      <c r="E172" s="1670" t="s">
        <v>187</v>
      </c>
      <c r="G172" s="1596">
        <f t="shared" si="10"/>
        <v>2610</v>
      </c>
      <c r="H172" s="1633">
        <f>(IF(ISNA(VLOOKUP(E172,TargetTeam!$A$1002:$I$1086,4,0)),0,VLOOKUP(E172,TargetTeam!$A$1002:$I$1086,4,0)))/1000000</f>
        <v>270</v>
      </c>
      <c r="I172" s="1633">
        <f>(IF(ISNA(VLOOKUP(E172,TargetTeam!$A$1091:$D$1174,4,0)),0,VLOOKUP(E172,TargetTeam!$A$1091:$D$1174,4,0)))/1000000</f>
        <v>180</v>
      </c>
      <c r="J172" s="1633">
        <f>(IF(ISNA(VLOOKUP(E172,TargetTeam!$A$1178:$I$1266,4,0)),0,VLOOKUP(E172,TargetTeam!$A$1178:$I$1266,4,0)))/1000000</f>
        <v>810</v>
      </c>
      <c r="K172" s="1633">
        <f>(IF(ISNA(VLOOKUP(E172,TargetTeam!$A$1270:$I$1359,4,0)),0,VLOOKUP(E172,TargetTeam!$A$1270:$I$1359,4,0)))/1000000</f>
        <v>700</v>
      </c>
      <c r="L172" s="1633">
        <f>(IF(ISNA(VLOOKUP(E172,TargetTeam!$A$1363:$I$1414,4,0)),0,VLOOKUP(E172,TargetTeam!$A$1363:$I$1414,4,0)))/1000000</f>
        <v>650.00000000000011</v>
      </c>
      <c r="M172" s="1633">
        <f>(IF(ISNA(VLOOKUP(E172,TargetTeam!$A$1456:$I$1552,4,0)),0,VLOOKUP(E172,TargetTeam!$A$1456:$I$1552,4,0)))/1000000</f>
        <v>0</v>
      </c>
      <c r="N172" s="1633"/>
      <c r="O172" s="1633"/>
      <c r="P172" s="1633"/>
      <c r="Q172" s="1633"/>
      <c r="R172" s="1633"/>
      <c r="S172" s="1633"/>
    </row>
    <row r="173" spans="4:19">
      <c r="D173" s="1669" t="s">
        <v>1564</v>
      </c>
      <c r="E173" s="1670" t="s">
        <v>1563</v>
      </c>
      <c r="G173" s="1596">
        <f t="shared" si="10"/>
        <v>3150</v>
      </c>
      <c r="H173" s="1633">
        <f>(IF(ISNA(VLOOKUP(E173,TargetTeam!$A$1002:$I$1086,4,0)),0,VLOOKUP(E173,TargetTeam!$A$1002:$I$1086,4,0)))/1000000</f>
        <v>240</v>
      </c>
      <c r="I173" s="1633">
        <f>(IF(ISNA(VLOOKUP(E173,TargetTeam!$A$1091:$D$1174,4,0)),0,VLOOKUP(E173,TargetTeam!$A$1091:$D$1174,4,0)))/1000000</f>
        <v>160</v>
      </c>
      <c r="J173" s="1633">
        <f>(IF(ISNA(VLOOKUP(E173,TargetTeam!$A$1178:$I$1266,4,0)),0,VLOOKUP(E173,TargetTeam!$A$1178:$I$1266,4,0)))/1000000</f>
        <v>720</v>
      </c>
      <c r="K173" s="1633">
        <f>(IF(ISNA(VLOOKUP(E173,TargetTeam!$A$1270:$I$1359,4,0)),0,VLOOKUP(E173,TargetTeam!$A$1270:$I$1359,4,0)))/1000000</f>
        <v>650</v>
      </c>
      <c r="L173" s="1633">
        <f>(IF(ISNA(VLOOKUP(E173,TargetTeam!$A$1363:$I$1414,4,0)),0,VLOOKUP(E173,TargetTeam!$A$1363:$I$1414,4,0)))/1000000</f>
        <v>600</v>
      </c>
      <c r="M173" s="1633">
        <f>(IF(ISNA(VLOOKUP(E173,TargetTeam!$A$1456:$I$1552,4,0)),0,VLOOKUP(E173,TargetTeam!$A$1456:$I$1552,4,0)))/1000000</f>
        <v>780</v>
      </c>
      <c r="N173" s="1633"/>
      <c r="O173" s="1633"/>
      <c r="P173" s="1633"/>
      <c r="Q173" s="1633"/>
      <c r="R173" s="1633"/>
      <c r="S173" s="1633"/>
    </row>
    <row r="174" spans="4:19">
      <c r="D174" s="1669" t="s">
        <v>1950</v>
      </c>
      <c r="E174" s="1670" t="s">
        <v>661</v>
      </c>
      <c r="G174" s="1596">
        <f t="shared" si="10"/>
        <v>1362.8</v>
      </c>
      <c r="H174" s="1633">
        <f>(IF(ISNA(VLOOKUP(E174,TargetTeam!$A$1002:$I$1086,4,0)),0,VLOOKUP(E174,TargetTeam!$A$1002:$I$1086,4,0)))/1000000</f>
        <v>253.2</v>
      </c>
      <c r="I174" s="1633">
        <f>(IF(ISNA(VLOOKUP(E174,TargetTeam!$A$1091:$D$1174,4,0)),0,VLOOKUP(E174,TargetTeam!$A$1091:$D$1174,4,0)))/1000000</f>
        <v>190.2</v>
      </c>
      <c r="J174" s="1633">
        <f>(IF(ISNA(VLOOKUP(E174,TargetTeam!$A$1178:$I$1266,4,0)),0,VLOOKUP(E174,TargetTeam!$A$1178:$I$1266,4,0)))/1000000</f>
        <v>444.4</v>
      </c>
      <c r="K174" s="1633">
        <f>(IF(ISNA(VLOOKUP(E174,TargetTeam!$A$1270:$I$1359,4,0)),0,VLOOKUP(E174,TargetTeam!$A$1270:$I$1359,4,0)))/1000000</f>
        <v>475</v>
      </c>
      <c r="L174" s="1633">
        <f>(IF(ISNA(VLOOKUP(E174,TargetTeam!$A$1363:$I$1414,4,0)),0,VLOOKUP(E174,TargetTeam!$A$1363:$I$1414,4,0)))/1000000</f>
        <v>0</v>
      </c>
      <c r="M174" s="1633">
        <f>(IF(ISNA(VLOOKUP(E174,TargetTeam!$A$1456:$I$1552,4,0)),0,VLOOKUP(E174,TargetTeam!$A$1456:$I$1552,4,0)))/1000000</f>
        <v>0</v>
      </c>
      <c r="N174" s="1633"/>
      <c r="O174" s="1633"/>
      <c r="P174" s="1633"/>
      <c r="Q174" s="1633"/>
      <c r="R174" s="1633"/>
      <c r="S174" s="1633"/>
    </row>
    <row r="175" spans="4:19">
      <c r="D175" s="1669" t="s">
        <v>1771</v>
      </c>
      <c r="E175" s="1686" t="s">
        <v>1418</v>
      </c>
      <c r="G175" s="1596">
        <f t="shared" si="10"/>
        <v>5082</v>
      </c>
      <c r="H175" s="1633">
        <f>(IF(ISNA(VLOOKUP(E175,TargetTeam!$A$1002:$I$1086,4,0)),0,VLOOKUP(E175,TargetTeam!$A$1002:$I$1086,4,0)))/1000000</f>
        <v>678</v>
      </c>
      <c r="I175" s="1633">
        <f>(IF(ISNA(VLOOKUP(E175,TargetTeam!$A$1091:$D$1174,4,0)),0,VLOOKUP(E175,TargetTeam!$A$1091:$D$1174,4,0)))/1000000</f>
        <v>612</v>
      </c>
      <c r="J175" s="1633">
        <f>(IF(ISNA(VLOOKUP(E175,TargetTeam!$A$1178:$I$1266,4,0)),0,VLOOKUP(E175,TargetTeam!$A$1178:$I$1266,4,0)))/1000000</f>
        <v>2161.5</v>
      </c>
      <c r="K175" s="1633">
        <f>(IF(ISNA(VLOOKUP(E175,TargetTeam!$A$1270:$I$1359,4,0)),0,VLOOKUP(E175,TargetTeam!$A$1270:$I$1359,4,0)))/1000000</f>
        <v>860.5</v>
      </c>
      <c r="L175" s="1633">
        <f>(IF(ISNA(VLOOKUP(E175,TargetTeam!$A$1363:$I$1414,4,0)),0,VLOOKUP(E175,TargetTeam!$A$1363:$I$1414,4,0)))/1000000</f>
        <v>770</v>
      </c>
      <c r="M175" s="1633">
        <f>(IF(ISNA(VLOOKUP(E175,TargetTeam!$A$1456:$I$1552,4,0)),0,VLOOKUP(E175,TargetTeam!$A$1456:$I$1552,4,0)))/1000000</f>
        <v>0</v>
      </c>
      <c r="N175" s="1633"/>
      <c r="O175" s="1633"/>
      <c r="P175" s="1633"/>
      <c r="Q175" s="1633"/>
      <c r="R175" s="1633"/>
      <c r="S175" s="1633"/>
    </row>
    <row r="176" spans="4:19">
      <c r="D176" s="1669" t="s">
        <v>629</v>
      </c>
      <c r="E176" s="1670" t="s">
        <v>628</v>
      </c>
      <c r="G176" s="1596">
        <f t="shared" si="10"/>
        <v>2670</v>
      </c>
      <c r="H176" s="1633">
        <f>(IF(ISNA(VLOOKUP(E176,TargetTeam!$A$1002:$I$1086,4,0)),0,VLOOKUP(E176,TargetTeam!$A$1002:$I$1086,4,0)))/1000000</f>
        <v>300</v>
      </c>
      <c r="I176" s="1633">
        <f>(IF(ISNA(VLOOKUP(E176,TargetTeam!$A$1091:$D$1174,4,0)),0,VLOOKUP(E176,TargetTeam!$A$1091:$D$1174,4,0)))/1000000</f>
        <v>300</v>
      </c>
      <c r="J176" s="1633">
        <f>(IF(ISNA(VLOOKUP(E176,TargetTeam!$A$1178:$I$1266,4,0)),0,VLOOKUP(E176,TargetTeam!$A$1178:$I$1266,4,0)))/1000000</f>
        <v>450</v>
      </c>
      <c r="K176" s="1633">
        <f>(IF(ISNA(VLOOKUP(E176,TargetTeam!$A$1270:$I$1359,4,0)),0,VLOOKUP(E176,TargetTeam!$A$1270:$I$1359,4,0)))/1000000</f>
        <v>920</v>
      </c>
      <c r="L176" s="1633">
        <f>(IF(ISNA(VLOOKUP(E176,TargetTeam!$A$1363:$I$1414,4,0)),0,VLOOKUP(E176,TargetTeam!$A$1363:$I$1414,4,0)))/1000000</f>
        <v>700</v>
      </c>
      <c r="M176" s="1633">
        <f>(IF(ISNA(VLOOKUP(E176,TargetTeam!$A$1456:$I$1552,4,0)),0,VLOOKUP(E176,TargetTeam!$A$1456:$I$1552,4,0)))/1000000</f>
        <v>0</v>
      </c>
      <c r="N176" s="1633"/>
      <c r="O176" s="1633"/>
      <c r="P176" s="1633"/>
      <c r="Q176" s="1633"/>
      <c r="R176" s="1633"/>
      <c r="S176" s="1633"/>
    </row>
    <row r="177" spans="4:19">
      <c r="D177" s="1669" t="s">
        <v>1777</v>
      </c>
      <c r="E177" s="1670" t="s">
        <v>650</v>
      </c>
      <c r="G177" s="1596">
        <f t="shared" si="10"/>
        <v>2080</v>
      </c>
      <c r="H177" s="1633">
        <f>(IF(ISNA(VLOOKUP(E177,TargetTeam!$A$1002:$I$1086,4,0)),0,VLOOKUP(E177,TargetTeam!$A$1002:$I$1086,4,0)))/1000000</f>
        <v>170</v>
      </c>
      <c r="I177" s="1633">
        <f>(IF(ISNA(VLOOKUP(E177,TargetTeam!$A$1091:$D$1174,4,0)),0,VLOOKUP(E177,TargetTeam!$A$1091:$D$1174,4,0)))/1000000</f>
        <v>120</v>
      </c>
      <c r="J177" s="1633">
        <f>(IF(ISNA(VLOOKUP(E177,TargetTeam!$A$1178:$I$1266,4,0)),0,VLOOKUP(E177,TargetTeam!$A$1178:$I$1266,4,0)))/1000000</f>
        <v>310</v>
      </c>
      <c r="K177" s="1633">
        <f>(IF(ISNA(VLOOKUP(E177,TargetTeam!$A$1270:$I$1359,4,0)),0,VLOOKUP(E177,TargetTeam!$A$1270:$I$1359,4,0)))/1000000</f>
        <v>700</v>
      </c>
      <c r="L177" s="1633">
        <f>(IF(ISNA(VLOOKUP(E177,TargetTeam!$A$1363:$I$1414,4,0)),0,VLOOKUP(E177,TargetTeam!$A$1363:$I$1414,4,0)))/1000000</f>
        <v>780</v>
      </c>
      <c r="M177" s="1633">
        <f>(IF(ISNA(VLOOKUP(E177,TargetTeam!$A$1456:$I$1552,4,0)),0,VLOOKUP(E177,TargetTeam!$A$1456:$I$1552,4,0)))/1000000</f>
        <v>0</v>
      </c>
      <c r="N177" s="1633"/>
      <c r="O177" s="1633"/>
      <c r="P177" s="1633"/>
      <c r="Q177" s="1633"/>
      <c r="R177" s="1633"/>
      <c r="S177" s="1633"/>
    </row>
    <row r="178" spans="4:19">
      <c r="D178" s="1669" t="s">
        <v>656</v>
      </c>
      <c r="E178" s="1670" t="s">
        <v>660</v>
      </c>
      <c r="G178" s="1596">
        <f t="shared" si="10"/>
        <v>2060</v>
      </c>
      <c r="H178" s="1633">
        <f>(IF(ISNA(VLOOKUP(E178,TargetTeam!$A$1002:$I$1086,4,0)),0,VLOOKUP(E178,TargetTeam!$A$1002:$I$1086,4,0)))/1000000</f>
        <v>300</v>
      </c>
      <c r="I178" s="1633">
        <f>(IF(ISNA(VLOOKUP(E178,TargetTeam!$A$1091:$D$1174,4,0)),0,VLOOKUP(E178,TargetTeam!$A$1091:$D$1174,4,0)))/1000000</f>
        <v>300</v>
      </c>
      <c r="J178" s="1633">
        <f>(IF(ISNA(VLOOKUP(E178,TargetTeam!$A$1178:$I$1266,4,0)),0,VLOOKUP(E178,TargetTeam!$A$1178:$I$1266,4,0)))/1000000</f>
        <v>700</v>
      </c>
      <c r="K178" s="1633">
        <f>(IF(ISNA(VLOOKUP(E178,TargetTeam!$A$1270:$I$1359,4,0)),0,VLOOKUP(E178,TargetTeam!$A$1270:$I$1359,4,0)))/1000000</f>
        <v>760</v>
      </c>
      <c r="L178" s="1633">
        <f>(IF(ISNA(VLOOKUP(E178,TargetTeam!$A$1363:$I$1414,4,0)),0,VLOOKUP(E178,TargetTeam!$A$1363:$I$1414,4,0)))/1000000</f>
        <v>0</v>
      </c>
      <c r="M178" s="1633">
        <f>(IF(ISNA(VLOOKUP(E178,TargetTeam!$A$1456:$I$1552,4,0)),0,VLOOKUP(E178,TargetTeam!$A$1456:$I$1552,4,0)))/1000000</f>
        <v>0</v>
      </c>
      <c r="N178" s="1633"/>
      <c r="O178" s="1633"/>
      <c r="P178" s="1633"/>
      <c r="Q178" s="1633"/>
      <c r="R178" s="1633"/>
      <c r="S178" s="1633"/>
    </row>
    <row r="179" spans="4:19">
      <c r="D179" s="1669" t="s">
        <v>644</v>
      </c>
      <c r="E179" s="1670" t="s">
        <v>648</v>
      </c>
      <c r="G179" s="1596">
        <f t="shared" si="10"/>
        <v>3460</v>
      </c>
      <c r="H179" s="1633">
        <f>(IF(ISNA(VLOOKUP(E179,TargetTeam!$A$1002:$I$1086,4,0)),0,VLOOKUP(E179,TargetTeam!$A$1002:$I$1086,4,0)))/1000000</f>
        <v>270</v>
      </c>
      <c r="I179" s="1633">
        <f>(IF(ISNA(VLOOKUP(E179,TargetTeam!$A$1091:$D$1174,4,0)),0,VLOOKUP(E179,TargetTeam!$A$1091:$D$1174,4,0)))/1000000</f>
        <v>180</v>
      </c>
      <c r="J179" s="1633">
        <f>(IF(ISNA(VLOOKUP(E179,TargetTeam!$A$1178:$I$1266,4,0)),0,VLOOKUP(E179,TargetTeam!$A$1178:$I$1266,4,0)))/1000000</f>
        <v>810</v>
      </c>
      <c r="K179" s="1633">
        <f>(IF(ISNA(VLOOKUP(E179,TargetTeam!$A$1270:$I$1359,4,0)),0,VLOOKUP(E179,TargetTeam!$A$1270:$I$1359,4,0)))/1000000</f>
        <v>700</v>
      </c>
      <c r="L179" s="1633">
        <f>(IF(ISNA(VLOOKUP(E179,TargetTeam!$A$1363:$I$1414,4,0)),0,VLOOKUP(E179,TargetTeam!$A$1363:$I$1414,4,0)))/1000000</f>
        <v>650.00000000000011</v>
      </c>
      <c r="M179" s="1633">
        <f>(IF(ISNA(VLOOKUP(E179,TargetTeam!$A$1456:$I$1552,4,0)),0,VLOOKUP(E179,TargetTeam!$A$1456:$I$1552,4,0)))/1000000</f>
        <v>850</v>
      </c>
      <c r="N179" s="1633"/>
      <c r="O179" s="1633"/>
      <c r="P179" s="1633"/>
      <c r="Q179" s="1633"/>
      <c r="R179" s="1633"/>
      <c r="S179" s="1633"/>
    </row>
    <row r="180" spans="4:19">
      <c r="D180" s="1669" t="s">
        <v>1566</v>
      </c>
      <c r="E180" s="1670" t="s">
        <v>1565</v>
      </c>
      <c r="G180" s="1596">
        <f t="shared" si="10"/>
        <v>240</v>
      </c>
      <c r="H180" s="1633">
        <f>(IF(ISNA(VLOOKUP(E180,TargetTeam!$A$1002:$I$1086,4,0)),0,VLOOKUP(E180,TargetTeam!$A$1002:$I$1086,4,0)))/1000000</f>
        <v>240</v>
      </c>
      <c r="I180" s="1633">
        <f>(IF(ISNA(VLOOKUP(E180,TargetTeam!$A$1091:$D$1174,4,0)),0,VLOOKUP(E180,TargetTeam!$A$1091:$D$1174,4,0)))/1000000</f>
        <v>0</v>
      </c>
      <c r="J180" s="1633">
        <f>(IF(ISNA(VLOOKUP(E180,TargetTeam!$A$1178:$I$1266,4,0)),0,VLOOKUP(E180,TargetTeam!$A$1178:$I$1266,4,0)))/1000000</f>
        <v>0</v>
      </c>
      <c r="K180" s="1633">
        <f>(IF(ISNA(VLOOKUP(E180,TargetTeam!$A$1270:$I$1359,4,0)),0,VLOOKUP(E180,TargetTeam!$A$1270:$I$1359,4,0)))/1000000</f>
        <v>0</v>
      </c>
      <c r="L180" s="1633">
        <f>(IF(ISNA(VLOOKUP(E180,TargetTeam!$A$1363:$I$1414,4,0)),0,VLOOKUP(E180,TargetTeam!$A$1363:$I$1414,4,0)))/1000000</f>
        <v>0</v>
      </c>
      <c r="M180" s="1633">
        <f>(IF(ISNA(VLOOKUP(E180,TargetTeam!$A$1456:$I$1552,4,0)),0,VLOOKUP(E180,TargetTeam!$A$1456:$I$1552,4,0)))/1000000</f>
        <v>0</v>
      </c>
      <c r="N180" s="1633"/>
      <c r="O180" s="1633"/>
      <c r="P180" s="1633"/>
      <c r="Q180" s="1633"/>
      <c r="R180" s="1633"/>
      <c r="S180" s="1633"/>
    </row>
    <row r="181" spans="4:19">
      <c r="D181" s="1669" t="s">
        <v>655</v>
      </c>
      <c r="E181" s="1670" t="s">
        <v>659</v>
      </c>
      <c r="G181" s="1596">
        <f t="shared" si="10"/>
        <v>4044.5</v>
      </c>
      <c r="H181" s="1633">
        <f>(IF(ISNA(VLOOKUP(E181,TargetTeam!$A$1002:$I$1086,4,0)),0,VLOOKUP(E181,TargetTeam!$A$1002:$I$1086,4,0)))/1000000</f>
        <v>435</v>
      </c>
      <c r="I181" s="1633">
        <f>(IF(ISNA(VLOOKUP(E181,TargetTeam!$A$1091:$D$1174,4,0)),0,VLOOKUP(E181,TargetTeam!$A$1091:$D$1174,4,0)))/1000000</f>
        <v>435</v>
      </c>
      <c r="J181" s="1633">
        <f>(IF(ISNA(VLOOKUP(E181,TargetTeam!$A$1178:$I$1266,4,0)),0,VLOOKUP(E181,TargetTeam!$A$1178:$I$1266,4,0)))/1000000</f>
        <v>1015.0000000000001</v>
      </c>
      <c r="K181" s="1633">
        <f>(IF(ISNA(VLOOKUP(E181,TargetTeam!$A$1270:$I$1359,4,0)),0,VLOOKUP(E181,TargetTeam!$A$1270:$I$1359,4,0)))/1000000</f>
        <v>1079</v>
      </c>
      <c r="L181" s="1633">
        <f>(IF(ISNA(VLOOKUP(E181,TargetTeam!$A$1363:$I$1414,4,0)),0,VLOOKUP(E181,TargetTeam!$A$1363:$I$1414,4,0)))/1000000</f>
        <v>1080.5</v>
      </c>
      <c r="M181" s="1633">
        <f>(IF(ISNA(VLOOKUP(E181,TargetTeam!$A$1456:$I$1552,4,0)),0,VLOOKUP(E181,TargetTeam!$A$1456:$I$1552,4,0)))/1000000</f>
        <v>0</v>
      </c>
      <c r="N181" s="1633"/>
      <c r="O181" s="1633"/>
      <c r="P181" s="1633"/>
      <c r="Q181" s="1633"/>
      <c r="R181" s="1633"/>
      <c r="S181" s="1633"/>
    </row>
    <row r="182" spans="4:19">
      <c r="D182" s="1669" t="s">
        <v>1670</v>
      </c>
      <c r="E182" s="1670" t="s">
        <v>1669</v>
      </c>
      <c r="G182" s="1596">
        <f t="shared" si="10"/>
        <v>1260</v>
      </c>
      <c r="H182" s="1633">
        <f>(IF(ISNA(VLOOKUP(E182,TargetTeam!$A$1002:$I$1086,4,0)),0,VLOOKUP(E182,TargetTeam!$A$1002:$I$1086,4,0)))/1000000</f>
        <v>270</v>
      </c>
      <c r="I182" s="1633">
        <f>(IF(ISNA(VLOOKUP(E182,TargetTeam!$A$1091:$D$1174,4,0)),0,VLOOKUP(E182,TargetTeam!$A$1091:$D$1174,4,0)))/1000000</f>
        <v>180</v>
      </c>
      <c r="J182" s="1633">
        <f>(IF(ISNA(VLOOKUP(E182,TargetTeam!$A$1178:$I$1266,4,0)),0,VLOOKUP(E182,TargetTeam!$A$1178:$I$1266,4,0)))/1000000</f>
        <v>810</v>
      </c>
      <c r="K182" s="1633">
        <f>(IF(ISNA(VLOOKUP(E182,TargetTeam!$A$1270:$I$1359,4,0)),0,VLOOKUP(E182,TargetTeam!$A$1270:$I$1359,4,0)))/1000000</f>
        <v>0</v>
      </c>
      <c r="L182" s="1633">
        <f>(IF(ISNA(VLOOKUP(E182,TargetTeam!$A$1363:$I$1414,4,0)),0,VLOOKUP(E182,TargetTeam!$A$1363:$I$1414,4,0)))/1000000</f>
        <v>0</v>
      </c>
      <c r="M182" s="1633">
        <f>(IF(ISNA(VLOOKUP(E182,TargetTeam!$A$1456:$I$1552,4,0)),0,VLOOKUP(E182,TargetTeam!$A$1456:$I$1552,4,0)))/1000000</f>
        <v>0</v>
      </c>
      <c r="N182" s="1633"/>
      <c r="O182" s="1633"/>
      <c r="P182" s="1633"/>
      <c r="Q182" s="1633"/>
      <c r="R182" s="1633"/>
      <c r="S182" s="1633"/>
    </row>
    <row r="183" spans="4:19">
      <c r="D183" s="1669" t="s">
        <v>645</v>
      </c>
      <c r="E183" s="1670" t="s">
        <v>649</v>
      </c>
      <c r="G183" s="1596">
        <f t="shared" si="10"/>
        <v>4100</v>
      </c>
      <c r="H183" s="1633">
        <f>(IF(ISNA(VLOOKUP(E183,TargetTeam!$A$1002:$I$1086,4,0)),0,VLOOKUP(E183,TargetTeam!$A$1002:$I$1086,4,0)))/1000000</f>
        <v>160</v>
      </c>
      <c r="I183" s="1633">
        <f>(IF(ISNA(VLOOKUP(E183,TargetTeam!$A$1091:$D$1174,4,0)),0,VLOOKUP(E183,TargetTeam!$A$1091:$D$1174,4,0)))/1000000</f>
        <v>190</v>
      </c>
      <c r="J183" s="1633">
        <f>(IF(ISNA(VLOOKUP(E183,TargetTeam!$A$1178:$I$1266,4,0)),0,VLOOKUP(E183,TargetTeam!$A$1178:$I$1266,4,0)))/1000000</f>
        <v>500</v>
      </c>
      <c r="K183" s="1633">
        <f>(IF(ISNA(VLOOKUP(E183,TargetTeam!$A$1270:$I$1359,4,0)),0,VLOOKUP(E183,TargetTeam!$A$1270:$I$1359,4,0)))/1000000</f>
        <v>800</v>
      </c>
      <c r="L183" s="1633">
        <f>(IF(ISNA(VLOOKUP(E183,TargetTeam!$A$1363:$I$1414,4,0)),0,VLOOKUP(E183,TargetTeam!$A$1363:$I$1414,4,0)))/1000000</f>
        <v>650</v>
      </c>
      <c r="M183" s="1633">
        <f>(IF(ISNA(VLOOKUP(E183,TargetTeam!$A$1456:$I$1552,4,0)),0,VLOOKUP(E183,TargetTeam!$A$1456:$I$1552,4,0)))/1000000</f>
        <v>1800</v>
      </c>
      <c r="N183" s="1633"/>
      <c r="O183" s="1633"/>
      <c r="P183" s="1633"/>
      <c r="Q183" s="1633"/>
      <c r="R183" s="1633"/>
      <c r="S183" s="1633"/>
    </row>
    <row r="184" spans="4:19">
      <c r="D184" s="1669" t="s">
        <v>641</v>
      </c>
      <c r="E184" s="1670" t="s">
        <v>642</v>
      </c>
      <c r="G184" s="1596">
        <f t="shared" si="10"/>
        <v>3830</v>
      </c>
      <c r="H184" s="1633">
        <f>(IF(ISNA(VLOOKUP(E184,TargetTeam!$A$1002:$I$1086,4,0)),0,VLOOKUP(E184,TargetTeam!$A$1002:$I$1086,4,0)))/1000000</f>
        <v>300</v>
      </c>
      <c r="I184" s="1633">
        <f>(IF(ISNA(VLOOKUP(E184,TargetTeam!$A$1091:$D$1174,4,0)),0,VLOOKUP(E184,TargetTeam!$A$1091:$D$1174,4,0)))/1000000</f>
        <v>200</v>
      </c>
      <c r="J184" s="1633">
        <f>(IF(ISNA(VLOOKUP(E184,TargetTeam!$A$1178:$I$1266,4,0)),0,VLOOKUP(E184,TargetTeam!$A$1178:$I$1266,4,0)))/1000000</f>
        <v>900</v>
      </c>
      <c r="K184" s="1633">
        <f>(IF(ISNA(VLOOKUP(E184,TargetTeam!$A$1270:$I$1359,4,0)),0,VLOOKUP(E184,TargetTeam!$A$1270:$I$1359,4,0)))/1000000</f>
        <v>800</v>
      </c>
      <c r="L184" s="1633">
        <f>(IF(ISNA(VLOOKUP(E184,TargetTeam!$A$1363:$I$1414,4,0)),0,VLOOKUP(E184,TargetTeam!$A$1363:$I$1414,4,0)))/1000000</f>
        <v>700.00000000000011</v>
      </c>
      <c r="M184" s="1633">
        <f>(IF(ISNA(VLOOKUP(E184,TargetTeam!$A$1456:$I$1552,4,0)),0,VLOOKUP(E184,TargetTeam!$A$1456:$I$1552,4,0)))/1000000</f>
        <v>930</v>
      </c>
      <c r="N184" s="1633"/>
      <c r="O184" s="1633"/>
      <c r="P184" s="1633"/>
      <c r="Q184" s="1633"/>
      <c r="R184" s="1633"/>
      <c r="S184" s="1633"/>
    </row>
    <row r="185" spans="4:19">
      <c r="D185" s="1669" t="s">
        <v>697</v>
      </c>
      <c r="E185" s="1670" t="s">
        <v>736</v>
      </c>
      <c r="G185" s="1596">
        <f t="shared" si="10"/>
        <v>4870</v>
      </c>
      <c r="H185" s="1633">
        <f>(IF(ISNA(VLOOKUP(E185,TargetTeam!$A$1002:$I$1086,4,0)),0,VLOOKUP(E185,TargetTeam!$A$1002:$I$1086,4,0)))/1000000</f>
        <v>390</v>
      </c>
      <c r="I185" s="1633">
        <f>(IF(ISNA(VLOOKUP(E185,TargetTeam!$A$1091:$D$1174,4,0)),0,VLOOKUP(E185,TargetTeam!$A$1091:$D$1174,4,0)))/1000000</f>
        <v>260</v>
      </c>
      <c r="J185" s="1633">
        <f>(IF(ISNA(VLOOKUP(E185,TargetTeam!$A$1178:$I$1266,4,0)),0,VLOOKUP(E185,TargetTeam!$A$1178:$I$1266,4,0)))/1000000</f>
        <v>1170</v>
      </c>
      <c r="K185" s="1633">
        <f>(IF(ISNA(VLOOKUP(E185,TargetTeam!$A$1270:$I$1359,4,0)),0,VLOOKUP(E185,TargetTeam!$A$1270:$I$1359,4,0)))/1000000</f>
        <v>900</v>
      </c>
      <c r="L185" s="1633">
        <f>(IF(ISNA(VLOOKUP(E185,TargetTeam!$A$1363:$I$1414,4,0)),0,VLOOKUP(E185,TargetTeam!$A$1363:$I$1414,4,0)))/1000000</f>
        <v>900.00000000000011</v>
      </c>
      <c r="M185" s="1633">
        <f>(IF(ISNA(VLOOKUP(E185,TargetTeam!$A$1456:$I$1552,4,0)),0,VLOOKUP(E185,TargetTeam!$A$1456:$I$1552,4,0)))/1000000</f>
        <v>1250</v>
      </c>
      <c r="N185" s="1633"/>
      <c r="O185" s="1633"/>
      <c r="P185" s="1633"/>
      <c r="Q185" s="1633"/>
      <c r="R185" s="1633"/>
      <c r="S185" s="1633"/>
    </row>
    <row r="186" spans="4:19">
      <c r="D186" s="1669" t="s">
        <v>698</v>
      </c>
      <c r="E186" s="1670" t="s">
        <v>699</v>
      </c>
      <c r="G186" s="1596">
        <f t="shared" si="10"/>
        <v>815.3</v>
      </c>
      <c r="H186" s="1633">
        <f>(IF(ISNA(VLOOKUP(E186,TargetTeam!$A$1002:$I$1086,4,0)),0,VLOOKUP(E186,TargetTeam!$A$1002:$I$1086,4,0)))/1000000</f>
        <v>161.5</v>
      </c>
      <c r="I186" s="1633">
        <f>(IF(ISNA(VLOOKUP(E186,TargetTeam!$A$1091:$D$1174,4,0)),0,VLOOKUP(E186,TargetTeam!$A$1091:$D$1174,4,0)))/1000000</f>
        <v>80.8</v>
      </c>
      <c r="J186" s="1633">
        <f>(IF(ISNA(VLOOKUP(E186,TargetTeam!$A$1178:$I$1266,4,0)),0,VLOOKUP(E186,TargetTeam!$A$1178:$I$1266,4,0)))/1000000</f>
        <v>123</v>
      </c>
      <c r="K186" s="1633">
        <f>(IF(ISNA(VLOOKUP(E186,TargetTeam!$A$1270:$I$1359,4,0)),0,VLOOKUP(E186,TargetTeam!$A$1270:$I$1359,4,0)))/1000000</f>
        <v>450</v>
      </c>
      <c r="L186" s="1633">
        <f>(IF(ISNA(VLOOKUP(E186,TargetTeam!$A$1363:$I$1414,4,0)),0,VLOOKUP(E186,TargetTeam!$A$1363:$I$1414,4,0)))/1000000</f>
        <v>0</v>
      </c>
      <c r="M186" s="1633">
        <f>(IF(ISNA(VLOOKUP(E186,TargetTeam!$A$1456:$I$1552,4,0)),0,VLOOKUP(E186,TargetTeam!$A$1456:$I$1552,4,0)))/1000000</f>
        <v>0</v>
      </c>
      <c r="N186" s="1633"/>
      <c r="O186" s="1633"/>
      <c r="P186" s="1633"/>
      <c r="Q186" s="1633"/>
      <c r="R186" s="1633"/>
      <c r="S186" s="1633"/>
    </row>
    <row r="187" spans="4:19">
      <c r="D187" s="1669" t="s">
        <v>1028</v>
      </c>
      <c r="E187" s="1670" t="s">
        <v>1567</v>
      </c>
      <c r="G187" s="1596">
        <f t="shared" si="10"/>
        <v>4720</v>
      </c>
      <c r="H187" s="1633">
        <f>(IF(ISNA(VLOOKUP(E187,TargetTeam!$A$1002:$I$1086,4,0)),0,VLOOKUP(E187,TargetTeam!$A$1002:$I$1086,4,0)))/1000000</f>
        <v>360</v>
      </c>
      <c r="I187" s="1633">
        <f>(IF(ISNA(VLOOKUP(E187,TargetTeam!$A$1091:$D$1174,4,0)),0,VLOOKUP(E187,TargetTeam!$A$1091:$D$1174,4,0)))/1000000</f>
        <v>360</v>
      </c>
      <c r="J187" s="1633">
        <f>(IF(ISNA(VLOOKUP(E187,TargetTeam!$A$1178:$I$1266,4,0)),0,VLOOKUP(E187,TargetTeam!$A$1178:$I$1266,4,0)))/1000000</f>
        <v>840.00000000000011</v>
      </c>
      <c r="K187" s="1633">
        <f>(IF(ISNA(VLOOKUP(E187,TargetTeam!$A$1270:$I$1359,4,0)),0,VLOOKUP(E187,TargetTeam!$A$1270:$I$1359,4,0)))/1000000</f>
        <v>914</v>
      </c>
      <c r="L187" s="1633">
        <f>(IF(ISNA(VLOOKUP(E187,TargetTeam!$A$1363:$I$1414,4,0)),0,VLOOKUP(E187,TargetTeam!$A$1363:$I$1414,4,0)))/1000000</f>
        <v>953</v>
      </c>
      <c r="M187" s="1633">
        <f>(IF(ISNA(VLOOKUP(E187,TargetTeam!$A$1456:$I$1552,4,0)),0,VLOOKUP(E187,TargetTeam!$A$1456:$I$1552,4,0)))/1000000</f>
        <v>1293</v>
      </c>
      <c r="N187" s="1633"/>
      <c r="O187" s="1633"/>
      <c r="P187" s="1633"/>
      <c r="Q187" s="1633"/>
      <c r="R187" s="1633"/>
      <c r="S187" s="1633"/>
    </row>
    <row r="188" spans="4:19">
      <c r="D188" s="1669" t="s">
        <v>790</v>
      </c>
      <c r="E188" s="1670" t="s">
        <v>735</v>
      </c>
      <c r="G188" s="1596">
        <f t="shared" si="10"/>
        <v>8685</v>
      </c>
      <c r="H188" s="1633">
        <f>(IF(ISNA(VLOOKUP(E188,TargetTeam!$A$1002:$I$1086,4,0)),0,VLOOKUP(E188,TargetTeam!$A$1002:$I$1086,4,0)))/1000000</f>
        <v>650</v>
      </c>
      <c r="I188" s="1633">
        <f>(IF(ISNA(VLOOKUP(E188,TargetTeam!$A$1091:$D$1174,4,0)),0,VLOOKUP(E188,TargetTeam!$A$1091:$D$1174,4,0)))/1000000</f>
        <v>550</v>
      </c>
      <c r="J188" s="1633">
        <f>(IF(ISNA(VLOOKUP(E188,TargetTeam!$A$1178:$I$1266,4,0)),0,VLOOKUP(E188,TargetTeam!$A$1178:$I$1266,4,0)))/1000000</f>
        <v>1200</v>
      </c>
      <c r="K188" s="1633">
        <f>(IF(ISNA(VLOOKUP(E188,TargetTeam!$A$1270:$I$1359,4,0)),0,VLOOKUP(E188,TargetTeam!$A$1270:$I$1359,4,0)))/1000000</f>
        <v>1500</v>
      </c>
      <c r="L188" s="1633">
        <f>(IF(ISNA(VLOOKUP(E188,TargetTeam!$A$1363:$I$1414,4,0)),0,VLOOKUP(E188,TargetTeam!$A$1363:$I$1414,4,0)))/1000000</f>
        <v>1800</v>
      </c>
      <c r="M188" s="1633">
        <f>(IF(ISNA(VLOOKUP(E188,TargetTeam!$A$1456:$I$1552,4,0)),0,VLOOKUP(E188,TargetTeam!$A$1456:$I$1552,4,0)))/1000000</f>
        <v>2985</v>
      </c>
      <c r="N188" s="1633"/>
      <c r="O188" s="1633"/>
      <c r="P188" s="1633"/>
      <c r="Q188" s="1633"/>
      <c r="R188" s="1633"/>
      <c r="S188" s="1633"/>
    </row>
    <row r="189" spans="4:19">
      <c r="D189" s="1669" t="s">
        <v>1766</v>
      </c>
      <c r="E189" s="1670" t="s">
        <v>734</v>
      </c>
      <c r="G189" s="1596">
        <f t="shared" si="10"/>
        <v>6046</v>
      </c>
      <c r="H189" s="1633">
        <f>(IF(ISNA(VLOOKUP(E189,TargetTeam!$A$1002:$I$1086,4,0)),0,VLOOKUP(E189,TargetTeam!$A$1002:$I$1086,4,0)))/1000000</f>
        <v>510</v>
      </c>
      <c r="I189" s="1633">
        <f>(IF(ISNA(VLOOKUP(E189,TargetTeam!$A$1091:$D$1174,4,0)),0,VLOOKUP(E189,TargetTeam!$A$1091:$D$1174,4,0)))/1000000</f>
        <v>340</v>
      </c>
      <c r="J189" s="1633">
        <f>(IF(ISNA(VLOOKUP(E189,TargetTeam!$A$1178:$I$1266,4,0)),0,VLOOKUP(E189,TargetTeam!$A$1178:$I$1266,4,0)))/1000000</f>
        <v>1530</v>
      </c>
      <c r="K189" s="1633">
        <f>(IF(ISNA(VLOOKUP(E189,TargetTeam!$A$1270:$I$1359,4,0)),0,VLOOKUP(E189,TargetTeam!$A$1270:$I$1359,4,0)))/1000000</f>
        <v>1166</v>
      </c>
      <c r="L189" s="1633">
        <f>(IF(ISNA(VLOOKUP(E189,TargetTeam!$A$1363:$I$1414,4,0)),0,VLOOKUP(E189,TargetTeam!$A$1363:$I$1414,4,0)))/1000000</f>
        <v>1200</v>
      </c>
      <c r="M189" s="1633">
        <f>(IF(ISNA(VLOOKUP(E189,TargetTeam!$A$1456:$I$1552,4,0)),0,VLOOKUP(E189,TargetTeam!$A$1456:$I$1552,4,0)))/1000000</f>
        <v>1300</v>
      </c>
      <c r="N189" s="1633"/>
      <c r="O189" s="1633"/>
      <c r="P189" s="1633"/>
      <c r="Q189" s="1633"/>
      <c r="R189" s="1633"/>
      <c r="S189" s="1633"/>
    </row>
    <row r="190" spans="4:19">
      <c r="D190" s="1669" t="s">
        <v>3530</v>
      </c>
      <c r="E190" s="1670" t="s">
        <v>798</v>
      </c>
      <c r="G190" s="1596">
        <f t="shared" si="10"/>
        <v>6740</v>
      </c>
      <c r="H190" s="1633">
        <f>(IF(ISNA(VLOOKUP(E190,TargetTeam!$A$1002:$I$1086,4,0)),0,VLOOKUP(E190,TargetTeam!$A$1002:$I$1086,4,0)))/1000000</f>
        <v>330</v>
      </c>
      <c r="I190" s="1633">
        <f>(IF(ISNA(VLOOKUP(E190,TargetTeam!$A$1091:$D$1174,4,0)),0,VLOOKUP(E190,TargetTeam!$A$1091:$D$1174,4,0)))/1000000</f>
        <v>220</v>
      </c>
      <c r="J190" s="1633">
        <f>(IF(ISNA(VLOOKUP(E190,TargetTeam!$A$1178:$I$1266,4,0)),0,VLOOKUP(E190,TargetTeam!$A$1178:$I$1266,4,0)))/1000000</f>
        <v>990</v>
      </c>
      <c r="K190" s="1633">
        <f>(IF(ISNA(VLOOKUP(E190,TargetTeam!$A$1270:$I$1359,4,0)),0,VLOOKUP(E190,TargetTeam!$A$1270:$I$1359,4,0)))/1000000</f>
        <v>1150</v>
      </c>
      <c r="L190" s="1633">
        <f>(IF(ISNA(VLOOKUP(E190,TargetTeam!$A$1363:$I$1414,4,0)),0,VLOOKUP(E190,TargetTeam!$A$1363:$I$1414,4,0)))/1000000</f>
        <v>1425</v>
      </c>
      <c r="M190" s="1633">
        <f>(IF(ISNA(VLOOKUP(E190,TargetTeam!$A$1456:$I$1552,4,0)),0,VLOOKUP(E190,TargetTeam!$A$1456:$I$1552,4,0)))/1000000</f>
        <v>2625</v>
      </c>
      <c r="N190" s="1633"/>
      <c r="O190" s="1633"/>
      <c r="P190" s="1633"/>
      <c r="Q190" s="1633"/>
      <c r="R190" s="1633"/>
      <c r="S190" s="1633"/>
    </row>
    <row r="191" spans="4:19">
      <c r="D191" s="1669" t="s">
        <v>797</v>
      </c>
      <c r="E191" s="1670" t="s">
        <v>796</v>
      </c>
      <c r="G191" s="1596">
        <f t="shared" si="10"/>
        <v>3830</v>
      </c>
      <c r="H191" s="1633">
        <f>(IF(ISNA(VLOOKUP(E191,TargetTeam!$A$1002:$I$1086,4,0)),0,VLOOKUP(E191,TargetTeam!$A$1002:$I$1086,4,0)))/1000000</f>
        <v>300</v>
      </c>
      <c r="I191" s="1633">
        <f>(IF(ISNA(VLOOKUP(E191,TargetTeam!$A$1091:$D$1174,4,0)),0,VLOOKUP(E191,TargetTeam!$A$1091:$D$1174,4,0)))/1000000</f>
        <v>200</v>
      </c>
      <c r="J191" s="1633">
        <f>(IF(ISNA(VLOOKUP(E191,TargetTeam!$A$1178:$I$1266,4,0)),0,VLOOKUP(E191,TargetTeam!$A$1178:$I$1266,4,0)))/1000000</f>
        <v>900</v>
      </c>
      <c r="K191" s="1633">
        <f>(IF(ISNA(VLOOKUP(E191,TargetTeam!$A$1270:$I$1359,4,0)),0,VLOOKUP(E191,TargetTeam!$A$1270:$I$1359,4,0)))/1000000</f>
        <v>800</v>
      </c>
      <c r="L191" s="1633">
        <f>(IF(ISNA(VLOOKUP(E191,TargetTeam!$A$1363:$I$1414,4,0)),0,VLOOKUP(E191,TargetTeam!$A$1363:$I$1414,4,0)))/1000000</f>
        <v>700.00000000000011</v>
      </c>
      <c r="M191" s="1633">
        <f>(IF(ISNA(VLOOKUP(E191,TargetTeam!$A$1456:$I$1552,4,0)),0,VLOOKUP(E191,TargetTeam!$A$1456:$I$1552,4,0)))/1000000</f>
        <v>930</v>
      </c>
      <c r="N191" s="1633"/>
      <c r="O191" s="1633"/>
      <c r="P191" s="1633"/>
      <c r="Q191" s="1633"/>
      <c r="R191" s="1633"/>
      <c r="S191" s="1633"/>
    </row>
    <row r="192" spans="4:19">
      <c r="D192" s="1669" t="s">
        <v>800</v>
      </c>
      <c r="E192" s="1670" t="s">
        <v>799</v>
      </c>
      <c r="G192" s="1596">
        <f t="shared" si="10"/>
        <v>3375</v>
      </c>
      <c r="H192" s="1633">
        <f>(IF(ISNA(VLOOKUP(E192,TargetTeam!$A$1002:$I$1086,4,0)),0,VLOOKUP(E192,TargetTeam!$A$1002:$I$1086,4,0)))/1000000</f>
        <v>360</v>
      </c>
      <c r="I192" s="1633">
        <f>(IF(ISNA(VLOOKUP(E192,TargetTeam!$A$1091:$D$1174,4,0)),0,VLOOKUP(E192,TargetTeam!$A$1091:$D$1174,4,0)))/1000000</f>
        <v>180</v>
      </c>
      <c r="J192" s="1633">
        <f>(IF(ISNA(VLOOKUP(E192,TargetTeam!$A$1178:$I$1266,4,0)),0,VLOOKUP(E192,TargetTeam!$A$1178:$I$1266,4,0)))/1000000</f>
        <v>540</v>
      </c>
      <c r="K192" s="1633">
        <f>(IF(ISNA(VLOOKUP(E192,TargetTeam!$A$1270:$I$1359,4,0)),0,VLOOKUP(E192,TargetTeam!$A$1270:$I$1359,4,0)))/1000000</f>
        <v>800</v>
      </c>
      <c r="L192" s="1633">
        <f>(IF(ISNA(VLOOKUP(E192,TargetTeam!$A$1363:$I$1414,4,0)),0,VLOOKUP(E192,TargetTeam!$A$1363:$I$1414,4,0)))/1000000</f>
        <v>640</v>
      </c>
      <c r="M192" s="1633">
        <f>(IF(ISNA(VLOOKUP(E192,TargetTeam!$A$1456:$I$1552,4,0)),0,VLOOKUP(E192,TargetTeam!$A$1456:$I$1552,4,0)))/1000000</f>
        <v>855</v>
      </c>
      <c r="N192" s="1633"/>
      <c r="O192" s="1633"/>
      <c r="P192" s="1633"/>
      <c r="Q192" s="1633"/>
      <c r="R192" s="1633"/>
      <c r="S192" s="1633"/>
    </row>
    <row r="193" spans="1:19">
      <c r="D193" s="1669" t="s">
        <v>1773</v>
      </c>
      <c r="E193" s="1670" t="s">
        <v>825</v>
      </c>
      <c r="G193" s="1596">
        <f t="shared" si="10"/>
        <v>3380</v>
      </c>
      <c r="H193" s="1633">
        <f>(IF(ISNA(VLOOKUP(E193,TargetTeam!$A$1002:$I$1086,4,0)),0,VLOOKUP(E193,TargetTeam!$A$1002:$I$1086,4,0)))/1000000</f>
        <v>360</v>
      </c>
      <c r="I193" s="1633">
        <f>(IF(ISNA(VLOOKUP(E193,TargetTeam!$A$1091:$D$1174,4,0)),0,VLOOKUP(E193,TargetTeam!$A$1091:$D$1174,4,0)))/1000000</f>
        <v>180</v>
      </c>
      <c r="J193" s="1633">
        <f>(IF(ISNA(VLOOKUP(E193,TargetTeam!$A$1178:$I$1266,4,0)),0,VLOOKUP(E193,TargetTeam!$A$1178:$I$1266,4,0)))/1000000</f>
        <v>540</v>
      </c>
      <c r="K193" s="1633">
        <f>(IF(ISNA(VLOOKUP(E193,TargetTeam!$A$1270:$I$1359,4,0)),0,VLOOKUP(E193,TargetTeam!$A$1270:$I$1359,4,0)))/1000000</f>
        <v>800</v>
      </c>
      <c r="L193" s="1633">
        <f>(IF(ISNA(VLOOKUP(E193,TargetTeam!$A$1363:$I$1414,4,0)),0,VLOOKUP(E193,TargetTeam!$A$1363:$I$1414,4,0)))/1000000</f>
        <v>640</v>
      </c>
      <c r="M193" s="1633">
        <f>(IF(ISNA(VLOOKUP(E193,TargetTeam!$A$1456:$I$1552,4,0)),0,VLOOKUP(E193,TargetTeam!$A$1456:$I$1552,4,0)))/1000000</f>
        <v>860</v>
      </c>
      <c r="N193" s="1633"/>
      <c r="O193" s="1633"/>
      <c r="P193" s="1633"/>
      <c r="Q193" s="1633"/>
      <c r="R193" s="1633"/>
      <c r="S193" s="1633"/>
    </row>
    <row r="194" spans="1:19">
      <c r="D194" s="1669" t="s">
        <v>3575</v>
      </c>
      <c r="E194" s="1670" t="s">
        <v>905</v>
      </c>
      <c r="G194" s="1596">
        <f t="shared" si="10"/>
        <v>3720</v>
      </c>
      <c r="H194" s="1633">
        <f>(IF(ISNA(VLOOKUP(E194,TargetTeam!$A$1002:$I$1086,4,0)),0,VLOOKUP(E194,TargetTeam!$A$1002:$I$1086,4,0)))/1000000</f>
        <v>350</v>
      </c>
      <c r="I194" s="1633">
        <f>(IF(ISNA(VLOOKUP(E194,TargetTeam!$A$1091:$D$1174,4,0)),0,VLOOKUP(E194,TargetTeam!$A$1091:$D$1174,4,0)))/1000000</f>
        <v>250</v>
      </c>
      <c r="J194" s="1633">
        <f>(IF(ISNA(VLOOKUP(E194,TargetTeam!$A$1178:$I$1266,4,0)),0,VLOOKUP(E194,TargetTeam!$A$1178:$I$1266,4,0)))/1000000</f>
        <v>600</v>
      </c>
      <c r="K194" s="1633">
        <f>(IF(ISNA(VLOOKUP(E194,TargetTeam!$A$1270:$I$1359,4,0)),0,VLOOKUP(E194,TargetTeam!$A$1270:$I$1359,4,0)))/1000000</f>
        <v>920</v>
      </c>
      <c r="L194" s="1633">
        <f>(IF(ISNA(VLOOKUP(E194,TargetTeam!$A$1363:$I$1414,4,0)),0,VLOOKUP(E194,TargetTeam!$A$1363:$I$1414,4,0)))/1000000</f>
        <v>700</v>
      </c>
      <c r="M194" s="1633">
        <f>(IF(ISNA(VLOOKUP(E194,TargetTeam!$A$1456:$I$1552,4,0)),0,VLOOKUP(E194,TargetTeam!$A$1456:$I$1552,4,0)))/1000000</f>
        <v>900</v>
      </c>
      <c r="N194" s="1633"/>
      <c r="O194" s="1633"/>
      <c r="P194" s="1633"/>
      <c r="Q194" s="1633"/>
      <c r="R194" s="1633"/>
      <c r="S194" s="1633"/>
    </row>
    <row r="195" spans="1:19">
      <c r="D195" s="1669" t="s">
        <v>904</v>
      </c>
      <c r="E195" s="1670" t="s">
        <v>903</v>
      </c>
      <c r="G195" s="1596">
        <f t="shared" si="10"/>
        <v>3830</v>
      </c>
      <c r="H195" s="1633">
        <f>(IF(ISNA(VLOOKUP(E195,TargetTeam!$A$1002:$I$1086,4,0)),0,VLOOKUP(E195,TargetTeam!$A$1002:$I$1086,4,0)))/1000000</f>
        <v>300</v>
      </c>
      <c r="I195" s="1633">
        <f>(IF(ISNA(VLOOKUP(E195,TargetTeam!$A$1091:$D$1174,4,0)),0,VLOOKUP(E195,TargetTeam!$A$1091:$D$1174,4,0)))/1000000</f>
        <v>200</v>
      </c>
      <c r="J195" s="1633">
        <f>(IF(ISNA(VLOOKUP(E195,TargetTeam!$A$1178:$I$1266,4,0)),0,VLOOKUP(E195,TargetTeam!$A$1178:$I$1266,4,0)))/1000000</f>
        <v>900</v>
      </c>
      <c r="K195" s="1633">
        <f>(IF(ISNA(VLOOKUP(E195,TargetTeam!$A$1270:$I$1359,4,0)),0,VLOOKUP(E195,TargetTeam!$A$1270:$I$1359,4,0)))/1000000</f>
        <v>800</v>
      </c>
      <c r="L195" s="1633">
        <f>(IF(ISNA(VLOOKUP(E195,TargetTeam!$A$1363:$I$1414,4,0)),0,VLOOKUP(E195,TargetTeam!$A$1363:$I$1414,4,0)))/1000000</f>
        <v>700.00000000000011</v>
      </c>
      <c r="M195" s="1633">
        <f>(IF(ISNA(VLOOKUP(E195,TargetTeam!$A$1456:$I$1552,4,0)),0,VLOOKUP(E195,TargetTeam!$A$1456:$I$1552,4,0)))/1000000</f>
        <v>930</v>
      </c>
      <c r="N195" s="1633"/>
      <c r="O195" s="1633"/>
      <c r="P195" s="1633"/>
      <c r="Q195" s="1633"/>
      <c r="R195" s="1633"/>
      <c r="S195" s="1633"/>
    </row>
    <row r="196" spans="1:19">
      <c r="D196" s="1669" t="s">
        <v>1014</v>
      </c>
      <c r="E196" s="1670" t="s">
        <v>902</v>
      </c>
      <c r="G196" s="1596">
        <f t="shared" si="10"/>
        <v>3830</v>
      </c>
      <c r="H196" s="1633">
        <f>(IF(ISNA(VLOOKUP(E196,TargetTeam!$A$1002:$I$1086,4,0)),0,VLOOKUP(E196,TargetTeam!$A$1002:$I$1086,4,0)))/1000000</f>
        <v>300</v>
      </c>
      <c r="I196" s="1633">
        <f>(IF(ISNA(VLOOKUP(E196,TargetTeam!$A$1091:$D$1174,4,0)),0,VLOOKUP(E196,TargetTeam!$A$1091:$D$1174,4,0)))/1000000</f>
        <v>200</v>
      </c>
      <c r="J196" s="1633">
        <f>(IF(ISNA(VLOOKUP(E196,TargetTeam!$A$1178:$I$1266,4,0)),0,VLOOKUP(E196,TargetTeam!$A$1178:$I$1266,4,0)))/1000000</f>
        <v>900</v>
      </c>
      <c r="K196" s="1633">
        <f>(IF(ISNA(VLOOKUP(E196,TargetTeam!$A$1270:$I$1359,4,0)),0,VLOOKUP(E196,TargetTeam!$A$1270:$I$1359,4,0)))/1000000</f>
        <v>800</v>
      </c>
      <c r="L196" s="1633">
        <f>(IF(ISNA(VLOOKUP(E196,TargetTeam!$A$1363:$I$1414,4,0)),0,VLOOKUP(E196,TargetTeam!$A$1363:$I$1414,4,0)))/1000000</f>
        <v>700.00000000000011</v>
      </c>
      <c r="M196" s="1633">
        <f>(IF(ISNA(VLOOKUP(E196,TargetTeam!$A$1456:$I$1552,4,0)),0,VLOOKUP(E196,TargetTeam!$A$1456:$I$1552,4,0)))/1000000</f>
        <v>930</v>
      </c>
      <c r="N196" s="1633"/>
      <c r="O196" s="1633"/>
      <c r="P196" s="1633"/>
      <c r="Q196" s="1633"/>
      <c r="R196" s="1633"/>
      <c r="S196" s="1633"/>
    </row>
    <row r="197" spans="1:19">
      <c r="D197" s="1669" t="s">
        <v>901</v>
      </c>
      <c r="E197" s="1670" t="s">
        <v>900</v>
      </c>
      <c r="G197" s="1596">
        <f t="shared" si="10"/>
        <v>5560</v>
      </c>
      <c r="H197" s="1633">
        <f>(IF(ISNA(VLOOKUP(E197,TargetTeam!$A$1002:$I$1086,4,0)),0,VLOOKUP(E197,TargetTeam!$A$1002:$I$1086,4,0)))/1000000</f>
        <v>420</v>
      </c>
      <c r="I197" s="1633">
        <f>(IF(ISNA(VLOOKUP(E197,TargetTeam!$A$1091:$D$1174,4,0)),0,VLOOKUP(E197,TargetTeam!$A$1091:$D$1174,4,0)))/1000000</f>
        <v>280</v>
      </c>
      <c r="J197" s="1633">
        <f>(IF(ISNA(VLOOKUP(E197,TargetTeam!$A$1178:$I$1266,4,0)),0,VLOOKUP(E197,TargetTeam!$A$1178:$I$1266,4,0)))/1000000</f>
        <v>1260</v>
      </c>
      <c r="K197" s="1633">
        <f>(IF(ISNA(VLOOKUP(E197,TargetTeam!$A$1270:$I$1359,4,0)),0,VLOOKUP(E197,TargetTeam!$A$1270:$I$1359,4,0)))/1000000</f>
        <v>1200</v>
      </c>
      <c r="L197" s="1633">
        <f>(IF(ISNA(VLOOKUP(E197,TargetTeam!$A$1363:$I$1414,4,0)),0,VLOOKUP(E197,TargetTeam!$A$1363:$I$1414,4,0)))/1000000</f>
        <v>1000.0000000000001</v>
      </c>
      <c r="M197" s="1633">
        <f>(IF(ISNA(VLOOKUP(E197,TargetTeam!$A$1456:$I$1552,4,0)),0,VLOOKUP(E197,TargetTeam!$A$1456:$I$1552,4,0)))/1000000</f>
        <v>1400</v>
      </c>
      <c r="N197" s="1633"/>
      <c r="O197" s="1633"/>
      <c r="P197" s="1633"/>
      <c r="Q197" s="1633"/>
      <c r="R197" s="1633"/>
      <c r="S197" s="1633"/>
    </row>
    <row r="198" spans="1:19">
      <c r="A198" s="1662"/>
      <c r="B198" s="1662"/>
      <c r="D198" s="1669" t="s">
        <v>950</v>
      </c>
      <c r="E198" s="1670" t="s">
        <v>949</v>
      </c>
      <c r="G198" s="1596">
        <f t="shared" si="10"/>
        <v>5700</v>
      </c>
      <c r="H198" s="1633">
        <f>(IF(ISNA(VLOOKUP(E198,TargetTeam!$A$1002:$I$1086,4,0)),0,VLOOKUP(E198,TargetTeam!$A$1002:$I$1086,4,0)))/1000000</f>
        <v>300</v>
      </c>
      <c r="I198" s="1633">
        <f>(IF(ISNA(VLOOKUP(E198,TargetTeam!$A$1091:$D$1174,4,0)),0,VLOOKUP(E198,TargetTeam!$A$1091:$D$1174,4,0)))/1000000</f>
        <v>300</v>
      </c>
      <c r="J198" s="1633">
        <f>(IF(ISNA(VLOOKUP(E198,TargetTeam!$A$1178:$I$1266,4,0)),0,VLOOKUP(E198,TargetTeam!$A$1178:$I$1266,4,0)))/1000000</f>
        <v>700</v>
      </c>
      <c r="K198" s="1633">
        <f>(IF(ISNA(VLOOKUP(E198,TargetTeam!$A$1270:$I$1359,4,0)),0,VLOOKUP(E198,TargetTeam!$A$1270:$I$1359,4,0)))/1000000</f>
        <v>1000</v>
      </c>
      <c r="L198" s="1633">
        <f>(IF(ISNA(VLOOKUP(E198,TargetTeam!$A$1363:$I$1414,4,0)),0,VLOOKUP(E198,TargetTeam!$A$1363:$I$1414,4,0)))/1000000</f>
        <v>1600</v>
      </c>
      <c r="M198" s="1633">
        <f>(IF(ISNA(VLOOKUP(E198,TargetTeam!$A$1456:$I$1552,4,0)),0,VLOOKUP(E198,TargetTeam!$A$1456:$I$1552,4,0)))/1000000</f>
        <v>1800</v>
      </c>
      <c r="N198" s="1633"/>
      <c r="O198" s="1633"/>
      <c r="P198" s="1633"/>
      <c r="Q198" s="1633"/>
      <c r="R198" s="1633"/>
      <c r="S198" s="1633"/>
    </row>
    <row r="199" spans="1:19">
      <c r="D199" s="1669" t="s">
        <v>1287</v>
      </c>
      <c r="E199" s="1669" t="s">
        <v>1104</v>
      </c>
      <c r="G199" s="1596">
        <f t="shared" si="10"/>
        <v>3365</v>
      </c>
      <c r="H199" s="1633">
        <f>(IF(ISNA(VLOOKUP(E199,TargetTeam!$A$1002:$I$1086,4,0)),0,VLOOKUP(E199,TargetTeam!$A$1002:$I$1086,4,0)))/1000000</f>
        <v>360</v>
      </c>
      <c r="I199" s="1633">
        <f>(IF(ISNA(VLOOKUP(E199,TargetTeam!$A$1091:$D$1174,4,0)),0,VLOOKUP(E199,TargetTeam!$A$1091:$D$1174,4,0)))/1000000</f>
        <v>180</v>
      </c>
      <c r="J199" s="1633">
        <f>(IF(ISNA(VLOOKUP(E199,TargetTeam!$A$1178:$I$1266,4,0)),0,VLOOKUP(E199,TargetTeam!$A$1178:$I$1266,4,0)))/1000000</f>
        <v>540</v>
      </c>
      <c r="K199" s="1633">
        <f>(IF(ISNA(VLOOKUP(E199,TargetTeam!$A$1270:$I$1359,4,0)),0,VLOOKUP(E199,TargetTeam!$A$1270:$I$1359,4,0)))/1000000</f>
        <v>800</v>
      </c>
      <c r="L199" s="1633">
        <f>(IF(ISNA(VLOOKUP(E199,TargetTeam!$A$1363:$I$1414,4,0)),0,VLOOKUP(E199,TargetTeam!$A$1363:$I$1414,4,0)))/1000000</f>
        <v>630</v>
      </c>
      <c r="M199" s="1633">
        <f>(IF(ISNA(VLOOKUP(E199,TargetTeam!$A$1456:$I$1552,4,0)),0,VLOOKUP(E199,TargetTeam!$A$1456:$I$1552,4,0)))/1000000</f>
        <v>855</v>
      </c>
      <c r="N199" s="1633"/>
      <c r="O199" s="1633"/>
      <c r="P199" s="1633"/>
      <c r="Q199" s="1633"/>
      <c r="R199" s="1633"/>
      <c r="S199" s="1633"/>
    </row>
    <row r="200" spans="1:19">
      <c r="A200" s="1661"/>
      <c r="B200" s="1661"/>
      <c r="D200" s="1669" t="s">
        <v>1348</v>
      </c>
      <c r="E200" s="1669" t="s">
        <v>1015</v>
      </c>
      <c r="G200" s="1596">
        <f t="shared" si="10"/>
        <v>3004.5</v>
      </c>
      <c r="H200" s="1633">
        <f>(IF(ISNA(VLOOKUP(E200,TargetTeam!$A$1002:$I$1086,4,0)),0,VLOOKUP(E200,TargetTeam!$A$1002:$I$1086,4,0)))/1000000</f>
        <v>314.8</v>
      </c>
      <c r="I200" s="1633">
        <f>(IF(ISNA(VLOOKUP(E200,TargetTeam!$A$1091:$D$1174,4,0)),0,VLOOKUP(E200,TargetTeam!$A$1091:$D$1174,4,0)))/1000000</f>
        <v>157.4</v>
      </c>
      <c r="J200" s="1633">
        <f>(IF(ISNA(VLOOKUP(E200,TargetTeam!$A$1178:$I$1266,4,0)),0,VLOOKUP(E200,TargetTeam!$A$1178:$I$1266,4,0)))/1000000</f>
        <v>472.3</v>
      </c>
      <c r="K200" s="1633">
        <f>(IF(ISNA(VLOOKUP(E200,TargetTeam!$A$1270:$I$1359,4,0)),0,VLOOKUP(E200,TargetTeam!$A$1270:$I$1359,4,0)))/1000000</f>
        <v>750</v>
      </c>
      <c r="L200" s="1633">
        <f>(IF(ISNA(VLOOKUP(E200,TargetTeam!$A$1363:$I$1414,4,0)),0,VLOOKUP(E200,TargetTeam!$A$1363:$I$1414,4,0)))/1000000</f>
        <v>560</v>
      </c>
      <c r="M200" s="1633">
        <f>(IF(ISNA(VLOOKUP(E200,TargetTeam!$A$1456:$I$1552,4,0)),0,VLOOKUP(E200,TargetTeam!$A$1456:$I$1552,4,0)))/1000000</f>
        <v>750</v>
      </c>
      <c r="N200" s="1633"/>
      <c r="O200" s="1633"/>
      <c r="P200" s="1633"/>
      <c r="Q200" s="1633"/>
      <c r="R200" s="1633"/>
      <c r="S200" s="1633"/>
    </row>
    <row r="201" spans="1:19">
      <c r="A201" s="1661"/>
      <c r="B201" s="1661"/>
      <c r="D201" s="1669" t="s">
        <v>1161</v>
      </c>
      <c r="E201" s="1669" t="s">
        <v>1103</v>
      </c>
      <c r="G201" s="1596">
        <f t="shared" si="10"/>
        <v>2217</v>
      </c>
      <c r="H201" s="1633">
        <f>(IF(ISNA(VLOOKUP(E201,TargetTeam!$A$1002:$I$1086,4,0)),0,VLOOKUP(E201,TargetTeam!$A$1002:$I$1086,4,0)))/1000000</f>
        <v>232</v>
      </c>
      <c r="I201" s="1633">
        <f>(IF(ISNA(VLOOKUP(E201,TargetTeam!$A$1091:$D$1174,4,0)),0,VLOOKUP(E201,TargetTeam!$A$1091:$D$1174,4,0)))/1000000</f>
        <v>116</v>
      </c>
      <c r="J201" s="1633">
        <f>(IF(ISNA(VLOOKUP(E201,TargetTeam!$A$1178:$I$1266,4,0)),0,VLOOKUP(E201,TargetTeam!$A$1178:$I$1266,4,0)))/1000000</f>
        <v>348</v>
      </c>
      <c r="K201" s="1633">
        <f>(IF(ISNA(VLOOKUP(E201,TargetTeam!$A$1270:$I$1359,4,0)),0,VLOOKUP(E201,TargetTeam!$A$1270:$I$1359,4,0)))/1000000</f>
        <v>560</v>
      </c>
      <c r="L201" s="1633">
        <f>(IF(ISNA(VLOOKUP(E201,TargetTeam!$A$1363:$I$1414,4,0)),0,VLOOKUP(E201,TargetTeam!$A$1363:$I$1414,4,0)))/1000000</f>
        <v>410</v>
      </c>
      <c r="M201" s="1633">
        <f>(IF(ISNA(VLOOKUP(E201,TargetTeam!$A$1456:$I$1552,4,0)),0,VLOOKUP(E201,TargetTeam!$A$1456:$I$1552,4,0)))/1000000</f>
        <v>551</v>
      </c>
      <c r="N201" s="1633"/>
      <c r="O201" s="1633"/>
      <c r="P201" s="1633"/>
      <c r="Q201" s="1633"/>
      <c r="R201" s="1633"/>
      <c r="S201" s="1633"/>
    </row>
    <row r="202" spans="1:19">
      <c r="A202" s="1661"/>
      <c r="B202" s="1661"/>
      <c r="D202" s="1669" t="s">
        <v>1163</v>
      </c>
      <c r="E202" s="1669" t="s">
        <v>1102</v>
      </c>
      <c r="G202" s="1596">
        <f t="shared" si="10"/>
        <v>4000</v>
      </c>
      <c r="H202" s="1633">
        <f>(IF(ISNA(VLOOKUP(E202,TargetTeam!$A$1002:$I$1086,4,0)),0,VLOOKUP(E202,TargetTeam!$A$1002:$I$1086,4,0)))/1000000</f>
        <v>300</v>
      </c>
      <c r="I202" s="1633">
        <f>(IF(ISNA(VLOOKUP(E202,TargetTeam!$A$1091:$D$1174,4,0)),0,VLOOKUP(E202,TargetTeam!$A$1091:$D$1174,4,0)))/1000000</f>
        <v>200</v>
      </c>
      <c r="J202" s="1633">
        <f>(IF(ISNA(VLOOKUP(E202,TargetTeam!$A$1178:$I$1266,4,0)),0,VLOOKUP(E202,TargetTeam!$A$1178:$I$1266,4,0)))/1000000</f>
        <v>900</v>
      </c>
      <c r="K202" s="1633">
        <f>(IF(ISNA(VLOOKUP(E202,TargetTeam!$A$1270:$I$1359,4,0)),0,VLOOKUP(E202,TargetTeam!$A$1270:$I$1359,4,0)))/1000000</f>
        <v>900</v>
      </c>
      <c r="L202" s="1633">
        <f>(IF(ISNA(VLOOKUP(E202,TargetTeam!$A$1363:$I$1414,4,0)),0,VLOOKUP(E202,TargetTeam!$A$1363:$I$1414,4,0)))/1000000</f>
        <v>750.00000000000011</v>
      </c>
      <c r="M202" s="1633">
        <f>(IF(ISNA(VLOOKUP(E202,TargetTeam!$A$1456:$I$1552,4,0)),0,VLOOKUP(E202,TargetTeam!$A$1456:$I$1552,4,0)))/1000000</f>
        <v>950</v>
      </c>
      <c r="N202" s="1633"/>
      <c r="O202" s="1633"/>
      <c r="P202" s="1633"/>
      <c r="Q202" s="1633"/>
      <c r="R202" s="1633"/>
      <c r="S202" s="1633"/>
    </row>
    <row r="203" spans="1:19">
      <c r="A203" s="1661"/>
      <c r="B203" s="1661"/>
      <c r="D203" s="1669" t="s">
        <v>2897</v>
      </c>
      <c r="E203" s="1669" t="s">
        <v>1101</v>
      </c>
      <c r="G203" s="1596">
        <f t="shared" si="10"/>
        <v>2600</v>
      </c>
      <c r="H203" s="1633">
        <f>(IF(ISNA(VLOOKUP(E203,TargetTeam!$A$1002:$I$1086,4,0)),0,VLOOKUP(E203,TargetTeam!$A$1002:$I$1086,4,0)))/1000000</f>
        <v>180</v>
      </c>
      <c r="I203" s="1633">
        <f>(IF(ISNA(VLOOKUP(E203,TargetTeam!$A$1091:$D$1174,4,0)),0,VLOOKUP(E203,TargetTeam!$A$1091:$D$1174,4,0)))/1000000</f>
        <v>120</v>
      </c>
      <c r="J203" s="1633">
        <f>(IF(ISNA(VLOOKUP(E203,TargetTeam!$A$1178:$I$1266,4,0)),0,VLOOKUP(E203,TargetTeam!$A$1178:$I$1266,4,0)))/1000000</f>
        <v>540</v>
      </c>
      <c r="K203" s="1633">
        <f>(IF(ISNA(VLOOKUP(E203,TargetTeam!$A$1270:$I$1359,4,0)),0,VLOOKUP(E203,TargetTeam!$A$1270:$I$1359,4,0)))/1000000</f>
        <v>800</v>
      </c>
      <c r="L203" s="1633">
        <f>(IF(ISNA(VLOOKUP(E203,TargetTeam!$A$1363:$I$1414,4,0)),0,VLOOKUP(E203,TargetTeam!$A$1363:$I$1414,4,0)))/1000000</f>
        <v>460</v>
      </c>
      <c r="M203" s="1633">
        <f>(IF(ISNA(VLOOKUP(E203,TargetTeam!$A$1456:$I$1552,4,0)),0,VLOOKUP(E203,TargetTeam!$A$1456:$I$1552,4,0)))/1000000</f>
        <v>500</v>
      </c>
      <c r="N203" s="1633"/>
      <c r="O203" s="1633"/>
      <c r="P203" s="1633"/>
      <c r="Q203" s="1633"/>
      <c r="R203" s="1633"/>
      <c r="S203" s="1633"/>
    </row>
    <row r="204" spans="1:19">
      <c r="A204" s="1661"/>
      <c r="B204" s="1661"/>
      <c r="D204" s="1669" t="s">
        <v>1774</v>
      </c>
      <c r="E204" s="1669" t="s">
        <v>1100</v>
      </c>
      <c r="G204" s="1596">
        <f t="shared" si="10"/>
        <v>4074</v>
      </c>
      <c r="H204" s="1633">
        <f>(IF(ISNA(VLOOKUP(E204,TargetTeam!$A$1002:$I$1086,4,0)),0,VLOOKUP(E204,TargetTeam!$A$1002:$I$1086,4,0)))/1000000</f>
        <v>434.7</v>
      </c>
      <c r="I204" s="1633">
        <f>(IF(ISNA(VLOOKUP(E204,TargetTeam!$A$1091:$D$1174,4,0)),0,VLOOKUP(E204,TargetTeam!$A$1091:$D$1174,4,0)))/1000000</f>
        <v>217.3</v>
      </c>
      <c r="J204" s="1633">
        <f>(IF(ISNA(VLOOKUP(E204,TargetTeam!$A$1178:$I$1266,4,0)),0,VLOOKUP(E204,TargetTeam!$A$1178:$I$1266,4,0)))/1000000</f>
        <v>652</v>
      </c>
      <c r="K204" s="1633">
        <f>(IF(ISNA(VLOOKUP(E204,TargetTeam!$A$1270:$I$1359,4,0)),0,VLOOKUP(E204,TargetTeam!$A$1270:$I$1359,4,0)))/1000000</f>
        <v>950</v>
      </c>
      <c r="L204" s="1633">
        <f>(IF(ISNA(VLOOKUP(E204,TargetTeam!$A$1363:$I$1414,4,0)),0,VLOOKUP(E204,TargetTeam!$A$1363:$I$1414,4,0)))/1000000</f>
        <v>770</v>
      </c>
      <c r="M204" s="1633">
        <f>(IF(ISNA(VLOOKUP(E204,TargetTeam!$A$1456:$I$1552,4,0)),0,VLOOKUP(E204,TargetTeam!$A$1456:$I$1552,4,0)))/1000000</f>
        <v>1050</v>
      </c>
      <c r="N204" s="1774"/>
      <c r="O204" s="1774"/>
      <c r="P204" s="1774"/>
      <c r="Q204" s="1774"/>
      <c r="R204" s="1774"/>
      <c r="S204" s="1774"/>
    </row>
    <row r="205" spans="1:19">
      <c r="A205" s="1661"/>
      <c r="B205" s="1661"/>
      <c r="D205" s="1669" t="s">
        <v>1286</v>
      </c>
      <c r="E205" s="1669" t="s">
        <v>1099</v>
      </c>
      <c r="G205" s="1596">
        <f t="shared" si="10"/>
        <v>4240</v>
      </c>
      <c r="H205" s="1633">
        <f>(IF(ISNA(VLOOKUP(E205,TargetTeam!$A$1002:$I$1086,4,0)),0,VLOOKUP(E205,TargetTeam!$A$1002:$I$1086,4,0)))/1000000</f>
        <v>330</v>
      </c>
      <c r="I205" s="1633">
        <f>(IF(ISNA(VLOOKUP(E205,TargetTeam!$A$1091:$D$1174,4,0)),0,VLOOKUP(E205,TargetTeam!$A$1091:$D$1174,4,0)))/1000000</f>
        <v>220</v>
      </c>
      <c r="J205" s="1633">
        <f>(IF(ISNA(VLOOKUP(E205,TargetTeam!$A$1178:$I$1266,4,0)),0,VLOOKUP(E205,TargetTeam!$A$1178:$I$1266,4,0)))/1000000</f>
        <v>990</v>
      </c>
      <c r="K205" s="1633">
        <f>(IF(ISNA(VLOOKUP(E205,TargetTeam!$A$1270:$I$1359,4,0)),0,VLOOKUP(E205,TargetTeam!$A$1270:$I$1359,4,0)))/1000000</f>
        <v>900</v>
      </c>
      <c r="L205" s="1633">
        <f>(IF(ISNA(VLOOKUP(E205,TargetTeam!$A$1363:$I$1414,4,0)),0,VLOOKUP(E205,TargetTeam!$A$1363:$I$1414,4,0)))/1000000</f>
        <v>750.00000000000011</v>
      </c>
      <c r="M205" s="1633">
        <f>(IF(ISNA(VLOOKUP(E205,TargetTeam!$A$1456:$I$1552,4,0)),0,VLOOKUP(E205,TargetTeam!$A$1456:$I$1552,4,0)))/1000000</f>
        <v>1050</v>
      </c>
      <c r="N205" s="1774"/>
      <c r="O205" s="1774"/>
      <c r="P205" s="1774"/>
      <c r="Q205" s="1774"/>
      <c r="R205" s="1774"/>
      <c r="S205" s="1774"/>
    </row>
    <row r="206" spans="1:19">
      <c r="A206" s="1661"/>
      <c r="B206" s="1661"/>
      <c r="D206" s="1669" t="s">
        <v>3169</v>
      </c>
      <c r="E206" s="1669" t="s">
        <v>3168</v>
      </c>
      <c r="G206" s="1596">
        <f t="shared" si="10"/>
        <v>314</v>
      </c>
      <c r="H206" s="1774"/>
      <c r="I206" s="1774"/>
      <c r="J206" s="1774"/>
      <c r="K206" s="1774"/>
      <c r="L206" s="1633">
        <f>(IF(ISNA(VLOOKUP(E206,TargetTeam!$A$1363:$I$1414,4,0)),0,VLOOKUP(E206,TargetTeam!$A$1363:$I$1414,4,0)))/1000000</f>
        <v>99</v>
      </c>
      <c r="M206" s="1633">
        <f>(IF(ISNA(VLOOKUP(E206,TargetTeam!$A$1456:$I$1552,4,0)),0,VLOOKUP(E206,TargetTeam!$A$1456:$I$1552,4,0)))/1000000</f>
        <v>215</v>
      </c>
      <c r="N206" s="1774"/>
      <c r="O206" s="1774"/>
      <c r="P206" s="1774"/>
      <c r="Q206" s="1774"/>
      <c r="R206" s="1774"/>
      <c r="S206" s="1774"/>
    </row>
    <row r="207" spans="1:19">
      <c r="A207" s="1661"/>
      <c r="B207" s="1661"/>
      <c r="D207" s="1669" t="s">
        <v>1410</v>
      </c>
      <c r="E207" s="1669" t="s">
        <v>2896</v>
      </c>
      <c r="G207" s="1596">
        <f t="shared" si="10"/>
        <v>285</v>
      </c>
      <c r="H207" s="1774"/>
      <c r="I207" s="1774"/>
      <c r="J207" s="1774"/>
      <c r="K207" s="1774"/>
      <c r="L207" s="1633">
        <f>(IF(ISNA(VLOOKUP(E207,TargetTeam!$A$1363:$I$1414,4,0)),0,VLOOKUP(E207,TargetTeam!$A$1363:$I$1414,4,0)))/1000000</f>
        <v>88</v>
      </c>
      <c r="M207" s="1633">
        <f>(IF(ISNA(VLOOKUP(E207,TargetTeam!$A$1456:$I$1552,4,0)),0,VLOOKUP(E207,TargetTeam!$A$1456:$I$1552,4,0)))/1000000</f>
        <v>197</v>
      </c>
      <c r="N207" s="1774"/>
      <c r="O207" s="1774"/>
      <c r="P207" s="1774"/>
      <c r="Q207" s="1774"/>
      <c r="R207" s="1774"/>
      <c r="S207" s="1774"/>
    </row>
    <row r="208" spans="1:19">
      <c r="A208" s="1661"/>
      <c r="B208" s="1661"/>
      <c r="D208" s="1669" t="s">
        <v>3184</v>
      </c>
      <c r="E208" s="1669" t="s">
        <v>3170</v>
      </c>
      <c r="G208" s="1596">
        <f t="shared" si="10"/>
        <v>2055</v>
      </c>
      <c r="H208" s="1774"/>
      <c r="I208" s="1774"/>
      <c r="J208" s="1774"/>
      <c r="K208" s="1774"/>
      <c r="L208" s="1633">
        <f>(IF(ISNA(VLOOKUP(E208,TargetTeam!$A$1363:$I$1414,4,0)),0,VLOOKUP(E208,TargetTeam!$A$1363:$I$1414,4,0)))/1000000</f>
        <v>882.5</v>
      </c>
      <c r="M208" s="1633">
        <f>(IF(ISNA(VLOOKUP(E208,TargetTeam!$A$1456:$I$1552,4,0)),0,VLOOKUP(E208,TargetTeam!$A$1456:$I$1552,4,0)))/1000000</f>
        <v>1172.5</v>
      </c>
      <c r="N208" s="1774"/>
      <c r="O208" s="1774"/>
      <c r="P208" s="1774"/>
      <c r="Q208" s="1774"/>
      <c r="R208" s="1774"/>
      <c r="S208" s="1774"/>
    </row>
    <row r="209" spans="1:19">
      <c r="A209" s="1661"/>
      <c r="B209" s="1661"/>
      <c r="D209" s="1669" t="s">
        <v>3180</v>
      </c>
      <c r="E209" s="1669" t="s">
        <v>3171</v>
      </c>
      <c r="G209" s="1596">
        <f t="shared" si="10"/>
        <v>1798</v>
      </c>
      <c r="H209" s="1774"/>
      <c r="I209" s="1774"/>
      <c r="J209" s="1774"/>
      <c r="K209" s="1774"/>
      <c r="L209" s="1633">
        <f>(IF(ISNA(VLOOKUP(E209,TargetTeam!$A$1363:$I$1414,4,0)),0,VLOOKUP(E209,TargetTeam!$A$1363:$I$1414,4,0)))/1000000</f>
        <v>625.5</v>
      </c>
      <c r="M209" s="1633">
        <f>(IF(ISNA(VLOOKUP(E209,TargetTeam!$A$1456:$I$1552,4,0)),0,VLOOKUP(E209,TargetTeam!$A$1456:$I$1552,4,0)))/1000000</f>
        <v>1172.5</v>
      </c>
      <c r="N209" s="1774"/>
      <c r="O209" s="1774"/>
      <c r="P209" s="1774"/>
      <c r="Q209" s="1774"/>
      <c r="R209" s="1774"/>
      <c r="S209" s="1774"/>
    </row>
    <row r="210" spans="1:19">
      <c r="A210" s="1661"/>
      <c r="B210" s="1661"/>
      <c r="D210" s="1669" t="s">
        <v>3189</v>
      </c>
      <c r="E210" s="1669" t="s">
        <v>3172</v>
      </c>
      <c r="G210" s="1596">
        <f t="shared" si="10"/>
        <v>800</v>
      </c>
      <c r="H210" s="1774"/>
      <c r="I210" s="1774"/>
      <c r="J210" s="1774"/>
      <c r="K210" s="1774"/>
      <c r="L210" s="1633">
        <f>(IF(ISNA(VLOOKUP(E210,TargetTeam!$A$1363:$I$1414,4,0)),0,VLOOKUP(E210,TargetTeam!$A$1363:$I$1414,4,0)))/1000000</f>
        <v>0</v>
      </c>
      <c r="M210" s="1633">
        <f>(IF(ISNA(VLOOKUP(E210,TargetTeam!$A$1456:$I$1552,4,0)),0,VLOOKUP(E210,TargetTeam!$A$1456:$I$1552,4,0)))/1000000</f>
        <v>800</v>
      </c>
      <c r="N210" s="1774"/>
      <c r="O210" s="1774"/>
      <c r="P210" s="1774"/>
      <c r="Q210" s="1774"/>
      <c r="R210" s="1774"/>
      <c r="S210" s="1774"/>
    </row>
    <row r="211" spans="1:19">
      <c r="A211" s="1661"/>
      <c r="B211" s="1661"/>
      <c r="D211" s="1669" t="s">
        <v>3190</v>
      </c>
      <c r="E211" s="1669" t="s">
        <v>3173</v>
      </c>
      <c r="G211" s="1596">
        <f t="shared" si="10"/>
        <v>3611</v>
      </c>
      <c r="H211" s="1774"/>
      <c r="I211" s="1774"/>
      <c r="J211" s="1774"/>
      <c r="K211" s="1774"/>
      <c r="L211" s="1633">
        <f>(IF(ISNA(VLOOKUP(E211,TargetTeam!$A$1363:$I$1414,4,0)),0,VLOOKUP(E211,TargetTeam!$A$1363:$I$1414,4,0)))/1000000</f>
        <v>1530.5</v>
      </c>
      <c r="M211" s="1633">
        <f>(IF(ISNA(VLOOKUP(E211,TargetTeam!$A$1456:$I$1552,4,0)),0,VLOOKUP(E211,TargetTeam!$A$1456:$I$1552,4,0)))/1000000</f>
        <v>2080.5</v>
      </c>
      <c r="N211" s="1774"/>
      <c r="O211" s="1774"/>
      <c r="P211" s="1774"/>
      <c r="Q211" s="1774"/>
      <c r="R211" s="1774"/>
      <c r="S211" s="1774"/>
    </row>
    <row r="212" spans="1:19">
      <c r="A212" s="1661"/>
      <c r="B212" s="1661"/>
      <c r="D212" s="1669" t="s">
        <v>3191</v>
      </c>
      <c r="E212" s="1669" t="s">
        <v>3174</v>
      </c>
      <c r="G212" s="1596">
        <f t="shared" si="10"/>
        <v>1850</v>
      </c>
      <c r="H212" s="1774"/>
      <c r="I212" s="1774"/>
      <c r="J212" s="1774"/>
      <c r="K212" s="1774"/>
      <c r="L212" s="1633">
        <f>(IF(ISNA(VLOOKUP(E212,TargetTeam!$A$1363:$I$1414,4,0)),0,VLOOKUP(E212,TargetTeam!$A$1363:$I$1414,4,0)))/1000000</f>
        <v>780</v>
      </c>
      <c r="M212" s="1633">
        <f>(IF(ISNA(VLOOKUP(E212,TargetTeam!$A$1456:$I$1552,4,0)),0,VLOOKUP(E212,TargetTeam!$A$1456:$I$1552,4,0)))/1000000</f>
        <v>1070</v>
      </c>
      <c r="N212" s="1774"/>
      <c r="O212" s="1774"/>
      <c r="P212" s="1774"/>
      <c r="Q212" s="1774"/>
      <c r="R212" s="1774"/>
      <c r="S212" s="1774"/>
    </row>
    <row r="213" spans="1:19">
      <c r="A213" s="1661"/>
      <c r="B213" s="1661"/>
      <c r="D213" s="1669" t="s">
        <v>2054</v>
      </c>
      <c r="E213" s="1669" t="s">
        <v>2046</v>
      </c>
      <c r="H213" s="1774"/>
      <c r="I213" s="1774"/>
      <c r="J213" s="1774"/>
      <c r="K213" s="1774"/>
      <c r="L213" s="1774"/>
      <c r="M213" s="1633">
        <f>(IF(ISNA(VLOOKUP(E213,TargetTeam!$A$1456:$I$1552,4,0)),0,VLOOKUP(E213,TargetTeam!$A$1456:$I$1552,4,0)))/1000000</f>
        <v>700</v>
      </c>
      <c r="N213" s="1774"/>
      <c r="O213" s="1774"/>
      <c r="P213" s="1774"/>
      <c r="Q213" s="1774"/>
      <c r="R213" s="1774"/>
      <c r="S213" s="1774"/>
    </row>
    <row r="214" spans="1:19">
      <c r="A214" s="1661"/>
      <c r="B214" s="1661"/>
      <c r="D214" s="1669" t="s">
        <v>1569</v>
      </c>
      <c r="E214" s="1669" t="s">
        <v>1568</v>
      </c>
      <c r="H214" s="1774"/>
      <c r="I214" s="1774"/>
      <c r="J214" s="1774"/>
      <c r="K214" s="1774"/>
      <c r="L214" s="1774"/>
      <c r="M214" s="1633">
        <f>(IF(ISNA(VLOOKUP(E214,TargetTeam!$A$1456:$I$1552,4,0)),0,VLOOKUP(E214,TargetTeam!$A$1456:$I$1552,4,0)))/1000000</f>
        <v>1386</v>
      </c>
      <c r="N214" s="1774"/>
      <c r="O214" s="1774"/>
      <c r="P214" s="1774"/>
      <c r="Q214" s="1774"/>
      <c r="R214" s="1774"/>
      <c r="S214" s="1774"/>
    </row>
    <row r="215" spans="1:19">
      <c r="A215" s="1661"/>
      <c r="B215" s="1661"/>
      <c r="D215" s="1669" t="s">
        <v>2705</v>
      </c>
      <c r="E215" s="1669" t="s">
        <v>2658</v>
      </c>
      <c r="H215" s="1774"/>
      <c r="I215" s="1774"/>
      <c r="J215" s="1774"/>
      <c r="K215" s="1774"/>
      <c r="L215" s="1774"/>
      <c r="M215" s="1633">
        <f>(IF(ISNA(VLOOKUP(E215,TargetTeam!$A$1456:$I$1552,4,0)),0,VLOOKUP(E215,TargetTeam!$A$1456:$I$1552,4,0)))/1000000</f>
        <v>0</v>
      </c>
      <c r="N215" s="1774"/>
      <c r="O215" s="1774"/>
      <c r="P215" s="1774"/>
      <c r="Q215" s="1774"/>
      <c r="R215" s="1774"/>
      <c r="S215" s="1774"/>
    </row>
    <row r="216" spans="1:19">
      <c r="A216" s="1661"/>
      <c r="B216" s="1661"/>
      <c r="D216" s="1669" t="s">
        <v>2706</v>
      </c>
      <c r="E216" s="1669" t="s">
        <v>2659</v>
      </c>
      <c r="H216" s="1774"/>
      <c r="I216" s="1774"/>
      <c r="J216" s="1774"/>
      <c r="K216" s="1774"/>
      <c r="L216" s="1774"/>
      <c r="M216" s="1633">
        <f>(IF(ISNA(VLOOKUP(E216,TargetTeam!$A$1456:$I$1552,4,0)),0,VLOOKUP(E216,TargetTeam!$A$1456:$I$1552,4,0)))/1000000</f>
        <v>650</v>
      </c>
      <c r="N216" s="1774"/>
      <c r="O216" s="1774"/>
      <c r="P216" s="1774"/>
      <c r="Q216" s="1774"/>
      <c r="R216" s="1774"/>
      <c r="S216" s="1774"/>
    </row>
    <row r="217" spans="1:19">
      <c r="A217" s="1661"/>
      <c r="B217" s="1661"/>
      <c r="D217" s="1669" t="s">
        <v>2707</v>
      </c>
      <c r="E217" s="1669" t="s">
        <v>2660</v>
      </c>
      <c r="H217" s="1774"/>
      <c r="I217" s="1774"/>
      <c r="J217" s="1774"/>
      <c r="K217" s="1774"/>
      <c r="L217" s="1774"/>
      <c r="M217" s="1633">
        <f>(IF(ISNA(VLOOKUP(E217,TargetTeam!$A$1456:$I$1552,4,0)),0,VLOOKUP(E217,TargetTeam!$A$1456:$I$1552,4,0)))/1000000</f>
        <v>0</v>
      </c>
      <c r="N217" s="1774"/>
      <c r="O217" s="1774"/>
      <c r="P217" s="1774"/>
      <c r="Q217" s="1774"/>
      <c r="R217" s="1774"/>
      <c r="S217" s="1774"/>
    </row>
    <row r="218" spans="1:19">
      <c r="A218" s="1661"/>
      <c r="B218" s="1661"/>
      <c r="D218" s="1669" t="s">
        <v>2709</v>
      </c>
      <c r="E218" s="1669" t="s">
        <v>2708</v>
      </c>
      <c r="H218" s="1774"/>
      <c r="I218" s="1774"/>
      <c r="J218" s="1774"/>
      <c r="K218" s="1774"/>
      <c r="L218" s="1774"/>
      <c r="M218" s="1633">
        <f>(IF(ISNA(VLOOKUP(E218,TargetTeam!$A$1456:$I$1552,4,0)),0,VLOOKUP(E218,TargetTeam!$A$1456:$I$1552,4,0)))/1000000</f>
        <v>451</v>
      </c>
      <c r="N218" s="1774"/>
      <c r="O218" s="1774"/>
      <c r="P218" s="1774"/>
      <c r="Q218" s="1774"/>
      <c r="R218" s="1774"/>
      <c r="S218" s="1774"/>
    </row>
    <row r="219" spans="1:19">
      <c r="A219" s="1661"/>
      <c r="B219" s="1661"/>
      <c r="D219" s="1669" t="s">
        <v>3528</v>
      </c>
      <c r="E219" s="1669" t="s">
        <v>2900</v>
      </c>
      <c r="H219" s="1774"/>
      <c r="I219" s="1774"/>
      <c r="J219" s="1774"/>
      <c r="K219" s="1774"/>
      <c r="L219" s="1774"/>
      <c r="M219" s="1633">
        <f>(IF(ISNA(VLOOKUP(E219,TargetTeam!$A$1456:$I$1552,4,0)),0,VLOOKUP(E219,TargetTeam!$A$1456:$I$1552,4,0)))/1000000</f>
        <v>475</v>
      </c>
      <c r="N219" s="1774"/>
      <c r="O219" s="1774"/>
      <c r="P219" s="1774"/>
      <c r="Q219" s="1774"/>
      <c r="R219" s="1774"/>
      <c r="S219" s="1774"/>
    </row>
    <row r="220" spans="1:19">
      <c r="A220" s="1661"/>
      <c r="B220" s="1661"/>
      <c r="D220" s="1669" t="s">
        <v>2705</v>
      </c>
      <c r="E220" s="1669" t="s">
        <v>3517</v>
      </c>
      <c r="G220" s="1596">
        <f t="shared" ref="G220:G228" si="11">SUMIF($H$164:$S$164,"&lt;="&amp;$E$44,$H220:$S220)</f>
        <v>1150</v>
      </c>
      <c r="H220" s="1633">
        <f>(IF(ISNA(VLOOKUP(E220,TargetTeam!$A$1002:$I$1086,4,0)),0,VLOOKUP(E220,TargetTeam!$A$1002:$I$1086,4,0)))/1000000</f>
        <v>0</v>
      </c>
      <c r="I220" s="1633">
        <f>(IF(ISNA(VLOOKUP(E220,TargetTeam!$A$1091:$D$1174,4,0)),0,VLOOKUP(E220,TargetTeam!$A$1091:$D$1174,4,0)))/1000000</f>
        <v>0</v>
      </c>
      <c r="J220" s="1633">
        <f>(IF(ISNA(VLOOKUP(E220,TargetTeam!$A$1178:$I$1266,4,0)),0,VLOOKUP(E220,TargetTeam!$A$1178:$I$1266,4,0)))/1000000</f>
        <v>0</v>
      </c>
      <c r="K220" s="1633">
        <f>(IF(ISNA(VLOOKUP(E220,TargetTeam!$A$1270:$I$1359,4,0)),0,VLOOKUP(E220,TargetTeam!$A$1270:$I$1359,4,0)))/1000000</f>
        <v>0</v>
      </c>
      <c r="L220" s="1633">
        <f>(IF(ISNA(VLOOKUP(E220,TargetTeam!$A$1363:$I$1414,4,0)),0,VLOOKUP(E220,TargetTeam!$A$1363:$I$1414,4,0)))/1000000</f>
        <v>0</v>
      </c>
      <c r="M220" s="1633">
        <f>(IF(ISNA(VLOOKUP(E220,TargetTeam!$A$1456:$I$1552,4,0)),0,VLOOKUP(E220,TargetTeam!$A$1456:$I$1552,4,0)))/1000000</f>
        <v>1150</v>
      </c>
      <c r="N220" s="1774"/>
      <c r="O220" s="1774"/>
      <c r="P220" s="1774"/>
      <c r="Q220" s="1774"/>
      <c r="R220" s="1774"/>
      <c r="S220" s="1774"/>
    </row>
    <row r="221" spans="1:19">
      <c r="A221" s="1661"/>
      <c r="B221" s="1661"/>
      <c r="D221" s="1669" t="s">
        <v>3519</v>
      </c>
      <c r="E221" s="1669" t="s">
        <v>3518</v>
      </c>
      <c r="G221" s="1596">
        <f t="shared" si="11"/>
        <v>400</v>
      </c>
      <c r="H221" s="1633">
        <f>(IF(ISNA(VLOOKUP(E221,TargetTeam!$A$1002:$I$1086,4,0)),0,VLOOKUP(E221,TargetTeam!$A$1002:$I$1086,4,0)))/1000000</f>
        <v>0</v>
      </c>
      <c r="I221" s="1633">
        <f>(IF(ISNA(VLOOKUP(E221,TargetTeam!$A$1091:$D$1174,4,0)),0,VLOOKUP(E221,TargetTeam!$A$1091:$D$1174,4,0)))/1000000</f>
        <v>0</v>
      </c>
      <c r="J221" s="1633">
        <f>(IF(ISNA(VLOOKUP(E221,TargetTeam!$A$1178:$I$1266,4,0)),0,VLOOKUP(E221,TargetTeam!$A$1178:$I$1266,4,0)))/1000000</f>
        <v>0</v>
      </c>
      <c r="K221" s="1633">
        <f>(IF(ISNA(VLOOKUP(E221,TargetTeam!$A$1270:$I$1359,4,0)),0,VLOOKUP(E221,TargetTeam!$A$1270:$I$1359,4,0)))/1000000</f>
        <v>0</v>
      </c>
      <c r="L221" s="1633">
        <f>(IF(ISNA(VLOOKUP(E221,TargetTeam!$A$1363:$I$1414,4,0)),0,VLOOKUP(E221,TargetTeam!$A$1363:$I$1414,4,0)))/1000000</f>
        <v>0</v>
      </c>
      <c r="M221" s="1633">
        <f>(IF(ISNA(VLOOKUP(E221,TargetTeam!$A$1456:$I$1552,4,0)),0,VLOOKUP(E221,TargetTeam!$A$1456:$I$1552,4,0)))/1000000</f>
        <v>400</v>
      </c>
      <c r="N221" s="1774"/>
      <c r="O221" s="1774"/>
      <c r="P221" s="1774"/>
      <c r="Q221" s="1774"/>
      <c r="R221" s="1774"/>
      <c r="S221" s="1774"/>
    </row>
    <row r="222" spans="1:19">
      <c r="A222" s="1661"/>
      <c r="B222" s="1661"/>
      <c r="D222" s="1669" t="s">
        <v>3521</v>
      </c>
      <c r="E222" s="1669" t="s">
        <v>3520</v>
      </c>
      <c r="G222" s="1596">
        <f t="shared" si="11"/>
        <v>1100</v>
      </c>
      <c r="H222" s="1633">
        <f>(IF(ISNA(VLOOKUP(E222,TargetTeam!$A$1002:$I$1086,4,0)),0,VLOOKUP(E222,TargetTeam!$A$1002:$I$1086,4,0)))/1000000</f>
        <v>0</v>
      </c>
      <c r="I222" s="1633">
        <f>(IF(ISNA(VLOOKUP(E222,TargetTeam!$A$1091:$D$1174,4,0)),0,VLOOKUP(E222,TargetTeam!$A$1091:$D$1174,4,0)))/1000000</f>
        <v>0</v>
      </c>
      <c r="J222" s="1633">
        <f>(IF(ISNA(VLOOKUP(E222,TargetTeam!$A$1178:$I$1266,4,0)),0,VLOOKUP(E222,TargetTeam!$A$1178:$I$1266,4,0)))/1000000</f>
        <v>0</v>
      </c>
      <c r="K222" s="1633">
        <f>(IF(ISNA(VLOOKUP(E222,TargetTeam!$A$1270:$I$1359,4,0)),0,VLOOKUP(E222,TargetTeam!$A$1270:$I$1359,4,0)))/1000000</f>
        <v>0</v>
      </c>
      <c r="L222" s="1633">
        <f>(IF(ISNA(VLOOKUP(E222,TargetTeam!$A$1363:$I$1414,4,0)),0,VLOOKUP(E222,TargetTeam!$A$1363:$I$1414,4,0)))/1000000</f>
        <v>0</v>
      </c>
      <c r="M222" s="1633">
        <f>(IF(ISNA(VLOOKUP(E222,TargetTeam!$A$1456:$I$1552,4,0)),0,VLOOKUP(E222,TargetTeam!$A$1456:$I$1552,4,0)))/1000000</f>
        <v>1100</v>
      </c>
      <c r="N222" s="1774"/>
      <c r="O222" s="1774"/>
      <c r="P222" s="1774"/>
      <c r="Q222" s="1774"/>
      <c r="R222" s="1774"/>
      <c r="S222" s="1774"/>
    </row>
    <row r="223" spans="1:19">
      <c r="A223" s="1661"/>
      <c r="B223" s="1661"/>
      <c r="D223" s="1669" t="s">
        <v>3523</v>
      </c>
      <c r="E223" s="1669" t="s">
        <v>3522</v>
      </c>
      <c r="G223" s="1596">
        <f t="shared" si="11"/>
        <v>200</v>
      </c>
      <c r="H223" s="1633">
        <f>(IF(ISNA(VLOOKUP(E223,TargetTeam!$A$1002:$I$1086,4,0)),0,VLOOKUP(E223,TargetTeam!$A$1002:$I$1086,4,0)))/1000000</f>
        <v>0</v>
      </c>
      <c r="I223" s="1633">
        <f>(IF(ISNA(VLOOKUP(E223,TargetTeam!$A$1091:$D$1174,4,0)),0,VLOOKUP(E223,TargetTeam!$A$1091:$D$1174,4,0)))/1000000</f>
        <v>0</v>
      </c>
      <c r="J223" s="1633">
        <f>(IF(ISNA(VLOOKUP(E223,TargetTeam!$A$1178:$I$1266,4,0)),0,VLOOKUP(E223,TargetTeam!$A$1178:$I$1266,4,0)))/1000000</f>
        <v>0</v>
      </c>
      <c r="K223" s="1633">
        <f>(IF(ISNA(VLOOKUP(E223,TargetTeam!$A$1270:$I$1359,4,0)),0,VLOOKUP(E223,TargetTeam!$A$1270:$I$1359,4,0)))/1000000</f>
        <v>0</v>
      </c>
      <c r="L223" s="1633">
        <f>(IF(ISNA(VLOOKUP(E223,TargetTeam!$A$1363:$I$1414,4,0)),0,VLOOKUP(E223,TargetTeam!$A$1363:$I$1414,4,0)))/1000000</f>
        <v>0</v>
      </c>
      <c r="M223" s="1633">
        <f>(IF(ISNA(VLOOKUP(E223,TargetTeam!$A$1456:$I$1552,4,0)),0,VLOOKUP(E223,TargetTeam!$A$1456:$I$1552,4,0)))/1000000</f>
        <v>200</v>
      </c>
      <c r="N223" s="1633"/>
      <c r="O223" s="1633"/>
      <c r="P223" s="1633"/>
      <c r="Q223" s="1633"/>
      <c r="R223" s="1633"/>
      <c r="S223" s="1633"/>
    </row>
    <row r="224" spans="1:19">
      <c r="A224" s="1661"/>
      <c r="B224" s="1661"/>
      <c r="D224" s="1669" t="s">
        <v>3525</v>
      </c>
      <c r="E224" s="1669" t="s">
        <v>3524</v>
      </c>
      <c r="G224" s="1596">
        <f t="shared" si="11"/>
        <v>200</v>
      </c>
      <c r="H224" s="1633">
        <f>(IF(ISNA(VLOOKUP(E224,TargetTeam!$A$1002:$I$1086,4,0)),0,VLOOKUP(E224,TargetTeam!$A$1002:$I$1086,4,0)))/1000000</f>
        <v>0</v>
      </c>
      <c r="I224" s="1633">
        <f>(IF(ISNA(VLOOKUP(E224,TargetTeam!$A$1091:$D$1174,4,0)),0,VLOOKUP(E224,TargetTeam!$A$1091:$D$1174,4,0)))/1000000</f>
        <v>0</v>
      </c>
      <c r="J224" s="1633">
        <f>(IF(ISNA(VLOOKUP(E224,TargetTeam!$A$1178:$I$1266,4,0)),0,VLOOKUP(E224,TargetTeam!$A$1178:$I$1266,4,0)))/1000000</f>
        <v>0</v>
      </c>
      <c r="K224" s="1633">
        <f>(IF(ISNA(VLOOKUP(E224,TargetTeam!$A$1270:$I$1359,4,0)),0,VLOOKUP(E224,TargetTeam!$A$1270:$I$1359,4,0)))/1000000</f>
        <v>0</v>
      </c>
      <c r="L224" s="1633">
        <f>(IF(ISNA(VLOOKUP(E224,TargetTeam!$A$1363:$I$1414,4,0)),0,VLOOKUP(E224,TargetTeam!$A$1363:$I$1414,4,0)))/1000000</f>
        <v>0</v>
      </c>
      <c r="M224" s="1633">
        <f>(IF(ISNA(VLOOKUP(E224,TargetTeam!$A$1456:$I$1552,4,0)),0,VLOOKUP(E224,TargetTeam!$A$1456:$I$1552,4,0)))/1000000</f>
        <v>200</v>
      </c>
      <c r="N224" s="1633"/>
      <c r="O224" s="1633"/>
      <c r="P224" s="1633"/>
      <c r="Q224" s="1633"/>
      <c r="R224" s="1633"/>
      <c r="S224" s="1633"/>
    </row>
    <row r="225" spans="1:19">
      <c r="A225" s="1661"/>
      <c r="B225" s="1661"/>
      <c r="D225" s="1669" t="s">
        <v>2711</v>
      </c>
      <c r="E225" s="1669" t="s">
        <v>2710</v>
      </c>
      <c r="G225" s="1596">
        <f t="shared" si="11"/>
        <v>1057</v>
      </c>
      <c r="H225" s="1633">
        <f>(IF(ISNA(VLOOKUP(E225,TargetTeam!$A$1002:$I$1086,4,0)),0,VLOOKUP(E225,TargetTeam!$A$1002:$I$1086,4,0)))/1000000</f>
        <v>0</v>
      </c>
      <c r="I225" s="1633">
        <f>(IF(ISNA(VLOOKUP(E225,TargetTeam!$A$1091:$D$1174,4,0)),0,VLOOKUP(E225,TargetTeam!$A$1091:$D$1174,4,0)))/1000000</f>
        <v>0</v>
      </c>
      <c r="J225" s="1633">
        <f>(IF(ISNA(VLOOKUP(E225,TargetTeam!$A$1178:$I$1266,4,0)),0,VLOOKUP(E225,TargetTeam!$A$1178:$I$1266,4,0)))/1000000</f>
        <v>120</v>
      </c>
      <c r="K225" s="1633">
        <f>(IF(ISNA(VLOOKUP(E225,TargetTeam!$A$1270:$I$1359,4,0)),0,VLOOKUP(E225,TargetTeam!$A$1270:$I$1359,4,0)))/1000000</f>
        <v>202</v>
      </c>
      <c r="L225" s="1633">
        <f>(IF(ISNA(VLOOKUP(E225,TargetTeam!$A$1363:$I$1414,4,0)),0,VLOOKUP(E225,TargetTeam!$A$1363:$I$1414,4,0)))/1000000</f>
        <v>284</v>
      </c>
      <c r="M225" s="1633">
        <f>(IF(ISNA(VLOOKUP(E225,TargetTeam!$A$1456:$I$1552,4,0)),0,VLOOKUP(E225,TargetTeam!$A$1456:$I$1552,4,0)))/1000000</f>
        <v>451</v>
      </c>
      <c r="N225" s="1633"/>
      <c r="O225" s="1633"/>
      <c r="P225" s="1633"/>
      <c r="Q225" s="1633"/>
      <c r="R225" s="1633"/>
      <c r="S225" s="1633"/>
    </row>
    <row r="226" spans="1:19">
      <c r="A226" s="1661"/>
      <c r="B226" s="1661"/>
      <c r="D226" s="1669" t="s">
        <v>1573</v>
      </c>
      <c r="E226" s="1669" t="s">
        <v>1572</v>
      </c>
      <c r="G226" s="1596">
        <f t="shared" si="11"/>
        <v>2813.2</v>
      </c>
      <c r="H226" s="1633">
        <f>(IF(ISNA(VLOOKUP(E226,TargetTeam!$A$1002:$I$1086,4,0)),0,VLOOKUP(E226,TargetTeam!$A$1002:$I$1086,4,0)))/1000000</f>
        <v>297.7</v>
      </c>
      <c r="I226" s="1633">
        <f>(IF(ISNA(VLOOKUP(E226,TargetTeam!$A$1091:$D$1174,4,0)),0,VLOOKUP(E226,TargetTeam!$A$1091:$D$1174,4,0)))/1000000</f>
        <v>148.9</v>
      </c>
      <c r="J226" s="1633">
        <f>(IF(ISNA(VLOOKUP(E226,TargetTeam!$A$1178:$I$1266,4,0)),0,VLOOKUP(E226,TargetTeam!$A$1178:$I$1266,4,0)))/1000000</f>
        <v>446.6</v>
      </c>
      <c r="K226" s="1633">
        <f>(IF(ISNA(VLOOKUP(E226,TargetTeam!$A$1270:$I$1359,4,0)),0,VLOOKUP(E226,TargetTeam!$A$1270:$I$1359,4,0)))/1000000</f>
        <v>680</v>
      </c>
      <c r="L226" s="1633">
        <f>(IF(ISNA(VLOOKUP(E226,TargetTeam!$A$1363:$I$1414,4,0)),0,VLOOKUP(E226,TargetTeam!$A$1363:$I$1414,4,0)))/1000000</f>
        <v>530</v>
      </c>
      <c r="M226" s="1633">
        <f>(IF(ISNA(VLOOKUP(E226,TargetTeam!$A$1456:$I$1552,4,0)),0,VLOOKUP(E226,TargetTeam!$A$1456:$I$1552,4,0)))/1000000</f>
        <v>710</v>
      </c>
      <c r="N226" s="1633"/>
      <c r="O226" s="1633"/>
      <c r="P226" s="1633"/>
      <c r="Q226" s="1633"/>
      <c r="R226" s="1633"/>
      <c r="S226" s="1633"/>
    </row>
    <row r="227" spans="1:19">
      <c r="A227" s="1661"/>
      <c r="B227" s="1661"/>
      <c r="D227" s="1669" t="s">
        <v>1420</v>
      </c>
      <c r="E227" s="1669" t="s">
        <v>1419</v>
      </c>
      <c r="G227" s="1596">
        <f t="shared" si="11"/>
        <v>3365</v>
      </c>
      <c r="H227" s="1633">
        <f>(IF(ISNA(VLOOKUP(E227,TargetTeam!$A$1002:$I$1086,4,0)),0,VLOOKUP(E227,TargetTeam!$A$1002:$I$1086,4,0)))/1000000</f>
        <v>360</v>
      </c>
      <c r="I227" s="1633">
        <f>(IF(ISNA(VLOOKUP(E227,TargetTeam!$A$1091:$D$1174,4,0)),0,VLOOKUP(E227,TargetTeam!$A$1091:$D$1174,4,0)))/1000000</f>
        <v>180</v>
      </c>
      <c r="J227" s="1633">
        <f>(IF(ISNA(VLOOKUP(E227,TargetTeam!$A$1178:$I$1266,4,0)),0,VLOOKUP(E227,TargetTeam!$A$1178:$I$1266,4,0)))/1000000</f>
        <v>540</v>
      </c>
      <c r="K227" s="1633">
        <f>(IF(ISNA(VLOOKUP(E227,TargetTeam!$A$1270:$I$1359,4,0)),0,VLOOKUP(E227,TargetTeam!$A$1270:$I$1359,4,0)))/1000000</f>
        <v>800</v>
      </c>
      <c r="L227" s="1633">
        <f>(IF(ISNA(VLOOKUP(E227,TargetTeam!$A$1363:$I$1414,4,0)),0,VLOOKUP(E227,TargetTeam!$A$1363:$I$1414,4,0)))/1000000</f>
        <v>630</v>
      </c>
      <c r="M227" s="1633">
        <f>(IF(ISNA(VLOOKUP(E227,TargetTeam!$A$1456:$I$1552,4,0)),0,VLOOKUP(E227,TargetTeam!$A$1456:$I$1552,4,0)))/1000000</f>
        <v>855</v>
      </c>
      <c r="N227" s="1633"/>
      <c r="O227" s="1633"/>
      <c r="P227" s="1633"/>
      <c r="Q227" s="1633"/>
      <c r="R227" s="1633"/>
      <c r="S227" s="1633"/>
    </row>
    <row r="228" spans="1:19">
      <c r="A228" s="1661"/>
      <c r="B228" s="1661"/>
      <c r="D228" s="1669" t="s">
        <v>1571</v>
      </c>
      <c r="E228" s="1669" t="s">
        <v>1570</v>
      </c>
      <c r="G228" s="1596">
        <f t="shared" si="11"/>
        <v>2964.9</v>
      </c>
      <c r="H228" s="1633">
        <f>(IF(ISNA(VLOOKUP(E228,TargetTeam!$A$1002:$I$1086,4,0)),0,VLOOKUP(E228,TargetTeam!$A$1002:$I$1086,4,0)))/1000000</f>
        <v>305</v>
      </c>
      <c r="I228" s="1633">
        <f>(IF(ISNA(VLOOKUP(E228,TargetTeam!$A$1091:$D$1174,4,0)),0,VLOOKUP(E228,TargetTeam!$A$1091:$D$1174,4,0)))/1000000</f>
        <v>152.5</v>
      </c>
      <c r="J228" s="1633">
        <f>(IF(ISNA(VLOOKUP(E228,TargetTeam!$A$1178:$I$1266,4,0)),0,VLOOKUP(E228,TargetTeam!$A$1178:$I$1266,4,0)))/1000000</f>
        <v>457.4</v>
      </c>
      <c r="K228" s="1633">
        <f>(IF(ISNA(VLOOKUP(E228,TargetTeam!$A$1270:$I$1359,4,0)),0,VLOOKUP(E228,TargetTeam!$A$1270:$I$1359,4,0)))/1000000</f>
        <v>700</v>
      </c>
      <c r="L228" s="1633">
        <f>(IF(ISNA(VLOOKUP(E228,TargetTeam!$A$1363:$I$1414,4,0)),0,VLOOKUP(E228,TargetTeam!$A$1363:$I$1414,4,0)))/1000000</f>
        <v>600</v>
      </c>
      <c r="M228" s="1633">
        <f>(IF(ISNA(VLOOKUP(E228,TargetTeam!$A$1456:$I$1552,4,0)),0,VLOOKUP(E228,TargetTeam!$A$1456:$I$1552,4,0)))/1000000</f>
        <v>750</v>
      </c>
      <c r="N228" s="1633"/>
      <c r="O228" s="1633"/>
      <c r="P228" s="1633"/>
      <c r="Q228" s="1633"/>
      <c r="R228" s="1633"/>
      <c r="S228" s="1633"/>
    </row>
  </sheetData>
  <conditionalFormatting sqref="E100:E162">
    <cfRule type="duplicateValues" dxfId="55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workbookViewId="0"/>
  </sheetViews>
  <sheetFormatPr defaultColWidth="9.140625" defaultRowHeight="12.75"/>
  <cols>
    <col min="1" max="1" width="1.28515625" style="1016" customWidth="1"/>
    <col min="2" max="2" width="7.5703125" style="1016" customWidth="1"/>
    <col min="3" max="3" width="16.28515625" style="1016" customWidth="1"/>
    <col min="4" max="4" width="25.85546875" style="1016" customWidth="1"/>
    <col min="5" max="5" width="32.28515625" style="1386" customWidth="1"/>
    <col min="6" max="6" width="8.140625" style="1016" customWidth="1"/>
    <col min="7" max="8" width="9.140625" style="1016"/>
    <col min="9" max="9" width="8.85546875" style="1016" customWidth="1"/>
    <col min="10" max="10" width="6.85546875" style="1016" customWidth="1"/>
    <col min="11" max="11" width="8.140625" style="1016" customWidth="1"/>
    <col min="12" max="12" width="9.140625" style="1016"/>
    <col min="13" max="13" width="2.7109375" style="1016" customWidth="1"/>
    <col min="14" max="14" width="6.28515625" style="1016" customWidth="1"/>
    <col min="15" max="15" width="6.85546875" style="1016" customWidth="1"/>
    <col min="16" max="16" width="9.140625" style="1016"/>
    <col min="17" max="17" width="6.5703125" style="1016" customWidth="1"/>
    <col min="18" max="18" width="7" style="1016" customWidth="1"/>
    <col min="19" max="19" width="7.85546875" style="1016" customWidth="1"/>
    <col min="20" max="20" width="7.28515625" style="1016" customWidth="1"/>
    <col min="21" max="21" width="9.140625" style="1016"/>
    <col min="22" max="22" width="9.85546875" style="1016" customWidth="1"/>
    <col min="23" max="23" width="15.7109375" style="1235" customWidth="1"/>
    <col min="24" max="24" width="11.42578125" style="1016" customWidth="1"/>
    <col min="25" max="16384" width="9.140625" style="1016"/>
  </cols>
  <sheetData>
    <row r="1" spans="2:22">
      <c r="B1" s="1443" t="s">
        <v>349</v>
      </c>
      <c r="E1" s="1672"/>
      <c r="K1" s="1445" t="s">
        <v>0</v>
      </c>
    </row>
    <row r="2" spans="2:22">
      <c r="B2" s="1013" t="s">
        <v>350</v>
      </c>
    </row>
    <row r="5" spans="2:22">
      <c r="F5" s="1446" t="s">
        <v>339</v>
      </c>
      <c r="N5" s="1446" t="s">
        <v>340</v>
      </c>
    </row>
    <row r="6" spans="2:22" ht="12.75" customHeight="1">
      <c r="B6" s="1447"/>
      <c r="C6" s="1448"/>
      <c r="D6" s="1449"/>
      <c r="E6" s="1450"/>
      <c r="F6" s="1451"/>
      <c r="G6" s="52" t="s">
        <v>209</v>
      </c>
      <c r="H6" s="51"/>
      <c r="I6" s="1452"/>
      <c r="J6" s="1452"/>
      <c r="K6" s="51"/>
      <c r="L6" s="53"/>
      <c r="N6" s="1453" t="s">
        <v>88</v>
      </c>
      <c r="O6" s="1452"/>
      <c r="P6" s="1452"/>
      <c r="Q6" s="1454"/>
      <c r="R6" s="1451"/>
      <c r="S6" s="1453" t="s">
        <v>204</v>
      </c>
      <c r="T6" s="1452"/>
      <c r="U6" s="1452"/>
      <c r="V6" s="1454"/>
    </row>
    <row r="7" spans="2:22" ht="36">
      <c r="B7" s="1455" t="s">
        <v>338</v>
      </c>
      <c r="C7" s="1456" t="s">
        <v>15</v>
      </c>
      <c r="D7" s="1457" t="s">
        <v>342</v>
      </c>
      <c r="E7" s="1673" t="s">
        <v>343</v>
      </c>
      <c r="F7" s="1458" t="s">
        <v>373</v>
      </c>
      <c r="G7" s="55" t="s">
        <v>336</v>
      </c>
      <c r="H7" s="155" t="s">
        <v>337</v>
      </c>
      <c r="I7" s="1459" t="s">
        <v>46</v>
      </c>
      <c r="J7" s="165" t="s">
        <v>21</v>
      </c>
      <c r="K7" s="286" t="s">
        <v>14</v>
      </c>
      <c r="L7" s="56" t="s">
        <v>22</v>
      </c>
      <c r="M7" s="1016" t="s">
        <v>380</v>
      </c>
      <c r="N7" s="1460" t="s">
        <v>18</v>
      </c>
      <c r="O7" s="1461" t="s">
        <v>207</v>
      </c>
      <c r="P7" s="1462" t="s">
        <v>358</v>
      </c>
      <c r="Q7" s="1463" t="s">
        <v>359</v>
      </c>
      <c r="R7" s="1464" t="s">
        <v>341</v>
      </c>
      <c r="S7" s="1460" t="s">
        <v>205</v>
      </c>
      <c r="T7" s="1465" t="s">
        <v>206</v>
      </c>
      <c r="U7" s="1466" t="s">
        <v>233</v>
      </c>
      <c r="V7" s="1465" t="s">
        <v>229</v>
      </c>
    </row>
    <row r="8" spans="2:22" ht="13.5">
      <c r="B8" s="1577">
        <v>201606</v>
      </c>
      <c r="C8" s="326" t="s">
        <v>458</v>
      </c>
      <c r="D8" s="327" t="s">
        <v>1563</v>
      </c>
      <c r="E8" s="327" t="s">
        <v>1564</v>
      </c>
      <c r="F8" s="459">
        <v>2186.9289999999996</v>
      </c>
      <c r="G8" s="339">
        <v>574.96699999999998</v>
      </c>
      <c r="H8" s="337">
        <v>546.24099999999999</v>
      </c>
      <c r="I8" s="331">
        <v>25</v>
      </c>
      <c r="J8" s="577">
        <v>0.33333299999999999</v>
      </c>
      <c r="K8" s="579">
        <v>14.742743589744</v>
      </c>
      <c r="L8" s="436">
        <v>1.56</v>
      </c>
      <c r="M8" s="42" t="s">
        <v>227</v>
      </c>
      <c r="N8" s="334">
        <v>73</v>
      </c>
      <c r="O8" s="335">
        <v>58</v>
      </c>
      <c r="P8" s="335">
        <v>10</v>
      </c>
      <c r="Q8" s="389">
        <v>5</v>
      </c>
      <c r="R8" s="430">
        <v>13</v>
      </c>
      <c r="S8" s="339"/>
      <c r="T8" s="362">
        <v>9</v>
      </c>
      <c r="U8" s="337">
        <v>7</v>
      </c>
      <c r="V8" s="338">
        <v>0.46666666666666667</v>
      </c>
    </row>
    <row r="9" spans="2:22" ht="13.5">
      <c r="B9" s="1577">
        <v>201606</v>
      </c>
      <c r="C9" s="324" t="s">
        <v>458</v>
      </c>
      <c r="D9" s="325" t="s">
        <v>1099</v>
      </c>
      <c r="E9" s="325" t="s">
        <v>1286</v>
      </c>
      <c r="F9" s="460">
        <v>2217.506000000003</v>
      </c>
      <c r="G9" s="92">
        <v>739.70100000000002</v>
      </c>
      <c r="H9" s="279">
        <v>536.28800000000001</v>
      </c>
      <c r="I9" s="154">
        <v>21</v>
      </c>
      <c r="J9" s="576">
        <v>0.25609799999999999</v>
      </c>
      <c r="K9" s="578">
        <v>19.991918918919001</v>
      </c>
      <c r="L9" s="437">
        <v>1.7619050000000001</v>
      </c>
      <c r="M9" s="42" t="s">
        <v>227</v>
      </c>
      <c r="N9" s="47">
        <v>74</v>
      </c>
      <c r="O9" s="45">
        <v>56</v>
      </c>
      <c r="P9" s="45">
        <v>16</v>
      </c>
      <c r="Q9" s="388">
        <v>2</v>
      </c>
      <c r="R9" s="429">
        <v>16</v>
      </c>
      <c r="S9" s="92"/>
      <c r="T9" s="361"/>
      <c r="U9" s="285"/>
      <c r="V9" s="438"/>
    </row>
    <row r="10" spans="2:22" ht="13.5">
      <c r="B10" s="1577">
        <v>201606</v>
      </c>
      <c r="C10" s="326" t="s">
        <v>458</v>
      </c>
      <c r="D10" s="327" t="s">
        <v>900</v>
      </c>
      <c r="E10" s="327" t="s">
        <v>901</v>
      </c>
      <c r="F10" s="459">
        <v>7701.032000000012</v>
      </c>
      <c r="G10" s="339">
        <v>1332.008</v>
      </c>
      <c r="H10" s="337">
        <v>1268.518</v>
      </c>
      <c r="I10" s="331">
        <v>20</v>
      </c>
      <c r="J10" s="577">
        <v>0.25641000000000003</v>
      </c>
      <c r="K10" s="579">
        <v>21.142984126984</v>
      </c>
      <c r="L10" s="436">
        <v>3.15</v>
      </c>
      <c r="M10" s="42" t="s">
        <v>227</v>
      </c>
      <c r="N10" s="334">
        <v>79</v>
      </c>
      <c r="O10" s="335">
        <v>61</v>
      </c>
      <c r="P10" s="335">
        <v>14</v>
      </c>
      <c r="Q10" s="389">
        <v>4</v>
      </c>
      <c r="R10" s="430">
        <v>0</v>
      </c>
      <c r="S10" s="339"/>
      <c r="T10" s="362">
        <v>2</v>
      </c>
      <c r="U10" s="337">
        <v>2</v>
      </c>
      <c r="V10" s="338">
        <v>0.1111111111111111</v>
      </c>
    </row>
    <row r="11" spans="2:22" ht="13.5">
      <c r="B11" s="1577">
        <v>201606</v>
      </c>
      <c r="C11" s="324" t="s">
        <v>458</v>
      </c>
      <c r="D11" s="325" t="s">
        <v>649</v>
      </c>
      <c r="E11" s="325" t="s">
        <v>645</v>
      </c>
      <c r="F11" s="460">
        <v>1855.4740000000004</v>
      </c>
      <c r="G11" s="92">
        <v>510.798</v>
      </c>
      <c r="H11" s="279">
        <v>481.166</v>
      </c>
      <c r="I11" s="154">
        <v>19</v>
      </c>
      <c r="J11" s="576">
        <v>0.17431199999999999</v>
      </c>
      <c r="K11" s="578">
        <v>20.431920000000002</v>
      </c>
      <c r="L11" s="437">
        <v>1.3157890000000001</v>
      </c>
      <c r="M11" s="42" t="s">
        <v>227</v>
      </c>
      <c r="N11" s="47">
        <v>105</v>
      </c>
      <c r="O11" s="45">
        <v>81</v>
      </c>
      <c r="P11" s="45">
        <v>16</v>
      </c>
      <c r="Q11" s="388">
        <v>8</v>
      </c>
      <c r="R11" s="429">
        <v>16</v>
      </c>
      <c r="S11" s="92"/>
      <c r="T11" s="361">
        <v>7</v>
      </c>
      <c r="U11" s="285">
        <v>6</v>
      </c>
      <c r="V11" s="438">
        <v>0.25</v>
      </c>
    </row>
    <row r="12" spans="2:22" ht="13.5">
      <c r="B12" s="1577">
        <v>201606</v>
      </c>
      <c r="C12" s="326" t="s">
        <v>458</v>
      </c>
      <c r="D12" s="327" t="s">
        <v>2900</v>
      </c>
      <c r="E12" s="327" t="s">
        <v>3528</v>
      </c>
      <c r="F12" s="459">
        <v>10.333</v>
      </c>
      <c r="G12" s="339">
        <v>10.333</v>
      </c>
      <c r="H12" s="337">
        <v>10.333</v>
      </c>
      <c r="I12" s="331">
        <v>1</v>
      </c>
      <c r="J12" s="577">
        <v>0.125</v>
      </c>
      <c r="K12" s="579">
        <v>10.333</v>
      </c>
      <c r="L12" s="436">
        <v>1</v>
      </c>
      <c r="M12" s="42" t="s">
        <v>227</v>
      </c>
      <c r="N12" s="334">
        <v>16</v>
      </c>
      <c r="O12" s="335">
        <v>5</v>
      </c>
      <c r="P12" s="335">
        <v>11</v>
      </c>
      <c r="Q12" s="389">
        <v>0</v>
      </c>
      <c r="R12" s="430">
        <v>0</v>
      </c>
      <c r="S12" s="339">
        <v>11</v>
      </c>
      <c r="T12" s="362">
        <v>5</v>
      </c>
      <c r="U12" s="337">
        <v>3</v>
      </c>
      <c r="V12" s="338">
        <v>0.27272727272727271</v>
      </c>
    </row>
    <row r="13" spans="2:22" ht="13.5">
      <c r="B13" s="1577">
        <v>201606</v>
      </c>
      <c r="C13" s="324" t="s">
        <v>458</v>
      </c>
      <c r="D13" s="325" t="s">
        <v>3168</v>
      </c>
      <c r="E13" s="325" t="s">
        <v>3169</v>
      </c>
      <c r="F13" s="460">
        <v>158.59100000000001</v>
      </c>
      <c r="G13" s="92">
        <v>158.59100000000001</v>
      </c>
      <c r="H13" s="279">
        <v>158.59100000000001</v>
      </c>
      <c r="I13" s="154">
        <v>11</v>
      </c>
      <c r="J13" s="576">
        <v>0.53658499999999998</v>
      </c>
      <c r="K13" s="578">
        <v>12.199307692307999</v>
      </c>
      <c r="L13" s="437">
        <v>1.181818</v>
      </c>
      <c r="M13" s="42" t="s">
        <v>227</v>
      </c>
      <c r="N13" s="47">
        <v>37</v>
      </c>
      <c r="O13" s="45">
        <v>28</v>
      </c>
      <c r="P13" s="45">
        <v>9</v>
      </c>
      <c r="Q13" s="388">
        <v>0</v>
      </c>
      <c r="R13" s="429">
        <v>0</v>
      </c>
      <c r="S13" s="92">
        <v>7</v>
      </c>
      <c r="T13" s="361">
        <v>26</v>
      </c>
      <c r="U13" s="285">
        <v>9</v>
      </c>
      <c r="V13" s="438">
        <v>1</v>
      </c>
    </row>
    <row r="14" spans="2:22" ht="13.5">
      <c r="B14" s="1577">
        <v>201606</v>
      </c>
      <c r="C14" s="326" t="s">
        <v>458</v>
      </c>
      <c r="D14" s="327" t="s">
        <v>2896</v>
      </c>
      <c r="E14" s="327" t="s">
        <v>1410</v>
      </c>
      <c r="F14" s="459">
        <v>312.45299999999992</v>
      </c>
      <c r="G14" s="339">
        <v>265.37599999999998</v>
      </c>
      <c r="H14" s="337">
        <v>265.37599999999998</v>
      </c>
      <c r="I14" s="331">
        <v>8</v>
      </c>
      <c r="J14" s="577">
        <v>0.59259300000000004</v>
      </c>
      <c r="K14" s="579">
        <v>16.585999999999999</v>
      </c>
      <c r="L14" s="436">
        <v>2</v>
      </c>
      <c r="M14" s="42" t="s">
        <v>227</v>
      </c>
      <c r="N14" s="334">
        <v>20</v>
      </c>
      <c r="O14" s="335">
        <v>13</v>
      </c>
      <c r="P14" s="335">
        <v>7</v>
      </c>
      <c r="Q14" s="389">
        <v>0</v>
      </c>
      <c r="R14" s="430">
        <v>0</v>
      </c>
      <c r="S14" s="339">
        <v>3</v>
      </c>
      <c r="T14" s="362">
        <v>10</v>
      </c>
      <c r="U14" s="337">
        <v>5</v>
      </c>
      <c r="V14" s="338">
        <v>0.7142857142857143</v>
      </c>
    </row>
    <row r="15" spans="2:22" ht="13.5">
      <c r="B15" s="1577">
        <v>201606</v>
      </c>
      <c r="C15" s="324" t="s">
        <v>458</v>
      </c>
      <c r="D15" s="325" t="s">
        <v>902</v>
      </c>
      <c r="E15" s="325" t="s">
        <v>1014</v>
      </c>
      <c r="F15" s="460">
        <v>4837.782000000002</v>
      </c>
      <c r="G15" s="92">
        <v>1535.374</v>
      </c>
      <c r="H15" s="279">
        <v>1387.337</v>
      </c>
      <c r="I15" s="154">
        <v>47</v>
      </c>
      <c r="J15" s="576">
        <v>0.42152499999999998</v>
      </c>
      <c r="K15" s="578">
        <v>18.724073170731998</v>
      </c>
      <c r="L15" s="437">
        <v>1.7446809999999999</v>
      </c>
      <c r="M15" s="42" t="s">
        <v>227</v>
      </c>
      <c r="N15" s="47">
        <v>113</v>
      </c>
      <c r="O15" s="45">
        <v>83</v>
      </c>
      <c r="P15" s="45">
        <v>24</v>
      </c>
      <c r="Q15" s="388">
        <v>6</v>
      </c>
      <c r="R15" s="429">
        <v>15</v>
      </c>
      <c r="S15" s="92">
        <v>3</v>
      </c>
      <c r="T15" s="361">
        <v>14</v>
      </c>
      <c r="U15" s="285">
        <v>9</v>
      </c>
      <c r="V15" s="438">
        <v>0.3</v>
      </c>
    </row>
    <row r="16" spans="2:22" ht="13.5">
      <c r="B16" s="1577">
        <v>201606</v>
      </c>
      <c r="C16" s="326" t="s">
        <v>458</v>
      </c>
      <c r="D16" s="327" t="s">
        <v>642</v>
      </c>
      <c r="E16" s="327" t="s">
        <v>641</v>
      </c>
      <c r="F16" s="459">
        <v>3426.2690000000025</v>
      </c>
      <c r="G16" s="339">
        <v>1177.068</v>
      </c>
      <c r="H16" s="337">
        <v>1113.047</v>
      </c>
      <c r="I16" s="331">
        <v>29</v>
      </c>
      <c r="J16" s="577">
        <v>0.320442</v>
      </c>
      <c r="K16" s="579">
        <v>24.52225</v>
      </c>
      <c r="L16" s="436">
        <v>1.6551720000000001</v>
      </c>
      <c r="M16" s="42" t="s">
        <v>227</v>
      </c>
      <c r="N16" s="334">
        <v>90</v>
      </c>
      <c r="O16" s="335">
        <v>73</v>
      </c>
      <c r="P16" s="335">
        <v>15</v>
      </c>
      <c r="Q16" s="389">
        <v>2</v>
      </c>
      <c r="R16" s="430">
        <v>10</v>
      </c>
      <c r="S16" s="339"/>
      <c r="T16" s="362">
        <v>9</v>
      </c>
      <c r="U16" s="337">
        <v>7</v>
      </c>
      <c r="V16" s="338">
        <v>0.41176470588235292</v>
      </c>
    </row>
    <row r="17" spans="2:22" ht="13.5">
      <c r="B17" s="1577">
        <v>201606</v>
      </c>
      <c r="C17" s="324" t="s">
        <v>458</v>
      </c>
      <c r="D17" s="325" t="s">
        <v>91</v>
      </c>
      <c r="E17" s="325" t="s">
        <v>3529</v>
      </c>
      <c r="F17" s="460">
        <v>4854.2650000000003</v>
      </c>
      <c r="G17" s="92">
        <v>1505.5170000000001</v>
      </c>
      <c r="H17" s="279">
        <v>1486.4190000000001</v>
      </c>
      <c r="I17" s="154">
        <v>64</v>
      </c>
      <c r="J17" s="576">
        <v>0.314496</v>
      </c>
      <c r="K17" s="578">
        <v>14.906108910891</v>
      </c>
      <c r="L17" s="437">
        <v>1.578125</v>
      </c>
      <c r="M17" s="42" t="s">
        <v>227</v>
      </c>
      <c r="N17" s="47">
        <v>212</v>
      </c>
      <c r="O17" s="45">
        <v>153</v>
      </c>
      <c r="P17" s="45">
        <v>45</v>
      </c>
      <c r="Q17" s="388">
        <v>14</v>
      </c>
      <c r="R17" s="429">
        <v>0</v>
      </c>
      <c r="S17" s="92">
        <v>1</v>
      </c>
      <c r="T17" s="361">
        <v>15</v>
      </c>
      <c r="U17" s="285">
        <v>8</v>
      </c>
      <c r="V17" s="438">
        <v>0.13559322033898305</v>
      </c>
    </row>
    <row r="18" spans="2:22" ht="13.5">
      <c r="B18" s="1577">
        <v>201606</v>
      </c>
      <c r="C18" s="326" t="s">
        <v>458</v>
      </c>
      <c r="D18" s="327" t="s">
        <v>187</v>
      </c>
      <c r="E18" s="327" t="s">
        <v>194</v>
      </c>
      <c r="F18" s="459">
        <v>895.00800000000027</v>
      </c>
      <c r="G18" s="339">
        <v>0</v>
      </c>
      <c r="H18" s="337">
        <v>0</v>
      </c>
      <c r="I18" s="331">
        <v>0</v>
      </c>
      <c r="J18" s="577">
        <v>0</v>
      </c>
      <c r="K18" s="579">
        <v>0</v>
      </c>
      <c r="L18" s="436">
        <v>0</v>
      </c>
      <c r="M18" s="42" t="s">
        <v>227</v>
      </c>
      <c r="N18" s="334">
        <v>0</v>
      </c>
      <c r="O18" s="335">
        <v>0</v>
      </c>
      <c r="P18" s="335">
        <v>0</v>
      </c>
      <c r="Q18" s="389">
        <v>0</v>
      </c>
      <c r="R18" s="430">
        <v>0</v>
      </c>
      <c r="S18" s="339"/>
      <c r="T18" s="362"/>
      <c r="U18" s="337"/>
      <c r="V18" s="338"/>
    </row>
    <row r="19" spans="2:22" ht="13.5">
      <c r="B19" s="1577">
        <v>201606</v>
      </c>
      <c r="C19" s="324" t="s">
        <v>458</v>
      </c>
      <c r="D19" s="325" t="s">
        <v>734</v>
      </c>
      <c r="E19" s="325" t="s">
        <v>1766</v>
      </c>
      <c r="F19" s="460">
        <v>2735.6049999999973</v>
      </c>
      <c r="G19" s="92">
        <v>499.14600000000002</v>
      </c>
      <c r="H19" s="279">
        <v>451.34500000000003</v>
      </c>
      <c r="I19" s="154">
        <v>22</v>
      </c>
      <c r="J19" s="576">
        <v>0.15331</v>
      </c>
      <c r="K19" s="578">
        <v>13.135421052632001</v>
      </c>
      <c r="L19" s="437">
        <v>1.7272730000000001</v>
      </c>
      <c r="M19" s="42" t="s">
        <v>227</v>
      </c>
      <c r="N19" s="47">
        <v>130</v>
      </c>
      <c r="O19" s="45">
        <v>95</v>
      </c>
      <c r="P19" s="45">
        <v>30</v>
      </c>
      <c r="Q19" s="388">
        <v>5</v>
      </c>
      <c r="R19" s="429">
        <v>45</v>
      </c>
      <c r="S19" s="92">
        <v>2</v>
      </c>
      <c r="T19" s="361">
        <v>15</v>
      </c>
      <c r="U19" s="285">
        <v>10</v>
      </c>
      <c r="V19" s="438">
        <v>0.2857142857142857</v>
      </c>
    </row>
    <row r="20" spans="2:22" ht="13.5">
      <c r="B20" s="1577">
        <v>201606</v>
      </c>
      <c r="C20" s="326" t="s">
        <v>458</v>
      </c>
      <c r="D20" s="327" t="s">
        <v>735</v>
      </c>
      <c r="E20" s="327" t="s">
        <v>790</v>
      </c>
      <c r="F20" s="459">
        <v>7169.7289999999848</v>
      </c>
      <c r="G20" s="339">
        <v>798.47900000000004</v>
      </c>
      <c r="H20" s="337">
        <v>1200.298</v>
      </c>
      <c r="I20" s="331">
        <v>33</v>
      </c>
      <c r="J20" s="577">
        <v>0.47142899999999999</v>
      </c>
      <c r="K20" s="579">
        <v>19.475097560976</v>
      </c>
      <c r="L20" s="436">
        <v>1.242424</v>
      </c>
      <c r="M20" s="42" t="s">
        <v>227</v>
      </c>
      <c r="N20" s="334">
        <v>67</v>
      </c>
      <c r="O20" s="335">
        <v>47</v>
      </c>
      <c r="P20" s="335">
        <v>15</v>
      </c>
      <c r="Q20" s="389">
        <v>5</v>
      </c>
      <c r="R20" s="430">
        <v>10</v>
      </c>
      <c r="S20" s="339">
        <v>1</v>
      </c>
      <c r="T20" s="362">
        <v>3</v>
      </c>
      <c r="U20" s="337">
        <v>2</v>
      </c>
      <c r="V20" s="338">
        <v>0.1</v>
      </c>
    </row>
    <row r="21" spans="2:22" ht="13.5">
      <c r="B21" s="1577">
        <v>201606</v>
      </c>
      <c r="C21" s="324" t="s">
        <v>458</v>
      </c>
      <c r="D21" s="325" t="s">
        <v>798</v>
      </c>
      <c r="E21" s="325" t="s">
        <v>3530</v>
      </c>
      <c r="F21" s="460">
        <v>3666.7984999999958</v>
      </c>
      <c r="G21" s="92">
        <v>1407.2650000000001</v>
      </c>
      <c r="H21" s="279">
        <v>1322.62</v>
      </c>
      <c r="I21" s="154">
        <v>42</v>
      </c>
      <c r="J21" s="576">
        <v>0.221636</v>
      </c>
      <c r="K21" s="578">
        <v>18.276168831169002</v>
      </c>
      <c r="L21" s="437">
        <v>1.8333330000000001</v>
      </c>
      <c r="M21" s="42" t="s">
        <v>227</v>
      </c>
      <c r="N21" s="47">
        <v>184</v>
      </c>
      <c r="O21" s="45">
        <v>137</v>
      </c>
      <c r="P21" s="45">
        <v>38</v>
      </c>
      <c r="Q21" s="388">
        <v>9</v>
      </c>
      <c r="R21" s="429">
        <v>27</v>
      </c>
      <c r="S21" s="92">
        <v>2</v>
      </c>
      <c r="T21" s="361">
        <v>14</v>
      </c>
      <c r="U21" s="285">
        <v>12</v>
      </c>
      <c r="V21" s="438">
        <v>0.25531914893617019</v>
      </c>
    </row>
    <row r="22" spans="2:22" ht="13.5">
      <c r="B22" s="1577">
        <v>201606</v>
      </c>
      <c r="C22" s="326" t="s">
        <v>458</v>
      </c>
      <c r="D22" s="327" t="s">
        <v>949</v>
      </c>
      <c r="E22" s="327" t="s">
        <v>950</v>
      </c>
      <c r="F22" s="459">
        <v>4542.4530000000041</v>
      </c>
      <c r="G22" s="339">
        <v>686.08100000000002</v>
      </c>
      <c r="H22" s="337">
        <v>678.98099999999999</v>
      </c>
      <c r="I22" s="331">
        <v>23</v>
      </c>
      <c r="J22" s="577">
        <v>0.24598900000000001</v>
      </c>
      <c r="K22" s="579">
        <v>15.955372093023</v>
      </c>
      <c r="L22" s="436">
        <v>1.8695649999999999</v>
      </c>
      <c r="M22" s="42" t="s">
        <v>227</v>
      </c>
      <c r="N22" s="334">
        <v>89</v>
      </c>
      <c r="O22" s="335">
        <v>62</v>
      </c>
      <c r="P22" s="335">
        <v>21</v>
      </c>
      <c r="Q22" s="389">
        <v>6</v>
      </c>
      <c r="R22" s="430">
        <v>18</v>
      </c>
      <c r="S22" s="339">
        <v>1</v>
      </c>
      <c r="T22" s="362">
        <v>8</v>
      </c>
      <c r="U22" s="337">
        <v>6</v>
      </c>
      <c r="V22" s="338">
        <v>0.22222222222222221</v>
      </c>
    </row>
    <row r="23" spans="2:22" ht="13.5">
      <c r="B23" s="1577">
        <v>201606</v>
      </c>
      <c r="C23" s="324" t="s">
        <v>458</v>
      </c>
      <c r="D23" s="325" t="s">
        <v>903</v>
      </c>
      <c r="E23" s="325" t="s">
        <v>904</v>
      </c>
      <c r="F23" s="460">
        <v>5999.9890000000032</v>
      </c>
      <c r="G23" s="92">
        <v>1297.329</v>
      </c>
      <c r="H23" s="279">
        <v>1247.241</v>
      </c>
      <c r="I23" s="154">
        <v>43</v>
      </c>
      <c r="J23" s="576">
        <v>0.34538200000000002</v>
      </c>
      <c r="K23" s="578">
        <v>16.848428571429</v>
      </c>
      <c r="L23" s="437">
        <v>1.7906979999999999</v>
      </c>
      <c r="M23" s="42" t="s">
        <v>227</v>
      </c>
      <c r="N23" s="47">
        <v>119</v>
      </c>
      <c r="O23" s="45">
        <v>88</v>
      </c>
      <c r="P23" s="45">
        <v>27</v>
      </c>
      <c r="Q23" s="388">
        <v>4</v>
      </c>
      <c r="R23" s="429">
        <v>16</v>
      </c>
      <c r="S23" s="92"/>
      <c r="T23" s="361">
        <v>5</v>
      </c>
      <c r="U23" s="285">
        <v>5</v>
      </c>
      <c r="V23" s="438">
        <v>0.16129032258064516</v>
      </c>
    </row>
    <row r="24" spans="2:22" ht="13.5">
      <c r="B24" s="1577">
        <v>201606</v>
      </c>
      <c r="C24" s="326" t="s">
        <v>458</v>
      </c>
      <c r="D24" s="327" t="s">
        <v>1101</v>
      </c>
      <c r="E24" s="327" t="s">
        <v>2897</v>
      </c>
      <c r="F24" s="459">
        <v>1476.3120000000006</v>
      </c>
      <c r="G24" s="339">
        <v>523.95600000000002</v>
      </c>
      <c r="H24" s="337">
        <v>440.34899999999999</v>
      </c>
      <c r="I24" s="331">
        <v>16</v>
      </c>
      <c r="J24" s="577">
        <v>0.16494800000000001</v>
      </c>
      <c r="K24" s="579">
        <v>13.788315789474</v>
      </c>
      <c r="L24" s="436">
        <v>2.375</v>
      </c>
      <c r="M24" s="42" t="s">
        <v>227</v>
      </c>
      <c r="N24" s="334">
        <v>112</v>
      </c>
      <c r="O24" s="335">
        <v>85</v>
      </c>
      <c r="P24" s="335">
        <v>26</v>
      </c>
      <c r="Q24" s="389">
        <v>1</v>
      </c>
      <c r="R24" s="430">
        <v>0</v>
      </c>
      <c r="S24" s="339">
        <v>5</v>
      </c>
      <c r="T24" s="362">
        <v>25</v>
      </c>
      <c r="U24" s="337">
        <v>8</v>
      </c>
      <c r="V24" s="338">
        <v>0.29629629629629628</v>
      </c>
    </row>
    <row r="25" spans="2:22" ht="13.5">
      <c r="B25" s="1577">
        <v>201606</v>
      </c>
      <c r="C25" s="324" t="s">
        <v>458</v>
      </c>
      <c r="D25" s="325" t="s">
        <v>1102</v>
      </c>
      <c r="E25" s="325" t="s">
        <v>1163</v>
      </c>
      <c r="F25" s="460">
        <v>2493.5300000000016</v>
      </c>
      <c r="G25" s="92">
        <v>321.334</v>
      </c>
      <c r="H25" s="279">
        <v>328.67899999999997</v>
      </c>
      <c r="I25" s="154">
        <v>14</v>
      </c>
      <c r="J25" s="576">
        <v>0.100719</v>
      </c>
      <c r="K25" s="578">
        <v>13.388916666666999</v>
      </c>
      <c r="L25" s="437">
        <v>1.714286</v>
      </c>
      <c r="M25" s="42" t="s">
        <v>227</v>
      </c>
      <c r="N25" s="47">
        <v>146</v>
      </c>
      <c r="O25" s="45">
        <v>117</v>
      </c>
      <c r="P25" s="45">
        <v>27</v>
      </c>
      <c r="Q25" s="388">
        <v>2</v>
      </c>
      <c r="R25" s="429">
        <v>0</v>
      </c>
      <c r="S25" s="92">
        <v>3</v>
      </c>
      <c r="T25" s="361">
        <v>11</v>
      </c>
      <c r="U25" s="285">
        <v>5</v>
      </c>
      <c r="V25" s="438">
        <v>0.17241379310344829</v>
      </c>
    </row>
    <row r="26" spans="2:22" ht="13.5">
      <c r="B26" s="1577">
        <v>201606</v>
      </c>
      <c r="C26" s="326" t="s">
        <v>458</v>
      </c>
      <c r="D26" s="327" t="s">
        <v>3517</v>
      </c>
      <c r="E26" s="327" t="s">
        <v>2705</v>
      </c>
      <c r="F26" s="459">
        <v>43.616999999999997</v>
      </c>
      <c r="G26" s="339">
        <v>62.118000000000002</v>
      </c>
      <c r="H26" s="337">
        <v>43.616999999999997</v>
      </c>
      <c r="I26" s="331">
        <v>3</v>
      </c>
      <c r="J26" s="577">
        <v>8.9552000000000007E-2</v>
      </c>
      <c r="K26" s="579">
        <v>15.529500000000001</v>
      </c>
      <c r="L26" s="436">
        <v>1.3333330000000001</v>
      </c>
      <c r="M26" s="42" t="s">
        <v>227</v>
      </c>
      <c r="N26" s="334">
        <v>34</v>
      </c>
      <c r="O26" s="335">
        <v>25</v>
      </c>
      <c r="P26" s="335">
        <v>9</v>
      </c>
      <c r="Q26" s="389">
        <v>0</v>
      </c>
      <c r="R26" s="430">
        <v>1</v>
      </c>
      <c r="S26" s="339"/>
      <c r="T26" s="362">
        <v>2</v>
      </c>
      <c r="U26" s="337">
        <v>2</v>
      </c>
      <c r="V26" s="338">
        <v>0.22222222222222221</v>
      </c>
    </row>
    <row r="27" spans="2:22" ht="13.5">
      <c r="B27" s="1577">
        <v>201606</v>
      </c>
      <c r="C27" s="324" t="s">
        <v>458</v>
      </c>
      <c r="D27" s="325" t="s">
        <v>47</v>
      </c>
      <c r="E27" s="325" t="s">
        <v>17</v>
      </c>
      <c r="F27" s="460">
        <v>2685.022999999996</v>
      </c>
      <c r="G27" s="92">
        <v>462.25599999999997</v>
      </c>
      <c r="H27" s="279">
        <v>569.96900000000005</v>
      </c>
      <c r="I27" s="154">
        <v>15</v>
      </c>
      <c r="J27" s="576">
        <v>0.33707900000000002</v>
      </c>
      <c r="K27" s="578">
        <v>19.260666666666999</v>
      </c>
      <c r="L27" s="437">
        <v>1.6</v>
      </c>
      <c r="M27" s="42" t="s">
        <v>227</v>
      </c>
      <c r="N27" s="47">
        <v>44</v>
      </c>
      <c r="O27" s="45">
        <v>34</v>
      </c>
      <c r="P27" s="45">
        <v>8</v>
      </c>
      <c r="Q27" s="388">
        <v>2</v>
      </c>
      <c r="R27" s="429">
        <v>3</v>
      </c>
      <c r="S27" s="92"/>
      <c r="T27" s="361">
        <v>2</v>
      </c>
      <c r="U27" s="285">
        <v>2</v>
      </c>
      <c r="V27" s="438">
        <v>0.2</v>
      </c>
    </row>
    <row r="28" spans="2:22" ht="13.5">
      <c r="B28" s="1577">
        <v>201606</v>
      </c>
      <c r="C28" s="326" t="s">
        <v>458</v>
      </c>
      <c r="D28" s="327" t="s">
        <v>736</v>
      </c>
      <c r="E28" s="327" t="s">
        <v>697</v>
      </c>
      <c r="F28" s="459">
        <v>4463.144999999995</v>
      </c>
      <c r="G28" s="339">
        <v>671.61500000000001</v>
      </c>
      <c r="H28" s="337">
        <v>653.42399999999998</v>
      </c>
      <c r="I28" s="331">
        <v>22</v>
      </c>
      <c r="J28" s="577">
        <v>0.22334999999999999</v>
      </c>
      <c r="K28" s="579">
        <v>19.189</v>
      </c>
      <c r="L28" s="436">
        <v>1.5909089999999999</v>
      </c>
      <c r="M28" s="42" t="s">
        <v>227</v>
      </c>
      <c r="N28" s="334">
        <v>101</v>
      </c>
      <c r="O28" s="335">
        <v>81</v>
      </c>
      <c r="P28" s="335">
        <v>16</v>
      </c>
      <c r="Q28" s="389">
        <v>4</v>
      </c>
      <c r="R28" s="430">
        <v>7</v>
      </c>
      <c r="S28" s="339"/>
      <c r="T28" s="362">
        <v>12</v>
      </c>
      <c r="U28" s="337">
        <v>5</v>
      </c>
      <c r="V28" s="338">
        <v>0.25</v>
      </c>
    </row>
    <row r="29" spans="2:22" ht="13.5">
      <c r="B29" s="1577">
        <v>201606</v>
      </c>
      <c r="C29" s="324" t="s">
        <v>458</v>
      </c>
      <c r="D29" s="325" t="s">
        <v>796</v>
      </c>
      <c r="E29" s="325" t="s">
        <v>797</v>
      </c>
      <c r="F29" s="460">
        <v>2066.8139999999994</v>
      </c>
      <c r="G29" s="92">
        <v>242.988</v>
      </c>
      <c r="H29" s="279">
        <v>234.74199999999999</v>
      </c>
      <c r="I29" s="154">
        <v>16</v>
      </c>
      <c r="J29" s="576">
        <v>0.25600000000000001</v>
      </c>
      <c r="K29" s="578">
        <v>13.499333333333</v>
      </c>
      <c r="L29" s="437">
        <v>1.125</v>
      </c>
      <c r="M29" s="42" t="s">
        <v>227</v>
      </c>
      <c r="N29" s="47">
        <v>67</v>
      </c>
      <c r="O29" s="45">
        <v>54</v>
      </c>
      <c r="P29" s="45">
        <v>12</v>
      </c>
      <c r="Q29" s="388">
        <v>1</v>
      </c>
      <c r="R29" s="429">
        <v>1</v>
      </c>
      <c r="S29" s="92"/>
      <c r="T29" s="361">
        <v>10</v>
      </c>
      <c r="U29" s="285">
        <v>6</v>
      </c>
      <c r="V29" s="438">
        <v>0.46153846153846156</v>
      </c>
    </row>
    <row r="30" spans="2:22" ht="13.5">
      <c r="B30" s="1577">
        <v>201606</v>
      </c>
      <c r="C30" s="326" t="s">
        <v>458</v>
      </c>
      <c r="D30" s="327" t="s">
        <v>2659</v>
      </c>
      <c r="E30" s="327" t="s">
        <v>2706</v>
      </c>
      <c r="F30" s="459">
        <v>1756.0449999999985</v>
      </c>
      <c r="G30" s="339">
        <v>392.62799999999999</v>
      </c>
      <c r="H30" s="337">
        <v>458.673</v>
      </c>
      <c r="I30" s="331">
        <v>15</v>
      </c>
      <c r="J30" s="577">
        <v>0.32608700000000002</v>
      </c>
      <c r="K30" s="579">
        <v>13.0876</v>
      </c>
      <c r="L30" s="436">
        <v>2</v>
      </c>
      <c r="M30" s="42" t="s">
        <v>227</v>
      </c>
      <c r="N30" s="334">
        <v>51</v>
      </c>
      <c r="O30" s="335">
        <v>35</v>
      </c>
      <c r="P30" s="335">
        <v>16</v>
      </c>
      <c r="Q30" s="389">
        <v>0</v>
      </c>
      <c r="R30" s="430">
        <v>0</v>
      </c>
      <c r="S30" s="339">
        <v>3</v>
      </c>
      <c r="T30" s="362">
        <v>7</v>
      </c>
      <c r="U30" s="337">
        <v>5</v>
      </c>
      <c r="V30" s="338">
        <v>0.3125</v>
      </c>
    </row>
    <row r="31" spans="2:22" ht="13.5">
      <c r="B31" s="1577">
        <v>201606</v>
      </c>
      <c r="C31" s="324" t="s">
        <v>458</v>
      </c>
      <c r="D31" s="325" t="s">
        <v>905</v>
      </c>
      <c r="E31" s="325" t="s">
        <v>3575</v>
      </c>
      <c r="F31" s="460">
        <v>829.31099999999981</v>
      </c>
      <c r="G31" s="92">
        <v>50.512</v>
      </c>
      <c r="H31" s="279">
        <v>50.512</v>
      </c>
      <c r="I31" s="154">
        <v>0</v>
      </c>
      <c r="J31" s="576">
        <v>0</v>
      </c>
      <c r="K31" s="578">
        <v>16.837333333333</v>
      </c>
      <c r="L31" s="437">
        <v>0</v>
      </c>
      <c r="M31" s="42" t="s">
        <v>227</v>
      </c>
      <c r="N31" s="47">
        <v>38</v>
      </c>
      <c r="O31" s="45">
        <v>31</v>
      </c>
      <c r="P31" s="45">
        <v>6</v>
      </c>
      <c r="Q31" s="388">
        <v>1</v>
      </c>
      <c r="R31" s="429">
        <v>5</v>
      </c>
      <c r="S31" s="92"/>
      <c r="T31" s="361">
        <v>5</v>
      </c>
      <c r="U31" s="285">
        <v>2</v>
      </c>
      <c r="V31" s="438">
        <v>0.2857142857142857</v>
      </c>
    </row>
    <row r="32" spans="2:22" ht="13.5">
      <c r="B32" s="1577">
        <v>201606</v>
      </c>
      <c r="C32" s="326" t="s">
        <v>458</v>
      </c>
      <c r="D32" s="327" t="s">
        <v>648</v>
      </c>
      <c r="E32" s="327" t="s">
        <v>644</v>
      </c>
      <c r="F32" s="459">
        <v>1462.3760000000016</v>
      </c>
      <c r="G32" s="339">
        <v>235.13200000000001</v>
      </c>
      <c r="H32" s="337">
        <v>217.5746</v>
      </c>
      <c r="I32" s="331">
        <v>9</v>
      </c>
      <c r="J32" s="577">
        <v>8.4506999999999999E-2</v>
      </c>
      <c r="K32" s="579">
        <v>14.69575</v>
      </c>
      <c r="L32" s="436">
        <v>1.7777780000000001</v>
      </c>
      <c r="M32" s="42" t="s">
        <v>227</v>
      </c>
      <c r="N32" s="334">
        <v>113</v>
      </c>
      <c r="O32" s="335">
        <v>83</v>
      </c>
      <c r="P32" s="335">
        <v>28</v>
      </c>
      <c r="Q32" s="389">
        <v>2</v>
      </c>
      <c r="R32" s="430">
        <v>1</v>
      </c>
      <c r="S32" s="339">
        <v>2</v>
      </c>
      <c r="T32" s="362">
        <v>12</v>
      </c>
      <c r="U32" s="337">
        <v>11</v>
      </c>
      <c r="V32" s="338">
        <v>0.36666666666666664</v>
      </c>
    </row>
    <row r="33" spans="2:22" ht="13.5">
      <c r="B33" s="1577">
        <v>201606</v>
      </c>
      <c r="C33" s="324" t="s">
        <v>459</v>
      </c>
      <c r="D33" s="325" t="s">
        <v>1100</v>
      </c>
      <c r="E33" s="325" t="s">
        <v>1774</v>
      </c>
      <c r="F33" s="460">
        <v>2666.0100000000048</v>
      </c>
      <c r="G33" s="92">
        <v>958.04899999999998</v>
      </c>
      <c r="H33" s="279">
        <v>915.053</v>
      </c>
      <c r="I33" s="154">
        <v>48</v>
      </c>
      <c r="J33" s="576">
        <v>0.33103399999999999</v>
      </c>
      <c r="K33" s="578">
        <v>12.282679487178999</v>
      </c>
      <c r="L33" s="437">
        <v>1.625</v>
      </c>
      <c r="M33" s="42" t="s">
        <v>227</v>
      </c>
      <c r="N33" s="47">
        <v>161</v>
      </c>
      <c r="O33" s="45">
        <v>131</v>
      </c>
      <c r="P33" s="45">
        <v>23</v>
      </c>
      <c r="Q33" s="388">
        <v>7</v>
      </c>
      <c r="R33" s="429">
        <v>13</v>
      </c>
      <c r="S33" s="92">
        <v>2</v>
      </c>
      <c r="T33" s="361">
        <v>42</v>
      </c>
      <c r="U33" s="285">
        <v>15</v>
      </c>
      <c r="V33" s="438">
        <v>0.5</v>
      </c>
    </row>
    <row r="34" spans="2:22" ht="13.5">
      <c r="B34" s="1577">
        <v>201606</v>
      </c>
      <c r="C34" s="326" t="s">
        <v>459</v>
      </c>
      <c r="D34" s="327" t="s">
        <v>1419</v>
      </c>
      <c r="E34" s="327" t="s">
        <v>1420</v>
      </c>
      <c r="F34" s="459">
        <v>2942.377</v>
      </c>
      <c r="G34" s="339">
        <v>1205.9970000000001</v>
      </c>
      <c r="H34" s="337">
        <v>1216.098</v>
      </c>
      <c r="I34" s="331">
        <v>47</v>
      </c>
      <c r="J34" s="577">
        <v>0.35205999999999998</v>
      </c>
      <c r="K34" s="579">
        <v>11.940564356435999</v>
      </c>
      <c r="L34" s="436">
        <v>2.148936</v>
      </c>
      <c r="M34" s="42" t="s">
        <v>227</v>
      </c>
      <c r="N34" s="334">
        <v>150</v>
      </c>
      <c r="O34" s="335">
        <v>122</v>
      </c>
      <c r="P34" s="335">
        <v>22</v>
      </c>
      <c r="Q34" s="389">
        <v>6</v>
      </c>
      <c r="R34" s="430">
        <v>10</v>
      </c>
      <c r="S34" s="339">
        <v>4</v>
      </c>
      <c r="T34" s="362">
        <v>38</v>
      </c>
      <c r="U34" s="337">
        <v>13</v>
      </c>
      <c r="V34" s="338">
        <v>0.4642857142857143</v>
      </c>
    </row>
    <row r="35" spans="2:22" ht="13.5">
      <c r="B35" s="1577">
        <v>201606</v>
      </c>
      <c r="C35" s="324" t="s">
        <v>459</v>
      </c>
      <c r="D35" s="325" t="s">
        <v>1103</v>
      </c>
      <c r="E35" s="325" t="s">
        <v>1161</v>
      </c>
      <c r="F35" s="460">
        <v>693.26699999999983</v>
      </c>
      <c r="G35" s="92">
        <v>48.64</v>
      </c>
      <c r="H35" s="279">
        <v>48.64</v>
      </c>
      <c r="I35" s="154">
        <v>5</v>
      </c>
      <c r="J35" s="576">
        <v>8.6957000000000007E-2</v>
      </c>
      <c r="K35" s="578">
        <v>9.7279999999999998</v>
      </c>
      <c r="L35" s="437">
        <v>1</v>
      </c>
      <c r="M35" s="42" t="s">
        <v>227</v>
      </c>
      <c r="N35" s="47">
        <v>59</v>
      </c>
      <c r="O35" s="45">
        <v>44</v>
      </c>
      <c r="P35" s="45">
        <v>10</v>
      </c>
      <c r="Q35" s="388">
        <v>5</v>
      </c>
      <c r="R35" s="429">
        <v>1</v>
      </c>
      <c r="S35" s="92"/>
      <c r="T35" s="361">
        <v>4</v>
      </c>
      <c r="U35" s="285">
        <v>3</v>
      </c>
      <c r="V35" s="438">
        <v>0.2</v>
      </c>
    </row>
    <row r="36" spans="2:22" ht="13.5">
      <c r="B36" s="1577">
        <v>201606</v>
      </c>
      <c r="C36" s="326" t="s">
        <v>459</v>
      </c>
      <c r="D36" s="327" t="s">
        <v>179</v>
      </c>
      <c r="E36" s="327" t="s">
        <v>191</v>
      </c>
      <c r="F36" s="459">
        <v>11463.231000000071</v>
      </c>
      <c r="G36" s="339">
        <v>3542.4749999999999</v>
      </c>
      <c r="H36" s="337">
        <v>3483.86</v>
      </c>
      <c r="I36" s="331">
        <v>151</v>
      </c>
      <c r="J36" s="577">
        <v>0.54316500000000001</v>
      </c>
      <c r="K36" s="579">
        <v>13.730523255813999</v>
      </c>
      <c r="L36" s="436">
        <v>1.708609</v>
      </c>
      <c r="M36" s="42" t="s">
        <v>227</v>
      </c>
      <c r="N36" s="334">
        <v>357</v>
      </c>
      <c r="O36" s="335">
        <v>259</v>
      </c>
      <c r="P36" s="335">
        <v>92</v>
      </c>
      <c r="Q36" s="389">
        <v>6</v>
      </c>
      <c r="R36" s="430">
        <v>31</v>
      </c>
      <c r="S36" s="339">
        <v>42</v>
      </c>
      <c r="T36" s="362">
        <v>147</v>
      </c>
      <c r="U36" s="337">
        <v>58</v>
      </c>
      <c r="V36" s="338">
        <v>0.59183673469387754</v>
      </c>
    </row>
    <row r="37" spans="2:22" ht="13.5">
      <c r="B37" s="1577">
        <v>201606</v>
      </c>
      <c r="C37" s="324" t="s">
        <v>459</v>
      </c>
      <c r="D37" s="325" t="s">
        <v>3518</v>
      </c>
      <c r="E37" s="325" t="s">
        <v>3519</v>
      </c>
      <c r="F37" s="460">
        <v>441.66499999999991</v>
      </c>
      <c r="G37" s="92">
        <v>426.976</v>
      </c>
      <c r="H37" s="279">
        <v>441.66500000000002</v>
      </c>
      <c r="I37" s="154">
        <v>11</v>
      </c>
      <c r="J37" s="576">
        <v>0.44</v>
      </c>
      <c r="K37" s="578">
        <v>19.408000000000001</v>
      </c>
      <c r="L37" s="437">
        <v>2</v>
      </c>
      <c r="M37" s="42" t="s">
        <v>227</v>
      </c>
      <c r="N37" s="47">
        <v>27</v>
      </c>
      <c r="O37" s="45">
        <v>19</v>
      </c>
      <c r="P37" s="45">
        <v>7</v>
      </c>
      <c r="Q37" s="388">
        <v>1</v>
      </c>
      <c r="R37" s="429">
        <v>1</v>
      </c>
      <c r="S37" s="92"/>
      <c r="T37" s="361">
        <v>5</v>
      </c>
      <c r="U37" s="285">
        <v>3</v>
      </c>
      <c r="V37" s="438">
        <v>0.375</v>
      </c>
    </row>
    <row r="38" spans="2:22" ht="13.5">
      <c r="B38" s="1577">
        <v>201606</v>
      </c>
      <c r="C38" s="326" t="s">
        <v>459</v>
      </c>
      <c r="D38" s="327" t="s">
        <v>3520</v>
      </c>
      <c r="E38" s="327" t="s">
        <v>3521</v>
      </c>
      <c r="F38" s="459">
        <v>1283.739</v>
      </c>
      <c r="G38" s="339">
        <v>1342.8489999999999</v>
      </c>
      <c r="H38" s="337">
        <v>1283.806</v>
      </c>
      <c r="I38" s="331">
        <v>44</v>
      </c>
      <c r="J38" s="577">
        <v>0.43137300000000001</v>
      </c>
      <c r="K38" s="579">
        <v>16.376207317073</v>
      </c>
      <c r="L38" s="436">
        <v>1.8636360000000001</v>
      </c>
      <c r="M38" s="42" t="s">
        <v>227</v>
      </c>
      <c r="N38" s="334">
        <v>98</v>
      </c>
      <c r="O38" s="335">
        <v>80</v>
      </c>
      <c r="P38" s="335">
        <v>17</v>
      </c>
      <c r="Q38" s="389">
        <v>1</v>
      </c>
      <c r="R38" s="430">
        <v>20</v>
      </c>
      <c r="S38" s="339"/>
      <c r="T38" s="362">
        <v>12</v>
      </c>
      <c r="U38" s="337">
        <v>9</v>
      </c>
      <c r="V38" s="338">
        <v>0.5</v>
      </c>
    </row>
    <row r="39" spans="2:22" ht="13.5">
      <c r="B39" s="1577">
        <v>201606</v>
      </c>
      <c r="C39" s="324" t="s">
        <v>459</v>
      </c>
      <c r="D39" s="325" t="s">
        <v>2708</v>
      </c>
      <c r="E39" s="325" t="s">
        <v>2709</v>
      </c>
      <c r="F39" s="460">
        <v>2047.1469999999968</v>
      </c>
      <c r="G39" s="92">
        <v>1578.2139999999999</v>
      </c>
      <c r="H39" s="279">
        <v>1557.5930000000001</v>
      </c>
      <c r="I39" s="154">
        <v>58</v>
      </c>
      <c r="J39" s="576">
        <v>0.45136199999999999</v>
      </c>
      <c r="K39" s="578">
        <v>13.151783333333</v>
      </c>
      <c r="L39" s="437">
        <v>2.0689660000000001</v>
      </c>
      <c r="M39" s="42" t="s">
        <v>227</v>
      </c>
      <c r="N39" s="47">
        <v>177</v>
      </c>
      <c r="O39" s="45">
        <v>121</v>
      </c>
      <c r="P39" s="45">
        <v>52</v>
      </c>
      <c r="Q39" s="388">
        <v>4</v>
      </c>
      <c r="R39" s="429">
        <v>3</v>
      </c>
      <c r="S39" s="92">
        <v>27</v>
      </c>
      <c r="T39" s="361">
        <v>73</v>
      </c>
      <c r="U39" s="285">
        <v>28</v>
      </c>
      <c r="V39" s="438">
        <v>0.5</v>
      </c>
    </row>
    <row r="40" spans="2:22" ht="13.5">
      <c r="B40" s="1577">
        <v>201606</v>
      </c>
      <c r="C40" s="326" t="s">
        <v>459</v>
      </c>
      <c r="D40" s="327" t="s">
        <v>1015</v>
      </c>
      <c r="E40" s="327" t="s">
        <v>1348</v>
      </c>
      <c r="F40" s="459">
        <v>2578.6390000000019</v>
      </c>
      <c r="G40" s="339">
        <v>769.69600000000003</v>
      </c>
      <c r="H40" s="337">
        <v>771.81399999999996</v>
      </c>
      <c r="I40" s="331">
        <v>32</v>
      </c>
      <c r="J40" s="577">
        <v>0.27826099999999998</v>
      </c>
      <c r="K40" s="579">
        <v>12.0265</v>
      </c>
      <c r="L40" s="436">
        <v>2</v>
      </c>
      <c r="M40" s="42" t="s">
        <v>227</v>
      </c>
      <c r="N40" s="334">
        <v>126</v>
      </c>
      <c r="O40" s="335">
        <v>107</v>
      </c>
      <c r="P40" s="335">
        <v>13</v>
      </c>
      <c r="Q40" s="389">
        <v>6</v>
      </c>
      <c r="R40" s="430">
        <v>0</v>
      </c>
      <c r="S40" s="339"/>
      <c r="T40" s="362">
        <v>22</v>
      </c>
      <c r="U40" s="337">
        <v>8</v>
      </c>
      <c r="V40" s="338">
        <v>0.42105263157894735</v>
      </c>
    </row>
    <row r="41" spans="2:22" ht="13.5">
      <c r="B41" s="1577">
        <v>201606</v>
      </c>
      <c r="C41" s="324" t="s">
        <v>459</v>
      </c>
      <c r="D41" s="325" t="s">
        <v>825</v>
      </c>
      <c r="E41" s="325" t="s">
        <v>1773</v>
      </c>
      <c r="F41" s="460">
        <v>2892.7589999999991</v>
      </c>
      <c r="G41" s="92">
        <v>563.45799999999997</v>
      </c>
      <c r="H41" s="279">
        <v>553.12199999999996</v>
      </c>
      <c r="I41" s="154">
        <v>23</v>
      </c>
      <c r="J41" s="576">
        <v>0.29113899999999998</v>
      </c>
      <c r="K41" s="578">
        <v>16.098800000000001</v>
      </c>
      <c r="L41" s="437">
        <v>1.521739</v>
      </c>
      <c r="M41" s="42" t="s">
        <v>227</v>
      </c>
      <c r="N41" s="47">
        <v>79</v>
      </c>
      <c r="O41" s="45">
        <v>59</v>
      </c>
      <c r="P41" s="45">
        <v>19</v>
      </c>
      <c r="Q41" s="388">
        <v>1</v>
      </c>
      <c r="R41" s="429">
        <v>11</v>
      </c>
      <c r="S41" s="92">
        <v>2</v>
      </c>
      <c r="T41" s="361">
        <v>9</v>
      </c>
      <c r="U41" s="285">
        <v>5</v>
      </c>
      <c r="V41" s="438">
        <v>0.25</v>
      </c>
    </row>
    <row r="42" spans="2:22" ht="13.5">
      <c r="B42" s="1577">
        <v>201606</v>
      </c>
      <c r="C42" s="326" t="s">
        <v>459</v>
      </c>
      <c r="D42" s="327" t="s">
        <v>3170</v>
      </c>
      <c r="E42" s="327" t="s">
        <v>3184</v>
      </c>
      <c r="F42" s="459">
        <v>1736.6599999999992</v>
      </c>
      <c r="G42" s="339">
        <v>976.98900000000003</v>
      </c>
      <c r="H42" s="337">
        <v>963.947</v>
      </c>
      <c r="I42" s="331">
        <v>24</v>
      </c>
      <c r="J42" s="577">
        <v>0.16724700000000001</v>
      </c>
      <c r="K42" s="579">
        <v>18.092388888889001</v>
      </c>
      <c r="L42" s="436">
        <v>2.25</v>
      </c>
      <c r="M42" s="42" t="s">
        <v>227</v>
      </c>
      <c r="N42" s="334">
        <v>146</v>
      </c>
      <c r="O42" s="335">
        <v>123</v>
      </c>
      <c r="P42" s="335">
        <v>18</v>
      </c>
      <c r="Q42" s="389">
        <v>5</v>
      </c>
      <c r="R42" s="430">
        <v>3</v>
      </c>
      <c r="S42" s="339"/>
      <c r="T42" s="362">
        <v>8</v>
      </c>
      <c r="U42" s="337">
        <v>4</v>
      </c>
      <c r="V42" s="338">
        <v>0.17391304347826086</v>
      </c>
    </row>
    <row r="43" spans="2:22" ht="13.5">
      <c r="B43" s="1577">
        <v>201606</v>
      </c>
      <c r="C43" s="324" t="s">
        <v>459</v>
      </c>
      <c r="D43" s="325" t="s">
        <v>3171</v>
      </c>
      <c r="E43" s="325" t="s">
        <v>3180</v>
      </c>
      <c r="F43" s="460">
        <v>561.02800000000002</v>
      </c>
      <c r="G43" s="92">
        <v>119.273</v>
      </c>
      <c r="H43" s="279">
        <v>103.80200000000001</v>
      </c>
      <c r="I43" s="154">
        <v>7</v>
      </c>
      <c r="J43" s="576">
        <v>0.19178100000000001</v>
      </c>
      <c r="K43" s="578">
        <v>17.039000000000001</v>
      </c>
      <c r="L43" s="437">
        <v>1</v>
      </c>
      <c r="M43" s="42" t="s">
        <v>227</v>
      </c>
      <c r="N43" s="47">
        <v>37</v>
      </c>
      <c r="O43" s="45">
        <v>27</v>
      </c>
      <c r="P43" s="45">
        <v>8</v>
      </c>
      <c r="Q43" s="388">
        <v>2</v>
      </c>
      <c r="R43" s="429">
        <v>1</v>
      </c>
      <c r="S43" s="92"/>
      <c r="T43" s="361">
        <v>2</v>
      </c>
      <c r="U43" s="285">
        <v>2</v>
      </c>
      <c r="V43" s="438">
        <v>0.2</v>
      </c>
    </row>
    <row r="44" spans="2:22" ht="13.5">
      <c r="B44" s="1577">
        <v>201606</v>
      </c>
      <c r="C44" s="326" t="s">
        <v>459</v>
      </c>
      <c r="D44" s="327" t="s">
        <v>3172</v>
      </c>
      <c r="E44" s="327" t="s">
        <v>3189</v>
      </c>
      <c r="F44" s="459">
        <v>776.16499999999985</v>
      </c>
      <c r="G44" s="339">
        <v>379.58699999999999</v>
      </c>
      <c r="H44" s="337">
        <v>379.58699999999999</v>
      </c>
      <c r="I44" s="331">
        <v>15</v>
      </c>
      <c r="J44" s="577">
        <v>0.352941</v>
      </c>
      <c r="K44" s="579">
        <v>15.183479999999999</v>
      </c>
      <c r="L44" s="436">
        <v>1.6666669999999999</v>
      </c>
      <c r="M44" s="42" t="s">
        <v>227</v>
      </c>
      <c r="N44" s="334">
        <v>61</v>
      </c>
      <c r="O44" s="335">
        <v>48</v>
      </c>
      <c r="P44" s="335">
        <v>13</v>
      </c>
      <c r="Q44" s="389">
        <v>0</v>
      </c>
      <c r="R44" s="430">
        <v>0</v>
      </c>
      <c r="S44" s="339">
        <v>6</v>
      </c>
      <c r="T44" s="362">
        <v>31</v>
      </c>
      <c r="U44" s="337">
        <v>10</v>
      </c>
      <c r="V44" s="338">
        <v>0.76923076923076927</v>
      </c>
    </row>
    <row r="45" spans="2:22" ht="13.5">
      <c r="B45" s="1577">
        <v>201606</v>
      </c>
      <c r="C45" s="324" t="s">
        <v>459</v>
      </c>
      <c r="D45" s="325" t="s">
        <v>1570</v>
      </c>
      <c r="E45" s="325" t="s">
        <v>1571</v>
      </c>
      <c r="F45" s="460">
        <v>2957.7619999999984</v>
      </c>
      <c r="G45" s="92">
        <v>762.16899999999998</v>
      </c>
      <c r="H45" s="279">
        <v>747.78</v>
      </c>
      <c r="I45" s="154">
        <v>33</v>
      </c>
      <c r="J45" s="576">
        <v>0.23321600000000001</v>
      </c>
      <c r="K45" s="578">
        <v>14.380547169810999</v>
      </c>
      <c r="L45" s="437">
        <v>1.606061</v>
      </c>
      <c r="M45" s="42" t="s">
        <v>227</v>
      </c>
      <c r="N45" s="47">
        <v>161</v>
      </c>
      <c r="O45" s="45">
        <v>113</v>
      </c>
      <c r="P45" s="45">
        <v>43</v>
      </c>
      <c r="Q45" s="388">
        <v>5</v>
      </c>
      <c r="R45" s="429">
        <v>3</v>
      </c>
      <c r="S45" s="92">
        <v>10</v>
      </c>
      <c r="T45" s="361">
        <v>32</v>
      </c>
      <c r="U45" s="285">
        <v>17</v>
      </c>
      <c r="V45" s="438">
        <v>0.35416666666666669</v>
      </c>
    </row>
    <row r="46" spans="2:22" ht="13.5">
      <c r="B46" s="1577">
        <v>201606</v>
      </c>
      <c r="C46" s="326" t="s">
        <v>459</v>
      </c>
      <c r="D46" s="327" t="s">
        <v>799</v>
      </c>
      <c r="E46" s="327" t="s">
        <v>800</v>
      </c>
      <c r="F46" s="459">
        <v>4249.350000000004</v>
      </c>
      <c r="G46" s="339">
        <v>1311.703</v>
      </c>
      <c r="H46" s="337">
        <v>1237.49</v>
      </c>
      <c r="I46" s="331">
        <v>63</v>
      </c>
      <c r="J46" s="577">
        <v>0.368421</v>
      </c>
      <c r="K46" s="579">
        <v>15.077045977011</v>
      </c>
      <c r="L46" s="436">
        <v>1.380952</v>
      </c>
      <c r="M46" s="42" t="s">
        <v>227</v>
      </c>
      <c r="N46" s="334">
        <v>177</v>
      </c>
      <c r="O46" s="335">
        <v>144</v>
      </c>
      <c r="P46" s="335">
        <v>24</v>
      </c>
      <c r="Q46" s="389">
        <v>9</v>
      </c>
      <c r="R46" s="430">
        <v>19</v>
      </c>
      <c r="S46" s="339">
        <v>2</v>
      </c>
      <c r="T46" s="362">
        <v>29</v>
      </c>
      <c r="U46" s="337">
        <v>18</v>
      </c>
      <c r="V46" s="338">
        <v>0.54545454545454541</v>
      </c>
    </row>
    <row r="47" spans="2:22" ht="13.5">
      <c r="B47" s="1577">
        <v>201606</v>
      </c>
      <c r="C47" s="324" t="s">
        <v>459</v>
      </c>
      <c r="D47" s="325" t="s">
        <v>1567</v>
      </c>
      <c r="E47" s="325" t="s">
        <v>1028</v>
      </c>
      <c r="F47" s="460">
        <v>7331.7510000000166</v>
      </c>
      <c r="G47" s="92">
        <v>1757.2809999999999</v>
      </c>
      <c r="H47" s="279">
        <v>1766.6079999999999</v>
      </c>
      <c r="I47" s="154">
        <v>67</v>
      </c>
      <c r="J47" s="576">
        <v>0.31381700000000001</v>
      </c>
      <c r="K47" s="578">
        <v>19.100880434783001</v>
      </c>
      <c r="L47" s="437">
        <v>1.3731340000000001</v>
      </c>
      <c r="M47" s="42" t="s">
        <v>227</v>
      </c>
      <c r="N47" s="47">
        <v>218</v>
      </c>
      <c r="O47" s="45">
        <v>168</v>
      </c>
      <c r="P47" s="45">
        <v>40</v>
      </c>
      <c r="Q47" s="388">
        <v>10</v>
      </c>
      <c r="R47" s="429">
        <v>6</v>
      </c>
      <c r="S47" s="92">
        <v>1</v>
      </c>
      <c r="T47" s="361">
        <v>14</v>
      </c>
      <c r="U47" s="285">
        <v>11</v>
      </c>
      <c r="V47" s="438">
        <v>0.22</v>
      </c>
    </row>
    <row r="48" spans="2:22" ht="13.5">
      <c r="B48" s="1577">
        <v>201606</v>
      </c>
      <c r="C48" s="326" t="s">
        <v>459</v>
      </c>
      <c r="D48" s="327" t="s">
        <v>3522</v>
      </c>
      <c r="E48" s="327" t="s">
        <v>3523</v>
      </c>
      <c r="F48" s="459">
        <v>78.289000000000016</v>
      </c>
      <c r="G48" s="339">
        <v>78.289000000000001</v>
      </c>
      <c r="H48" s="337">
        <v>78.289000000000001</v>
      </c>
      <c r="I48" s="331">
        <v>6</v>
      </c>
      <c r="J48" s="577">
        <v>1.0909089999999999</v>
      </c>
      <c r="K48" s="579">
        <v>11.184142857143</v>
      </c>
      <c r="L48" s="436">
        <v>1.1666669999999999</v>
      </c>
      <c r="M48" s="42" t="s">
        <v>227</v>
      </c>
      <c r="N48" s="334">
        <v>11</v>
      </c>
      <c r="O48" s="335">
        <v>4</v>
      </c>
      <c r="P48" s="335">
        <v>7</v>
      </c>
      <c r="Q48" s="389">
        <v>0</v>
      </c>
      <c r="R48" s="430">
        <v>0</v>
      </c>
      <c r="S48" s="339">
        <v>7</v>
      </c>
      <c r="T48" s="362">
        <v>4</v>
      </c>
      <c r="U48" s="337">
        <v>2</v>
      </c>
      <c r="V48" s="338">
        <v>0.2857142857142857</v>
      </c>
    </row>
    <row r="49" spans="2:22" ht="13.5">
      <c r="B49" s="1577">
        <v>201606</v>
      </c>
      <c r="C49" s="324" t="s">
        <v>459</v>
      </c>
      <c r="D49" s="325" t="s">
        <v>177</v>
      </c>
      <c r="E49" s="325" t="s">
        <v>3573</v>
      </c>
      <c r="F49" s="460">
        <v>3003.4859999999994</v>
      </c>
      <c r="G49" s="92">
        <v>508.39400000000001</v>
      </c>
      <c r="H49" s="279">
        <v>495.87099999999998</v>
      </c>
      <c r="I49" s="154">
        <v>22</v>
      </c>
      <c r="J49" s="576">
        <v>0.26666699999999999</v>
      </c>
      <c r="K49" s="578">
        <v>19.553615384615</v>
      </c>
      <c r="L49" s="437">
        <v>1.181818</v>
      </c>
      <c r="M49" s="42" t="s">
        <v>227</v>
      </c>
      <c r="N49" s="47">
        <v>89</v>
      </c>
      <c r="O49" s="45">
        <v>66</v>
      </c>
      <c r="P49" s="45">
        <v>18</v>
      </c>
      <c r="Q49" s="388">
        <v>5</v>
      </c>
      <c r="R49" s="429">
        <v>4</v>
      </c>
      <c r="S49" s="92"/>
      <c r="T49" s="361">
        <v>17</v>
      </c>
      <c r="U49" s="285">
        <v>9</v>
      </c>
      <c r="V49" s="438">
        <v>0.39130434782608697</v>
      </c>
    </row>
    <row r="50" spans="2:22" ht="13.5">
      <c r="B50" s="1577">
        <v>201606</v>
      </c>
      <c r="C50" s="326" t="s">
        <v>459</v>
      </c>
      <c r="D50" s="327" t="s">
        <v>3524</v>
      </c>
      <c r="E50" s="327" t="s">
        <v>3525</v>
      </c>
      <c r="F50" s="459">
        <v>95.767999999999986</v>
      </c>
      <c r="G50" s="339">
        <v>95.768000000000001</v>
      </c>
      <c r="H50" s="337">
        <v>95.768000000000001</v>
      </c>
      <c r="I50" s="331">
        <v>3</v>
      </c>
      <c r="J50" s="577">
        <v>0.352941</v>
      </c>
      <c r="K50" s="579">
        <v>19.153600000000001</v>
      </c>
      <c r="L50" s="436">
        <v>1.6666669999999999</v>
      </c>
      <c r="M50" s="42" t="s">
        <v>227</v>
      </c>
      <c r="N50" s="334">
        <v>17</v>
      </c>
      <c r="O50" s="335">
        <v>9</v>
      </c>
      <c r="P50" s="335">
        <v>8</v>
      </c>
      <c r="Q50" s="389">
        <v>0</v>
      </c>
      <c r="R50" s="430">
        <v>0</v>
      </c>
      <c r="S50" s="339">
        <v>8</v>
      </c>
      <c r="T50" s="362">
        <v>9</v>
      </c>
      <c r="U50" s="337">
        <v>4</v>
      </c>
      <c r="V50" s="338">
        <v>0.5</v>
      </c>
    </row>
    <row r="51" spans="2:22" ht="13.5">
      <c r="B51" s="1577">
        <v>201606</v>
      </c>
      <c r="C51" s="324" t="s">
        <v>459</v>
      </c>
      <c r="D51" s="325" t="s">
        <v>1568</v>
      </c>
      <c r="E51" s="325" t="s">
        <v>1569</v>
      </c>
      <c r="F51" s="460">
        <v>7435.2280000000328</v>
      </c>
      <c r="G51" s="92">
        <v>2510.7710000000002</v>
      </c>
      <c r="H51" s="279">
        <v>2495.9659999999999</v>
      </c>
      <c r="I51" s="154">
        <v>109</v>
      </c>
      <c r="J51" s="576">
        <v>0.36152600000000001</v>
      </c>
      <c r="K51" s="578">
        <v>12.616939698492001</v>
      </c>
      <c r="L51" s="437">
        <v>1.825688</v>
      </c>
      <c r="M51" s="42" t="s">
        <v>227</v>
      </c>
      <c r="N51" s="47">
        <v>332</v>
      </c>
      <c r="O51" s="45">
        <v>276</v>
      </c>
      <c r="P51" s="45">
        <v>52</v>
      </c>
      <c r="Q51" s="388">
        <v>4</v>
      </c>
      <c r="R51" s="429">
        <v>2</v>
      </c>
      <c r="S51" s="92">
        <v>5</v>
      </c>
      <c r="T51" s="361">
        <v>58</v>
      </c>
      <c r="U51" s="285">
        <v>29</v>
      </c>
      <c r="V51" s="438">
        <v>0.5178571428571429</v>
      </c>
    </row>
    <row r="52" spans="2:22" ht="13.5">
      <c r="B52" s="1577">
        <v>201606</v>
      </c>
      <c r="C52" s="326" t="s">
        <v>459</v>
      </c>
      <c r="D52" s="327" t="s">
        <v>3173</v>
      </c>
      <c r="E52" s="327" t="s">
        <v>3190</v>
      </c>
      <c r="F52" s="459">
        <v>2822.8449999999984</v>
      </c>
      <c r="G52" s="339">
        <v>2150.2350000000001</v>
      </c>
      <c r="H52" s="337">
        <v>2141.9769999999999</v>
      </c>
      <c r="I52" s="331">
        <v>79</v>
      </c>
      <c r="J52" s="577">
        <v>0.34649099999999999</v>
      </c>
      <c r="K52" s="579">
        <v>14.528614864865</v>
      </c>
      <c r="L52" s="436">
        <v>1.873418</v>
      </c>
      <c r="M52" s="42" t="s">
        <v>227</v>
      </c>
      <c r="N52" s="334">
        <v>239</v>
      </c>
      <c r="O52" s="335">
        <v>199</v>
      </c>
      <c r="P52" s="335">
        <v>32</v>
      </c>
      <c r="Q52" s="389">
        <v>8</v>
      </c>
      <c r="R52" s="430">
        <v>34</v>
      </c>
      <c r="S52" s="339">
        <v>2</v>
      </c>
      <c r="T52" s="362">
        <v>53</v>
      </c>
      <c r="U52" s="337">
        <v>17</v>
      </c>
      <c r="V52" s="338">
        <v>0.42499999999999999</v>
      </c>
    </row>
    <row r="53" spans="2:22" ht="13.5">
      <c r="B53" s="1577">
        <v>201606</v>
      </c>
      <c r="C53" s="324" t="s">
        <v>459</v>
      </c>
      <c r="D53" s="325" t="s">
        <v>3174</v>
      </c>
      <c r="E53" s="325" t="s">
        <v>3191</v>
      </c>
      <c r="F53" s="460">
        <v>1717.1049999999996</v>
      </c>
      <c r="G53" s="92">
        <v>1212.5609999999999</v>
      </c>
      <c r="H53" s="279">
        <v>1195.617</v>
      </c>
      <c r="I53" s="154">
        <v>86</v>
      </c>
      <c r="J53" s="576">
        <v>0.37554599999999999</v>
      </c>
      <c r="K53" s="578">
        <v>10.826437500000001</v>
      </c>
      <c r="L53" s="437">
        <v>1.3023260000000001</v>
      </c>
      <c r="M53" s="42" t="s">
        <v>227</v>
      </c>
      <c r="N53" s="47">
        <v>287</v>
      </c>
      <c r="O53" s="45">
        <v>247</v>
      </c>
      <c r="P53" s="45">
        <v>33</v>
      </c>
      <c r="Q53" s="388">
        <v>7</v>
      </c>
      <c r="R53" s="429">
        <v>11</v>
      </c>
      <c r="S53" s="92">
        <v>4</v>
      </c>
      <c r="T53" s="361">
        <v>123</v>
      </c>
      <c r="U53" s="285">
        <v>21</v>
      </c>
      <c r="V53" s="438">
        <v>0.52500000000000002</v>
      </c>
    </row>
    <row r="54" spans="2:22" ht="13.5">
      <c r="B54" s="1577">
        <v>201606</v>
      </c>
      <c r="C54" s="326" t="s">
        <v>459</v>
      </c>
      <c r="D54" s="327" t="s">
        <v>2710</v>
      </c>
      <c r="E54" s="327" t="s">
        <v>2711</v>
      </c>
      <c r="F54" s="459">
        <v>1698.7800000000007</v>
      </c>
      <c r="G54" s="339">
        <v>804.88</v>
      </c>
      <c r="H54" s="337">
        <v>769.25300000000004</v>
      </c>
      <c r="I54" s="331">
        <v>49</v>
      </c>
      <c r="J54" s="577">
        <v>0.31715199999999999</v>
      </c>
      <c r="K54" s="579">
        <v>14.120701754386001</v>
      </c>
      <c r="L54" s="436">
        <v>1.163265</v>
      </c>
      <c r="M54" s="42" t="s">
        <v>227</v>
      </c>
      <c r="N54" s="334">
        <v>181</v>
      </c>
      <c r="O54" s="335">
        <v>124</v>
      </c>
      <c r="P54" s="335">
        <v>54</v>
      </c>
      <c r="Q54" s="389">
        <v>3</v>
      </c>
      <c r="R54" s="430">
        <v>0</v>
      </c>
      <c r="S54" s="339">
        <v>14</v>
      </c>
      <c r="T54" s="362">
        <v>39</v>
      </c>
      <c r="U54" s="337">
        <v>20</v>
      </c>
      <c r="V54" s="338">
        <v>0.35087719298245612</v>
      </c>
    </row>
    <row r="55" spans="2:22" ht="13.5">
      <c r="B55" s="1577">
        <v>201606</v>
      </c>
      <c r="C55" s="324" t="s">
        <v>459</v>
      </c>
      <c r="D55" s="325" t="s">
        <v>1572</v>
      </c>
      <c r="E55" s="325" t="s">
        <v>1573</v>
      </c>
      <c r="F55" s="460">
        <v>3078.8009999999995</v>
      </c>
      <c r="G55" s="92">
        <v>524.12199999999996</v>
      </c>
      <c r="H55" s="279">
        <v>530.41</v>
      </c>
      <c r="I55" s="154">
        <v>32</v>
      </c>
      <c r="J55" s="576">
        <v>0.26890799999999998</v>
      </c>
      <c r="K55" s="578">
        <v>12.479095238095001</v>
      </c>
      <c r="L55" s="437">
        <v>1.3125</v>
      </c>
      <c r="M55" s="42" t="s">
        <v>227</v>
      </c>
      <c r="N55" s="47">
        <v>140</v>
      </c>
      <c r="O55" s="45">
        <v>120</v>
      </c>
      <c r="P55" s="45">
        <v>14</v>
      </c>
      <c r="Q55" s="388">
        <v>6</v>
      </c>
      <c r="R55" s="429">
        <v>2</v>
      </c>
      <c r="S55" s="92">
        <v>1</v>
      </c>
      <c r="T55" s="361">
        <v>43</v>
      </c>
      <c r="U55" s="285">
        <v>12</v>
      </c>
      <c r="V55" s="438">
        <v>0.6</v>
      </c>
    </row>
    <row r="56" spans="2:22" ht="13.5">
      <c r="B56" s="1577">
        <v>201606</v>
      </c>
      <c r="C56" s="326" t="s">
        <v>459</v>
      </c>
      <c r="D56" s="327" t="s">
        <v>1104</v>
      </c>
      <c r="E56" s="327" t="s">
        <v>1287</v>
      </c>
      <c r="F56" s="459">
        <v>3768.3300000000017</v>
      </c>
      <c r="G56" s="339">
        <v>1069.184</v>
      </c>
      <c r="H56" s="337">
        <v>1055.0640000000001</v>
      </c>
      <c r="I56" s="331">
        <v>51</v>
      </c>
      <c r="J56" s="577">
        <v>0.269841</v>
      </c>
      <c r="K56" s="579">
        <v>13.199802469135999</v>
      </c>
      <c r="L56" s="436">
        <v>1.5882350000000001</v>
      </c>
      <c r="M56" s="42" t="s">
        <v>227</v>
      </c>
      <c r="N56" s="334">
        <v>196</v>
      </c>
      <c r="O56" s="335">
        <v>156</v>
      </c>
      <c r="P56" s="335">
        <v>26</v>
      </c>
      <c r="Q56" s="389">
        <v>14</v>
      </c>
      <c r="R56" s="430">
        <v>25</v>
      </c>
      <c r="S56" s="339"/>
      <c r="T56" s="362">
        <v>37</v>
      </c>
      <c r="U56" s="337">
        <v>20</v>
      </c>
      <c r="V56" s="338">
        <v>0.5</v>
      </c>
    </row>
    <row r="57" spans="2:22" ht="13.5">
      <c r="B57" s="1577">
        <v>201606</v>
      </c>
      <c r="C57" s="324" t="s">
        <v>3526</v>
      </c>
      <c r="D57" s="325" t="s">
        <v>2046</v>
      </c>
      <c r="E57" s="325" t="s">
        <v>2054</v>
      </c>
      <c r="F57" s="460">
        <v>5623.2680000000073</v>
      </c>
      <c r="G57" s="92">
        <v>2012.6880000000001</v>
      </c>
      <c r="H57" s="279">
        <v>1987.713</v>
      </c>
      <c r="I57" s="154">
        <v>64</v>
      </c>
      <c r="J57" s="576">
        <v>0.38323400000000002</v>
      </c>
      <c r="K57" s="578">
        <v>14.908799999999999</v>
      </c>
      <c r="L57" s="437">
        <v>2.109375</v>
      </c>
      <c r="M57" s="42" t="s">
        <v>227</v>
      </c>
      <c r="N57" s="47">
        <v>181</v>
      </c>
      <c r="O57" s="45">
        <v>145</v>
      </c>
      <c r="P57" s="45">
        <v>33</v>
      </c>
      <c r="Q57" s="388">
        <v>3</v>
      </c>
      <c r="R57" s="429">
        <v>15</v>
      </c>
      <c r="S57" s="92"/>
      <c r="T57" s="361">
        <v>43</v>
      </c>
      <c r="U57" s="285">
        <v>18</v>
      </c>
      <c r="V57" s="438">
        <v>0.5</v>
      </c>
    </row>
    <row r="58" spans="2:22" ht="13.5">
      <c r="B58" s="1577">
        <v>201605</v>
      </c>
      <c r="C58" s="326" t="s">
        <v>458</v>
      </c>
      <c r="D58" s="327" t="s">
        <v>1563</v>
      </c>
      <c r="E58" s="327" t="s">
        <v>1564</v>
      </c>
      <c r="F58" s="459">
        <v>1640.6880000000008</v>
      </c>
      <c r="G58" s="339">
        <v>166.25299999999999</v>
      </c>
      <c r="H58" s="337">
        <v>178.047</v>
      </c>
      <c r="I58" s="331">
        <v>6</v>
      </c>
      <c r="J58" s="577">
        <v>0.08</v>
      </c>
      <c r="K58" s="579">
        <v>23.750428571428998</v>
      </c>
      <c r="L58" s="436">
        <v>1.1666669999999999</v>
      </c>
      <c r="M58" s="42" t="s">
        <v>227</v>
      </c>
      <c r="N58" s="334">
        <v>77</v>
      </c>
      <c r="O58" s="335">
        <v>62</v>
      </c>
      <c r="P58" s="335">
        <v>10</v>
      </c>
      <c r="Q58" s="389">
        <v>5</v>
      </c>
      <c r="R58" s="430">
        <v>0</v>
      </c>
      <c r="S58" s="339"/>
      <c r="T58" s="362">
        <v>4</v>
      </c>
      <c r="U58" s="337">
        <v>3</v>
      </c>
      <c r="V58" s="338">
        <v>0.2</v>
      </c>
    </row>
    <row r="59" spans="2:22" ht="13.5">
      <c r="B59" s="1577">
        <v>201605</v>
      </c>
      <c r="C59" s="324" t="s">
        <v>458</v>
      </c>
      <c r="D59" s="325" t="s">
        <v>1099</v>
      </c>
      <c r="E59" s="325" t="s">
        <v>1286</v>
      </c>
      <c r="F59" s="460">
        <v>1681.2180000000014</v>
      </c>
      <c r="G59" s="92">
        <v>298.827</v>
      </c>
      <c r="H59" s="279">
        <v>439.05900000000003</v>
      </c>
      <c r="I59" s="154">
        <v>13</v>
      </c>
      <c r="J59" s="576">
        <v>0.14444399999999999</v>
      </c>
      <c r="K59" s="578">
        <v>14.229857142857</v>
      </c>
      <c r="L59" s="437">
        <v>1.6153850000000001</v>
      </c>
      <c r="M59" s="42" t="s">
        <v>227</v>
      </c>
      <c r="N59" s="47">
        <v>90</v>
      </c>
      <c r="O59" s="45">
        <v>69</v>
      </c>
      <c r="P59" s="45">
        <v>17</v>
      </c>
      <c r="Q59" s="388">
        <v>4</v>
      </c>
      <c r="R59" s="429">
        <v>0</v>
      </c>
      <c r="S59" s="92"/>
      <c r="T59" s="361"/>
      <c r="U59" s="285"/>
      <c r="V59" s="438"/>
    </row>
    <row r="60" spans="2:22" ht="13.5">
      <c r="B60" s="1577">
        <v>201605</v>
      </c>
      <c r="C60" s="326" t="s">
        <v>458</v>
      </c>
      <c r="D60" s="327" t="s">
        <v>900</v>
      </c>
      <c r="E60" s="327" t="s">
        <v>901</v>
      </c>
      <c r="F60" s="459">
        <v>6432.5140000000092</v>
      </c>
      <c r="G60" s="339">
        <v>1229.896</v>
      </c>
      <c r="H60" s="337">
        <v>1258.635</v>
      </c>
      <c r="I60" s="331">
        <v>16</v>
      </c>
      <c r="J60" s="577">
        <v>0.21052599999999999</v>
      </c>
      <c r="K60" s="579">
        <v>33.240432432432002</v>
      </c>
      <c r="L60" s="436">
        <v>2.3125</v>
      </c>
      <c r="M60" s="42" t="s">
        <v>227</v>
      </c>
      <c r="N60" s="334">
        <v>77</v>
      </c>
      <c r="O60" s="335">
        <v>58</v>
      </c>
      <c r="P60" s="335">
        <v>14</v>
      </c>
      <c r="Q60" s="389">
        <v>5</v>
      </c>
      <c r="R60" s="430">
        <v>0</v>
      </c>
      <c r="S60" s="339"/>
      <c r="T60" s="362">
        <v>2</v>
      </c>
      <c r="U60" s="337">
        <v>2</v>
      </c>
      <c r="V60" s="338">
        <v>0.10526315789473684</v>
      </c>
    </row>
    <row r="61" spans="2:22" ht="13.5">
      <c r="B61" s="1577">
        <v>201605</v>
      </c>
      <c r="C61" s="324" t="s">
        <v>458</v>
      </c>
      <c r="D61" s="325" t="s">
        <v>649</v>
      </c>
      <c r="E61" s="325" t="s">
        <v>645</v>
      </c>
      <c r="F61" s="460">
        <v>1374.308</v>
      </c>
      <c r="G61" s="92">
        <v>327.90499999999997</v>
      </c>
      <c r="H61" s="279">
        <v>287.48899999999998</v>
      </c>
      <c r="I61" s="154">
        <v>9</v>
      </c>
      <c r="J61" s="576">
        <v>8.4905999999999995E-2</v>
      </c>
      <c r="K61" s="578">
        <v>27.325416666667</v>
      </c>
      <c r="L61" s="437">
        <v>1.3333330000000001</v>
      </c>
      <c r="M61" s="42" t="s">
        <v>227</v>
      </c>
      <c r="N61" s="47">
        <v>107</v>
      </c>
      <c r="O61" s="45">
        <v>83</v>
      </c>
      <c r="P61" s="45">
        <v>17</v>
      </c>
      <c r="Q61" s="388">
        <v>7</v>
      </c>
      <c r="R61" s="429">
        <v>2</v>
      </c>
      <c r="S61" s="92">
        <v>1</v>
      </c>
      <c r="T61" s="361">
        <v>3</v>
      </c>
      <c r="U61" s="285">
        <v>2</v>
      </c>
      <c r="V61" s="438">
        <v>8.3333333333333329E-2</v>
      </c>
    </row>
    <row r="62" spans="2:22" ht="13.5">
      <c r="B62" s="1577">
        <v>201605</v>
      </c>
      <c r="C62" s="326" t="s">
        <v>458</v>
      </c>
      <c r="D62" s="327" t="s">
        <v>3168</v>
      </c>
      <c r="E62" s="327" t="s">
        <v>3169</v>
      </c>
      <c r="F62" s="459"/>
      <c r="G62" s="339">
        <v>0</v>
      </c>
      <c r="H62" s="337">
        <v>0</v>
      </c>
      <c r="I62" s="331">
        <v>0</v>
      </c>
      <c r="J62" s="577">
        <v>0</v>
      </c>
      <c r="K62" s="579">
        <v>0</v>
      </c>
      <c r="L62" s="436">
        <v>0</v>
      </c>
      <c r="M62" s="42" t="s">
        <v>227</v>
      </c>
      <c r="N62" s="334">
        <v>4</v>
      </c>
      <c r="O62" s="335">
        <v>2</v>
      </c>
      <c r="P62" s="335">
        <v>2</v>
      </c>
      <c r="Q62" s="389">
        <v>0</v>
      </c>
      <c r="R62" s="430">
        <v>0</v>
      </c>
      <c r="S62" s="339">
        <v>2</v>
      </c>
      <c r="T62" s="362">
        <v>2</v>
      </c>
      <c r="U62" s="337">
        <v>1</v>
      </c>
      <c r="V62" s="338">
        <v>0.5</v>
      </c>
    </row>
    <row r="63" spans="2:22" ht="13.5">
      <c r="B63" s="1577">
        <v>201605</v>
      </c>
      <c r="C63" s="324" t="s">
        <v>458</v>
      </c>
      <c r="D63" s="325" t="s">
        <v>2896</v>
      </c>
      <c r="E63" s="325" t="s">
        <v>1410</v>
      </c>
      <c r="F63" s="460">
        <v>47.076999999999998</v>
      </c>
      <c r="G63" s="92">
        <v>47.076999999999998</v>
      </c>
      <c r="H63" s="279">
        <v>47.076999999999998</v>
      </c>
      <c r="I63" s="154">
        <v>4</v>
      </c>
      <c r="J63" s="576">
        <v>1.142857</v>
      </c>
      <c r="K63" s="578">
        <v>11.76925</v>
      </c>
      <c r="L63" s="437">
        <v>1</v>
      </c>
      <c r="M63" s="42" t="s">
        <v>227</v>
      </c>
      <c r="N63" s="47">
        <v>7</v>
      </c>
      <c r="O63" s="45">
        <v>4</v>
      </c>
      <c r="P63" s="45">
        <v>3</v>
      </c>
      <c r="Q63" s="388">
        <v>0</v>
      </c>
      <c r="R63" s="429">
        <v>0</v>
      </c>
      <c r="S63" s="92">
        <v>3</v>
      </c>
      <c r="T63" s="361">
        <v>4</v>
      </c>
      <c r="U63" s="285">
        <v>3</v>
      </c>
      <c r="V63" s="438">
        <v>1</v>
      </c>
    </row>
    <row r="64" spans="2:22" ht="13.5">
      <c r="B64" s="1577">
        <v>201605</v>
      </c>
      <c r="C64" s="326" t="s">
        <v>458</v>
      </c>
      <c r="D64" s="327" t="s">
        <v>902</v>
      </c>
      <c r="E64" s="327" t="s">
        <v>1014</v>
      </c>
      <c r="F64" s="459">
        <v>3450.4449999999961</v>
      </c>
      <c r="G64" s="339">
        <v>637.87800000000004</v>
      </c>
      <c r="H64" s="337">
        <v>652.54300000000001</v>
      </c>
      <c r="I64" s="331">
        <v>24</v>
      </c>
      <c r="J64" s="577">
        <v>0.217195</v>
      </c>
      <c r="K64" s="579">
        <v>18.225085714285999</v>
      </c>
      <c r="L64" s="436">
        <v>1.4583330000000001</v>
      </c>
      <c r="M64" s="42" t="s">
        <v>227</v>
      </c>
      <c r="N64" s="334">
        <v>111</v>
      </c>
      <c r="O64" s="335">
        <v>83</v>
      </c>
      <c r="P64" s="335">
        <v>22</v>
      </c>
      <c r="Q64" s="389">
        <v>6</v>
      </c>
      <c r="R64" s="430">
        <v>8</v>
      </c>
      <c r="S64" s="339">
        <v>1</v>
      </c>
      <c r="T64" s="362">
        <v>8</v>
      </c>
      <c r="U64" s="337">
        <v>6</v>
      </c>
      <c r="V64" s="338">
        <v>0.21428571428571427</v>
      </c>
    </row>
    <row r="65" spans="2:22" ht="13.5">
      <c r="B65" s="1577">
        <v>201605</v>
      </c>
      <c r="C65" s="324" t="s">
        <v>458</v>
      </c>
      <c r="D65" s="325" t="s">
        <v>642</v>
      </c>
      <c r="E65" s="325" t="s">
        <v>641</v>
      </c>
      <c r="F65" s="460">
        <v>2313.2219999999993</v>
      </c>
      <c r="G65" s="92">
        <v>505.18900000000002</v>
      </c>
      <c r="H65" s="279">
        <v>492.529</v>
      </c>
      <c r="I65" s="154">
        <v>21</v>
      </c>
      <c r="J65" s="576">
        <v>0.24277499999999999</v>
      </c>
      <c r="K65" s="578">
        <v>16.296419354838999</v>
      </c>
      <c r="L65" s="437">
        <v>1.4761899999999999</v>
      </c>
      <c r="M65" s="42" t="s">
        <v>227</v>
      </c>
      <c r="N65" s="47">
        <v>91</v>
      </c>
      <c r="O65" s="45">
        <v>74</v>
      </c>
      <c r="P65" s="45">
        <v>16</v>
      </c>
      <c r="Q65" s="388">
        <v>1</v>
      </c>
      <c r="R65" s="429">
        <v>0</v>
      </c>
      <c r="S65" s="92">
        <v>1</v>
      </c>
      <c r="T65" s="361">
        <v>8</v>
      </c>
      <c r="U65" s="285">
        <v>7</v>
      </c>
      <c r="V65" s="438">
        <v>0.41176470588235292</v>
      </c>
    </row>
    <row r="66" spans="2:22" ht="13.5">
      <c r="B66" s="1577">
        <v>201605</v>
      </c>
      <c r="C66" s="326" t="s">
        <v>458</v>
      </c>
      <c r="D66" s="327" t="s">
        <v>91</v>
      </c>
      <c r="E66" s="327" t="s">
        <v>92</v>
      </c>
      <c r="F66" s="459">
        <v>3367.8459999999955</v>
      </c>
      <c r="G66" s="339">
        <v>431.77499999999998</v>
      </c>
      <c r="H66" s="337">
        <v>432.298</v>
      </c>
      <c r="I66" s="331">
        <v>19</v>
      </c>
      <c r="J66" s="577">
        <v>0.154472</v>
      </c>
      <c r="K66" s="579">
        <v>17.990625000000001</v>
      </c>
      <c r="L66" s="436">
        <v>1.263158</v>
      </c>
      <c r="M66" s="42" t="s">
        <v>227</v>
      </c>
      <c r="N66" s="334">
        <v>127</v>
      </c>
      <c r="O66" s="335">
        <v>92</v>
      </c>
      <c r="P66" s="335">
        <v>28</v>
      </c>
      <c r="Q66" s="389">
        <v>7</v>
      </c>
      <c r="R66" s="430">
        <v>0</v>
      </c>
      <c r="S66" s="339"/>
      <c r="T66" s="362">
        <v>8</v>
      </c>
      <c r="U66" s="337">
        <v>6</v>
      </c>
      <c r="V66" s="338">
        <v>0.17142857142857143</v>
      </c>
    </row>
    <row r="67" spans="2:22" ht="13.5">
      <c r="B67" s="1577">
        <v>201605</v>
      </c>
      <c r="C67" s="324" t="s">
        <v>458</v>
      </c>
      <c r="D67" s="325" t="s">
        <v>187</v>
      </c>
      <c r="E67" s="325" t="s">
        <v>194</v>
      </c>
      <c r="F67" s="460">
        <v>895.00800000000027</v>
      </c>
      <c r="G67" s="92">
        <v>221.63</v>
      </c>
      <c r="H67" s="279">
        <v>221.18600000000001</v>
      </c>
      <c r="I67" s="154">
        <v>10</v>
      </c>
      <c r="J67" s="576">
        <v>0.141844</v>
      </c>
      <c r="K67" s="578">
        <v>12.312777777777999</v>
      </c>
      <c r="L67" s="437">
        <v>1.8</v>
      </c>
      <c r="M67" s="42" t="s">
        <v>227</v>
      </c>
      <c r="N67" s="47">
        <v>69</v>
      </c>
      <c r="O67" s="45">
        <v>46</v>
      </c>
      <c r="P67" s="45">
        <v>16</v>
      </c>
      <c r="Q67" s="388">
        <v>7</v>
      </c>
      <c r="R67" s="429">
        <v>4</v>
      </c>
      <c r="S67" s="92"/>
      <c r="T67" s="361"/>
      <c r="U67" s="285"/>
      <c r="V67" s="438"/>
    </row>
    <row r="68" spans="2:22" ht="13.5">
      <c r="B68" s="1577">
        <v>201605</v>
      </c>
      <c r="C68" s="326" t="s">
        <v>458</v>
      </c>
      <c r="D68" s="327" t="s">
        <v>734</v>
      </c>
      <c r="E68" s="327" t="s">
        <v>1766</v>
      </c>
      <c r="F68" s="459">
        <v>2284.2599999999975</v>
      </c>
      <c r="G68" s="339">
        <v>393.77499999999998</v>
      </c>
      <c r="H68" s="337">
        <v>419.70100000000002</v>
      </c>
      <c r="I68" s="331">
        <v>17</v>
      </c>
      <c r="J68" s="577">
        <v>0.104615</v>
      </c>
      <c r="K68" s="579">
        <v>14.063392857143</v>
      </c>
      <c r="L68" s="436">
        <v>1.6470590000000001</v>
      </c>
      <c r="M68" s="42" t="s">
        <v>227</v>
      </c>
      <c r="N68" s="334">
        <v>157</v>
      </c>
      <c r="O68" s="335">
        <v>125</v>
      </c>
      <c r="P68" s="335">
        <v>28</v>
      </c>
      <c r="Q68" s="389">
        <v>4</v>
      </c>
      <c r="R68" s="430">
        <v>16</v>
      </c>
      <c r="S68" s="339"/>
      <c r="T68" s="362">
        <v>5</v>
      </c>
      <c r="U68" s="337">
        <v>4</v>
      </c>
      <c r="V68" s="338">
        <v>0.125</v>
      </c>
    </row>
    <row r="69" spans="2:22" ht="13.5">
      <c r="B69" s="1577">
        <v>201605</v>
      </c>
      <c r="C69" s="324" t="s">
        <v>458</v>
      </c>
      <c r="D69" s="325" t="s">
        <v>735</v>
      </c>
      <c r="E69" s="325" t="s">
        <v>790</v>
      </c>
      <c r="F69" s="460">
        <v>5969.4309999999823</v>
      </c>
      <c r="G69" s="92">
        <v>795.03399999999999</v>
      </c>
      <c r="H69" s="279">
        <v>930.45899999999995</v>
      </c>
      <c r="I69" s="154">
        <v>16</v>
      </c>
      <c r="J69" s="576">
        <v>0.19875799999999999</v>
      </c>
      <c r="K69" s="578">
        <v>28.394071428570999</v>
      </c>
      <c r="L69" s="437">
        <v>1.75</v>
      </c>
      <c r="M69" s="42" t="s">
        <v>227</v>
      </c>
      <c r="N69" s="47">
        <v>73</v>
      </c>
      <c r="O69" s="45">
        <v>51</v>
      </c>
      <c r="P69" s="45">
        <v>17</v>
      </c>
      <c r="Q69" s="388">
        <v>5</v>
      </c>
      <c r="R69" s="429">
        <v>21</v>
      </c>
      <c r="S69" s="92">
        <v>1</v>
      </c>
      <c r="T69" s="361">
        <v>3</v>
      </c>
      <c r="U69" s="285">
        <v>3</v>
      </c>
      <c r="V69" s="438">
        <v>0.13636363636363635</v>
      </c>
    </row>
    <row r="70" spans="2:22" ht="13.5">
      <c r="B70" s="1577">
        <v>201605</v>
      </c>
      <c r="C70" s="326" t="s">
        <v>458</v>
      </c>
      <c r="D70" s="327" t="s">
        <v>798</v>
      </c>
      <c r="E70" s="327" t="s">
        <v>1768</v>
      </c>
      <c r="F70" s="459">
        <v>2344.1784999999982</v>
      </c>
      <c r="G70" s="339">
        <v>577.84500000000003</v>
      </c>
      <c r="H70" s="337">
        <v>531.14</v>
      </c>
      <c r="I70" s="331">
        <v>25</v>
      </c>
      <c r="J70" s="577">
        <v>0.20325199999999999</v>
      </c>
      <c r="K70" s="579">
        <v>15.617432432432</v>
      </c>
      <c r="L70" s="436">
        <v>1.48</v>
      </c>
      <c r="M70" s="42" t="s">
        <v>227</v>
      </c>
      <c r="N70" s="334">
        <v>124</v>
      </c>
      <c r="O70" s="335">
        <v>92</v>
      </c>
      <c r="P70" s="335">
        <v>23</v>
      </c>
      <c r="Q70" s="389">
        <v>9</v>
      </c>
      <c r="R70" s="430">
        <v>5</v>
      </c>
      <c r="S70" s="339">
        <v>1</v>
      </c>
      <c r="T70" s="362">
        <v>6</v>
      </c>
      <c r="U70" s="337">
        <v>5</v>
      </c>
      <c r="V70" s="338">
        <v>0.15625</v>
      </c>
    </row>
    <row r="71" spans="2:22" ht="13.5">
      <c r="B71" s="1577">
        <v>201605</v>
      </c>
      <c r="C71" s="324" t="s">
        <v>458</v>
      </c>
      <c r="D71" s="325" t="s">
        <v>949</v>
      </c>
      <c r="E71" s="325" t="s">
        <v>950</v>
      </c>
      <c r="F71" s="460">
        <v>3863.4719999999984</v>
      </c>
      <c r="G71" s="92">
        <v>792.91300000000001</v>
      </c>
      <c r="H71" s="279">
        <v>706.75099999999998</v>
      </c>
      <c r="I71" s="154">
        <v>24</v>
      </c>
      <c r="J71" s="576">
        <v>0.25</v>
      </c>
      <c r="K71" s="578">
        <v>18.439837209302002</v>
      </c>
      <c r="L71" s="437">
        <v>1.7916669999999999</v>
      </c>
      <c r="M71" s="42" t="s">
        <v>227</v>
      </c>
      <c r="N71" s="47">
        <v>98</v>
      </c>
      <c r="O71" s="45">
        <v>70</v>
      </c>
      <c r="P71" s="45">
        <v>21</v>
      </c>
      <c r="Q71" s="388">
        <v>7</v>
      </c>
      <c r="R71" s="429">
        <v>0</v>
      </c>
      <c r="S71" s="92"/>
      <c r="T71" s="361">
        <v>4</v>
      </c>
      <c r="U71" s="285">
        <v>3</v>
      </c>
      <c r="V71" s="438">
        <v>0.10714285714285714</v>
      </c>
    </row>
    <row r="72" spans="2:22" ht="13.5">
      <c r="B72" s="1577">
        <v>201605</v>
      </c>
      <c r="C72" s="326" t="s">
        <v>458</v>
      </c>
      <c r="D72" s="327" t="s">
        <v>903</v>
      </c>
      <c r="E72" s="327" t="s">
        <v>904</v>
      </c>
      <c r="F72" s="459">
        <v>4752.7480000000032</v>
      </c>
      <c r="G72" s="339">
        <v>1361.23</v>
      </c>
      <c r="H72" s="337">
        <v>1293.077</v>
      </c>
      <c r="I72" s="331">
        <v>37</v>
      </c>
      <c r="J72" s="577">
        <v>0.30578499999999997</v>
      </c>
      <c r="K72" s="579">
        <v>19.446142857142998</v>
      </c>
      <c r="L72" s="436">
        <v>1.8918919999999999</v>
      </c>
      <c r="M72" s="42" t="s">
        <v>227</v>
      </c>
      <c r="N72" s="334">
        <v>130</v>
      </c>
      <c r="O72" s="335">
        <v>93</v>
      </c>
      <c r="P72" s="335">
        <v>30</v>
      </c>
      <c r="Q72" s="389">
        <v>7</v>
      </c>
      <c r="R72" s="430">
        <v>2</v>
      </c>
      <c r="S72" s="339">
        <v>3</v>
      </c>
      <c r="T72" s="362">
        <v>16</v>
      </c>
      <c r="U72" s="337">
        <v>11</v>
      </c>
      <c r="V72" s="338">
        <v>0.29729729729729731</v>
      </c>
    </row>
    <row r="73" spans="2:22" ht="13.5">
      <c r="B73" s="1577">
        <v>201605</v>
      </c>
      <c r="C73" s="324" t="s">
        <v>458</v>
      </c>
      <c r="D73" s="325" t="s">
        <v>1101</v>
      </c>
      <c r="E73" s="325" t="s">
        <v>2897</v>
      </c>
      <c r="F73" s="460">
        <v>1035.9629999999995</v>
      </c>
      <c r="G73" s="92">
        <v>424.57799999999997</v>
      </c>
      <c r="H73" s="279">
        <v>428.06200000000001</v>
      </c>
      <c r="I73" s="154">
        <v>20</v>
      </c>
      <c r="J73" s="576">
        <v>0.27397300000000002</v>
      </c>
      <c r="K73" s="578">
        <v>14.640620689655</v>
      </c>
      <c r="L73" s="437">
        <v>1.45</v>
      </c>
      <c r="M73" s="42" t="s">
        <v>227</v>
      </c>
      <c r="N73" s="47">
        <v>82</v>
      </c>
      <c r="O73" s="45">
        <v>61</v>
      </c>
      <c r="P73" s="45">
        <v>20</v>
      </c>
      <c r="Q73" s="388">
        <v>1</v>
      </c>
      <c r="R73" s="429">
        <v>1</v>
      </c>
      <c r="S73" s="92">
        <v>1</v>
      </c>
      <c r="T73" s="361">
        <v>18</v>
      </c>
      <c r="U73" s="285">
        <v>8</v>
      </c>
      <c r="V73" s="438">
        <v>0.38095238095238093</v>
      </c>
    </row>
    <row r="74" spans="2:22" ht="13.5">
      <c r="B74" s="1577">
        <v>201605</v>
      </c>
      <c r="C74" s="326" t="s">
        <v>458</v>
      </c>
      <c r="D74" s="327" t="s">
        <v>1102</v>
      </c>
      <c r="E74" s="327" t="s">
        <v>1163</v>
      </c>
      <c r="F74" s="459">
        <v>2164.8510000000001</v>
      </c>
      <c r="G74" s="339">
        <v>412.56299999999999</v>
      </c>
      <c r="H74" s="337">
        <v>412.01</v>
      </c>
      <c r="I74" s="331">
        <v>12</v>
      </c>
      <c r="J74" s="577">
        <v>8.6957000000000007E-2</v>
      </c>
      <c r="K74" s="579">
        <v>22.920166666667001</v>
      </c>
      <c r="L74" s="436">
        <v>1.5</v>
      </c>
      <c r="M74" s="42" t="s">
        <v>227</v>
      </c>
      <c r="N74" s="334">
        <v>132</v>
      </c>
      <c r="O74" s="335">
        <v>100</v>
      </c>
      <c r="P74" s="335">
        <v>29</v>
      </c>
      <c r="Q74" s="389">
        <v>3</v>
      </c>
      <c r="R74" s="430">
        <v>16</v>
      </c>
      <c r="S74" s="339"/>
      <c r="T74" s="362">
        <v>4</v>
      </c>
      <c r="U74" s="337">
        <v>1</v>
      </c>
      <c r="V74" s="338">
        <v>3.125E-2</v>
      </c>
    </row>
    <row r="75" spans="2:22" ht="13.5">
      <c r="B75" s="1577">
        <v>201605</v>
      </c>
      <c r="C75" s="324" t="s">
        <v>458</v>
      </c>
      <c r="D75" s="325" t="s">
        <v>47</v>
      </c>
      <c r="E75" s="325" t="s">
        <v>17</v>
      </c>
      <c r="F75" s="460">
        <v>2115.0539999999974</v>
      </c>
      <c r="G75" s="92">
        <v>404.17899999999997</v>
      </c>
      <c r="H75" s="279">
        <v>403.41800000000001</v>
      </c>
      <c r="I75" s="154">
        <v>11</v>
      </c>
      <c r="J75" s="576">
        <v>0.24444399999999999</v>
      </c>
      <c r="K75" s="578">
        <v>23.775235294117998</v>
      </c>
      <c r="L75" s="437">
        <v>1.545455</v>
      </c>
      <c r="M75" s="42" t="s">
        <v>227</v>
      </c>
      <c r="N75" s="47">
        <v>45</v>
      </c>
      <c r="O75" s="45">
        <v>35</v>
      </c>
      <c r="P75" s="45">
        <v>8</v>
      </c>
      <c r="Q75" s="388">
        <v>2</v>
      </c>
      <c r="R75" s="429">
        <v>2</v>
      </c>
      <c r="S75" s="92"/>
      <c r="T75" s="361">
        <v>2</v>
      </c>
      <c r="U75" s="285">
        <v>1</v>
      </c>
      <c r="V75" s="438">
        <v>0.1</v>
      </c>
    </row>
    <row r="76" spans="2:22" ht="13.5">
      <c r="B76" s="1577">
        <v>201605</v>
      </c>
      <c r="C76" s="326" t="s">
        <v>458</v>
      </c>
      <c r="D76" s="327" t="s">
        <v>736</v>
      </c>
      <c r="E76" s="327" t="s">
        <v>697</v>
      </c>
      <c r="F76" s="459">
        <v>3809.7209999999918</v>
      </c>
      <c r="G76" s="339">
        <v>258.22199999999998</v>
      </c>
      <c r="H76" s="337">
        <v>222.376</v>
      </c>
      <c r="I76" s="331">
        <v>13</v>
      </c>
      <c r="J76" s="577">
        <v>0.134715</v>
      </c>
      <c r="K76" s="579">
        <v>12.911099999999999</v>
      </c>
      <c r="L76" s="436">
        <v>1.538462</v>
      </c>
      <c r="M76" s="42" t="s">
        <v>227</v>
      </c>
      <c r="N76" s="334">
        <v>96</v>
      </c>
      <c r="O76" s="335">
        <v>73</v>
      </c>
      <c r="P76" s="335">
        <v>17</v>
      </c>
      <c r="Q76" s="389">
        <v>6</v>
      </c>
      <c r="R76" s="430">
        <v>7</v>
      </c>
      <c r="S76" s="339"/>
      <c r="T76" s="362">
        <v>5</v>
      </c>
      <c r="U76" s="337">
        <v>4</v>
      </c>
      <c r="V76" s="338">
        <v>0.17391304347826086</v>
      </c>
    </row>
    <row r="77" spans="2:22" ht="13.5">
      <c r="B77" s="1577">
        <v>201605</v>
      </c>
      <c r="C77" s="324" t="s">
        <v>458</v>
      </c>
      <c r="D77" s="325" t="s">
        <v>2658</v>
      </c>
      <c r="E77" s="325" t="s">
        <v>2705</v>
      </c>
      <c r="F77" s="460">
        <v>638.10499999999979</v>
      </c>
      <c r="G77" s="92">
        <v>381.87299999999999</v>
      </c>
      <c r="H77" s="279">
        <v>351.69299999999998</v>
      </c>
      <c r="I77" s="154">
        <v>9</v>
      </c>
      <c r="J77" s="576">
        <v>0.52941199999999999</v>
      </c>
      <c r="K77" s="578">
        <v>31.822749999999999</v>
      </c>
      <c r="L77" s="437">
        <v>1.3333330000000001</v>
      </c>
      <c r="M77" s="42" t="s">
        <v>227</v>
      </c>
      <c r="N77" s="47">
        <v>19</v>
      </c>
      <c r="O77" s="45">
        <v>13</v>
      </c>
      <c r="P77" s="45">
        <v>6</v>
      </c>
      <c r="Q77" s="388">
        <v>0</v>
      </c>
      <c r="R77" s="429">
        <v>0</v>
      </c>
      <c r="S77" s="92">
        <v>1</v>
      </c>
      <c r="T77" s="361">
        <v>3</v>
      </c>
      <c r="U77" s="285">
        <v>3</v>
      </c>
      <c r="V77" s="438">
        <v>0.5</v>
      </c>
    </row>
    <row r="78" spans="2:22" ht="13.5">
      <c r="B78" s="1577">
        <v>201605</v>
      </c>
      <c r="C78" s="326" t="s">
        <v>458</v>
      </c>
      <c r="D78" s="327" t="s">
        <v>796</v>
      </c>
      <c r="E78" s="327" t="s">
        <v>797</v>
      </c>
      <c r="F78" s="459">
        <v>1832.0719999999997</v>
      </c>
      <c r="G78" s="339">
        <v>529.20000000000005</v>
      </c>
      <c r="H78" s="337">
        <v>461.45499999999998</v>
      </c>
      <c r="I78" s="331">
        <v>11</v>
      </c>
      <c r="J78" s="577">
        <v>0.203704</v>
      </c>
      <c r="K78" s="579">
        <v>26.46</v>
      </c>
      <c r="L78" s="436">
        <v>1.818182</v>
      </c>
      <c r="M78" s="42" t="s">
        <v>227</v>
      </c>
      <c r="N78" s="334">
        <v>58</v>
      </c>
      <c r="O78" s="335">
        <v>43</v>
      </c>
      <c r="P78" s="335">
        <v>14</v>
      </c>
      <c r="Q78" s="389">
        <v>1</v>
      </c>
      <c r="R78" s="430">
        <v>0</v>
      </c>
      <c r="S78" s="339"/>
      <c r="T78" s="362">
        <v>8</v>
      </c>
      <c r="U78" s="337">
        <v>5</v>
      </c>
      <c r="V78" s="338">
        <v>0.33333333333333331</v>
      </c>
    </row>
    <row r="79" spans="2:22" ht="13.5">
      <c r="B79" s="1577">
        <v>201605</v>
      </c>
      <c r="C79" s="324" t="s">
        <v>458</v>
      </c>
      <c r="D79" s="325" t="s">
        <v>2659</v>
      </c>
      <c r="E79" s="325" t="s">
        <v>2706</v>
      </c>
      <c r="F79" s="460">
        <v>1297.3719999999998</v>
      </c>
      <c r="G79" s="92">
        <v>886.59500000000003</v>
      </c>
      <c r="H79" s="279">
        <v>757.06600000000003</v>
      </c>
      <c r="I79" s="154">
        <v>15</v>
      </c>
      <c r="J79" s="576">
        <v>0.42857099999999998</v>
      </c>
      <c r="K79" s="578">
        <v>38.547608695652002</v>
      </c>
      <c r="L79" s="437">
        <v>1.5333330000000001</v>
      </c>
      <c r="M79" s="42" t="s">
        <v>227</v>
      </c>
      <c r="N79" s="47">
        <v>39</v>
      </c>
      <c r="O79" s="45">
        <v>28</v>
      </c>
      <c r="P79" s="45">
        <v>11</v>
      </c>
      <c r="Q79" s="388">
        <v>0</v>
      </c>
      <c r="R79" s="429">
        <v>0</v>
      </c>
      <c r="S79" s="92">
        <v>1</v>
      </c>
      <c r="T79" s="361">
        <v>7</v>
      </c>
      <c r="U79" s="285">
        <v>6</v>
      </c>
      <c r="V79" s="438">
        <v>0.54545454545454541</v>
      </c>
    </row>
    <row r="80" spans="2:22" ht="13.5">
      <c r="B80" s="1577">
        <v>201605</v>
      </c>
      <c r="C80" s="326" t="s">
        <v>458</v>
      </c>
      <c r="D80" s="327" t="s">
        <v>1418</v>
      </c>
      <c r="E80" s="327" t="s">
        <v>1771</v>
      </c>
      <c r="F80" s="459">
        <v>1579.6459999999995</v>
      </c>
      <c r="G80" s="339">
        <v>756.11500000000001</v>
      </c>
      <c r="H80" s="337">
        <v>730.726</v>
      </c>
      <c r="I80" s="331">
        <v>16</v>
      </c>
      <c r="J80" s="577">
        <v>0.225352</v>
      </c>
      <c r="K80" s="579">
        <v>23.62859375</v>
      </c>
      <c r="L80" s="436">
        <v>2</v>
      </c>
      <c r="M80" s="42" t="s">
        <v>227</v>
      </c>
      <c r="N80" s="334">
        <v>71</v>
      </c>
      <c r="O80" s="335">
        <v>44</v>
      </c>
      <c r="P80" s="335">
        <v>25</v>
      </c>
      <c r="Q80" s="389">
        <v>2</v>
      </c>
      <c r="R80" s="430">
        <v>10</v>
      </c>
      <c r="S80" s="339">
        <v>4</v>
      </c>
      <c r="T80" s="362">
        <v>6</v>
      </c>
      <c r="U80" s="337">
        <v>5</v>
      </c>
      <c r="V80" s="338">
        <v>0.18518518518518517</v>
      </c>
    </row>
    <row r="81" spans="2:22" ht="13.5">
      <c r="B81" s="1577">
        <v>201605</v>
      </c>
      <c r="C81" s="324" t="s">
        <v>458</v>
      </c>
      <c r="D81" s="325" t="s">
        <v>2660</v>
      </c>
      <c r="E81" s="325" t="s">
        <v>2707</v>
      </c>
      <c r="F81" s="460">
        <v>247.41800000000001</v>
      </c>
      <c r="G81" s="92">
        <v>127.925</v>
      </c>
      <c r="H81" s="279">
        <v>127.925</v>
      </c>
      <c r="I81" s="154">
        <v>1</v>
      </c>
      <c r="J81" s="576">
        <v>7.1429000000000006E-2</v>
      </c>
      <c r="K81" s="578">
        <v>42.641666666667</v>
      </c>
      <c r="L81" s="437">
        <v>3</v>
      </c>
      <c r="M81" s="42" t="s">
        <v>227</v>
      </c>
      <c r="N81" s="47">
        <v>16</v>
      </c>
      <c r="O81" s="45">
        <v>9</v>
      </c>
      <c r="P81" s="45">
        <v>7</v>
      </c>
      <c r="Q81" s="388">
        <v>0</v>
      </c>
      <c r="R81" s="429">
        <v>0</v>
      </c>
      <c r="S81" s="92">
        <v>2</v>
      </c>
      <c r="T81" s="361">
        <v>2</v>
      </c>
      <c r="U81" s="285">
        <v>1</v>
      </c>
      <c r="V81" s="438">
        <v>0.14285714285714285</v>
      </c>
    </row>
    <row r="82" spans="2:22" ht="13.5">
      <c r="B82" s="1577">
        <v>201605</v>
      </c>
      <c r="C82" s="326" t="s">
        <v>458</v>
      </c>
      <c r="D82" s="327" t="s">
        <v>905</v>
      </c>
      <c r="E82" s="327" t="s">
        <v>906</v>
      </c>
      <c r="F82" s="459">
        <v>778.79899999999975</v>
      </c>
      <c r="G82" s="339">
        <v>104.325</v>
      </c>
      <c r="H82" s="337">
        <v>104.325</v>
      </c>
      <c r="I82" s="331">
        <v>3</v>
      </c>
      <c r="J82" s="577">
        <v>6.25E-2</v>
      </c>
      <c r="K82" s="579">
        <v>34.774999999999999</v>
      </c>
      <c r="L82" s="436">
        <v>1</v>
      </c>
      <c r="M82" s="42" t="s">
        <v>227</v>
      </c>
      <c r="N82" s="334">
        <v>44</v>
      </c>
      <c r="O82" s="335">
        <v>32</v>
      </c>
      <c r="P82" s="335">
        <v>10</v>
      </c>
      <c r="Q82" s="389">
        <v>2</v>
      </c>
      <c r="R82" s="430">
        <v>8</v>
      </c>
      <c r="S82" s="339"/>
      <c r="T82" s="362"/>
      <c r="U82" s="337"/>
      <c r="V82" s="338"/>
    </row>
    <row r="83" spans="2:22" ht="13.5">
      <c r="B83" s="1577">
        <v>201605</v>
      </c>
      <c r="C83" s="324" t="s">
        <v>458</v>
      </c>
      <c r="D83" s="325" t="s">
        <v>648</v>
      </c>
      <c r="E83" s="325" t="s">
        <v>644</v>
      </c>
      <c r="F83" s="460">
        <v>1244.8014000000012</v>
      </c>
      <c r="G83" s="92">
        <v>639.01599999999996</v>
      </c>
      <c r="H83" s="279">
        <v>409.899</v>
      </c>
      <c r="I83" s="154">
        <v>20</v>
      </c>
      <c r="J83" s="576">
        <v>0.235294</v>
      </c>
      <c r="K83" s="578">
        <v>20.613419354838999</v>
      </c>
      <c r="L83" s="437">
        <v>1.55</v>
      </c>
      <c r="M83" s="42" t="s">
        <v>227</v>
      </c>
      <c r="N83" s="47">
        <v>100</v>
      </c>
      <c r="O83" s="45">
        <v>71</v>
      </c>
      <c r="P83" s="45">
        <v>27</v>
      </c>
      <c r="Q83" s="388">
        <v>2</v>
      </c>
      <c r="R83" s="429">
        <v>3</v>
      </c>
      <c r="S83" s="92">
        <v>11</v>
      </c>
      <c r="T83" s="361">
        <v>22</v>
      </c>
      <c r="U83" s="285">
        <v>12</v>
      </c>
      <c r="V83" s="438">
        <v>0.41379310344827586</v>
      </c>
    </row>
    <row r="84" spans="2:22" ht="13.5">
      <c r="B84" s="1577">
        <v>201605</v>
      </c>
      <c r="C84" s="326" t="s">
        <v>459</v>
      </c>
      <c r="D84" s="327" t="s">
        <v>1100</v>
      </c>
      <c r="E84" s="327" t="s">
        <v>1774</v>
      </c>
      <c r="F84" s="459">
        <v>1750.9570000000006</v>
      </c>
      <c r="G84" s="339">
        <v>472.95600000000002</v>
      </c>
      <c r="H84" s="337">
        <v>463.18799999999999</v>
      </c>
      <c r="I84" s="331">
        <v>22</v>
      </c>
      <c r="J84" s="577">
        <v>0.19730900000000001</v>
      </c>
      <c r="K84" s="579">
        <v>11.8239</v>
      </c>
      <c r="L84" s="436">
        <v>1.818182</v>
      </c>
      <c r="M84" s="42" t="s">
        <v>227</v>
      </c>
      <c r="N84" s="334">
        <v>111</v>
      </c>
      <c r="O84" s="335">
        <v>91</v>
      </c>
      <c r="P84" s="335">
        <v>15</v>
      </c>
      <c r="Q84" s="389">
        <v>5</v>
      </c>
      <c r="R84" s="430">
        <v>16</v>
      </c>
      <c r="S84" s="339">
        <v>2</v>
      </c>
      <c r="T84" s="362">
        <v>13</v>
      </c>
      <c r="U84" s="337">
        <v>5</v>
      </c>
      <c r="V84" s="338">
        <v>0.25</v>
      </c>
    </row>
    <row r="85" spans="2:22" ht="13.5">
      <c r="B85" s="1577">
        <v>201605</v>
      </c>
      <c r="C85" s="324" t="s">
        <v>459</v>
      </c>
      <c r="D85" s="325" t="s">
        <v>1419</v>
      </c>
      <c r="E85" s="325" t="s">
        <v>1420</v>
      </c>
      <c r="F85" s="460">
        <v>1726.2790000000002</v>
      </c>
      <c r="G85" s="92">
        <v>440.93599999999998</v>
      </c>
      <c r="H85" s="279">
        <v>448.32900000000001</v>
      </c>
      <c r="I85" s="154">
        <v>27</v>
      </c>
      <c r="J85" s="576">
        <v>0.24107100000000001</v>
      </c>
      <c r="K85" s="578">
        <v>12.248222222222001</v>
      </c>
      <c r="L85" s="437">
        <v>1.3333330000000001</v>
      </c>
      <c r="M85" s="42" t="s">
        <v>227</v>
      </c>
      <c r="N85" s="47">
        <v>117</v>
      </c>
      <c r="O85" s="45">
        <v>92</v>
      </c>
      <c r="P85" s="45">
        <v>18</v>
      </c>
      <c r="Q85" s="388">
        <v>7</v>
      </c>
      <c r="R85" s="429">
        <v>11</v>
      </c>
      <c r="S85" s="92">
        <v>1</v>
      </c>
      <c r="T85" s="361">
        <v>20</v>
      </c>
      <c r="U85" s="285">
        <v>9</v>
      </c>
      <c r="V85" s="438">
        <v>0.36</v>
      </c>
    </row>
    <row r="86" spans="2:22" ht="13.5">
      <c r="B86" s="1577">
        <v>201605</v>
      </c>
      <c r="C86" s="326" t="s">
        <v>459</v>
      </c>
      <c r="D86" s="327" t="s">
        <v>1103</v>
      </c>
      <c r="E86" s="327" t="s">
        <v>1161</v>
      </c>
      <c r="F86" s="459">
        <v>644.62699999999995</v>
      </c>
      <c r="G86" s="339">
        <v>120.18899999999999</v>
      </c>
      <c r="H86" s="337">
        <v>112.76300000000001</v>
      </c>
      <c r="I86" s="331">
        <v>8</v>
      </c>
      <c r="J86" s="577">
        <v>0.137931</v>
      </c>
      <c r="K86" s="579">
        <v>10.926272727273</v>
      </c>
      <c r="L86" s="436">
        <v>1.375</v>
      </c>
      <c r="M86" s="42" t="s">
        <v>227</v>
      </c>
      <c r="N86" s="334">
        <v>56</v>
      </c>
      <c r="O86" s="335">
        <v>41</v>
      </c>
      <c r="P86" s="335">
        <v>10</v>
      </c>
      <c r="Q86" s="389">
        <v>5</v>
      </c>
      <c r="R86" s="430">
        <v>6</v>
      </c>
      <c r="S86" s="339"/>
      <c r="T86" s="362">
        <v>2</v>
      </c>
      <c r="U86" s="337">
        <v>2</v>
      </c>
      <c r="V86" s="338">
        <v>0.13333333333333333</v>
      </c>
    </row>
    <row r="87" spans="2:22" ht="13.5">
      <c r="B87" s="1577">
        <v>201605</v>
      </c>
      <c r="C87" s="324" t="s">
        <v>459</v>
      </c>
      <c r="D87" s="325" t="s">
        <v>179</v>
      </c>
      <c r="E87" s="325" t="s">
        <v>191</v>
      </c>
      <c r="F87" s="460">
        <v>7979.3710000000119</v>
      </c>
      <c r="G87" s="92">
        <v>1615.85</v>
      </c>
      <c r="H87" s="279">
        <v>1513.48</v>
      </c>
      <c r="I87" s="154">
        <v>71</v>
      </c>
      <c r="J87" s="576">
        <v>0.38586999999999999</v>
      </c>
      <c r="K87" s="578">
        <v>16.488265306121999</v>
      </c>
      <c r="L87" s="437">
        <v>1.380282</v>
      </c>
      <c r="M87" s="42" t="s">
        <v>227</v>
      </c>
      <c r="N87" s="47">
        <v>223</v>
      </c>
      <c r="O87" s="45">
        <v>149</v>
      </c>
      <c r="P87" s="45">
        <v>66</v>
      </c>
      <c r="Q87" s="388">
        <v>8</v>
      </c>
      <c r="R87" s="429">
        <v>6</v>
      </c>
      <c r="S87" s="92">
        <v>21</v>
      </c>
      <c r="T87" s="361">
        <v>63</v>
      </c>
      <c r="U87" s="285">
        <v>30</v>
      </c>
      <c r="V87" s="438">
        <v>0.40540540540540543</v>
      </c>
    </row>
    <row r="88" spans="2:22" ht="13.5">
      <c r="B88" s="1577">
        <v>201605</v>
      </c>
      <c r="C88" s="326" t="s">
        <v>459</v>
      </c>
      <c r="D88" s="327" t="s">
        <v>659</v>
      </c>
      <c r="E88" s="327" t="s">
        <v>655</v>
      </c>
      <c r="F88" s="459">
        <v>3292.3139999999994</v>
      </c>
      <c r="G88" s="339">
        <v>568.28399999999999</v>
      </c>
      <c r="H88" s="337">
        <v>660.524</v>
      </c>
      <c r="I88" s="331">
        <v>26</v>
      </c>
      <c r="J88" s="577">
        <v>0.25</v>
      </c>
      <c r="K88" s="579">
        <v>15.359027027027</v>
      </c>
      <c r="L88" s="436">
        <v>1.4230769999999999</v>
      </c>
      <c r="M88" s="42" t="s">
        <v>227</v>
      </c>
      <c r="N88" s="334">
        <v>106</v>
      </c>
      <c r="O88" s="335">
        <v>85</v>
      </c>
      <c r="P88" s="335">
        <v>19</v>
      </c>
      <c r="Q88" s="389">
        <v>2</v>
      </c>
      <c r="R88" s="430">
        <v>3</v>
      </c>
      <c r="S88" s="339"/>
      <c r="T88" s="362">
        <v>7</v>
      </c>
      <c r="U88" s="337">
        <v>5</v>
      </c>
      <c r="V88" s="338">
        <v>0.23809523809523808</v>
      </c>
    </row>
    <row r="89" spans="2:22" ht="13.5">
      <c r="B89" s="1577">
        <v>201605</v>
      </c>
      <c r="C89" s="324" t="s">
        <v>459</v>
      </c>
      <c r="D89" s="325" t="s">
        <v>699</v>
      </c>
      <c r="E89" s="325" t="s">
        <v>698</v>
      </c>
      <c r="F89" s="460">
        <v>1024.1310000000001</v>
      </c>
      <c r="G89" s="92">
        <v>285.48099999999999</v>
      </c>
      <c r="H89" s="279">
        <v>256.09399999999999</v>
      </c>
      <c r="I89" s="154">
        <v>11</v>
      </c>
      <c r="J89" s="576">
        <v>0.41509400000000002</v>
      </c>
      <c r="K89" s="578">
        <v>20.391500000000001</v>
      </c>
      <c r="L89" s="437">
        <v>1.2727269999999999</v>
      </c>
      <c r="M89" s="42" t="s">
        <v>227</v>
      </c>
      <c r="N89" s="47">
        <v>27</v>
      </c>
      <c r="O89" s="45">
        <v>20</v>
      </c>
      <c r="P89" s="45">
        <v>4</v>
      </c>
      <c r="Q89" s="388">
        <v>3</v>
      </c>
      <c r="R89" s="429">
        <v>1</v>
      </c>
      <c r="S89" s="92"/>
      <c r="T89" s="361">
        <v>2</v>
      </c>
      <c r="U89" s="285">
        <v>2</v>
      </c>
      <c r="V89" s="438">
        <v>0.2857142857142857</v>
      </c>
    </row>
    <row r="90" spans="2:22" ht="13.5">
      <c r="B90" s="1577">
        <v>201605</v>
      </c>
      <c r="C90" s="326" t="s">
        <v>459</v>
      </c>
      <c r="D90" s="327" t="s">
        <v>2708</v>
      </c>
      <c r="E90" s="327" t="s">
        <v>2709</v>
      </c>
      <c r="F90" s="459">
        <v>489.55400000000003</v>
      </c>
      <c r="G90" s="339">
        <v>228.47300000000001</v>
      </c>
      <c r="H90" s="337">
        <v>228.47300000000001</v>
      </c>
      <c r="I90" s="331">
        <v>11</v>
      </c>
      <c r="J90" s="577">
        <v>0.29729699999999998</v>
      </c>
      <c r="K90" s="579">
        <v>17.574846153846</v>
      </c>
      <c r="L90" s="436">
        <v>1.181818</v>
      </c>
      <c r="M90" s="42" t="s">
        <v>227</v>
      </c>
      <c r="N90" s="334">
        <v>53</v>
      </c>
      <c r="O90" s="335">
        <v>32</v>
      </c>
      <c r="P90" s="335">
        <v>21</v>
      </c>
      <c r="Q90" s="389">
        <v>0</v>
      </c>
      <c r="R90" s="430">
        <v>0</v>
      </c>
      <c r="S90" s="339">
        <v>10</v>
      </c>
      <c r="T90" s="362">
        <v>22</v>
      </c>
      <c r="U90" s="337">
        <v>9</v>
      </c>
      <c r="V90" s="338">
        <v>0.42857142857142855</v>
      </c>
    </row>
    <row r="91" spans="2:22" ht="13.5">
      <c r="B91" s="1577">
        <v>201605</v>
      </c>
      <c r="C91" s="324" t="s">
        <v>459</v>
      </c>
      <c r="D91" s="325" t="s">
        <v>1015</v>
      </c>
      <c r="E91" s="325" t="s">
        <v>1348</v>
      </c>
      <c r="F91" s="460">
        <v>1806.8250000000005</v>
      </c>
      <c r="G91" s="92">
        <v>612.62099999999998</v>
      </c>
      <c r="H91" s="279">
        <v>608.27499999999998</v>
      </c>
      <c r="I91" s="154">
        <v>26</v>
      </c>
      <c r="J91" s="576">
        <v>0.25490200000000002</v>
      </c>
      <c r="K91" s="578">
        <v>12.7629375</v>
      </c>
      <c r="L91" s="437">
        <v>1.8461540000000001</v>
      </c>
      <c r="M91" s="42" t="s">
        <v>227</v>
      </c>
      <c r="N91" s="47">
        <v>104</v>
      </c>
      <c r="O91" s="45">
        <v>86</v>
      </c>
      <c r="P91" s="45">
        <v>12</v>
      </c>
      <c r="Q91" s="388">
        <v>6</v>
      </c>
      <c r="R91" s="429">
        <v>1</v>
      </c>
      <c r="S91" s="92"/>
      <c r="T91" s="361">
        <v>5</v>
      </c>
      <c r="U91" s="285">
        <v>5</v>
      </c>
      <c r="V91" s="438">
        <v>0.27777777777777779</v>
      </c>
    </row>
    <row r="92" spans="2:22" ht="13.5">
      <c r="B92" s="1577">
        <v>201605</v>
      </c>
      <c r="C92" s="326" t="s">
        <v>459</v>
      </c>
      <c r="D92" s="327" t="s">
        <v>825</v>
      </c>
      <c r="E92" s="327" t="s">
        <v>1773</v>
      </c>
      <c r="F92" s="459">
        <v>2339.6370000000011</v>
      </c>
      <c r="G92" s="339">
        <v>589.529</v>
      </c>
      <c r="H92" s="337">
        <v>580.36300000000006</v>
      </c>
      <c r="I92" s="331">
        <v>40</v>
      </c>
      <c r="J92" s="577">
        <v>0.31128400000000001</v>
      </c>
      <c r="K92" s="579">
        <v>12.815847826086999</v>
      </c>
      <c r="L92" s="436">
        <v>1.1499999999999999</v>
      </c>
      <c r="M92" s="42" t="s">
        <v>227</v>
      </c>
      <c r="N92" s="334">
        <v>141</v>
      </c>
      <c r="O92" s="335">
        <v>106</v>
      </c>
      <c r="P92" s="335">
        <v>31</v>
      </c>
      <c r="Q92" s="389">
        <v>4</v>
      </c>
      <c r="R92" s="430">
        <v>8</v>
      </c>
      <c r="S92" s="339">
        <v>4</v>
      </c>
      <c r="T92" s="362">
        <v>29</v>
      </c>
      <c r="U92" s="337">
        <v>18</v>
      </c>
      <c r="V92" s="338">
        <v>0.51428571428571423</v>
      </c>
    </row>
    <row r="93" spans="2:22" ht="13.5">
      <c r="B93" s="1577">
        <v>201605</v>
      </c>
      <c r="C93" s="324" t="s">
        <v>459</v>
      </c>
      <c r="D93" s="325" t="s">
        <v>3170</v>
      </c>
      <c r="E93" s="325" t="s">
        <v>3184</v>
      </c>
      <c r="F93" s="460">
        <v>757.62999999999988</v>
      </c>
      <c r="G93" s="92">
        <v>922.74099999999999</v>
      </c>
      <c r="H93" s="279">
        <v>898.84799999999996</v>
      </c>
      <c r="I93" s="154">
        <v>25</v>
      </c>
      <c r="J93" s="576">
        <v>0.17605599999999999</v>
      </c>
      <c r="K93" s="578">
        <v>17.745019230769</v>
      </c>
      <c r="L93" s="437">
        <v>2.08</v>
      </c>
      <c r="M93" s="42" t="s">
        <v>227</v>
      </c>
      <c r="N93" s="47">
        <v>141</v>
      </c>
      <c r="O93" s="45">
        <v>115</v>
      </c>
      <c r="P93" s="45">
        <v>19</v>
      </c>
      <c r="Q93" s="388">
        <v>7</v>
      </c>
      <c r="R93" s="429">
        <v>9</v>
      </c>
      <c r="S93" s="92"/>
      <c r="T93" s="361">
        <v>6</v>
      </c>
      <c r="U93" s="285">
        <v>4</v>
      </c>
      <c r="V93" s="438">
        <v>0.15384615384615385</v>
      </c>
    </row>
    <row r="94" spans="2:22" ht="13.5">
      <c r="B94" s="1577">
        <v>201605</v>
      </c>
      <c r="C94" s="326" t="s">
        <v>459</v>
      </c>
      <c r="D94" s="327" t="s">
        <v>3171</v>
      </c>
      <c r="E94" s="327" t="s">
        <v>3180</v>
      </c>
      <c r="F94" s="459">
        <v>457.22600000000006</v>
      </c>
      <c r="G94" s="339">
        <v>465.19</v>
      </c>
      <c r="H94" s="337">
        <v>465.19</v>
      </c>
      <c r="I94" s="331">
        <v>5</v>
      </c>
      <c r="J94" s="577">
        <v>0.140845</v>
      </c>
      <c r="K94" s="579">
        <v>66.455714285713995</v>
      </c>
      <c r="L94" s="436">
        <v>1.4</v>
      </c>
      <c r="M94" s="42" t="s">
        <v>227</v>
      </c>
      <c r="N94" s="334">
        <v>36</v>
      </c>
      <c r="O94" s="335">
        <v>26</v>
      </c>
      <c r="P94" s="335">
        <v>8</v>
      </c>
      <c r="Q94" s="389">
        <v>2</v>
      </c>
      <c r="R94" s="430">
        <v>0</v>
      </c>
      <c r="S94" s="339"/>
      <c r="T94" s="362">
        <v>1</v>
      </c>
      <c r="U94" s="337">
        <v>1</v>
      </c>
      <c r="V94" s="338">
        <v>0.1</v>
      </c>
    </row>
    <row r="95" spans="2:22" ht="13.5">
      <c r="B95" s="1577">
        <v>201605</v>
      </c>
      <c r="C95" s="324" t="s">
        <v>459</v>
      </c>
      <c r="D95" s="325" t="s">
        <v>3172</v>
      </c>
      <c r="E95" s="325" t="s">
        <v>3189</v>
      </c>
      <c r="F95" s="460">
        <v>396.57799999999997</v>
      </c>
      <c r="G95" s="92">
        <v>396.57799999999997</v>
      </c>
      <c r="H95" s="279">
        <v>396.57799999999997</v>
      </c>
      <c r="I95" s="154">
        <v>8</v>
      </c>
      <c r="J95" s="576">
        <v>0.66666700000000001</v>
      </c>
      <c r="K95" s="578">
        <v>30.506</v>
      </c>
      <c r="L95" s="437">
        <v>1.625</v>
      </c>
      <c r="M95" s="42" t="s">
        <v>227</v>
      </c>
      <c r="N95" s="47">
        <v>24</v>
      </c>
      <c r="O95" s="45">
        <v>17</v>
      </c>
      <c r="P95" s="45">
        <v>7</v>
      </c>
      <c r="Q95" s="388">
        <v>0</v>
      </c>
      <c r="R95" s="429">
        <v>0</v>
      </c>
      <c r="S95" s="92">
        <v>7</v>
      </c>
      <c r="T95" s="361">
        <v>17</v>
      </c>
      <c r="U95" s="285">
        <v>4</v>
      </c>
      <c r="V95" s="438">
        <v>0.5714285714285714</v>
      </c>
    </row>
    <row r="96" spans="2:22" ht="13.5">
      <c r="B96" s="1577">
        <v>201605</v>
      </c>
      <c r="C96" s="326" t="s">
        <v>459</v>
      </c>
      <c r="D96" s="327" t="s">
        <v>1570</v>
      </c>
      <c r="E96" s="327" t="s">
        <v>1571</v>
      </c>
      <c r="F96" s="459">
        <v>2209.9819999999986</v>
      </c>
      <c r="G96" s="339">
        <v>434.14499999999998</v>
      </c>
      <c r="H96" s="337">
        <v>429.6</v>
      </c>
      <c r="I96" s="331">
        <v>20</v>
      </c>
      <c r="J96" s="577">
        <v>0.17467199999999999</v>
      </c>
      <c r="K96" s="579">
        <v>12.404142857143</v>
      </c>
      <c r="L96" s="436">
        <v>1.75</v>
      </c>
      <c r="M96" s="42" t="s">
        <v>227</v>
      </c>
      <c r="N96" s="334">
        <v>122</v>
      </c>
      <c r="O96" s="335">
        <v>84</v>
      </c>
      <c r="P96" s="335">
        <v>34</v>
      </c>
      <c r="Q96" s="389">
        <v>4</v>
      </c>
      <c r="R96" s="430">
        <v>10</v>
      </c>
      <c r="S96" s="339">
        <v>10</v>
      </c>
      <c r="T96" s="362">
        <v>15</v>
      </c>
      <c r="U96" s="337">
        <v>9</v>
      </c>
      <c r="V96" s="338">
        <v>0.23684210526315788</v>
      </c>
    </row>
    <row r="97" spans="2:22" ht="13.5">
      <c r="B97" s="1577">
        <v>201605</v>
      </c>
      <c r="C97" s="324" t="s">
        <v>459</v>
      </c>
      <c r="D97" s="325" t="s">
        <v>799</v>
      </c>
      <c r="E97" s="325" t="s">
        <v>800</v>
      </c>
      <c r="F97" s="460">
        <v>3011.8600000000015</v>
      </c>
      <c r="G97" s="92">
        <v>916.96400000000006</v>
      </c>
      <c r="H97" s="279">
        <v>884.21</v>
      </c>
      <c r="I97" s="154">
        <v>49</v>
      </c>
      <c r="J97" s="576">
        <v>0.32450299999999999</v>
      </c>
      <c r="K97" s="578">
        <v>13.484764705882</v>
      </c>
      <c r="L97" s="437">
        <v>1.3877550000000001</v>
      </c>
      <c r="M97" s="42" t="s">
        <v>227</v>
      </c>
      <c r="N97" s="47">
        <v>165</v>
      </c>
      <c r="O97" s="45">
        <v>133</v>
      </c>
      <c r="P97" s="45">
        <v>23</v>
      </c>
      <c r="Q97" s="388">
        <v>9</v>
      </c>
      <c r="R97" s="429">
        <v>11</v>
      </c>
      <c r="S97" s="92">
        <v>2</v>
      </c>
      <c r="T97" s="361">
        <v>37</v>
      </c>
      <c r="U97" s="285">
        <v>17</v>
      </c>
      <c r="V97" s="438">
        <v>0.53125</v>
      </c>
    </row>
    <row r="98" spans="2:22" ht="13.5">
      <c r="B98" s="1577">
        <v>201605</v>
      </c>
      <c r="C98" s="326" t="s">
        <v>459</v>
      </c>
      <c r="D98" s="327" t="s">
        <v>1567</v>
      </c>
      <c r="E98" s="327" t="s">
        <v>1028</v>
      </c>
      <c r="F98" s="459">
        <v>5565.1430000000055</v>
      </c>
      <c r="G98" s="339">
        <v>1410.7840000000001</v>
      </c>
      <c r="H98" s="337">
        <v>1383.203</v>
      </c>
      <c r="I98" s="331">
        <v>66</v>
      </c>
      <c r="J98" s="577">
        <v>0.32195099999999999</v>
      </c>
      <c r="K98" s="579">
        <v>18.32187012987</v>
      </c>
      <c r="L98" s="436">
        <v>1.1666669999999999</v>
      </c>
      <c r="M98" s="42" t="s">
        <v>227</v>
      </c>
      <c r="N98" s="334">
        <v>209</v>
      </c>
      <c r="O98" s="335">
        <v>161</v>
      </c>
      <c r="P98" s="335">
        <v>39</v>
      </c>
      <c r="Q98" s="389">
        <v>9</v>
      </c>
      <c r="R98" s="430">
        <v>25</v>
      </c>
      <c r="S98" s="339">
        <v>2</v>
      </c>
      <c r="T98" s="362">
        <v>31</v>
      </c>
      <c r="U98" s="337">
        <v>16</v>
      </c>
      <c r="V98" s="338">
        <v>0.33333333333333331</v>
      </c>
    </row>
    <row r="99" spans="2:22" ht="13.5">
      <c r="B99" s="1577">
        <v>201605</v>
      </c>
      <c r="C99" s="324" t="s">
        <v>459</v>
      </c>
      <c r="D99" s="325" t="s">
        <v>177</v>
      </c>
      <c r="E99" s="325" t="s">
        <v>189</v>
      </c>
      <c r="F99" s="460">
        <v>2507.6149999999998</v>
      </c>
      <c r="G99" s="92">
        <v>651.04399999999998</v>
      </c>
      <c r="H99" s="279">
        <v>550.97799999999995</v>
      </c>
      <c r="I99" s="154">
        <v>20</v>
      </c>
      <c r="J99" s="576">
        <v>0.261438</v>
      </c>
      <c r="K99" s="578">
        <v>23.251571428571001</v>
      </c>
      <c r="L99" s="437">
        <v>1.4</v>
      </c>
      <c r="M99" s="42" t="s">
        <v>227</v>
      </c>
      <c r="N99" s="47">
        <v>76</v>
      </c>
      <c r="O99" s="45">
        <v>52</v>
      </c>
      <c r="P99" s="45">
        <v>19</v>
      </c>
      <c r="Q99" s="388">
        <v>5</v>
      </c>
      <c r="R99" s="429">
        <v>5</v>
      </c>
      <c r="S99" s="92">
        <v>1</v>
      </c>
      <c r="T99" s="361">
        <v>3</v>
      </c>
      <c r="U99" s="285">
        <v>3</v>
      </c>
      <c r="V99" s="438">
        <v>0.125</v>
      </c>
    </row>
    <row r="100" spans="2:22" ht="13.5">
      <c r="B100" s="1577">
        <v>201605</v>
      </c>
      <c r="C100" s="326" t="s">
        <v>459</v>
      </c>
      <c r="D100" s="327" t="s">
        <v>1568</v>
      </c>
      <c r="E100" s="327" t="s">
        <v>1569</v>
      </c>
      <c r="F100" s="459">
        <v>4939.2620000000097</v>
      </c>
      <c r="G100" s="339">
        <v>1438.029</v>
      </c>
      <c r="H100" s="337">
        <v>1438.029</v>
      </c>
      <c r="I100" s="331">
        <v>65</v>
      </c>
      <c r="J100" s="577">
        <v>0.24904200000000001</v>
      </c>
      <c r="K100" s="579">
        <v>14.38029</v>
      </c>
      <c r="L100" s="436">
        <v>1.538462</v>
      </c>
      <c r="M100" s="42" t="s">
        <v>227</v>
      </c>
      <c r="N100" s="334">
        <v>271</v>
      </c>
      <c r="O100" s="335">
        <v>210</v>
      </c>
      <c r="P100" s="335">
        <v>57</v>
      </c>
      <c r="Q100" s="389">
        <v>4</v>
      </c>
      <c r="R100" s="430">
        <v>16</v>
      </c>
      <c r="S100" s="339">
        <v>6</v>
      </c>
      <c r="T100" s="362">
        <v>30</v>
      </c>
      <c r="U100" s="337">
        <v>18</v>
      </c>
      <c r="V100" s="338">
        <v>0.29508196721311475</v>
      </c>
    </row>
    <row r="101" spans="2:22" ht="13.5">
      <c r="B101" s="1577">
        <v>201605</v>
      </c>
      <c r="C101" s="324" t="s">
        <v>459</v>
      </c>
      <c r="D101" s="325" t="s">
        <v>3173</v>
      </c>
      <c r="E101" s="325" t="s">
        <v>3190</v>
      </c>
      <c r="F101" s="460">
        <v>680.86800000000017</v>
      </c>
      <c r="G101" s="92">
        <v>750.99099999999999</v>
      </c>
      <c r="H101" s="279">
        <v>750.99099999999999</v>
      </c>
      <c r="I101" s="154">
        <v>40</v>
      </c>
      <c r="J101" s="576">
        <v>0.18779299999999999</v>
      </c>
      <c r="K101" s="578">
        <v>13.907240740740999</v>
      </c>
      <c r="L101" s="437">
        <v>1.35</v>
      </c>
      <c r="M101" s="42" t="s">
        <v>227</v>
      </c>
      <c r="N101" s="47">
        <v>217</v>
      </c>
      <c r="O101" s="45">
        <v>173</v>
      </c>
      <c r="P101" s="45">
        <v>33</v>
      </c>
      <c r="Q101" s="388">
        <v>11</v>
      </c>
      <c r="R101" s="429">
        <v>24</v>
      </c>
      <c r="S101" s="92">
        <v>2</v>
      </c>
      <c r="T101" s="361">
        <v>29</v>
      </c>
      <c r="U101" s="285">
        <v>15</v>
      </c>
      <c r="V101" s="438">
        <v>0.34090909090909088</v>
      </c>
    </row>
    <row r="102" spans="2:22" ht="13.5">
      <c r="B102" s="1577">
        <v>201605</v>
      </c>
      <c r="C102" s="326" t="s">
        <v>459</v>
      </c>
      <c r="D102" s="327" t="s">
        <v>3174</v>
      </c>
      <c r="E102" s="327" t="s">
        <v>3191</v>
      </c>
      <c r="F102" s="459">
        <v>521.48799999999983</v>
      </c>
      <c r="G102" s="339">
        <v>512.779</v>
      </c>
      <c r="H102" s="337">
        <v>508.88600000000002</v>
      </c>
      <c r="I102" s="331">
        <v>34</v>
      </c>
      <c r="J102" s="577">
        <v>0.22666700000000001</v>
      </c>
      <c r="K102" s="579">
        <v>11.147369565217</v>
      </c>
      <c r="L102" s="436">
        <v>1.3529409999999999</v>
      </c>
      <c r="M102" s="42" t="s">
        <v>227</v>
      </c>
      <c r="N102" s="334">
        <v>169</v>
      </c>
      <c r="O102" s="335">
        <v>135</v>
      </c>
      <c r="P102" s="335">
        <v>28</v>
      </c>
      <c r="Q102" s="389">
        <v>6</v>
      </c>
      <c r="R102" s="430">
        <v>14</v>
      </c>
      <c r="S102" s="339">
        <v>7</v>
      </c>
      <c r="T102" s="362">
        <v>45</v>
      </c>
      <c r="U102" s="337">
        <v>15</v>
      </c>
      <c r="V102" s="338">
        <v>0.44117647058823528</v>
      </c>
    </row>
    <row r="103" spans="2:22" ht="13.5">
      <c r="B103" s="1577">
        <v>201605</v>
      </c>
      <c r="C103" s="324" t="s">
        <v>459</v>
      </c>
      <c r="D103" s="325" t="s">
        <v>2710</v>
      </c>
      <c r="E103" s="325" t="s">
        <v>2711</v>
      </c>
      <c r="F103" s="460">
        <v>929.52700000000004</v>
      </c>
      <c r="G103" s="92">
        <v>517.4</v>
      </c>
      <c r="H103" s="279">
        <v>500.72199999999998</v>
      </c>
      <c r="I103" s="154">
        <v>28</v>
      </c>
      <c r="J103" s="576">
        <v>0.39436599999999999</v>
      </c>
      <c r="K103" s="578">
        <v>11.759090909091</v>
      </c>
      <c r="L103" s="437">
        <v>1.571429</v>
      </c>
      <c r="M103" s="42" t="s">
        <v>227</v>
      </c>
      <c r="N103" s="47">
        <v>85</v>
      </c>
      <c r="O103" s="45">
        <v>51</v>
      </c>
      <c r="P103" s="45">
        <v>34</v>
      </c>
      <c r="Q103" s="388">
        <v>0</v>
      </c>
      <c r="R103" s="429">
        <v>0</v>
      </c>
      <c r="S103" s="92">
        <v>5</v>
      </c>
      <c r="T103" s="361">
        <v>23</v>
      </c>
      <c r="U103" s="285">
        <v>12</v>
      </c>
      <c r="V103" s="438">
        <v>0.35294117647058826</v>
      </c>
    </row>
    <row r="104" spans="2:22" ht="13.5">
      <c r="B104" s="1577">
        <v>201605</v>
      </c>
      <c r="C104" s="326" t="s">
        <v>459</v>
      </c>
      <c r="D104" s="327" t="s">
        <v>1572</v>
      </c>
      <c r="E104" s="327" t="s">
        <v>1573</v>
      </c>
      <c r="F104" s="459">
        <v>2548.3910000000001</v>
      </c>
      <c r="G104" s="339">
        <v>551.09</v>
      </c>
      <c r="H104" s="337">
        <v>571.67999999999995</v>
      </c>
      <c r="I104" s="331">
        <v>28</v>
      </c>
      <c r="J104" s="577">
        <v>0.31111100000000003</v>
      </c>
      <c r="K104" s="579">
        <v>12.524772727273</v>
      </c>
      <c r="L104" s="436">
        <v>1.571429</v>
      </c>
      <c r="M104" s="42" t="s">
        <v>227</v>
      </c>
      <c r="N104" s="334">
        <v>98</v>
      </c>
      <c r="O104" s="335">
        <v>79</v>
      </c>
      <c r="P104" s="335">
        <v>14</v>
      </c>
      <c r="Q104" s="389">
        <v>5</v>
      </c>
      <c r="R104" s="430">
        <v>10</v>
      </c>
      <c r="S104" s="339">
        <v>6</v>
      </c>
      <c r="T104" s="362">
        <v>20</v>
      </c>
      <c r="U104" s="337">
        <v>9</v>
      </c>
      <c r="V104" s="338">
        <v>0.47368421052631576</v>
      </c>
    </row>
    <row r="105" spans="2:22" ht="13.5">
      <c r="B105" s="1577">
        <v>201605</v>
      </c>
      <c r="C105" s="324" t="s">
        <v>459</v>
      </c>
      <c r="D105" s="325" t="s">
        <v>1104</v>
      </c>
      <c r="E105" s="325" t="s">
        <v>1287</v>
      </c>
      <c r="F105" s="460">
        <v>2713.2660000000005</v>
      </c>
      <c r="G105" s="92">
        <v>562.49699999999996</v>
      </c>
      <c r="H105" s="279">
        <v>567.66800000000001</v>
      </c>
      <c r="I105" s="154">
        <v>35</v>
      </c>
      <c r="J105" s="576">
        <v>0.20114899999999999</v>
      </c>
      <c r="K105" s="578">
        <v>12.228195652174</v>
      </c>
      <c r="L105" s="437">
        <v>1.3142860000000001</v>
      </c>
      <c r="M105" s="42" t="s">
        <v>227</v>
      </c>
      <c r="N105" s="47">
        <v>182</v>
      </c>
      <c r="O105" s="45">
        <v>142</v>
      </c>
      <c r="P105" s="45">
        <v>28</v>
      </c>
      <c r="Q105" s="388">
        <v>12</v>
      </c>
      <c r="R105" s="429">
        <v>14</v>
      </c>
      <c r="S105" s="92">
        <v>4</v>
      </c>
      <c r="T105" s="361">
        <v>26</v>
      </c>
      <c r="U105" s="285">
        <v>16</v>
      </c>
      <c r="V105" s="438">
        <v>0.4</v>
      </c>
    </row>
    <row r="106" spans="2:22" ht="13.5">
      <c r="B106" s="1577">
        <v>201605</v>
      </c>
      <c r="C106" s="326" t="s">
        <v>2048</v>
      </c>
      <c r="D106" s="327" t="s">
        <v>2046</v>
      </c>
      <c r="E106" s="327" t="s">
        <v>2054</v>
      </c>
      <c r="F106" s="459">
        <v>3635.5549999999944</v>
      </c>
      <c r="G106" s="339">
        <v>972.12199999999996</v>
      </c>
      <c r="H106" s="337">
        <v>948.24300000000005</v>
      </c>
      <c r="I106" s="331">
        <v>53</v>
      </c>
      <c r="J106" s="577">
        <v>0.356902</v>
      </c>
      <c r="K106" s="579">
        <v>13.887457142857</v>
      </c>
      <c r="L106" s="436">
        <v>1.3207549999999999</v>
      </c>
      <c r="M106" s="42" t="s">
        <v>227</v>
      </c>
      <c r="N106" s="334">
        <v>153</v>
      </c>
      <c r="O106" s="335">
        <v>114</v>
      </c>
      <c r="P106" s="335">
        <v>37</v>
      </c>
      <c r="Q106" s="389">
        <v>2</v>
      </c>
      <c r="R106" s="430">
        <v>21</v>
      </c>
      <c r="S106" s="339">
        <v>7</v>
      </c>
      <c r="T106" s="362">
        <v>23</v>
      </c>
      <c r="U106" s="337">
        <v>7</v>
      </c>
      <c r="V106" s="338">
        <v>0.17948717948717949</v>
      </c>
    </row>
    <row r="107" spans="2:22" ht="13.5">
      <c r="B107" s="1577">
        <v>201604</v>
      </c>
      <c r="C107" s="326" t="s">
        <v>458</v>
      </c>
      <c r="D107" s="327" t="s">
        <v>1563</v>
      </c>
      <c r="E107" s="327" t="s">
        <v>1564</v>
      </c>
      <c r="F107" s="459">
        <v>1462.6410000000001</v>
      </c>
      <c r="G107" s="339">
        <v>668.97199999999998</v>
      </c>
      <c r="H107" s="337">
        <v>637.029</v>
      </c>
      <c r="I107" s="331">
        <v>15</v>
      </c>
      <c r="J107" s="577">
        <v>0.21582699999999999</v>
      </c>
      <c r="K107" s="579">
        <v>24.776740740741001</v>
      </c>
      <c r="L107" s="436">
        <v>1.8</v>
      </c>
      <c r="M107" s="42" t="s">
        <v>227</v>
      </c>
      <c r="N107" s="334">
        <v>73</v>
      </c>
      <c r="O107" s="335">
        <v>58</v>
      </c>
      <c r="P107" s="335">
        <v>10</v>
      </c>
      <c r="Q107" s="389">
        <v>5</v>
      </c>
      <c r="R107" s="430">
        <v>0</v>
      </c>
      <c r="S107" s="339"/>
      <c r="T107" s="362">
        <v>7</v>
      </c>
      <c r="U107" s="337">
        <v>5</v>
      </c>
      <c r="V107" s="338">
        <v>0.33333333333333331</v>
      </c>
    </row>
    <row r="108" spans="2:22" ht="13.5">
      <c r="B108" s="1577">
        <v>201604</v>
      </c>
      <c r="C108" s="324" t="s">
        <v>458</v>
      </c>
      <c r="D108" s="325" t="s">
        <v>1099</v>
      </c>
      <c r="E108" s="325" t="s">
        <v>1286</v>
      </c>
      <c r="F108" s="460">
        <v>1242.1590000000008</v>
      </c>
      <c r="G108" s="92">
        <v>674.25</v>
      </c>
      <c r="H108" s="279">
        <v>390.904</v>
      </c>
      <c r="I108" s="154">
        <v>14</v>
      </c>
      <c r="J108" s="576">
        <v>0.157303</v>
      </c>
      <c r="K108" s="578">
        <v>22.475000000000001</v>
      </c>
      <c r="L108" s="437">
        <v>2.1428569999999998</v>
      </c>
      <c r="M108" s="42" t="s">
        <v>227</v>
      </c>
      <c r="N108" s="47">
        <v>90</v>
      </c>
      <c r="O108" s="45">
        <v>69</v>
      </c>
      <c r="P108" s="45">
        <v>17</v>
      </c>
      <c r="Q108" s="388">
        <v>4</v>
      </c>
      <c r="R108" s="429">
        <v>1</v>
      </c>
      <c r="S108" s="92"/>
      <c r="T108" s="361">
        <v>3</v>
      </c>
      <c r="U108" s="285">
        <v>3</v>
      </c>
      <c r="V108" s="438">
        <v>0.14285714285714285</v>
      </c>
    </row>
    <row r="109" spans="2:22" ht="13.5">
      <c r="B109" s="1577">
        <v>201604</v>
      </c>
      <c r="C109" s="326" t="s">
        <v>458</v>
      </c>
      <c r="D109" s="327" t="s">
        <v>900</v>
      </c>
      <c r="E109" s="327" t="s">
        <v>901</v>
      </c>
      <c r="F109" s="459">
        <v>5173.8790000000008</v>
      </c>
      <c r="G109" s="339">
        <v>4394.04</v>
      </c>
      <c r="H109" s="337">
        <v>4353.7740000000003</v>
      </c>
      <c r="I109" s="331">
        <v>19</v>
      </c>
      <c r="J109" s="577">
        <v>0.29230800000000001</v>
      </c>
      <c r="K109" s="579">
        <v>33.800307692308003</v>
      </c>
      <c r="L109" s="436">
        <v>6.8421050000000001</v>
      </c>
      <c r="M109" s="42" t="s">
        <v>227</v>
      </c>
      <c r="N109" s="334">
        <v>75</v>
      </c>
      <c r="O109" s="335">
        <v>58</v>
      </c>
      <c r="P109" s="335">
        <v>14</v>
      </c>
      <c r="Q109" s="389">
        <v>3</v>
      </c>
      <c r="R109" s="430">
        <v>0</v>
      </c>
      <c r="S109" s="339"/>
      <c r="T109" s="362">
        <v>19</v>
      </c>
      <c r="U109" s="337">
        <v>6</v>
      </c>
      <c r="V109" s="338">
        <v>0.35294117647058826</v>
      </c>
    </row>
    <row r="110" spans="2:22" ht="13.5">
      <c r="B110" s="1577">
        <v>201604</v>
      </c>
      <c r="C110" s="324" t="s">
        <v>458</v>
      </c>
      <c r="D110" s="325" t="s">
        <v>649</v>
      </c>
      <c r="E110" s="325" t="s">
        <v>645</v>
      </c>
      <c r="F110" s="460">
        <v>1086.8189999999995</v>
      </c>
      <c r="G110" s="92">
        <v>169.785</v>
      </c>
      <c r="H110" s="279">
        <v>174.785</v>
      </c>
      <c r="I110" s="154">
        <v>7</v>
      </c>
      <c r="J110" s="576">
        <v>0.110236</v>
      </c>
      <c r="K110" s="578">
        <v>14.14875</v>
      </c>
      <c r="L110" s="437">
        <v>1.714286</v>
      </c>
      <c r="M110" s="42" t="s">
        <v>227</v>
      </c>
      <c r="N110" s="47">
        <v>64</v>
      </c>
      <c r="O110" s="45">
        <v>49</v>
      </c>
      <c r="P110" s="45">
        <v>14</v>
      </c>
      <c r="Q110" s="388">
        <v>1</v>
      </c>
      <c r="R110" s="429">
        <v>0</v>
      </c>
      <c r="S110" s="92"/>
      <c r="T110" s="361">
        <v>1</v>
      </c>
      <c r="U110" s="285">
        <v>1</v>
      </c>
      <c r="V110" s="438">
        <v>6.6666666666666666E-2</v>
      </c>
    </row>
    <row r="111" spans="2:22" ht="13.5">
      <c r="B111" s="1577">
        <v>201604</v>
      </c>
      <c r="C111" s="326" t="s">
        <v>458</v>
      </c>
      <c r="D111" s="327" t="s">
        <v>650</v>
      </c>
      <c r="E111" s="327" t="s">
        <v>1777</v>
      </c>
      <c r="F111" s="459">
        <v>177.90199999999996</v>
      </c>
      <c r="G111" s="339">
        <v>0</v>
      </c>
      <c r="H111" s="337">
        <v>15.488</v>
      </c>
      <c r="I111" s="331">
        <v>0</v>
      </c>
      <c r="J111" s="577">
        <v>0</v>
      </c>
      <c r="K111" s="579">
        <v>0</v>
      </c>
      <c r="L111" s="436">
        <v>0</v>
      </c>
      <c r="M111" s="42" t="s">
        <v>227</v>
      </c>
      <c r="N111" s="334">
        <v>28</v>
      </c>
      <c r="O111" s="335">
        <v>18</v>
      </c>
      <c r="P111" s="335">
        <v>8</v>
      </c>
      <c r="Q111" s="389">
        <v>2</v>
      </c>
      <c r="R111" s="430">
        <v>2</v>
      </c>
      <c r="S111" s="339"/>
      <c r="T111" s="362"/>
      <c r="U111" s="337"/>
      <c r="V111" s="338"/>
    </row>
    <row r="112" spans="2:22" ht="13.5">
      <c r="B112" s="1577">
        <v>201604</v>
      </c>
      <c r="C112" s="324" t="s">
        <v>458</v>
      </c>
      <c r="D112" s="325" t="s">
        <v>902</v>
      </c>
      <c r="E112" s="325" t="s">
        <v>1014</v>
      </c>
      <c r="F112" s="460">
        <v>2797.9019999999987</v>
      </c>
      <c r="G112" s="92">
        <v>1338.482</v>
      </c>
      <c r="H112" s="279">
        <v>1290.8209999999999</v>
      </c>
      <c r="I112" s="154">
        <v>26</v>
      </c>
      <c r="J112" s="576">
        <v>0.245283</v>
      </c>
      <c r="K112" s="578">
        <v>23.077275862069001</v>
      </c>
      <c r="L112" s="437">
        <v>2.230769</v>
      </c>
      <c r="M112" s="42" t="s">
        <v>227</v>
      </c>
      <c r="N112" s="47">
        <v>110</v>
      </c>
      <c r="O112" s="45">
        <v>85</v>
      </c>
      <c r="P112" s="45">
        <v>21</v>
      </c>
      <c r="Q112" s="388">
        <v>4</v>
      </c>
      <c r="R112" s="429">
        <v>8</v>
      </c>
      <c r="S112" s="92"/>
      <c r="T112" s="361">
        <v>15</v>
      </c>
      <c r="U112" s="285">
        <v>9</v>
      </c>
      <c r="V112" s="438">
        <v>0.36</v>
      </c>
    </row>
    <row r="113" spans="2:22" ht="13.5">
      <c r="B113" s="1577">
        <v>201604</v>
      </c>
      <c r="C113" s="326" t="s">
        <v>458</v>
      </c>
      <c r="D113" s="327" t="s">
        <v>642</v>
      </c>
      <c r="E113" s="327" t="s">
        <v>641</v>
      </c>
      <c r="F113" s="459">
        <v>1820.6929999999993</v>
      </c>
      <c r="G113" s="339">
        <v>529.71100000000001</v>
      </c>
      <c r="H113" s="337">
        <v>566.90599999999995</v>
      </c>
      <c r="I113" s="331">
        <v>27</v>
      </c>
      <c r="J113" s="577">
        <v>0.31395299999999998</v>
      </c>
      <c r="K113" s="579">
        <v>14.714194444444001</v>
      </c>
      <c r="L113" s="436">
        <v>1.3333330000000001</v>
      </c>
      <c r="M113" s="42" t="s">
        <v>227</v>
      </c>
      <c r="N113" s="334">
        <v>82</v>
      </c>
      <c r="O113" s="335">
        <v>66</v>
      </c>
      <c r="P113" s="335">
        <v>15</v>
      </c>
      <c r="Q113" s="389">
        <v>1</v>
      </c>
      <c r="R113" s="430">
        <v>19</v>
      </c>
      <c r="S113" s="339"/>
      <c r="T113" s="362">
        <v>11</v>
      </c>
      <c r="U113" s="337">
        <v>8</v>
      </c>
      <c r="V113" s="338">
        <v>0.5</v>
      </c>
    </row>
    <row r="114" spans="2:22" ht="13.5">
      <c r="B114" s="1577">
        <v>201604</v>
      </c>
      <c r="C114" s="324" t="s">
        <v>458</v>
      </c>
      <c r="D114" s="325" t="s">
        <v>91</v>
      </c>
      <c r="E114" s="325" t="s">
        <v>92</v>
      </c>
      <c r="F114" s="460">
        <v>2935.5479999999966</v>
      </c>
      <c r="G114" s="92">
        <v>952.572</v>
      </c>
      <c r="H114" s="279">
        <v>940.85599999999999</v>
      </c>
      <c r="I114" s="154">
        <v>34</v>
      </c>
      <c r="J114" s="576">
        <v>0.28215800000000002</v>
      </c>
      <c r="K114" s="578">
        <v>19.051439999999999</v>
      </c>
      <c r="L114" s="437">
        <v>1.470588</v>
      </c>
      <c r="M114" s="42" t="s">
        <v>227</v>
      </c>
      <c r="N114" s="47">
        <v>119</v>
      </c>
      <c r="O114" s="45">
        <v>86</v>
      </c>
      <c r="P114" s="45">
        <v>26</v>
      </c>
      <c r="Q114" s="388">
        <v>7</v>
      </c>
      <c r="R114" s="429">
        <v>18</v>
      </c>
      <c r="S114" s="92">
        <v>1</v>
      </c>
      <c r="T114" s="361">
        <v>14</v>
      </c>
      <c r="U114" s="285">
        <v>7</v>
      </c>
      <c r="V114" s="438">
        <v>0.21212121212121213</v>
      </c>
    </row>
    <row r="115" spans="2:22" ht="13.5">
      <c r="B115" s="1577">
        <v>201604</v>
      </c>
      <c r="C115" s="326" t="s">
        <v>458</v>
      </c>
      <c r="D115" s="327" t="s">
        <v>187</v>
      </c>
      <c r="E115" s="327" t="s">
        <v>194</v>
      </c>
      <c r="F115" s="459">
        <v>673.82200000000023</v>
      </c>
      <c r="G115" s="339">
        <v>191.15899999999999</v>
      </c>
      <c r="H115" s="337">
        <v>196.9</v>
      </c>
      <c r="I115" s="331">
        <v>13</v>
      </c>
      <c r="J115" s="577">
        <v>0.17808199999999999</v>
      </c>
      <c r="K115" s="579">
        <v>12.743933333333</v>
      </c>
      <c r="L115" s="436">
        <v>1.1538459999999999</v>
      </c>
      <c r="M115" s="42" t="s">
        <v>227</v>
      </c>
      <c r="N115" s="334">
        <v>72</v>
      </c>
      <c r="O115" s="335">
        <v>49</v>
      </c>
      <c r="P115" s="335">
        <v>16</v>
      </c>
      <c r="Q115" s="389">
        <v>7</v>
      </c>
      <c r="R115" s="430">
        <v>6</v>
      </c>
      <c r="S115" s="339">
        <v>1</v>
      </c>
      <c r="T115" s="362">
        <v>3</v>
      </c>
      <c r="U115" s="337">
        <v>2</v>
      </c>
      <c r="V115" s="338">
        <v>8.6956521739130432E-2</v>
      </c>
    </row>
    <row r="116" spans="2:22" ht="13.5">
      <c r="B116" s="1577">
        <v>201604</v>
      </c>
      <c r="C116" s="324" t="s">
        <v>458</v>
      </c>
      <c r="D116" s="325" t="s">
        <v>734</v>
      </c>
      <c r="E116" s="325" t="s">
        <v>1766</v>
      </c>
      <c r="F116" s="460">
        <v>1864.5589999999982</v>
      </c>
      <c r="G116" s="92">
        <v>424.46199999999999</v>
      </c>
      <c r="H116" s="279">
        <v>452.24799999999999</v>
      </c>
      <c r="I116" s="154">
        <v>25</v>
      </c>
      <c r="J116" s="576">
        <v>0.14577300000000001</v>
      </c>
      <c r="K116" s="578">
        <v>13.692322580645001</v>
      </c>
      <c r="L116" s="437">
        <v>1.24</v>
      </c>
      <c r="M116" s="42" t="s">
        <v>227</v>
      </c>
      <c r="N116" s="47">
        <v>168</v>
      </c>
      <c r="O116" s="45">
        <v>136</v>
      </c>
      <c r="P116" s="45">
        <v>28</v>
      </c>
      <c r="Q116" s="388">
        <v>4</v>
      </c>
      <c r="R116" s="429">
        <v>19</v>
      </c>
      <c r="S116" s="92"/>
      <c r="T116" s="361">
        <v>12</v>
      </c>
      <c r="U116" s="285">
        <v>6</v>
      </c>
      <c r="V116" s="438">
        <v>0.1875</v>
      </c>
    </row>
    <row r="117" spans="2:22" ht="13.5">
      <c r="B117" s="1577">
        <v>201604</v>
      </c>
      <c r="C117" s="326" t="s">
        <v>458</v>
      </c>
      <c r="D117" s="327" t="s">
        <v>735</v>
      </c>
      <c r="E117" s="327" t="s">
        <v>790</v>
      </c>
      <c r="F117" s="459">
        <v>5038.9719999999779</v>
      </c>
      <c r="G117" s="339">
        <v>895.36800000000005</v>
      </c>
      <c r="H117" s="337">
        <v>900.01800000000003</v>
      </c>
      <c r="I117" s="331">
        <v>16</v>
      </c>
      <c r="J117" s="577">
        <v>0.25396800000000003</v>
      </c>
      <c r="K117" s="579">
        <v>33.161777777777999</v>
      </c>
      <c r="L117" s="436">
        <v>1.6875</v>
      </c>
      <c r="M117" s="42" t="s">
        <v>227</v>
      </c>
      <c r="N117" s="334">
        <v>60</v>
      </c>
      <c r="O117" s="335">
        <v>44</v>
      </c>
      <c r="P117" s="335">
        <v>13</v>
      </c>
      <c r="Q117" s="389">
        <v>3</v>
      </c>
      <c r="R117" s="430">
        <v>6</v>
      </c>
      <c r="S117" s="339"/>
      <c r="T117" s="362"/>
      <c r="U117" s="337"/>
      <c r="V117" s="338"/>
    </row>
    <row r="118" spans="2:22" ht="13.5">
      <c r="B118" s="1577">
        <v>201604</v>
      </c>
      <c r="C118" s="324" t="s">
        <v>458</v>
      </c>
      <c r="D118" s="325" t="s">
        <v>798</v>
      </c>
      <c r="E118" s="325" t="s">
        <v>1768</v>
      </c>
      <c r="F118" s="460">
        <v>1813.0384999999997</v>
      </c>
      <c r="G118" s="92">
        <v>620.50300000000004</v>
      </c>
      <c r="H118" s="279">
        <v>655.34550000000002</v>
      </c>
      <c r="I118" s="154">
        <v>17</v>
      </c>
      <c r="J118" s="576">
        <v>0.144068</v>
      </c>
      <c r="K118" s="578">
        <v>24.820119999999999</v>
      </c>
      <c r="L118" s="437">
        <v>1.470588</v>
      </c>
      <c r="M118" s="42" t="s">
        <v>227</v>
      </c>
      <c r="N118" s="47">
        <v>122</v>
      </c>
      <c r="O118" s="45">
        <v>90</v>
      </c>
      <c r="P118" s="45">
        <v>24</v>
      </c>
      <c r="Q118" s="388">
        <v>8</v>
      </c>
      <c r="R118" s="429">
        <v>4</v>
      </c>
      <c r="S118" s="92"/>
      <c r="T118" s="361">
        <v>12</v>
      </c>
      <c r="U118" s="285">
        <v>7</v>
      </c>
      <c r="V118" s="438">
        <v>0.21875</v>
      </c>
    </row>
    <row r="119" spans="2:22" ht="13.5">
      <c r="B119" s="1577">
        <v>201604</v>
      </c>
      <c r="C119" s="326" t="s">
        <v>458</v>
      </c>
      <c r="D119" s="327" t="s">
        <v>949</v>
      </c>
      <c r="E119" s="327" t="s">
        <v>950</v>
      </c>
      <c r="F119" s="459">
        <v>3156.7209999999991</v>
      </c>
      <c r="G119" s="339">
        <v>963.96</v>
      </c>
      <c r="H119" s="337">
        <v>991.68799999999999</v>
      </c>
      <c r="I119" s="331">
        <v>27</v>
      </c>
      <c r="J119" s="577">
        <v>0.28723399999999999</v>
      </c>
      <c r="K119" s="579">
        <v>19.672653061223997</v>
      </c>
      <c r="L119" s="436">
        <v>1.8148150000000001</v>
      </c>
      <c r="M119" s="42" t="s">
        <v>227</v>
      </c>
      <c r="N119" s="334">
        <v>94</v>
      </c>
      <c r="O119" s="335">
        <v>67</v>
      </c>
      <c r="P119" s="335">
        <v>21</v>
      </c>
      <c r="Q119" s="389">
        <v>6</v>
      </c>
      <c r="R119" s="430">
        <v>11</v>
      </c>
      <c r="S119" s="339"/>
      <c r="T119" s="362">
        <v>10</v>
      </c>
      <c r="U119" s="337">
        <v>8</v>
      </c>
      <c r="V119" s="338">
        <v>0.29629629629629628</v>
      </c>
    </row>
    <row r="120" spans="2:22" ht="13.5">
      <c r="B120" s="1577">
        <v>201604</v>
      </c>
      <c r="C120" s="324" t="s">
        <v>458</v>
      </c>
      <c r="D120" s="325" t="s">
        <v>903</v>
      </c>
      <c r="E120" s="325" t="s">
        <v>904</v>
      </c>
      <c r="F120" s="460">
        <v>3459.6709999999971</v>
      </c>
      <c r="G120" s="92">
        <v>1233.8309999999999</v>
      </c>
      <c r="H120" s="279">
        <v>1240.527</v>
      </c>
      <c r="I120" s="154">
        <v>32</v>
      </c>
      <c r="J120" s="576">
        <v>0.27234000000000003</v>
      </c>
      <c r="K120" s="578">
        <v>19.584619047619</v>
      </c>
      <c r="L120" s="437">
        <v>1.96875</v>
      </c>
      <c r="M120" s="42" t="s">
        <v>227</v>
      </c>
      <c r="N120" s="47">
        <v>112</v>
      </c>
      <c r="O120" s="45">
        <v>76</v>
      </c>
      <c r="P120" s="45">
        <v>28</v>
      </c>
      <c r="Q120" s="388">
        <v>8</v>
      </c>
      <c r="R120" s="429">
        <v>24</v>
      </c>
      <c r="S120" s="92">
        <v>1</v>
      </c>
      <c r="T120" s="361">
        <v>12</v>
      </c>
      <c r="U120" s="285">
        <v>8</v>
      </c>
      <c r="V120" s="438">
        <v>0.22222222222222221</v>
      </c>
    </row>
    <row r="121" spans="2:22" ht="13.5">
      <c r="B121" s="1577">
        <v>201604</v>
      </c>
      <c r="C121" s="326" t="s">
        <v>458</v>
      </c>
      <c r="D121" s="327" t="s">
        <v>1101</v>
      </c>
      <c r="E121" s="327" t="s">
        <v>1162</v>
      </c>
      <c r="F121" s="459">
        <v>607.90099999999984</v>
      </c>
      <c r="G121" s="339">
        <v>237.471</v>
      </c>
      <c r="H121" s="337">
        <v>226.53700000000001</v>
      </c>
      <c r="I121" s="331">
        <v>13</v>
      </c>
      <c r="J121" s="577">
        <v>0.213115</v>
      </c>
      <c r="K121" s="579">
        <v>13.968882352941002</v>
      </c>
      <c r="L121" s="436">
        <v>1.3076920000000001</v>
      </c>
      <c r="M121" s="42" t="s">
        <v>227</v>
      </c>
      <c r="N121" s="334">
        <v>64</v>
      </c>
      <c r="O121" s="335">
        <v>44</v>
      </c>
      <c r="P121" s="335">
        <v>19</v>
      </c>
      <c r="Q121" s="389">
        <v>1</v>
      </c>
      <c r="R121" s="430">
        <v>2</v>
      </c>
      <c r="S121" s="339">
        <v>1</v>
      </c>
      <c r="T121" s="362">
        <v>7</v>
      </c>
      <c r="U121" s="337">
        <v>5</v>
      </c>
      <c r="V121" s="338">
        <v>0.25</v>
      </c>
    </row>
    <row r="122" spans="2:22" ht="13.5">
      <c r="B122" s="1577">
        <v>201604</v>
      </c>
      <c r="C122" s="324" t="s">
        <v>458</v>
      </c>
      <c r="D122" s="325" t="s">
        <v>1102</v>
      </c>
      <c r="E122" s="325" t="s">
        <v>1163</v>
      </c>
      <c r="F122" s="460">
        <v>1752.8410000000006</v>
      </c>
      <c r="G122" s="92">
        <v>871.447</v>
      </c>
      <c r="H122" s="279">
        <v>870.803</v>
      </c>
      <c r="I122" s="154">
        <v>15</v>
      </c>
      <c r="J122" s="576">
        <v>0.108303</v>
      </c>
      <c r="K122" s="578">
        <v>31.123107142857002</v>
      </c>
      <c r="L122" s="437">
        <v>1.8666670000000001</v>
      </c>
      <c r="M122" s="42" t="s">
        <v>227</v>
      </c>
      <c r="N122" s="47">
        <v>144</v>
      </c>
      <c r="O122" s="45">
        <v>112</v>
      </c>
      <c r="P122" s="45">
        <v>29</v>
      </c>
      <c r="Q122" s="388">
        <v>3</v>
      </c>
      <c r="R122" s="429">
        <v>0</v>
      </c>
      <c r="S122" s="92">
        <v>2</v>
      </c>
      <c r="T122" s="361">
        <v>9</v>
      </c>
      <c r="U122" s="285">
        <v>7</v>
      </c>
      <c r="V122" s="438">
        <v>0.21875</v>
      </c>
    </row>
    <row r="123" spans="2:22" ht="13.5">
      <c r="B123" s="1577">
        <v>201604</v>
      </c>
      <c r="C123" s="326" t="s">
        <v>458</v>
      </c>
      <c r="D123" s="327" t="s">
        <v>628</v>
      </c>
      <c r="E123" s="327" t="s">
        <v>629</v>
      </c>
      <c r="F123" s="459">
        <v>343.35099999999994</v>
      </c>
      <c r="G123" s="339">
        <v>-17.853999999999999</v>
      </c>
      <c r="H123" s="337">
        <v>-17.853999999999999</v>
      </c>
      <c r="I123" s="331">
        <v>4</v>
      </c>
      <c r="J123" s="577">
        <v>7.2071999999999997E-2</v>
      </c>
      <c r="K123" s="579">
        <v>-8.9269999999999996</v>
      </c>
      <c r="L123" s="436">
        <v>0.5</v>
      </c>
      <c r="M123" s="42" t="s">
        <v>227</v>
      </c>
      <c r="N123" s="334">
        <v>56</v>
      </c>
      <c r="O123" s="335">
        <v>35</v>
      </c>
      <c r="P123" s="335">
        <v>10</v>
      </c>
      <c r="Q123" s="389">
        <v>11</v>
      </c>
      <c r="R123" s="430">
        <v>0</v>
      </c>
      <c r="S123" s="339"/>
      <c r="T123" s="362">
        <v>1</v>
      </c>
      <c r="U123" s="337">
        <v>1</v>
      </c>
      <c r="V123" s="338">
        <v>4.7619047619047616E-2</v>
      </c>
    </row>
    <row r="124" spans="2:22" ht="13.5">
      <c r="B124" s="1577">
        <v>201604</v>
      </c>
      <c r="C124" s="324" t="s">
        <v>458</v>
      </c>
      <c r="D124" s="325" t="s">
        <v>47</v>
      </c>
      <c r="E124" s="325" t="s">
        <v>17</v>
      </c>
      <c r="F124" s="460">
        <v>1711.6359999999991</v>
      </c>
      <c r="G124" s="92">
        <v>360.68900000000002</v>
      </c>
      <c r="H124" s="279">
        <v>321.48500000000001</v>
      </c>
      <c r="I124" s="154">
        <v>4</v>
      </c>
      <c r="J124" s="576">
        <v>8.7912000000000004E-2</v>
      </c>
      <c r="K124" s="578">
        <v>21.216999999999999</v>
      </c>
      <c r="L124" s="437">
        <v>4.25</v>
      </c>
      <c r="M124" s="42" t="s">
        <v>227</v>
      </c>
      <c r="N124" s="47">
        <v>45</v>
      </c>
      <c r="O124" s="45">
        <v>34</v>
      </c>
      <c r="P124" s="45">
        <v>9</v>
      </c>
      <c r="Q124" s="388">
        <v>2</v>
      </c>
      <c r="R124" s="429">
        <v>2</v>
      </c>
      <c r="S124" s="92"/>
      <c r="T124" s="361">
        <v>1</v>
      </c>
      <c r="U124" s="285">
        <v>1</v>
      </c>
      <c r="V124" s="438">
        <v>9.0909090909090912E-2</v>
      </c>
    </row>
    <row r="125" spans="2:22" ht="13.5">
      <c r="B125" s="1577">
        <v>201604</v>
      </c>
      <c r="C125" s="326" t="s">
        <v>458</v>
      </c>
      <c r="D125" s="327" t="s">
        <v>736</v>
      </c>
      <c r="E125" s="327" t="s">
        <v>697</v>
      </c>
      <c r="F125" s="459">
        <v>3587.3449999999925</v>
      </c>
      <c r="G125" s="339">
        <v>837.524</v>
      </c>
      <c r="H125" s="337">
        <v>858.80100000000004</v>
      </c>
      <c r="I125" s="331">
        <v>22</v>
      </c>
      <c r="J125" s="577">
        <v>0.22680400000000001</v>
      </c>
      <c r="K125" s="579">
        <v>27.016903225806001</v>
      </c>
      <c r="L125" s="436">
        <v>1.4090910000000001</v>
      </c>
      <c r="M125" s="42" t="s">
        <v>227</v>
      </c>
      <c r="N125" s="334">
        <v>98</v>
      </c>
      <c r="O125" s="335">
        <v>74</v>
      </c>
      <c r="P125" s="335">
        <v>18</v>
      </c>
      <c r="Q125" s="389">
        <v>6</v>
      </c>
      <c r="R125" s="430">
        <v>5</v>
      </c>
      <c r="S125" s="339"/>
      <c r="T125" s="362">
        <v>5</v>
      </c>
      <c r="U125" s="337">
        <v>5</v>
      </c>
      <c r="V125" s="338">
        <v>0.20833333333333334</v>
      </c>
    </row>
    <row r="126" spans="2:22" ht="13.5">
      <c r="B126" s="1577">
        <v>201604</v>
      </c>
      <c r="C126" s="324" t="s">
        <v>458</v>
      </c>
      <c r="D126" s="325" t="s">
        <v>2658</v>
      </c>
      <c r="E126" s="325" t="s">
        <v>2705</v>
      </c>
      <c r="F126" s="460">
        <v>286.41199999999992</v>
      </c>
      <c r="G126" s="92">
        <v>128.167</v>
      </c>
      <c r="H126" s="279">
        <v>128.041</v>
      </c>
      <c r="I126" s="154">
        <v>5</v>
      </c>
      <c r="J126" s="576">
        <v>0.33333299999999999</v>
      </c>
      <c r="K126" s="578">
        <v>18.309571428571001</v>
      </c>
      <c r="L126" s="437">
        <v>1.4</v>
      </c>
      <c r="M126" s="42" t="s">
        <v>227</v>
      </c>
      <c r="N126" s="47">
        <v>15</v>
      </c>
      <c r="O126" s="45">
        <v>10</v>
      </c>
      <c r="P126" s="45">
        <v>5</v>
      </c>
      <c r="Q126" s="388">
        <v>0</v>
      </c>
      <c r="R126" s="429">
        <v>0</v>
      </c>
      <c r="S126" s="92"/>
      <c r="T126" s="361"/>
      <c r="U126" s="285"/>
      <c r="V126" s="438"/>
    </row>
    <row r="127" spans="2:22" ht="13.5">
      <c r="B127" s="1577">
        <v>201604</v>
      </c>
      <c r="C127" s="326" t="s">
        <v>458</v>
      </c>
      <c r="D127" s="327" t="s">
        <v>796</v>
      </c>
      <c r="E127" s="327" t="s">
        <v>797</v>
      </c>
      <c r="F127" s="459">
        <v>1370.617</v>
      </c>
      <c r="G127" s="339">
        <v>629.745</v>
      </c>
      <c r="H127" s="337">
        <v>650.13699999999994</v>
      </c>
      <c r="I127" s="331">
        <v>7</v>
      </c>
      <c r="J127" s="577">
        <v>0.14583299999999999</v>
      </c>
      <c r="K127" s="579">
        <v>52.478749999999998</v>
      </c>
      <c r="L127" s="436">
        <v>1.714286</v>
      </c>
      <c r="M127" s="42" t="s">
        <v>227</v>
      </c>
      <c r="N127" s="334">
        <v>50</v>
      </c>
      <c r="O127" s="335">
        <v>35</v>
      </c>
      <c r="P127" s="335">
        <v>14</v>
      </c>
      <c r="Q127" s="389">
        <v>1</v>
      </c>
      <c r="R127" s="430">
        <v>0</v>
      </c>
      <c r="S127" s="339">
        <v>1</v>
      </c>
      <c r="T127" s="362">
        <v>3</v>
      </c>
      <c r="U127" s="337">
        <v>3</v>
      </c>
      <c r="V127" s="338">
        <v>0.2</v>
      </c>
    </row>
    <row r="128" spans="2:22" ht="13.5">
      <c r="B128" s="1577">
        <v>201604</v>
      </c>
      <c r="C128" s="324" t="s">
        <v>458</v>
      </c>
      <c r="D128" s="325" t="s">
        <v>2659</v>
      </c>
      <c r="E128" s="325" t="s">
        <v>2706</v>
      </c>
      <c r="F128" s="460">
        <v>540.30599999999981</v>
      </c>
      <c r="G128" s="92">
        <v>498.94799999999998</v>
      </c>
      <c r="H128" s="279">
        <v>314.077</v>
      </c>
      <c r="I128" s="154">
        <v>11</v>
      </c>
      <c r="J128" s="576">
        <v>0.45833299999999999</v>
      </c>
      <c r="K128" s="578">
        <v>20.7895</v>
      </c>
      <c r="L128" s="437">
        <v>2.1818179999999998</v>
      </c>
      <c r="M128" s="42" t="s">
        <v>227</v>
      </c>
      <c r="N128" s="47">
        <v>31</v>
      </c>
      <c r="O128" s="45">
        <v>21</v>
      </c>
      <c r="P128" s="45">
        <v>10</v>
      </c>
      <c r="Q128" s="388">
        <v>0</v>
      </c>
      <c r="R128" s="429">
        <v>0</v>
      </c>
      <c r="S128" s="92">
        <v>4</v>
      </c>
      <c r="T128" s="361">
        <v>10</v>
      </c>
      <c r="U128" s="285">
        <v>5</v>
      </c>
      <c r="V128" s="438">
        <v>0.5</v>
      </c>
    </row>
    <row r="129" spans="2:22" ht="13.5">
      <c r="B129" s="1577">
        <v>201604</v>
      </c>
      <c r="C129" s="326" t="s">
        <v>458</v>
      </c>
      <c r="D129" s="327" t="s">
        <v>1418</v>
      </c>
      <c r="E129" s="327" t="s">
        <v>1771</v>
      </c>
      <c r="F129" s="459">
        <v>848.91999999999962</v>
      </c>
      <c r="G129" s="339">
        <v>402.84800000000001</v>
      </c>
      <c r="H129" s="337">
        <v>393.548</v>
      </c>
      <c r="I129" s="331">
        <v>10</v>
      </c>
      <c r="J129" s="577">
        <v>0.14388500000000001</v>
      </c>
      <c r="K129" s="579">
        <v>21.202526315789001</v>
      </c>
      <c r="L129" s="436">
        <v>1.9</v>
      </c>
      <c r="M129" s="42" t="s">
        <v>227</v>
      </c>
      <c r="N129" s="334">
        <v>71</v>
      </c>
      <c r="O129" s="335">
        <v>48</v>
      </c>
      <c r="P129" s="335">
        <v>21</v>
      </c>
      <c r="Q129" s="389">
        <v>2</v>
      </c>
      <c r="R129" s="430">
        <v>9</v>
      </c>
      <c r="S129" s="339">
        <v>2</v>
      </c>
      <c r="T129" s="362">
        <v>10</v>
      </c>
      <c r="U129" s="337">
        <v>4</v>
      </c>
      <c r="V129" s="338">
        <v>0.17391304347826086</v>
      </c>
    </row>
    <row r="130" spans="2:22" ht="13.5">
      <c r="B130" s="1577">
        <v>201604</v>
      </c>
      <c r="C130" s="324" t="s">
        <v>458</v>
      </c>
      <c r="D130" s="325" t="s">
        <v>2660</v>
      </c>
      <c r="E130" s="325" t="s">
        <v>2707</v>
      </c>
      <c r="F130" s="460">
        <v>119.49300000000001</v>
      </c>
      <c r="G130" s="92">
        <v>53.063000000000002</v>
      </c>
      <c r="H130" s="279">
        <v>53.063000000000002</v>
      </c>
      <c r="I130" s="154">
        <v>1</v>
      </c>
      <c r="J130" s="576">
        <v>9.5238000000000003E-2</v>
      </c>
      <c r="K130" s="578">
        <v>53.063000000000002</v>
      </c>
      <c r="L130" s="437">
        <v>1</v>
      </c>
      <c r="M130" s="42" t="s">
        <v>227</v>
      </c>
      <c r="N130" s="47">
        <v>12</v>
      </c>
      <c r="O130" s="45">
        <v>7</v>
      </c>
      <c r="P130" s="45">
        <v>5</v>
      </c>
      <c r="Q130" s="388">
        <v>0</v>
      </c>
      <c r="R130" s="429">
        <v>0</v>
      </c>
      <c r="S130" s="92">
        <v>2</v>
      </c>
      <c r="T130" s="361">
        <v>1</v>
      </c>
      <c r="U130" s="285">
        <v>1</v>
      </c>
      <c r="V130" s="438">
        <v>0.2</v>
      </c>
    </row>
    <row r="131" spans="2:22" ht="13.5">
      <c r="B131" s="1577">
        <v>201604</v>
      </c>
      <c r="C131" s="326" t="s">
        <v>458</v>
      </c>
      <c r="D131" s="327" t="s">
        <v>630</v>
      </c>
      <c r="E131" s="327" t="s">
        <v>483</v>
      </c>
      <c r="F131" s="459">
        <v>111.14800000000002</v>
      </c>
      <c r="G131" s="339">
        <v>0</v>
      </c>
      <c r="H131" s="337">
        <v>0</v>
      </c>
      <c r="I131" s="331">
        <v>0</v>
      </c>
      <c r="J131" s="577">
        <v>0</v>
      </c>
      <c r="K131" s="579">
        <v>0</v>
      </c>
      <c r="L131" s="436">
        <v>0</v>
      </c>
      <c r="M131" s="42" t="s">
        <v>227</v>
      </c>
      <c r="N131" s="334">
        <v>0</v>
      </c>
      <c r="O131" s="335">
        <v>0</v>
      </c>
      <c r="P131" s="335">
        <v>0</v>
      </c>
      <c r="Q131" s="389">
        <v>0</v>
      </c>
      <c r="R131" s="430">
        <v>0</v>
      </c>
      <c r="S131" s="339"/>
      <c r="T131" s="362"/>
      <c r="U131" s="337"/>
      <c r="V131" s="338"/>
    </row>
    <row r="132" spans="2:22" ht="13.5">
      <c r="B132" s="1577">
        <v>201604</v>
      </c>
      <c r="C132" s="324" t="s">
        <v>458</v>
      </c>
      <c r="D132" s="325" t="s">
        <v>905</v>
      </c>
      <c r="E132" s="325" t="s">
        <v>906</v>
      </c>
      <c r="F132" s="460">
        <v>674.47399999999971</v>
      </c>
      <c r="G132" s="92">
        <v>129.49199999999999</v>
      </c>
      <c r="H132" s="279">
        <v>141.67599999999999</v>
      </c>
      <c r="I132" s="154">
        <v>5</v>
      </c>
      <c r="J132" s="576">
        <v>9.3457999999999999E-2</v>
      </c>
      <c r="K132" s="578">
        <v>18.498857142857002</v>
      </c>
      <c r="L132" s="437">
        <v>1.4</v>
      </c>
      <c r="M132" s="42" t="s">
        <v>227</v>
      </c>
      <c r="N132" s="47">
        <v>52</v>
      </c>
      <c r="O132" s="45">
        <v>40</v>
      </c>
      <c r="P132" s="45">
        <v>10</v>
      </c>
      <c r="Q132" s="388">
        <v>2</v>
      </c>
      <c r="R132" s="429">
        <v>5</v>
      </c>
      <c r="S132" s="92"/>
      <c r="T132" s="361">
        <v>2</v>
      </c>
      <c r="U132" s="285">
        <v>2</v>
      </c>
      <c r="V132" s="438">
        <v>0.16666666666666666</v>
      </c>
    </row>
    <row r="133" spans="2:22" ht="13.5">
      <c r="B133" s="1577">
        <v>201604</v>
      </c>
      <c r="C133" s="326" t="s">
        <v>458</v>
      </c>
      <c r="D133" s="327" t="s">
        <v>648</v>
      </c>
      <c r="E133" s="327" t="s">
        <v>644</v>
      </c>
      <c r="F133" s="459">
        <v>834.90240000000074</v>
      </c>
      <c r="G133" s="339">
        <v>236.90899999999999</v>
      </c>
      <c r="H133" s="337">
        <v>227.214</v>
      </c>
      <c r="I133" s="331">
        <v>13</v>
      </c>
      <c r="J133" s="577">
        <v>0.20155000000000001</v>
      </c>
      <c r="K133" s="579">
        <v>13.935823529412</v>
      </c>
      <c r="L133" s="436">
        <v>1.3076920000000001</v>
      </c>
      <c r="M133" s="42" t="s">
        <v>227</v>
      </c>
      <c r="N133" s="334">
        <v>70</v>
      </c>
      <c r="O133" s="335">
        <v>51</v>
      </c>
      <c r="P133" s="335">
        <v>17</v>
      </c>
      <c r="Q133" s="389">
        <v>2</v>
      </c>
      <c r="R133" s="430">
        <v>0</v>
      </c>
      <c r="S133" s="339">
        <v>1</v>
      </c>
      <c r="T133" s="362">
        <v>10</v>
      </c>
      <c r="U133" s="337">
        <v>5</v>
      </c>
      <c r="V133" s="338">
        <v>0.26315789473684209</v>
      </c>
    </row>
    <row r="134" spans="2:22" ht="13.5">
      <c r="B134" s="1577">
        <v>201604</v>
      </c>
      <c r="C134" s="324" t="s">
        <v>459</v>
      </c>
      <c r="D134" s="325" t="s">
        <v>1100</v>
      </c>
      <c r="E134" s="325" t="s">
        <v>1774</v>
      </c>
      <c r="F134" s="460">
        <v>1287.7690000000007</v>
      </c>
      <c r="G134" s="92">
        <v>267.59899999999999</v>
      </c>
      <c r="H134" s="279">
        <v>281.209</v>
      </c>
      <c r="I134" s="154">
        <v>19</v>
      </c>
      <c r="J134" s="576">
        <v>0.16309000000000001</v>
      </c>
      <c r="K134" s="578">
        <v>11.634739130434999</v>
      </c>
      <c r="L134" s="437">
        <v>1.210526</v>
      </c>
      <c r="M134" s="42" t="s">
        <v>227</v>
      </c>
      <c r="N134" s="47">
        <v>112</v>
      </c>
      <c r="O134" s="45">
        <v>87</v>
      </c>
      <c r="P134" s="45">
        <v>19</v>
      </c>
      <c r="Q134" s="388">
        <v>6</v>
      </c>
      <c r="R134" s="429">
        <v>13</v>
      </c>
      <c r="S134" s="92"/>
      <c r="T134" s="361">
        <v>4</v>
      </c>
      <c r="U134" s="285">
        <v>3</v>
      </c>
      <c r="V134" s="438">
        <v>0.12</v>
      </c>
    </row>
    <row r="135" spans="2:22" ht="13.5">
      <c r="B135" s="1577">
        <v>201604</v>
      </c>
      <c r="C135" s="326" t="s">
        <v>459</v>
      </c>
      <c r="D135" s="327" t="s">
        <v>1419</v>
      </c>
      <c r="E135" s="327" t="s">
        <v>1420</v>
      </c>
      <c r="F135" s="459">
        <v>1277.9500000000003</v>
      </c>
      <c r="G135" s="339">
        <v>364.79500000000002</v>
      </c>
      <c r="H135" s="337">
        <v>346.42599999999999</v>
      </c>
      <c r="I135" s="331">
        <v>22</v>
      </c>
      <c r="J135" s="577">
        <v>0.20091300000000001</v>
      </c>
      <c r="K135" s="579">
        <v>11.39984375</v>
      </c>
      <c r="L135" s="436">
        <v>1.454545</v>
      </c>
      <c r="M135" s="42" t="s">
        <v>227</v>
      </c>
      <c r="N135" s="334">
        <v>107</v>
      </c>
      <c r="O135" s="335">
        <v>82</v>
      </c>
      <c r="P135" s="335">
        <v>19</v>
      </c>
      <c r="Q135" s="389">
        <v>6</v>
      </c>
      <c r="R135" s="430">
        <v>13</v>
      </c>
      <c r="S135" s="339">
        <v>1</v>
      </c>
      <c r="T135" s="362">
        <v>7</v>
      </c>
      <c r="U135" s="337">
        <v>5</v>
      </c>
      <c r="V135" s="338">
        <v>0.2</v>
      </c>
    </row>
    <row r="136" spans="2:22" ht="13.5">
      <c r="B136" s="1577">
        <v>201604</v>
      </c>
      <c r="C136" s="324" t="s">
        <v>459</v>
      </c>
      <c r="D136" s="325" t="s">
        <v>1103</v>
      </c>
      <c r="E136" s="325" t="s">
        <v>1161</v>
      </c>
      <c r="F136" s="460">
        <v>531.86399999999992</v>
      </c>
      <c r="G136" s="92">
        <v>114.49299999999999</v>
      </c>
      <c r="H136" s="279">
        <v>106.604</v>
      </c>
      <c r="I136" s="154">
        <v>7</v>
      </c>
      <c r="J136" s="576">
        <v>0.11666700000000001</v>
      </c>
      <c r="K136" s="578">
        <v>14.311624999999999</v>
      </c>
      <c r="L136" s="437">
        <v>1.142857</v>
      </c>
      <c r="M136" s="42" t="s">
        <v>227</v>
      </c>
      <c r="N136" s="47">
        <v>60</v>
      </c>
      <c r="O136" s="45">
        <v>43</v>
      </c>
      <c r="P136" s="45">
        <v>13</v>
      </c>
      <c r="Q136" s="388">
        <v>4</v>
      </c>
      <c r="R136" s="429">
        <v>7</v>
      </c>
      <c r="S136" s="92"/>
      <c r="T136" s="361">
        <v>7</v>
      </c>
      <c r="U136" s="285">
        <v>3</v>
      </c>
      <c r="V136" s="438">
        <v>0.17647058823529413</v>
      </c>
    </row>
    <row r="137" spans="2:22" ht="13.5">
      <c r="B137" s="1577">
        <v>201604</v>
      </c>
      <c r="C137" s="326" t="s">
        <v>459</v>
      </c>
      <c r="D137" s="327" t="s">
        <v>661</v>
      </c>
      <c r="E137" s="327" t="s">
        <v>1950</v>
      </c>
      <c r="F137" s="459">
        <v>660.71500000000003</v>
      </c>
      <c r="G137" s="339">
        <v>143.04900000000001</v>
      </c>
      <c r="H137" s="337">
        <v>136.92099999999999</v>
      </c>
      <c r="I137" s="331">
        <v>6</v>
      </c>
      <c r="J137" s="577">
        <v>0.17910400000000001</v>
      </c>
      <c r="K137" s="579">
        <v>23.8415</v>
      </c>
      <c r="L137" s="436">
        <v>1</v>
      </c>
      <c r="M137" s="42" t="s">
        <v>227</v>
      </c>
      <c r="N137" s="334">
        <v>34</v>
      </c>
      <c r="O137" s="335">
        <v>24</v>
      </c>
      <c r="P137" s="335">
        <v>8</v>
      </c>
      <c r="Q137" s="389">
        <v>2</v>
      </c>
      <c r="R137" s="430">
        <v>0</v>
      </c>
      <c r="S137" s="339"/>
      <c r="T137" s="362">
        <v>1</v>
      </c>
      <c r="U137" s="337">
        <v>1</v>
      </c>
      <c r="V137" s="338">
        <v>0.1</v>
      </c>
    </row>
    <row r="138" spans="2:22" ht="13.5">
      <c r="B138" s="1577">
        <v>201604</v>
      </c>
      <c r="C138" s="324" t="s">
        <v>459</v>
      </c>
      <c r="D138" s="325" t="s">
        <v>179</v>
      </c>
      <c r="E138" s="325" t="s">
        <v>191</v>
      </c>
      <c r="F138" s="460">
        <v>6465.8909999999996</v>
      </c>
      <c r="G138" s="92">
        <v>3297.424</v>
      </c>
      <c r="H138" s="279">
        <v>3321.268</v>
      </c>
      <c r="I138" s="154">
        <v>38</v>
      </c>
      <c r="J138" s="576">
        <v>0.26760600000000001</v>
      </c>
      <c r="K138" s="578">
        <v>91.595111111110995</v>
      </c>
      <c r="L138" s="437">
        <v>0.94736799999999999</v>
      </c>
      <c r="M138" s="42" t="s">
        <v>227</v>
      </c>
      <c r="N138" s="47">
        <v>145</v>
      </c>
      <c r="O138" s="45">
        <v>90</v>
      </c>
      <c r="P138" s="45">
        <v>50</v>
      </c>
      <c r="Q138" s="388">
        <v>5</v>
      </c>
      <c r="R138" s="429">
        <v>28</v>
      </c>
      <c r="S138" s="92">
        <v>13</v>
      </c>
      <c r="T138" s="361">
        <v>20</v>
      </c>
      <c r="U138" s="285">
        <v>10</v>
      </c>
      <c r="V138" s="438">
        <v>0.18181818181818182</v>
      </c>
    </row>
    <row r="139" spans="2:22" ht="13.5">
      <c r="B139" s="1577">
        <v>201604</v>
      </c>
      <c r="C139" s="326" t="s">
        <v>459</v>
      </c>
      <c r="D139" s="327" t="s">
        <v>659</v>
      </c>
      <c r="E139" s="327" t="s">
        <v>655</v>
      </c>
      <c r="F139" s="459">
        <v>2631.7899999999991</v>
      </c>
      <c r="G139" s="339">
        <v>288.77699999999999</v>
      </c>
      <c r="H139" s="337">
        <v>461.89400000000001</v>
      </c>
      <c r="I139" s="331">
        <v>17</v>
      </c>
      <c r="J139" s="577">
        <v>0.16037699999999999</v>
      </c>
      <c r="K139" s="579">
        <v>14.43885</v>
      </c>
      <c r="L139" s="436">
        <v>1.176471</v>
      </c>
      <c r="M139" s="42" t="s">
        <v>227</v>
      </c>
      <c r="N139" s="334">
        <v>102</v>
      </c>
      <c r="O139" s="335">
        <v>79</v>
      </c>
      <c r="P139" s="335">
        <v>21</v>
      </c>
      <c r="Q139" s="389">
        <v>2</v>
      </c>
      <c r="R139" s="430">
        <v>15</v>
      </c>
      <c r="S139" s="339"/>
      <c r="T139" s="362">
        <v>7</v>
      </c>
      <c r="U139" s="337">
        <v>6</v>
      </c>
      <c r="V139" s="338">
        <v>0.2608695652173913</v>
      </c>
    </row>
    <row r="140" spans="2:22" ht="13.5">
      <c r="B140" s="1577">
        <v>201604</v>
      </c>
      <c r="C140" s="324" t="s">
        <v>459</v>
      </c>
      <c r="D140" s="325" t="s">
        <v>699</v>
      </c>
      <c r="E140" s="325" t="s">
        <v>698</v>
      </c>
      <c r="F140" s="460">
        <v>768.03700000000015</v>
      </c>
      <c r="G140" s="92">
        <v>219.49700000000001</v>
      </c>
      <c r="H140" s="279">
        <v>225.2</v>
      </c>
      <c r="I140" s="154">
        <v>5</v>
      </c>
      <c r="J140" s="576">
        <v>0.18181800000000001</v>
      </c>
      <c r="K140" s="578">
        <v>18.291416666667001</v>
      </c>
      <c r="L140" s="437">
        <v>2.4</v>
      </c>
      <c r="M140" s="42" t="s">
        <v>227</v>
      </c>
      <c r="N140" s="47">
        <v>26</v>
      </c>
      <c r="O140" s="45">
        <v>19</v>
      </c>
      <c r="P140" s="45">
        <v>4</v>
      </c>
      <c r="Q140" s="388">
        <v>3</v>
      </c>
      <c r="R140" s="429">
        <v>4</v>
      </c>
      <c r="S140" s="92"/>
      <c r="T140" s="361">
        <v>1</v>
      </c>
      <c r="U140" s="285">
        <v>1</v>
      </c>
      <c r="V140" s="438">
        <v>0.14285714285714285</v>
      </c>
    </row>
    <row r="141" spans="2:22" ht="13.5">
      <c r="B141" s="1577">
        <v>201604</v>
      </c>
      <c r="C141" s="326" t="s">
        <v>459</v>
      </c>
      <c r="D141" s="327" t="s">
        <v>2708</v>
      </c>
      <c r="E141" s="327" t="s">
        <v>2709</v>
      </c>
      <c r="F141" s="459">
        <v>261.08100000000007</v>
      </c>
      <c r="G141" s="339">
        <v>223.215</v>
      </c>
      <c r="H141" s="337">
        <v>223.215</v>
      </c>
      <c r="I141" s="331">
        <v>7</v>
      </c>
      <c r="J141" s="577">
        <v>0.4375</v>
      </c>
      <c r="K141" s="579">
        <v>24.801666666667</v>
      </c>
      <c r="L141" s="436">
        <v>1.285714</v>
      </c>
      <c r="M141" s="42" t="s">
        <v>227</v>
      </c>
      <c r="N141" s="334">
        <v>21</v>
      </c>
      <c r="O141" s="335">
        <v>10</v>
      </c>
      <c r="P141" s="335">
        <v>11</v>
      </c>
      <c r="Q141" s="389">
        <v>0</v>
      </c>
      <c r="R141" s="430">
        <v>0</v>
      </c>
      <c r="S141" s="339">
        <v>5</v>
      </c>
      <c r="T141" s="362">
        <v>5</v>
      </c>
      <c r="U141" s="337">
        <v>4</v>
      </c>
      <c r="V141" s="338">
        <v>0.36363636363636365</v>
      </c>
    </row>
    <row r="142" spans="2:22" ht="13.5">
      <c r="B142" s="1577">
        <v>201604</v>
      </c>
      <c r="C142" s="324" t="s">
        <v>459</v>
      </c>
      <c r="D142" s="325" t="s">
        <v>1015</v>
      </c>
      <c r="E142" s="325" t="s">
        <v>1348</v>
      </c>
      <c r="F142" s="460">
        <v>1198.5500000000004</v>
      </c>
      <c r="G142" s="92">
        <v>227.72499999999999</v>
      </c>
      <c r="H142" s="279">
        <v>248.71600000000001</v>
      </c>
      <c r="I142" s="154">
        <v>15</v>
      </c>
      <c r="J142" s="576">
        <v>0.143541</v>
      </c>
      <c r="K142" s="578">
        <v>14.2328125</v>
      </c>
      <c r="L142" s="437">
        <v>1.066667</v>
      </c>
      <c r="M142" s="42" t="s">
        <v>227</v>
      </c>
      <c r="N142" s="47">
        <v>100</v>
      </c>
      <c r="O142" s="45">
        <v>83</v>
      </c>
      <c r="P142" s="45">
        <v>12</v>
      </c>
      <c r="Q142" s="388">
        <v>5</v>
      </c>
      <c r="R142" s="429">
        <v>19</v>
      </c>
      <c r="S142" s="92"/>
      <c r="T142" s="361">
        <v>10</v>
      </c>
      <c r="U142" s="285">
        <v>6</v>
      </c>
      <c r="V142" s="438">
        <v>0.35294117647058826</v>
      </c>
    </row>
    <row r="143" spans="2:22" ht="13.5">
      <c r="B143" s="1577">
        <v>201604</v>
      </c>
      <c r="C143" s="326" t="s">
        <v>459</v>
      </c>
      <c r="D143" s="327" t="s">
        <v>825</v>
      </c>
      <c r="E143" s="327" t="s">
        <v>1773</v>
      </c>
      <c r="F143" s="459">
        <v>1759.2739999999992</v>
      </c>
      <c r="G143" s="339">
        <v>361.37200000000001</v>
      </c>
      <c r="H143" s="337">
        <v>361.37200000000001</v>
      </c>
      <c r="I143" s="331">
        <v>24</v>
      </c>
      <c r="J143" s="577">
        <v>0.206009</v>
      </c>
      <c r="K143" s="579">
        <v>12.461103448276001</v>
      </c>
      <c r="L143" s="436">
        <v>1.2083330000000001</v>
      </c>
      <c r="M143" s="42" t="s">
        <v>227</v>
      </c>
      <c r="N143" s="334">
        <v>116</v>
      </c>
      <c r="O143" s="335">
        <v>83</v>
      </c>
      <c r="P143" s="335">
        <v>29</v>
      </c>
      <c r="Q143" s="389">
        <v>4</v>
      </c>
      <c r="R143" s="430">
        <v>11</v>
      </c>
      <c r="S143" s="339"/>
      <c r="T143" s="362">
        <v>9</v>
      </c>
      <c r="U143" s="337">
        <v>5</v>
      </c>
      <c r="V143" s="338">
        <v>0.15151515151515152</v>
      </c>
    </row>
    <row r="144" spans="2:22" ht="13.5">
      <c r="B144" s="1577">
        <v>201604</v>
      </c>
      <c r="C144" s="324" t="s">
        <v>459</v>
      </c>
      <c r="D144" s="325" t="s">
        <v>185</v>
      </c>
      <c r="E144" s="325" t="s">
        <v>190</v>
      </c>
      <c r="F144" s="460">
        <v>3355.2529999999979</v>
      </c>
      <c r="G144" s="92">
        <v>724.55700000000002</v>
      </c>
      <c r="H144" s="279">
        <v>722.67600000000004</v>
      </c>
      <c r="I144" s="154">
        <v>19</v>
      </c>
      <c r="J144" s="576">
        <v>0.139706</v>
      </c>
      <c r="K144" s="578">
        <v>18.578384615385001</v>
      </c>
      <c r="L144" s="437">
        <v>2.052632</v>
      </c>
      <c r="M144" s="42" t="s">
        <v>227</v>
      </c>
      <c r="N144" s="47">
        <v>143</v>
      </c>
      <c r="O144" s="45">
        <v>116</v>
      </c>
      <c r="P144" s="45">
        <v>20</v>
      </c>
      <c r="Q144" s="388">
        <v>7</v>
      </c>
      <c r="R144" s="429">
        <v>0</v>
      </c>
      <c r="S144" s="92"/>
      <c r="T144" s="361">
        <v>14</v>
      </c>
      <c r="U144" s="285">
        <v>9</v>
      </c>
      <c r="V144" s="438">
        <v>0.33333333333333331</v>
      </c>
    </row>
    <row r="145" spans="2:22" ht="13.5">
      <c r="B145" s="1577">
        <v>201604</v>
      </c>
      <c r="C145" s="326" t="s">
        <v>459</v>
      </c>
      <c r="D145" s="327" t="s">
        <v>660</v>
      </c>
      <c r="E145" s="327" t="s">
        <v>656</v>
      </c>
      <c r="F145" s="459">
        <v>1439.9089999999994</v>
      </c>
      <c r="G145" s="339">
        <v>496.85399999999998</v>
      </c>
      <c r="H145" s="337">
        <v>496.85399999999998</v>
      </c>
      <c r="I145" s="331">
        <v>31</v>
      </c>
      <c r="J145" s="577">
        <v>0.23754800000000001</v>
      </c>
      <c r="K145" s="579">
        <v>11.554744186047001</v>
      </c>
      <c r="L145" s="436">
        <v>1.387097</v>
      </c>
      <c r="M145" s="42" t="s">
        <v>227</v>
      </c>
      <c r="N145" s="334">
        <v>132</v>
      </c>
      <c r="O145" s="335">
        <v>102</v>
      </c>
      <c r="P145" s="335">
        <v>24</v>
      </c>
      <c r="Q145" s="389">
        <v>6</v>
      </c>
      <c r="R145" s="430">
        <v>20</v>
      </c>
      <c r="S145" s="339">
        <v>2</v>
      </c>
      <c r="T145" s="362">
        <v>21</v>
      </c>
      <c r="U145" s="337">
        <v>8</v>
      </c>
      <c r="V145" s="338">
        <v>0.26666666666666666</v>
      </c>
    </row>
    <row r="146" spans="2:22" ht="13.5">
      <c r="B146" s="1577">
        <v>201604</v>
      </c>
      <c r="C146" s="324" t="s">
        <v>459</v>
      </c>
      <c r="D146" s="325" t="s">
        <v>1570</v>
      </c>
      <c r="E146" s="325" t="s">
        <v>1571</v>
      </c>
      <c r="F146" s="460">
        <v>1780.3819999999987</v>
      </c>
      <c r="G146" s="92">
        <v>372.322</v>
      </c>
      <c r="H146" s="279">
        <v>362.26100000000002</v>
      </c>
      <c r="I146" s="154">
        <v>29</v>
      </c>
      <c r="J146" s="576">
        <v>0.237705</v>
      </c>
      <c r="K146" s="578">
        <v>12.010387096774</v>
      </c>
      <c r="L146" s="437">
        <v>1.0689660000000001</v>
      </c>
      <c r="M146" s="42" t="s">
        <v>227</v>
      </c>
      <c r="N146" s="47">
        <v>107</v>
      </c>
      <c r="O146" s="45">
        <v>76</v>
      </c>
      <c r="P146" s="45">
        <v>28</v>
      </c>
      <c r="Q146" s="388">
        <v>3</v>
      </c>
      <c r="R146" s="429">
        <v>38</v>
      </c>
      <c r="S146" s="92">
        <v>2</v>
      </c>
      <c r="T146" s="361">
        <v>6</v>
      </c>
      <c r="U146" s="285">
        <v>4</v>
      </c>
      <c r="V146" s="438">
        <v>0.12903225806451613</v>
      </c>
    </row>
    <row r="147" spans="2:22" ht="13.5">
      <c r="B147" s="1577">
        <v>201604</v>
      </c>
      <c r="C147" s="326" t="s">
        <v>459</v>
      </c>
      <c r="D147" s="327" t="s">
        <v>662</v>
      </c>
      <c r="E147" s="327" t="s">
        <v>658</v>
      </c>
      <c r="F147" s="459"/>
      <c r="G147" s="339">
        <v>0</v>
      </c>
      <c r="H147" s="337">
        <v>0</v>
      </c>
      <c r="I147" s="331">
        <v>0</v>
      </c>
      <c r="J147" s="577">
        <v>0</v>
      </c>
      <c r="K147" s="579">
        <v>0</v>
      </c>
      <c r="L147" s="436">
        <v>0</v>
      </c>
      <c r="M147" s="42" t="s">
        <v>227</v>
      </c>
      <c r="N147" s="334">
        <v>0</v>
      </c>
      <c r="O147" s="335">
        <v>0</v>
      </c>
      <c r="P147" s="335">
        <v>0</v>
      </c>
      <c r="Q147" s="389">
        <v>0</v>
      </c>
      <c r="R147" s="430">
        <v>0</v>
      </c>
      <c r="S147" s="339"/>
      <c r="T147" s="362"/>
      <c r="U147" s="337"/>
      <c r="V147" s="338"/>
    </row>
    <row r="148" spans="2:22" ht="13.5">
      <c r="B148" s="1577">
        <v>201604</v>
      </c>
      <c r="C148" s="324" t="s">
        <v>459</v>
      </c>
      <c r="D148" s="325" t="s">
        <v>799</v>
      </c>
      <c r="E148" s="325" t="s">
        <v>800</v>
      </c>
      <c r="F148" s="460">
        <v>2127.6499999999983</v>
      </c>
      <c r="G148" s="92">
        <v>725.25300000000004</v>
      </c>
      <c r="H148" s="279">
        <v>734.60500000000002</v>
      </c>
      <c r="I148" s="154">
        <v>42</v>
      </c>
      <c r="J148" s="576">
        <v>0.33466099999999999</v>
      </c>
      <c r="K148" s="578">
        <v>14.220647058824001</v>
      </c>
      <c r="L148" s="437">
        <v>1.214286</v>
      </c>
      <c r="M148" s="42" t="s">
        <v>227</v>
      </c>
      <c r="N148" s="47">
        <v>137</v>
      </c>
      <c r="O148" s="45">
        <v>108</v>
      </c>
      <c r="P148" s="45">
        <v>21</v>
      </c>
      <c r="Q148" s="388">
        <v>8</v>
      </c>
      <c r="R148" s="429">
        <v>10</v>
      </c>
      <c r="S148" s="92">
        <v>2</v>
      </c>
      <c r="T148" s="361">
        <v>30</v>
      </c>
      <c r="U148" s="285">
        <v>13</v>
      </c>
      <c r="V148" s="438">
        <v>0.44827586206896552</v>
      </c>
    </row>
    <row r="149" spans="2:22" ht="13.5">
      <c r="B149" s="1577">
        <v>201604</v>
      </c>
      <c r="C149" s="326" t="s">
        <v>459</v>
      </c>
      <c r="D149" s="327" t="s">
        <v>1567</v>
      </c>
      <c r="E149" s="327" t="s">
        <v>1028</v>
      </c>
      <c r="F149" s="459">
        <v>4181.9399999999951</v>
      </c>
      <c r="G149" s="339">
        <v>1074.213</v>
      </c>
      <c r="H149" s="337">
        <v>1133.3710000000001</v>
      </c>
      <c r="I149" s="331">
        <v>70</v>
      </c>
      <c r="J149" s="577">
        <v>0.374332</v>
      </c>
      <c r="K149" s="579">
        <v>14.516391891891999</v>
      </c>
      <c r="L149" s="436">
        <v>1.0571429999999999</v>
      </c>
      <c r="M149" s="42" t="s">
        <v>227</v>
      </c>
      <c r="N149" s="334">
        <v>201</v>
      </c>
      <c r="O149" s="335">
        <v>151</v>
      </c>
      <c r="P149" s="335">
        <v>41</v>
      </c>
      <c r="Q149" s="389">
        <v>9</v>
      </c>
      <c r="R149" s="430">
        <v>5</v>
      </c>
      <c r="S149" s="339">
        <v>1</v>
      </c>
      <c r="T149" s="362">
        <v>32</v>
      </c>
      <c r="U149" s="337">
        <v>17</v>
      </c>
      <c r="V149" s="338">
        <v>0.34</v>
      </c>
    </row>
    <row r="150" spans="2:22" ht="13.5">
      <c r="B150" s="1577">
        <v>201604</v>
      </c>
      <c r="C150" s="324" t="s">
        <v>459</v>
      </c>
      <c r="D150" s="325" t="s">
        <v>177</v>
      </c>
      <c r="E150" s="325" t="s">
        <v>189</v>
      </c>
      <c r="F150" s="460">
        <v>1956.6369999999995</v>
      </c>
      <c r="G150" s="92">
        <v>514.28800000000001</v>
      </c>
      <c r="H150" s="279">
        <v>519.05600000000004</v>
      </c>
      <c r="I150" s="154">
        <v>23</v>
      </c>
      <c r="J150" s="576">
        <v>0.30065399999999998</v>
      </c>
      <c r="K150" s="578">
        <v>17.142933333333001</v>
      </c>
      <c r="L150" s="437">
        <v>1.3043480000000001</v>
      </c>
      <c r="M150" s="42" t="s">
        <v>227</v>
      </c>
      <c r="N150" s="47">
        <v>77</v>
      </c>
      <c r="O150" s="45">
        <v>54</v>
      </c>
      <c r="P150" s="45">
        <v>18</v>
      </c>
      <c r="Q150" s="388">
        <v>5</v>
      </c>
      <c r="R150" s="429">
        <v>7</v>
      </c>
      <c r="S150" s="92"/>
      <c r="T150" s="361">
        <v>5</v>
      </c>
      <c r="U150" s="285">
        <v>4</v>
      </c>
      <c r="V150" s="438">
        <v>0.17391304347826086</v>
      </c>
    </row>
    <row r="151" spans="2:22" ht="13.5">
      <c r="B151" s="1577">
        <v>201604</v>
      </c>
      <c r="C151" s="326" t="s">
        <v>459</v>
      </c>
      <c r="D151" s="327" t="s">
        <v>1568</v>
      </c>
      <c r="E151" s="327" t="s">
        <v>1569</v>
      </c>
      <c r="F151" s="459">
        <v>3501.2330000000061</v>
      </c>
      <c r="G151" s="339">
        <v>1031.68</v>
      </c>
      <c r="H151" s="337">
        <v>1012.753</v>
      </c>
      <c r="I151" s="331">
        <v>71</v>
      </c>
      <c r="J151" s="577">
        <v>0.31140400000000001</v>
      </c>
      <c r="K151" s="579">
        <v>11.996279069767001</v>
      </c>
      <c r="L151" s="436">
        <v>1.211268</v>
      </c>
      <c r="M151" s="42" t="s">
        <v>227</v>
      </c>
      <c r="N151" s="334">
        <v>251</v>
      </c>
      <c r="O151" s="335">
        <v>195</v>
      </c>
      <c r="P151" s="335">
        <v>52</v>
      </c>
      <c r="Q151" s="389">
        <v>4</v>
      </c>
      <c r="R151" s="430">
        <v>0</v>
      </c>
      <c r="S151" s="339">
        <v>5</v>
      </c>
      <c r="T151" s="362">
        <v>41</v>
      </c>
      <c r="U151" s="337">
        <v>17</v>
      </c>
      <c r="V151" s="338">
        <v>0.30357142857142855</v>
      </c>
    </row>
    <row r="152" spans="2:22" ht="13.5">
      <c r="B152" s="1577">
        <v>201604</v>
      </c>
      <c r="C152" s="324" t="s">
        <v>459</v>
      </c>
      <c r="D152" s="325" t="s">
        <v>176</v>
      </c>
      <c r="E152" s="325" t="s">
        <v>188</v>
      </c>
      <c r="F152" s="460">
        <v>2760.6639999999979</v>
      </c>
      <c r="G152" s="92">
        <v>499.25200000000001</v>
      </c>
      <c r="H152" s="279">
        <v>499.25200000000001</v>
      </c>
      <c r="I152" s="154">
        <v>29</v>
      </c>
      <c r="J152" s="576">
        <v>0.14043600000000001</v>
      </c>
      <c r="K152" s="578">
        <v>13.493297297297001</v>
      </c>
      <c r="L152" s="437">
        <v>1.2758620000000001</v>
      </c>
      <c r="M152" s="42" t="s">
        <v>227</v>
      </c>
      <c r="N152" s="47">
        <v>209</v>
      </c>
      <c r="O152" s="45">
        <v>165</v>
      </c>
      <c r="P152" s="45">
        <v>33</v>
      </c>
      <c r="Q152" s="388">
        <v>11</v>
      </c>
      <c r="R152" s="429">
        <v>22</v>
      </c>
      <c r="S152" s="92">
        <v>3</v>
      </c>
      <c r="T152" s="361">
        <v>24</v>
      </c>
      <c r="U152" s="285">
        <v>13</v>
      </c>
      <c r="V152" s="438">
        <v>0.29545454545454547</v>
      </c>
    </row>
    <row r="153" spans="2:22" ht="13.5">
      <c r="B153" s="1577">
        <v>201604</v>
      </c>
      <c r="C153" s="326" t="s">
        <v>459</v>
      </c>
      <c r="D153" s="327" t="s">
        <v>2710</v>
      </c>
      <c r="E153" s="327" t="s">
        <v>2711</v>
      </c>
      <c r="F153" s="459">
        <v>428.80500000000006</v>
      </c>
      <c r="G153" s="339">
        <v>334.565</v>
      </c>
      <c r="H153" s="337">
        <v>304.43900000000002</v>
      </c>
      <c r="I153" s="331">
        <v>17</v>
      </c>
      <c r="J153" s="577">
        <v>0.49275400000000003</v>
      </c>
      <c r="K153" s="579">
        <v>13.3826</v>
      </c>
      <c r="L153" s="436">
        <v>1.470588</v>
      </c>
      <c r="M153" s="42" t="s">
        <v>227</v>
      </c>
      <c r="N153" s="334">
        <v>57</v>
      </c>
      <c r="O153" s="335">
        <v>28</v>
      </c>
      <c r="P153" s="335">
        <v>29</v>
      </c>
      <c r="Q153" s="389">
        <v>0</v>
      </c>
      <c r="R153" s="430">
        <v>0</v>
      </c>
      <c r="S153" s="339">
        <v>23</v>
      </c>
      <c r="T153" s="362">
        <v>22</v>
      </c>
      <c r="U153" s="337">
        <v>10</v>
      </c>
      <c r="V153" s="338">
        <v>0.34482758620689657</v>
      </c>
    </row>
    <row r="154" spans="2:22" ht="13.5">
      <c r="B154" s="1577">
        <v>201604</v>
      </c>
      <c r="C154" s="324" t="s">
        <v>459</v>
      </c>
      <c r="D154" s="325" t="s">
        <v>1572</v>
      </c>
      <c r="E154" s="325" t="s">
        <v>1573</v>
      </c>
      <c r="F154" s="460">
        <v>1976.7109999999993</v>
      </c>
      <c r="G154" s="92">
        <v>695.29600000000005</v>
      </c>
      <c r="H154" s="279">
        <v>714.67700000000002</v>
      </c>
      <c r="I154" s="154">
        <v>22</v>
      </c>
      <c r="J154" s="576">
        <v>0.261905</v>
      </c>
      <c r="K154" s="578">
        <v>19.313777777778</v>
      </c>
      <c r="L154" s="437">
        <v>1.6363639999999999</v>
      </c>
      <c r="M154" s="42" t="s">
        <v>227</v>
      </c>
      <c r="N154" s="47">
        <v>82</v>
      </c>
      <c r="O154" s="45">
        <v>67</v>
      </c>
      <c r="P154" s="45">
        <v>8</v>
      </c>
      <c r="Q154" s="388">
        <v>7</v>
      </c>
      <c r="R154" s="429">
        <v>5</v>
      </c>
      <c r="S154" s="92"/>
      <c r="T154" s="361">
        <v>1</v>
      </c>
      <c r="U154" s="285">
        <v>1</v>
      </c>
      <c r="V154" s="438">
        <v>6.6666666666666666E-2</v>
      </c>
    </row>
    <row r="155" spans="2:22" ht="13.5">
      <c r="B155" s="1577">
        <v>201604</v>
      </c>
      <c r="C155" s="326" t="s">
        <v>459</v>
      </c>
      <c r="D155" s="327" t="s">
        <v>1104</v>
      </c>
      <c r="E155" s="327" t="s">
        <v>1287</v>
      </c>
      <c r="F155" s="459">
        <v>2145.597999999999</v>
      </c>
      <c r="G155" s="339">
        <v>579.33000000000004</v>
      </c>
      <c r="H155" s="337">
        <v>574.95600000000002</v>
      </c>
      <c r="I155" s="331">
        <v>40</v>
      </c>
      <c r="J155" s="577">
        <v>0.25078400000000001</v>
      </c>
      <c r="K155" s="579">
        <v>10.930754716980999</v>
      </c>
      <c r="L155" s="436">
        <v>1.325</v>
      </c>
      <c r="M155" s="42" t="s">
        <v>227</v>
      </c>
      <c r="N155" s="334">
        <v>166</v>
      </c>
      <c r="O155" s="335">
        <v>130</v>
      </c>
      <c r="P155" s="335">
        <v>23</v>
      </c>
      <c r="Q155" s="389">
        <v>13</v>
      </c>
      <c r="R155" s="430">
        <v>2</v>
      </c>
      <c r="S155" s="339"/>
      <c r="T155" s="362">
        <v>15</v>
      </c>
      <c r="U155" s="337">
        <v>9</v>
      </c>
      <c r="V155" s="338">
        <v>0.25</v>
      </c>
    </row>
    <row r="156" spans="2:22" ht="13.5">
      <c r="B156" s="1577">
        <v>201604</v>
      </c>
      <c r="C156" s="324" t="s">
        <v>2048</v>
      </c>
      <c r="D156" s="325" t="s">
        <v>2046</v>
      </c>
      <c r="E156" s="325" t="s">
        <v>2054</v>
      </c>
      <c r="F156" s="460">
        <v>2687.3119999999967</v>
      </c>
      <c r="G156" s="92">
        <v>903.96100000000001</v>
      </c>
      <c r="H156" s="279">
        <v>863.00199999999995</v>
      </c>
      <c r="I156" s="154">
        <v>44</v>
      </c>
      <c r="J156" s="576">
        <v>0.30137000000000003</v>
      </c>
      <c r="K156" s="578">
        <v>12.215689189189</v>
      </c>
      <c r="L156" s="437">
        <v>1.681818</v>
      </c>
      <c r="M156" s="42" t="s">
        <v>227</v>
      </c>
      <c r="N156" s="47">
        <v>144</v>
      </c>
      <c r="O156" s="45">
        <v>112</v>
      </c>
      <c r="P156" s="45">
        <v>31</v>
      </c>
      <c r="Q156" s="388">
        <v>1</v>
      </c>
      <c r="R156" s="429">
        <v>16</v>
      </c>
      <c r="S156" s="92">
        <v>1</v>
      </c>
      <c r="T156" s="361">
        <v>11</v>
      </c>
      <c r="U156" s="285">
        <v>8</v>
      </c>
      <c r="V156" s="438">
        <v>0.25</v>
      </c>
    </row>
    <row r="157" spans="2:22" ht="13.5">
      <c r="B157" s="1577">
        <v>201603</v>
      </c>
      <c r="C157" s="326" t="s">
        <v>458</v>
      </c>
      <c r="D157" s="327" t="s">
        <v>1563</v>
      </c>
      <c r="E157" s="327" t="s">
        <v>1564</v>
      </c>
      <c r="F157" s="459">
        <v>825.61200000000008</v>
      </c>
      <c r="G157" s="339">
        <v>369.601</v>
      </c>
      <c r="H157" s="337">
        <v>381.54199999999997</v>
      </c>
      <c r="I157" s="331">
        <v>9</v>
      </c>
      <c r="J157" s="577">
        <v>0.15789500000000001</v>
      </c>
      <c r="K157" s="579">
        <v>23.1000625</v>
      </c>
      <c r="L157" s="436">
        <v>1.7777780000000001</v>
      </c>
      <c r="M157" s="42" t="s">
        <v>227</v>
      </c>
      <c r="N157" s="334">
        <v>66</v>
      </c>
      <c r="O157" s="335">
        <v>54</v>
      </c>
      <c r="P157" s="335">
        <v>7</v>
      </c>
      <c r="Q157" s="389">
        <v>5</v>
      </c>
      <c r="R157" s="430">
        <v>0</v>
      </c>
      <c r="S157" s="339"/>
      <c r="T157" s="362">
        <v>18</v>
      </c>
      <c r="U157" s="337">
        <v>9</v>
      </c>
      <c r="V157" s="338">
        <v>0.75</v>
      </c>
    </row>
    <row r="158" spans="2:22" ht="13.5">
      <c r="B158" s="1577">
        <v>201603</v>
      </c>
      <c r="C158" s="324" t="s">
        <v>458</v>
      </c>
      <c r="D158" s="325" t="s">
        <v>1099</v>
      </c>
      <c r="E158" s="325" t="s">
        <v>1286</v>
      </c>
      <c r="F158" s="460">
        <v>851.25500000000045</v>
      </c>
      <c r="G158" s="92">
        <v>540.91600000000005</v>
      </c>
      <c r="H158" s="279">
        <v>534.82100000000003</v>
      </c>
      <c r="I158" s="154">
        <v>19</v>
      </c>
      <c r="J158" s="576">
        <v>0.222222</v>
      </c>
      <c r="K158" s="578">
        <v>20.033925925925999</v>
      </c>
      <c r="L158" s="437">
        <v>1.4210529999999999</v>
      </c>
      <c r="M158" s="42" t="s">
        <v>227</v>
      </c>
      <c r="N158" s="47">
        <v>88</v>
      </c>
      <c r="O158" s="45">
        <v>67</v>
      </c>
      <c r="P158" s="45">
        <v>16</v>
      </c>
      <c r="Q158" s="388">
        <v>5</v>
      </c>
      <c r="R158" s="429">
        <v>5</v>
      </c>
      <c r="S158" s="92"/>
      <c r="T158" s="361">
        <v>10</v>
      </c>
      <c r="U158" s="285">
        <v>7</v>
      </c>
      <c r="V158" s="438">
        <v>0.33333333333333331</v>
      </c>
    </row>
    <row r="159" spans="2:22" ht="13.5">
      <c r="B159" s="1577">
        <v>201603</v>
      </c>
      <c r="C159" s="326" t="s">
        <v>458</v>
      </c>
      <c r="D159" s="327" t="s">
        <v>900</v>
      </c>
      <c r="E159" s="327" t="s">
        <v>901</v>
      </c>
      <c r="F159" s="459">
        <v>820.10499999999968</v>
      </c>
      <c r="G159" s="339">
        <v>658.16300000000001</v>
      </c>
      <c r="H159" s="337">
        <v>638.51900000000001</v>
      </c>
      <c r="I159" s="331">
        <v>10</v>
      </c>
      <c r="J159" s="577">
        <v>0.18348600000000001</v>
      </c>
      <c r="K159" s="579">
        <v>21.231064516128999</v>
      </c>
      <c r="L159" s="436">
        <v>3.1</v>
      </c>
      <c r="M159" s="42" t="s">
        <v>227</v>
      </c>
      <c r="N159" s="334">
        <v>55</v>
      </c>
      <c r="O159" s="335">
        <v>38</v>
      </c>
      <c r="P159" s="335">
        <v>13</v>
      </c>
      <c r="Q159" s="389">
        <v>4</v>
      </c>
      <c r="R159" s="430">
        <v>0</v>
      </c>
      <c r="S159" s="339"/>
      <c r="T159" s="362">
        <v>1</v>
      </c>
      <c r="U159" s="337">
        <v>1</v>
      </c>
      <c r="V159" s="338">
        <v>5.8823529411764705E-2</v>
      </c>
    </row>
    <row r="160" spans="2:22" ht="13.5">
      <c r="B160" s="1577">
        <v>201603</v>
      </c>
      <c r="C160" s="324" t="s">
        <v>458</v>
      </c>
      <c r="D160" s="325" t="s">
        <v>649</v>
      </c>
      <c r="E160" s="325" t="s">
        <v>645</v>
      </c>
      <c r="F160" s="460">
        <v>912.03399999999976</v>
      </c>
      <c r="G160" s="92">
        <v>752.29499999999996</v>
      </c>
      <c r="H160" s="279">
        <v>668.952</v>
      </c>
      <c r="I160" s="154">
        <v>12</v>
      </c>
      <c r="J160" s="576">
        <v>0.19512199999999999</v>
      </c>
      <c r="K160" s="578">
        <v>25.941206896552</v>
      </c>
      <c r="L160" s="437">
        <v>2.4166669999999999</v>
      </c>
      <c r="M160" s="42" t="s">
        <v>227</v>
      </c>
      <c r="N160" s="47">
        <v>63</v>
      </c>
      <c r="O160" s="45">
        <v>48</v>
      </c>
      <c r="P160" s="45">
        <v>14</v>
      </c>
      <c r="Q160" s="388">
        <v>1</v>
      </c>
      <c r="R160" s="429">
        <v>0</v>
      </c>
      <c r="S160" s="92"/>
      <c r="T160" s="361">
        <v>3</v>
      </c>
      <c r="U160" s="285">
        <v>2</v>
      </c>
      <c r="V160" s="438">
        <v>0.13333333333333333</v>
      </c>
    </row>
    <row r="161" spans="2:22" ht="13.5">
      <c r="B161" s="1577">
        <v>201603</v>
      </c>
      <c r="C161" s="326" t="s">
        <v>458</v>
      </c>
      <c r="D161" s="327" t="s">
        <v>650</v>
      </c>
      <c r="E161" s="327" t="s">
        <v>1777</v>
      </c>
      <c r="F161" s="459">
        <v>162.41400000000002</v>
      </c>
      <c r="G161" s="339">
        <v>23.414000000000001</v>
      </c>
      <c r="H161" s="337">
        <v>73.287999999999997</v>
      </c>
      <c r="I161" s="331">
        <v>2</v>
      </c>
      <c r="J161" s="577">
        <v>6.8966E-2</v>
      </c>
      <c r="K161" s="579">
        <v>11.707000000000001</v>
      </c>
      <c r="L161" s="436">
        <v>1</v>
      </c>
      <c r="M161" s="42" t="s">
        <v>227</v>
      </c>
      <c r="N161" s="334">
        <v>29</v>
      </c>
      <c r="O161" s="335">
        <v>19</v>
      </c>
      <c r="P161" s="335">
        <v>8</v>
      </c>
      <c r="Q161" s="389">
        <v>2</v>
      </c>
      <c r="R161" s="430">
        <v>0</v>
      </c>
      <c r="S161" s="339"/>
      <c r="T161" s="362"/>
      <c r="U161" s="337"/>
      <c r="V161" s="338"/>
    </row>
    <row r="162" spans="2:22" ht="13.5">
      <c r="B162" s="1577">
        <v>201603</v>
      </c>
      <c r="C162" s="324" t="s">
        <v>458</v>
      </c>
      <c r="D162" s="325" t="s">
        <v>902</v>
      </c>
      <c r="E162" s="325" t="s">
        <v>1014</v>
      </c>
      <c r="F162" s="460">
        <v>1507.0809999999974</v>
      </c>
      <c r="G162" s="92">
        <v>940.17600000000004</v>
      </c>
      <c r="H162" s="279">
        <v>982.75099999999998</v>
      </c>
      <c r="I162" s="154">
        <v>23</v>
      </c>
      <c r="J162" s="576">
        <v>0.240838</v>
      </c>
      <c r="K162" s="578">
        <v>23.5044</v>
      </c>
      <c r="L162" s="437">
        <v>1.7391300000000001</v>
      </c>
      <c r="M162" s="42" t="s">
        <v>227</v>
      </c>
      <c r="N162" s="47">
        <v>102</v>
      </c>
      <c r="O162" s="45">
        <v>79</v>
      </c>
      <c r="P162" s="45">
        <v>21</v>
      </c>
      <c r="Q162" s="388">
        <v>2</v>
      </c>
      <c r="R162" s="429">
        <v>6</v>
      </c>
      <c r="S162" s="92"/>
      <c r="T162" s="361">
        <v>19</v>
      </c>
      <c r="U162" s="285">
        <v>11</v>
      </c>
      <c r="V162" s="438">
        <v>0.47826086956521741</v>
      </c>
    </row>
    <row r="163" spans="2:22" ht="13.5">
      <c r="B163" s="1577">
        <v>201603</v>
      </c>
      <c r="C163" s="326" t="s">
        <v>458</v>
      </c>
      <c r="D163" s="327" t="s">
        <v>642</v>
      </c>
      <c r="E163" s="327" t="s">
        <v>641</v>
      </c>
      <c r="F163" s="459">
        <v>1253.787</v>
      </c>
      <c r="G163" s="339">
        <v>769.32899999999995</v>
      </c>
      <c r="H163" s="337">
        <v>750.19799999999998</v>
      </c>
      <c r="I163" s="331">
        <v>24</v>
      </c>
      <c r="J163" s="577">
        <v>0.28571400000000002</v>
      </c>
      <c r="K163" s="579">
        <v>16.724543478261001</v>
      </c>
      <c r="L163" s="436">
        <v>1.9166669999999999</v>
      </c>
      <c r="M163" s="42" t="s">
        <v>227</v>
      </c>
      <c r="N163" s="334">
        <v>90</v>
      </c>
      <c r="O163" s="335">
        <v>75</v>
      </c>
      <c r="P163" s="335">
        <v>15</v>
      </c>
      <c r="Q163" s="389">
        <v>0</v>
      </c>
      <c r="R163" s="430">
        <v>7</v>
      </c>
      <c r="S163" s="339"/>
      <c r="T163" s="362">
        <v>19</v>
      </c>
      <c r="U163" s="337">
        <v>9</v>
      </c>
      <c r="V163" s="338">
        <v>0.6</v>
      </c>
    </row>
    <row r="164" spans="2:22" ht="13.5">
      <c r="B164" s="1577">
        <v>201603</v>
      </c>
      <c r="C164" s="324" t="s">
        <v>458</v>
      </c>
      <c r="D164" s="325" t="s">
        <v>91</v>
      </c>
      <c r="E164" s="325" t="s">
        <v>92</v>
      </c>
      <c r="F164" s="460">
        <v>1994.6919999999964</v>
      </c>
      <c r="G164" s="92">
        <v>1043.941</v>
      </c>
      <c r="H164" s="279">
        <v>1023.149</v>
      </c>
      <c r="I164" s="154">
        <v>29</v>
      </c>
      <c r="J164" s="576">
        <v>0.24576300000000001</v>
      </c>
      <c r="K164" s="578">
        <v>20.075788461537996</v>
      </c>
      <c r="L164" s="437">
        <v>1.7931029999999999</v>
      </c>
      <c r="M164" s="42" t="s">
        <v>227</v>
      </c>
      <c r="N164" s="47">
        <v>122</v>
      </c>
      <c r="O164" s="45">
        <v>91</v>
      </c>
      <c r="P164" s="45">
        <v>25</v>
      </c>
      <c r="Q164" s="388">
        <v>6</v>
      </c>
      <c r="R164" s="429">
        <v>9</v>
      </c>
      <c r="S164" s="92"/>
      <c r="T164" s="361">
        <v>17</v>
      </c>
      <c r="U164" s="285">
        <v>11</v>
      </c>
      <c r="V164" s="438">
        <v>0.35483870967741937</v>
      </c>
    </row>
    <row r="165" spans="2:22" ht="13.5">
      <c r="B165" s="1577">
        <v>201603</v>
      </c>
      <c r="C165" s="326" t="s">
        <v>458</v>
      </c>
      <c r="D165" s="327" t="s">
        <v>187</v>
      </c>
      <c r="E165" s="327" t="s">
        <v>194</v>
      </c>
      <c r="F165" s="459">
        <v>476.92199999999991</v>
      </c>
      <c r="G165" s="339">
        <v>178.70599999999999</v>
      </c>
      <c r="H165" s="337">
        <v>178.70599999999999</v>
      </c>
      <c r="I165" s="331">
        <v>13</v>
      </c>
      <c r="J165" s="577">
        <v>0.16883100000000001</v>
      </c>
      <c r="K165" s="579">
        <v>11.913733333333001</v>
      </c>
      <c r="L165" s="436">
        <v>1.1538459999999999</v>
      </c>
      <c r="M165" s="42" t="s">
        <v>227</v>
      </c>
      <c r="N165" s="334">
        <v>74</v>
      </c>
      <c r="O165" s="335">
        <v>53</v>
      </c>
      <c r="P165" s="335">
        <v>15</v>
      </c>
      <c r="Q165" s="389">
        <v>6</v>
      </c>
      <c r="R165" s="430">
        <v>15</v>
      </c>
      <c r="S165" s="339"/>
      <c r="T165" s="362">
        <v>9</v>
      </c>
      <c r="U165" s="337">
        <v>5</v>
      </c>
      <c r="V165" s="338">
        <v>0.23809523809523808</v>
      </c>
    </row>
    <row r="166" spans="2:22" ht="13.5">
      <c r="B166" s="1577">
        <v>201603</v>
      </c>
      <c r="C166" s="324" t="s">
        <v>458</v>
      </c>
      <c r="D166" s="325" t="s">
        <v>734</v>
      </c>
      <c r="E166" s="325" t="s">
        <v>1766</v>
      </c>
      <c r="F166" s="460">
        <v>1412.3109999999986</v>
      </c>
      <c r="G166" s="92">
        <v>1150.675</v>
      </c>
      <c r="H166" s="279">
        <v>1004.793</v>
      </c>
      <c r="I166" s="154">
        <v>34</v>
      </c>
      <c r="J166" s="576">
        <v>0.203593</v>
      </c>
      <c r="K166" s="578">
        <v>19.502966101695002</v>
      </c>
      <c r="L166" s="437">
        <v>1.7352939999999999</v>
      </c>
      <c r="M166" s="42" t="s">
        <v>227</v>
      </c>
      <c r="N166" s="47">
        <v>175</v>
      </c>
      <c r="O166" s="45">
        <v>144</v>
      </c>
      <c r="P166" s="45">
        <v>28</v>
      </c>
      <c r="Q166" s="388">
        <v>3</v>
      </c>
      <c r="R166" s="429">
        <v>8</v>
      </c>
      <c r="S166" s="92">
        <v>1</v>
      </c>
      <c r="T166" s="361">
        <v>23</v>
      </c>
      <c r="U166" s="285">
        <v>7</v>
      </c>
      <c r="V166" s="438">
        <v>0.22580645161290322</v>
      </c>
    </row>
    <row r="167" spans="2:22" ht="13.5">
      <c r="B167" s="1577">
        <v>201603</v>
      </c>
      <c r="C167" s="326" t="s">
        <v>458</v>
      </c>
      <c r="D167" s="327" t="s">
        <v>735</v>
      </c>
      <c r="E167" s="327" t="s">
        <v>790</v>
      </c>
      <c r="F167" s="459">
        <v>4138.9539999999542</v>
      </c>
      <c r="G167" s="339">
        <v>2467.297</v>
      </c>
      <c r="H167" s="337">
        <v>2223.3200000000002</v>
      </c>
      <c r="I167" s="331">
        <v>38</v>
      </c>
      <c r="J167" s="577">
        <v>0.58015300000000003</v>
      </c>
      <c r="K167" s="579">
        <v>35.757927536232003</v>
      </c>
      <c r="L167" s="436">
        <v>1.8157890000000001</v>
      </c>
      <c r="M167" s="42" t="s">
        <v>227</v>
      </c>
      <c r="N167" s="334">
        <v>66</v>
      </c>
      <c r="O167" s="335">
        <v>51</v>
      </c>
      <c r="P167" s="335">
        <v>13</v>
      </c>
      <c r="Q167" s="389">
        <v>2</v>
      </c>
      <c r="R167" s="430">
        <v>7</v>
      </c>
      <c r="S167" s="339"/>
      <c r="T167" s="362">
        <v>7</v>
      </c>
      <c r="U167" s="337">
        <v>4</v>
      </c>
      <c r="V167" s="338">
        <v>0.26666666666666666</v>
      </c>
    </row>
    <row r="168" spans="2:22" ht="13.5">
      <c r="B168" s="1577">
        <v>201603</v>
      </c>
      <c r="C168" s="324" t="s">
        <v>458</v>
      </c>
      <c r="D168" s="325" t="s">
        <v>798</v>
      </c>
      <c r="E168" s="325" t="s">
        <v>1768</v>
      </c>
      <c r="F168" s="460">
        <v>1157.6929999999993</v>
      </c>
      <c r="G168" s="92">
        <v>407.61399999999998</v>
      </c>
      <c r="H168" s="279">
        <v>424.99900000000002</v>
      </c>
      <c r="I168" s="154">
        <v>13</v>
      </c>
      <c r="J168" s="576">
        <v>0.30232599999999998</v>
      </c>
      <c r="K168" s="578">
        <v>21.453368421053</v>
      </c>
      <c r="L168" s="437">
        <v>1.461538</v>
      </c>
      <c r="M168" s="42" t="s">
        <v>227</v>
      </c>
      <c r="N168" s="47">
        <v>42</v>
      </c>
      <c r="O168" s="45">
        <v>30</v>
      </c>
      <c r="P168" s="45">
        <v>10</v>
      </c>
      <c r="Q168" s="388">
        <v>2</v>
      </c>
      <c r="R168" s="429">
        <v>6</v>
      </c>
      <c r="S168" s="92"/>
      <c r="T168" s="361">
        <v>4</v>
      </c>
      <c r="U168" s="285">
        <v>3</v>
      </c>
      <c r="V168" s="438">
        <v>0.25</v>
      </c>
    </row>
    <row r="169" spans="2:22" ht="13.5">
      <c r="B169" s="1577">
        <v>201603</v>
      </c>
      <c r="C169" s="326" t="s">
        <v>458</v>
      </c>
      <c r="D169" s="327" t="s">
        <v>949</v>
      </c>
      <c r="E169" s="327" t="s">
        <v>950</v>
      </c>
      <c r="F169" s="459">
        <v>2165.032999999999</v>
      </c>
      <c r="G169" s="339">
        <v>1111.904</v>
      </c>
      <c r="H169" s="337">
        <v>1085.1369999999999</v>
      </c>
      <c r="I169" s="331">
        <v>23</v>
      </c>
      <c r="J169" s="577">
        <v>0.26136399999999999</v>
      </c>
      <c r="K169" s="579">
        <v>16.595582089552</v>
      </c>
      <c r="L169" s="436">
        <v>2.913043</v>
      </c>
      <c r="M169" s="42" t="s">
        <v>227</v>
      </c>
      <c r="N169" s="334">
        <v>96</v>
      </c>
      <c r="O169" s="335">
        <v>69</v>
      </c>
      <c r="P169" s="335">
        <v>22</v>
      </c>
      <c r="Q169" s="389">
        <v>5</v>
      </c>
      <c r="R169" s="430">
        <v>2</v>
      </c>
      <c r="S169" s="339">
        <v>2</v>
      </c>
      <c r="T169" s="362">
        <v>16</v>
      </c>
      <c r="U169" s="337">
        <v>8</v>
      </c>
      <c r="V169" s="338">
        <v>0.29629629629629628</v>
      </c>
    </row>
    <row r="170" spans="2:22" ht="13.5">
      <c r="B170" s="1577">
        <v>201603</v>
      </c>
      <c r="C170" s="324" t="s">
        <v>458</v>
      </c>
      <c r="D170" s="325" t="s">
        <v>903</v>
      </c>
      <c r="E170" s="325" t="s">
        <v>904</v>
      </c>
      <c r="F170" s="460">
        <v>2219.143999999997</v>
      </c>
      <c r="G170" s="92">
        <v>1293.4760000000001</v>
      </c>
      <c r="H170" s="279">
        <v>1281</v>
      </c>
      <c r="I170" s="154">
        <v>30</v>
      </c>
      <c r="J170" s="576">
        <v>0.25210100000000002</v>
      </c>
      <c r="K170" s="578">
        <v>20.862516129032002</v>
      </c>
      <c r="L170" s="437">
        <v>2.0666669999999998</v>
      </c>
      <c r="M170" s="42" t="s">
        <v>227</v>
      </c>
      <c r="N170" s="47">
        <v>123</v>
      </c>
      <c r="O170" s="45">
        <v>92</v>
      </c>
      <c r="P170" s="45">
        <v>26</v>
      </c>
      <c r="Q170" s="388">
        <v>5</v>
      </c>
      <c r="R170" s="429">
        <v>13</v>
      </c>
      <c r="S170" s="92">
        <v>1</v>
      </c>
      <c r="T170" s="361">
        <v>20</v>
      </c>
      <c r="U170" s="285">
        <v>13</v>
      </c>
      <c r="V170" s="438">
        <v>0.41935483870967744</v>
      </c>
    </row>
    <row r="171" spans="2:22" ht="13.5">
      <c r="B171" s="1577">
        <v>201603</v>
      </c>
      <c r="C171" s="326" t="s">
        <v>458</v>
      </c>
      <c r="D171" s="327" t="s">
        <v>1101</v>
      </c>
      <c r="E171" s="327" t="s">
        <v>1162</v>
      </c>
      <c r="F171" s="459">
        <v>381.36399999999998</v>
      </c>
      <c r="G171" s="339">
        <v>228.762</v>
      </c>
      <c r="H171" s="337">
        <v>245.959</v>
      </c>
      <c r="I171" s="331">
        <v>6</v>
      </c>
      <c r="J171" s="577">
        <v>0.108108</v>
      </c>
      <c r="K171" s="579">
        <v>17.597076923076997</v>
      </c>
      <c r="L171" s="436">
        <v>2.1666669999999999</v>
      </c>
      <c r="M171" s="42" t="s">
        <v>227</v>
      </c>
      <c r="N171" s="334">
        <v>58</v>
      </c>
      <c r="O171" s="335">
        <v>37</v>
      </c>
      <c r="P171" s="335">
        <v>20</v>
      </c>
      <c r="Q171" s="389">
        <v>1</v>
      </c>
      <c r="R171" s="430">
        <v>14</v>
      </c>
      <c r="S171" s="339">
        <v>8</v>
      </c>
      <c r="T171" s="362">
        <v>11</v>
      </c>
      <c r="U171" s="337">
        <v>7</v>
      </c>
      <c r="V171" s="338">
        <v>0.33333333333333331</v>
      </c>
    </row>
    <row r="172" spans="2:22" ht="13.5">
      <c r="B172" s="1577">
        <v>201603</v>
      </c>
      <c r="C172" s="324" t="s">
        <v>458</v>
      </c>
      <c r="D172" s="325" t="s">
        <v>1102</v>
      </c>
      <c r="E172" s="325" t="s">
        <v>1163</v>
      </c>
      <c r="F172" s="460">
        <v>882.03799999999978</v>
      </c>
      <c r="G172" s="92">
        <v>501.92099999999999</v>
      </c>
      <c r="H172" s="279">
        <v>493.98200000000003</v>
      </c>
      <c r="I172" s="154">
        <v>16</v>
      </c>
      <c r="J172" s="576">
        <v>0.118519</v>
      </c>
      <c r="K172" s="578">
        <v>19.304653846154</v>
      </c>
      <c r="L172" s="437">
        <v>1.625</v>
      </c>
      <c r="M172" s="42" t="s">
        <v>227</v>
      </c>
      <c r="N172" s="47">
        <v>133</v>
      </c>
      <c r="O172" s="45">
        <v>102</v>
      </c>
      <c r="P172" s="45">
        <v>28</v>
      </c>
      <c r="Q172" s="388">
        <v>3</v>
      </c>
      <c r="R172" s="429">
        <v>17</v>
      </c>
      <c r="S172" s="92"/>
      <c r="T172" s="361">
        <v>13</v>
      </c>
      <c r="U172" s="285">
        <v>4</v>
      </c>
      <c r="V172" s="438">
        <v>0.12903225806451613</v>
      </c>
    </row>
    <row r="173" spans="2:22" ht="13.5">
      <c r="B173" s="1577">
        <v>201603</v>
      </c>
      <c r="C173" s="326" t="s">
        <v>458</v>
      </c>
      <c r="D173" s="327" t="s">
        <v>628</v>
      </c>
      <c r="E173" s="327" t="s">
        <v>629</v>
      </c>
      <c r="F173" s="459">
        <v>361.20499999999993</v>
      </c>
      <c r="G173" s="339">
        <v>247.85400000000001</v>
      </c>
      <c r="H173" s="337">
        <v>254.667</v>
      </c>
      <c r="I173" s="331">
        <v>9</v>
      </c>
      <c r="J173" s="577">
        <v>0.16822400000000001</v>
      </c>
      <c r="K173" s="579">
        <v>17.703857142857</v>
      </c>
      <c r="L173" s="436">
        <v>1.5555559999999999</v>
      </c>
      <c r="M173" s="42" t="s">
        <v>227</v>
      </c>
      <c r="N173" s="334">
        <v>55</v>
      </c>
      <c r="O173" s="335">
        <v>34</v>
      </c>
      <c r="P173" s="335">
        <v>10</v>
      </c>
      <c r="Q173" s="389">
        <v>11</v>
      </c>
      <c r="R173" s="430">
        <v>2</v>
      </c>
      <c r="S173" s="339"/>
      <c r="T173" s="362">
        <v>5</v>
      </c>
      <c r="U173" s="337">
        <v>4</v>
      </c>
      <c r="V173" s="338">
        <v>0.19047619047619047</v>
      </c>
    </row>
    <row r="174" spans="2:22" ht="13.5">
      <c r="B174" s="1577">
        <v>201603</v>
      </c>
      <c r="C174" s="324" t="s">
        <v>458</v>
      </c>
      <c r="D174" s="325" t="s">
        <v>47</v>
      </c>
      <c r="E174" s="325" t="s">
        <v>17</v>
      </c>
      <c r="F174" s="460">
        <v>1390.1509999999994</v>
      </c>
      <c r="G174" s="92">
        <v>379.84500000000003</v>
      </c>
      <c r="H174" s="279">
        <v>409.86399999999998</v>
      </c>
      <c r="I174" s="154">
        <v>11</v>
      </c>
      <c r="J174" s="576">
        <v>0.24719099999999999</v>
      </c>
      <c r="K174" s="578">
        <v>15.1938</v>
      </c>
      <c r="L174" s="437">
        <v>2.2727270000000002</v>
      </c>
      <c r="M174" s="42" t="s">
        <v>227</v>
      </c>
      <c r="N174" s="47">
        <v>46</v>
      </c>
      <c r="O174" s="45">
        <v>34</v>
      </c>
      <c r="P174" s="45">
        <v>10</v>
      </c>
      <c r="Q174" s="388">
        <v>2</v>
      </c>
      <c r="R174" s="429">
        <v>1</v>
      </c>
      <c r="S174" s="92"/>
      <c r="T174" s="361">
        <v>4</v>
      </c>
      <c r="U174" s="285">
        <v>2</v>
      </c>
      <c r="V174" s="438">
        <v>0.16666666666666666</v>
      </c>
    </row>
    <row r="175" spans="2:22" ht="13.5">
      <c r="B175" s="1577">
        <v>201603</v>
      </c>
      <c r="C175" s="326" t="s">
        <v>458</v>
      </c>
      <c r="D175" s="327" t="s">
        <v>736</v>
      </c>
      <c r="E175" s="327" t="s">
        <v>697</v>
      </c>
      <c r="F175" s="459">
        <v>2728.5439999999944</v>
      </c>
      <c r="G175" s="339">
        <v>1300.4259999999999</v>
      </c>
      <c r="H175" s="337">
        <v>1209.99</v>
      </c>
      <c r="I175" s="331">
        <v>25</v>
      </c>
      <c r="J175" s="577">
        <v>0.27933000000000002</v>
      </c>
      <c r="K175" s="579">
        <v>25.498549019607999</v>
      </c>
      <c r="L175" s="436">
        <v>2.04</v>
      </c>
      <c r="M175" s="42" t="s">
        <v>227</v>
      </c>
      <c r="N175" s="334">
        <v>98</v>
      </c>
      <c r="O175" s="335">
        <v>73</v>
      </c>
      <c r="P175" s="335">
        <v>18</v>
      </c>
      <c r="Q175" s="389">
        <v>7</v>
      </c>
      <c r="R175" s="430">
        <v>3</v>
      </c>
      <c r="S175" s="339">
        <v>2</v>
      </c>
      <c r="T175" s="362">
        <v>16</v>
      </c>
      <c r="U175" s="337">
        <v>8</v>
      </c>
      <c r="V175" s="338">
        <v>0.32</v>
      </c>
    </row>
    <row r="176" spans="2:22" ht="13.5">
      <c r="B176" s="1577">
        <v>201603</v>
      </c>
      <c r="C176" s="324" t="s">
        <v>458</v>
      </c>
      <c r="D176" s="325" t="s">
        <v>2658</v>
      </c>
      <c r="E176" s="325" t="s">
        <v>2705</v>
      </c>
      <c r="F176" s="460">
        <v>158.37100000000001</v>
      </c>
      <c r="G176" s="92">
        <v>193.87700000000001</v>
      </c>
      <c r="H176" s="279">
        <v>158.37100000000001</v>
      </c>
      <c r="I176" s="154">
        <v>8</v>
      </c>
      <c r="J176" s="576">
        <v>1.066667</v>
      </c>
      <c r="K176" s="578">
        <v>16.156416666666999</v>
      </c>
      <c r="L176" s="437">
        <v>1.5</v>
      </c>
      <c r="M176" s="42" t="s">
        <v>227</v>
      </c>
      <c r="N176" s="47">
        <v>15</v>
      </c>
      <c r="O176" s="45">
        <v>10</v>
      </c>
      <c r="P176" s="45">
        <v>5</v>
      </c>
      <c r="Q176" s="388">
        <v>0</v>
      </c>
      <c r="R176" s="429">
        <v>0</v>
      </c>
      <c r="S176" s="92">
        <v>5</v>
      </c>
      <c r="T176" s="361">
        <v>10</v>
      </c>
      <c r="U176" s="285">
        <v>5</v>
      </c>
      <c r="V176" s="438">
        <v>1</v>
      </c>
    </row>
    <row r="177" spans="2:22" ht="13.5">
      <c r="B177" s="1577">
        <v>201603</v>
      </c>
      <c r="C177" s="326" t="s">
        <v>458</v>
      </c>
      <c r="D177" s="327" t="s">
        <v>796</v>
      </c>
      <c r="E177" s="327" t="s">
        <v>797</v>
      </c>
      <c r="F177" s="459">
        <v>720.48000000000013</v>
      </c>
      <c r="G177" s="339">
        <v>387.30799999999999</v>
      </c>
      <c r="H177" s="337">
        <v>439.428</v>
      </c>
      <c r="I177" s="331">
        <v>12</v>
      </c>
      <c r="J177" s="577">
        <v>0.25806499999999999</v>
      </c>
      <c r="K177" s="579">
        <v>21.517111111110999</v>
      </c>
      <c r="L177" s="436">
        <v>1.5</v>
      </c>
      <c r="M177" s="42" t="s">
        <v>227</v>
      </c>
      <c r="N177" s="334">
        <v>46</v>
      </c>
      <c r="O177" s="335">
        <v>32</v>
      </c>
      <c r="P177" s="335">
        <v>13</v>
      </c>
      <c r="Q177" s="389">
        <v>1</v>
      </c>
      <c r="R177" s="430">
        <v>6</v>
      </c>
      <c r="S177" s="339">
        <v>1</v>
      </c>
      <c r="T177" s="362">
        <v>4</v>
      </c>
      <c r="U177" s="337">
        <v>2</v>
      </c>
      <c r="V177" s="338">
        <v>0.14285714285714285</v>
      </c>
    </row>
    <row r="178" spans="2:22" ht="13.5">
      <c r="B178" s="1577">
        <v>201603</v>
      </c>
      <c r="C178" s="324" t="s">
        <v>458</v>
      </c>
      <c r="D178" s="325" t="s">
        <v>2659</v>
      </c>
      <c r="E178" s="325" t="s">
        <v>2706</v>
      </c>
      <c r="F178" s="460">
        <v>226.22900000000004</v>
      </c>
      <c r="G178" s="92">
        <v>387.08699999999999</v>
      </c>
      <c r="H178" s="279">
        <v>226.22900000000001</v>
      </c>
      <c r="I178" s="154">
        <v>8</v>
      </c>
      <c r="J178" s="576">
        <v>0.94117600000000001</v>
      </c>
      <c r="K178" s="578">
        <v>20.373000000000001</v>
      </c>
      <c r="L178" s="437">
        <v>2.375</v>
      </c>
      <c r="M178" s="42" t="s">
        <v>227</v>
      </c>
      <c r="N178" s="47">
        <v>17</v>
      </c>
      <c r="O178" s="45">
        <v>11</v>
      </c>
      <c r="P178" s="45">
        <v>6</v>
      </c>
      <c r="Q178" s="388">
        <v>0</v>
      </c>
      <c r="R178" s="429">
        <v>0</v>
      </c>
      <c r="S178" s="92">
        <v>6</v>
      </c>
      <c r="T178" s="361">
        <v>11</v>
      </c>
      <c r="U178" s="285">
        <v>5</v>
      </c>
      <c r="V178" s="438">
        <v>0.83333333333333337</v>
      </c>
    </row>
    <row r="179" spans="2:22" ht="13.5">
      <c r="B179" s="1577">
        <v>201603</v>
      </c>
      <c r="C179" s="326" t="s">
        <v>458</v>
      </c>
      <c r="D179" s="327" t="s">
        <v>1418</v>
      </c>
      <c r="E179" s="327" t="s">
        <v>1771</v>
      </c>
      <c r="F179" s="459">
        <v>455.37199999999996</v>
      </c>
      <c r="G179" s="339">
        <v>242.18299999999999</v>
      </c>
      <c r="H179" s="337">
        <v>271.88499999999999</v>
      </c>
      <c r="I179" s="331">
        <v>4</v>
      </c>
      <c r="J179" s="577">
        <v>5.1612999999999999E-2</v>
      </c>
      <c r="K179" s="579">
        <v>30.272874999999999</v>
      </c>
      <c r="L179" s="436">
        <v>2</v>
      </c>
      <c r="M179" s="42" t="s">
        <v>227</v>
      </c>
      <c r="N179" s="334">
        <v>68</v>
      </c>
      <c r="O179" s="335">
        <v>48</v>
      </c>
      <c r="P179" s="335">
        <v>19</v>
      </c>
      <c r="Q179" s="389">
        <v>1</v>
      </c>
      <c r="R179" s="430">
        <v>25</v>
      </c>
      <c r="S179" s="339">
        <v>1</v>
      </c>
      <c r="T179" s="362">
        <v>5</v>
      </c>
      <c r="U179" s="337">
        <v>3</v>
      </c>
      <c r="V179" s="338">
        <v>0.15</v>
      </c>
    </row>
    <row r="180" spans="2:22" ht="13.5">
      <c r="B180" s="1577">
        <v>201603</v>
      </c>
      <c r="C180" s="324" t="s">
        <v>458</v>
      </c>
      <c r="D180" s="325" t="s">
        <v>2660</v>
      </c>
      <c r="E180" s="325" t="s">
        <v>2707</v>
      </c>
      <c r="F180" s="460">
        <v>66.430000000000007</v>
      </c>
      <c r="G180" s="92">
        <v>66.430000000000007</v>
      </c>
      <c r="H180" s="279">
        <v>66.430000000000007</v>
      </c>
      <c r="I180" s="154">
        <v>2</v>
      </c>
      <c r="J180" s="576">
        <v>0.44444400000000001</v>
      </c>
      <c r="K180" s="578">
        <v>33.215000000000003</v>
      </c>
      <c r="L180" s="437">
        <v>1</v>
      </c>
      <c r="M180" s="42" t="s">
        <v>227</v>
      </c>
      <c r="N180" s="47">
        <v>9</v>
      </c>
      <c r="O180" s="45">
        <v>6</v>
      </c>
      <c r="P180" s="45">
        <v>3</v>
      </c>
      <c r="Q180" s="388">
        <v>0</v>
      </c>
      <c r="R180" s="429">
        <v>0</v>
      </c>
      <c r="S180" s="92">
        <v>3</v>
      </c>
      <c r="T180" s="361">
        <v>5</v>
      </c>
      <c r="U180" s="285">
        <v>2</v>
      </c>
      <c r="V180" s="438">
        <v>0.66666666666666663</v>
      </c>
    </row>
    <row r="181" spans="2:22" ht="13.5">
      <c r="B181" s="1577">
        <v>201603</v>
      </c>
      <c r="C181" s="326" t="s">
        <v>458</v>
      </c>
      <c r="D181" s="327" t="s">
        <v>1669</v>
      </c>
      <c r="E181" s="327" t="s">
        <v>1670</v>
      </c>
      <c r="F181" s="459">
        <v>532.94000000000005</v>
      </c>
      <c r="G181" s="339">
        <v>388.56700000000001</v>
      </c>
      <c r="H181" s="337">
        <v>331.5</v>
      </c>
      <c r="I181" s="331">
        <v>16</v>
      </c>
      <c r="J181" s="577">
        <v>0.21768699999999999</v>
      </c>
      <c r="K181" s="579">
        <v>12.952233333333</v>
      </c>
      <c r="L181" s="436">
        <v>1.875</v>
      </c>
      <c r="M181" s="42" t="s">
        <v>227</v>
      </c>
      <c r="N181" s="334">
        <v>70</v>
      </c>
      <c r="O181" s="335">
        <v>51</v>
      </c>
      <c r="P181" s="335">
        <v>14</v>
      </c>
      <c r="Q181" s="389">
        <v>5</v>
      </c>
      <c r="R181" s="430">
        <v>13</v>
      </c>
      <c r="S181" s="339"/>
      <c r="T181" s="362">
        <v>6</v>
      </c>
      <c r="U181" s="337">
        <v>4</v>
      </c>
      <c r="V181" s="338">
        <v>0.21052631578947367</v>
      </c>
    </row>
    <row r="182" spans="2:22" ht="13.5">
      <c r="B182" s="1577">
        <v>201603</v>
      </c>
      <c r="C182" s="324" t="s">
        <v>458</v>
      </c>
      <c r="D182" s="325" t="s">
        <v>630</v>
      </c>
      <c r="E182" s="325" t="s">
        <v>483</v>
      </c>
      <c r="F182" s="460">
        <v>111.14800000000002</v>
      </c>
      <c r="G182" s="92">
        <v>0</v>
      </c>
      <c r="H182" s="279">
        <v>0</v>
      </c>
      <c r="I182" s="154">
        <v>0</v>
      </c>
      <c r="J182" s="576">
        <v>0</v>
      </c>
      <c r="K182" s="578">
        <v>0</v>
      </c>
      <c r="L182" s="437">
        <v>0</v>
      </c>
      <c r="M182" s="42" t="s">
        <v>227</v>
      </c>
      <c r="N182" s="47">
        <v>0</v>
      </c>
      <c r="O182" s="45">
        <v>0</v>
      </c>
      <c r="P182" s="45">
        <v>0</v>
      </c>
      <c r="Q182" s="388">
        <v>0</v>
      </c>
      <c r="R182" s="429">
        <v>0</v>
      </c>
      <c r="S182" s="92"/>
      <c r="T182" s="361"/>
      <c r="U182" s="285"/>
      <c r="V182" s="438"/>
    </row>
    <row r="183" spans="2:22" ht="13.5">
      <c r="B183" s="1577">
        <v>201603</v>
      </c>
      <c r="C183" s="326" t="s">
        <v>458</v>
      </c>
      <c r="D183" s="327" t="s">
        <v>905</v>
      </c>
      <c r="E183" s="327" t="s">
        <v>906</v>
      </c>
      <c r="F183" s="459">
        <v>532.79799999999977</v>
      </c>
      <c r="G183" s="339">
        <v>286.67500000000001</v>
      </c>
      <c r="H183" s="337">
        <v>244.10300000000001</v>
      </c>
      <c r="I183" s="331">
        <v>7</v>
      </c>
      <c r="J183" s="577">
        <v>0.127273</v>
      </c>
      <c r="K183" s="579">
        <v>15.088157894737</v>
      </c>
      <c r="L183" s="436">
        <v>2.714286</v>
      </c>
      <c r="M183" s="42" t="s">
        <v>227</v>
      </c>
      <c r="N183" s="334">
        <v>55</v>
      </c>
      <c r="O183" s="335">
        <v>39</v>
      </c>
      <c r="P183" s="335">
        <v>13</v>
      </c>
      <c r="Q183" s="389">
        <v>3</v>
      </c>
      <c r="R183" s="430">
        <v>0</v>
      </c>
      <c r="S183" s="339"/>
      <c r="T183" s="362"/>
      <c r="U183" s="337"/>
      <c r="V183" s="338"/>
    </row>
    <row r="184" spans="2:22" ht="13.5">
      <c r="B184" s="1577">
        <v>201603</v>
      </c>
      <c r="C184" s="324" t="s">
        <v>458</v>
      </c>
      <c r="D184" s="325" t="s">
        <v>648</v>
      </c>
      <c r="E184" s="325" t="s">
        <v>644</v>
      </c>
      <c r="F184" s="460">
        <v>607.68840000000034</v>
      </c>
      <c r="G184" s="92">
        <v>317.12200000000001</v>
      </c>
      <c r="H184" s="279">
        <v>334.54469999999998</v>
      </c>
      <c r="I184" s="154">
        <v>10</v>
      </c>
      <c r="J184" s="576">
        <v>0.17543900000000001</v>
      </c>
      <c r="K184" s="578">
        <v>17.617888888888999</v>
      </c>
      <c r="L184" s="437">
        <v>1.8</v>
      </c>
      <c r="M184" s="42" t="s">
        <v>227</v>
      </c>
      <c r="N184" s="47">
        <v>59</v>
      </c>
      <c r="O184" s="45">
        <v>41</v>
      </c>
      <c r="P184" s="45">
        <v>16</v>
      </c>
      <c r="Q184" s="388">
        <v>2</v>
      </c>
      <c r="R184" s="429">
        <v>7</v>
      </c>
      <c r="S184" s="92">
        <v>2</v>
      </c>
      <c r="T184" s="361">
        <v>9</v>
      </c>
      <c r="U184" s="285">
        <v>7</v>
      </c>
      <c r="V184" s="438">
        <v>0.3888888888888889</v>
      </c>
    </row>
    <row r="185" spans="2:22" ht="13.5">
      <c r="B185" s="1577">
        <v>201603</v>
      </c>
      <c r="C185" s="326" t="s">
        <v>459</v>
      </c>
      <c r="D185" s="327" t="s">
        <v>1100</v>
      </c>
      <c r="E185" s="327" t="s">
        <v>1774</v>
      </c>
      <c r="F185" s="459">
        <v>1006.5600000000002</v>
      </c>
      <c r="G185" s="339">
        <v>480.72500000000002</v>
      </c>
      <c r="H185" s="337">
        <v>487.24400000000003</v>
      </c>
      <c r="I185" s="331">
        <v>24</v>
      </c>
      <c r="J185" s="577">
        <v>0.19672100000000001</v>
      </c>
      <c r="K185" s="579">
        <v>13.734999999999999</v>
      </c>
      <c r="L185" s="436">
        <v>1.4583330000000001</v>
      </c>
      <c r="M185" s="42" t="s">
        <v>227</v>
      </c>
      <c r="N185" s="334">
        <v>121</v>
      </c>
      <c r="O185" s="335">
        <v>95</v>
      </c>
      <c r="P185" s="335">
        <v>19</v>
      </c>
      <c r="Q185" s="389">
        <v>7</v>
      </c>
      <c r="R185" s="430">
        <v>22</v>
      </c>
      <c r="S185" s="339">
        <v>1</v>
      </c>
      <c r="T185" s="362">
        <v>19</v>
      </c>
      <c r="U185" s="337">
        <v>8</v>
      </c>
      <c r="V185" s="338">
        <v>0.30769230769230771</v>
      </c>
    </row>
    <row r="186" spans="2:22" ht="13.5">
      <c r="B186" s="1577">
        <v>201603</v>
      </c>
      <c r="C186" s="324" t="s">
        <v>459</v>
      </c>
      <c r="D186" s="325" t="s">
        <v>1419</v>
      </c>
      <c r="E186" s="325" t="s">
        <v>1420</v>
      </c>
      <c r="F186" s="460">
        <v>931.524</v>
      </c>
      <c r="G186" s="92">
        <v>642.64099999999996</v>
      </c>
      <c r="H186" s="279">
        <v>638.92399999999998</v>
      </c>
      <c r="I186" s="154">
        <v>29</v>
      </c>
      <c r="J186" s="576">
        <v>0.25550699999999998</v>
      </c>
      <c r="K186" s="578">
        <v>13.115122448979999</v>
      </c>
      <c r="L186" s="437">
        <v>1.6896549999999999</v>
      </c>
      <c r="M186" s="42" t="s">
        <v>227</v>
      </c>
      <c r="N186" s="47">
        <v>112</v>
      </c>
      <c r="O186" s="45">
        <v>87</v>
      </c>
      <c r="P186" s="45">
        <v>18</v>
      </c>
      <c r="Q186" s="388">
        <v>7</v>
      </c>
      <c r="R186" s="429">
        <v>15</v>
      </c>
      <c r="S186" s="92"/>
      <c r="T186" s="361">
        <v>12</v>
      </c>
      <c r="U186" s="285">
        <v>8</v>
      </c>
      <c r="V186" s="438">
        <v>0.32</v>
      </c>
    </row>
    <row r="187" spans="2:22" ht="13.5">
      <c r="B187" s="1577">
        <v>201603</v>
      </c>
      <c r="C187" s="326" t="s">
        <v>459</v>
      </c>
      <c r="D187" s="327" t="s">
        <v>1103</v>
      </c>
      <c r="E187" s="327" t="s">
        <v>1161</v>
      </c>
      <c r="F187" s="459">
        <v>425.25999999999993</v>
      </c>
      <c r="G187" s="339">
        <v>222.589</v>
      </c>
      <c r="H187" s="337">
        <v>222.589</v>
      </c>
      <c r="I187" s="331">
        <v>12</v>
      </c>
      <c r="J187" s="577">
        <v>0.20869599999999999</v>
      </c>
      <c r="K187" s="579">
        <v>13.093470588235</v>
      </c>
      <c r="L187" s="436">
        <v>1.4166669999999999</v>
      </c>
      <c r="M187" s="42" t="s">
        <v>227</v>
      </c>
      <c r="N187" s="334">
        <v>60</v>
      </c>
      <c r="O187" s="335">
        <v>42</v>
      </c>
      <c r="P187" s="335">
        <v>14</v>
      </c>
      <c r="Q187" s="389">
        <v>4</v>
      </c>
      <c r="R187" s="430">
        <v>0</v>
      </c>
      <c r="S187" s="339">
        <v>1</v>
      </c>
      <c r="T187" s="362">
        <v>4</v>
      </c>
      <c r="U187" s="337">
        <v>3</v>
      </c>
      <c r="V187" s="338">
        <v>0.16666666666666666</v>
      </c>
    </row>
    <row r="188" spans="2:22" ht="13.5">
      <c r="B188" s="1577">
        <v>201603</v>
      </c>
      <c r="C188" s="324" t="s">
        <v>459</v>
      </c>
      <c r="D188" s="325" t="s">
        <v>661</v>
      </c>
      <c r="E188" s="325" t="s">
        <v>1950</v>
      </c>
      <c r="F188" s="460">
        <v>523.79399999999998</v>
      </c>
      <c r="G188" s="92">
        <v>238.536</v>
      </c>
      <c r="H188" s="279">
        <v>252.74100000000001</v>
      </c>
      <c r="I188" s="154">
        <v>8</v>
      </c>
      <c r="J188" s="576">
        <v>0.24615400000000001</v>
      </c>
      <c r="K188" s="578">
        <v>14.031529411765</v>
      </c>
      <c r="L188" s="437">
        <v>2.125</v>
      </c>
      <c r="M188" s="42" t="s">
        <v>227</v>
      </c>
      <c r="N188" s="47">
        <v>33</v>
      </c>
      <c r="O188" s="45">
        <v>23</v>
      </c>
      <c r="P188" s="45">
        <v>8</v>
      </c>
      <c r="Q188" s="388">
        <v>2</v>
      </c>
      <c r="R188" s="429">
        <v>5</v>
      </c>
      <c r="S188" s="92"/>
      <c r="T188" s="361">
        <v>6</v>
      </c>
      <c r="U188" s="285">
        <v>3</v>
      </c>
      <c r="V188" s="438">
        <v>0.3</v>
      </c>
    </row>
    <row r="189" spans="2:22" ht="13.5">
      <c r="B189" s="1577">
        <v>201603</v>
      </c>
      <c r="C189" s="326" t="s">
        <v>459</v>
      </c>
      <c r="D189" s="327" t="s">
        <v>179</v>
      </c>
      <c r="E189" s="327" t="s">
        <v>191</v>
      </c>
      <c r="F189" s="459">
        <v>3144.623</v>
      </c>
      <c r="G189" s="339">
        <v>1811.2639999999999</v>
      </c>
      <c r="H189" s="337">
        <v>1750.4960000000001</v>
      </c>
      <c r="I189" s="331">
        <v>73</v>
      </c>
      <c r="J189" s="577">
        <v>0.51773000000000002</v>
      </c>
      <c r="K189" s="579">
        <v>15.349694915254</v>
      </c>
      <c r="L189" s="436">
        <v>1.616438</v>
      </c>
      <c r="M189" s="42" t="s">
        <v>227</v>
      </c>
      <c r="N189" s="334">
        <v>139</v>
      </c>
      <c r="O189" s="335">
        <v>94</v>
      </c>
      <c r="P189" s="335">
        <v>41</v>
      </c>
      <c r="Q189" s="389">
        <v>4</v>
      </c>
      <c r="R189" s="430">
        <v>17</v>
      </c>
      <c r="S189" s="339"/>
      <c r="T189" s="362">
        <v>12</v>
      </c>
      <c r="U189" s="337">
        <v>8</v>
      </c>
      <c r="V189" s="338">
        <v>0.17777777777777778</v>
      </c>
    </row>
    <row r="190" spans="2:22" ht="13.5">
      <c r="B190" s="1577">
        <v>201603</v>
      </c>
      <c r="C190" s="324" t="s">
        <v>459</v>
      </c>
      <c r="D190" s="325" t="s">
        <v>659</v>
      </c>
      <c r="E190" s="325" t="s">
        <v>655</v>
      </c>
      <c r="F190" s="460">
        <v>2169.8959999999993</v>
      </c>
      <c r="G190" s="92">
        <v>1299.336</v>
      </c>
      <c r="H190" s="279">
        <v>1085.3409999999999</v>
      </c>
      <c r="I190" s="154">
        <v>30</v>
      </c>
      <c r="J190" s="576">
        <v>0.301508</v>
      </c>
      <c r="K190" s="578">
        <v>19.686909090909001</v>
      </c>
      <c r="L190" s="437">
        <v>2.2000000000000002</v>
      </c>
      <c r="M190" s="42" t="s">
        <v>227</v>
      </c>
      <c r="N190" s="47">
        <v>110</v>
      </c>
      <c r="O190" s="45">
        <v>85</v>
      </c>
      <c r="P190" s="45">
        <v>22</v>
      </c>
      <c r="Q190" s="388">
        <v>3</v>
      </c>
      <c r="R190" s="429">
        <v>0</v>
      </c>
      <c r="S190" s="92">
        <v>1</v>
      </c>
      <c r="T190" s="361">
        <v>18</v>
      </c>
      <c r="U190" s="285">
        <v>13</v>
      </c>
      <c r="V190" s="438">
        <v>0.52</v>
      </c>
    </row>
    <row r="191" spans="2:22" ht="13.5">
      <c r="B191" s="1577">
        <v>201603</v>
      </c>
      <c r="C191" s="326" t="s">
        <v>459</v>
      </c>
      <c r="D191" s="327" t="s">
        <v>699</v>
      </c>
      <c r="E191" s="327" t="s">
        <v>698</v>
      </c>
      <c r="F191" s="459">
        <v>542.83699999999999</v>
      </c>
      <c r="G191" s="339">
        <v>101.02</v>
      </c>
      <c r="H191" s="337">
        <v>90.72</v>
      </c>
      <c r="I191" s="331">
        <v>4</v>
      </c>
      <c r="J191" s="577">
        <v>0.137931</v>
      </c>
      <c r="K191" s="579">
        <v>20.204000000000001</v>
      </c>
      <c r="L191" s="436">
        <v>1.25</v>
      </c>
      <c r="M191" s="42" t="s">
        <v>227</v>
      </c>
      <c r="N191" s="334">
        <v>29</v>
      </c>
      <c r="O191" s="335">
        <v>22</v>
      </c>
      <c r="P191" s="335">
        <v>4</v>
      </c>
      <c r="Q191" s="389">
        <v>3</v>
      </c>
      <c r="R191" s="430">
        <v>2</v>
      </c>
      <c r="S191" s="339"/>
      <c r="T191" s="362">
        <v>1</v>
      </c>
      <c r="U191" s="337">
        <v>1</v>
      </c>
      <c r="V191" s="338">
        <v>0.14285714285714285</v>
      </c>
    </row>
    <row r="192" spans="2:22" ht="13.5">
      <c r="B192" s="1577">
        <v>201603</v>
      </c>
      <c r="C192" s="324" t="s">
        <v>459</v>
      </c>
      <c r="D192" s="325" t="s">
        <v>2708</v>
      </c>
      <c r="E192" s="325" t="s">
        <v>2709</v>
      </c>
      <c r="F192" s="460">
        <v>37.866</v>
      </c>
      <c r="G192" s="92">
        <v>37.866</v>
      </c>
      <c r="H192" s="279">
        <v>37.866</v>
      </c>
      <c r="I192" s="154">
        <v>3</v>
      </c>
      <c r="J192" s="576">
        <v>0.54545500000000002</v>
      </c>
      <c r="K192" s="578">
        <v>12.622</v>
      </c>
      <c r="L192" s="437">
        <v>1</v>
      </c>
      <c r="M192" s="42" t="s">
        <v>227</v>
      </c>
      <c r="N192" s="47">
        <v>11</v>
      </c>
      <c r="O192" s="45">
        <v>5</v>
      </c>
      <c r="P192" s="45">
        <v>6</v>
      </c>
      <c r="Q192" s="388">
        <v>0</v>
      </c>
      <c r="R192" s="429">
        <v>0</v>
      </c>
      <c r="S192" s="92">
        <v>6</v>
      </c>
      <c r="T192" s="361">
        <v>5</v>
      </c>
      <c r="U192" s="285">
        <v>2</v>
      </c>
      <c r="V192" s="438">
        <v>0.33333333333333331</v>
      </c>
    </row>
    <row r="193" spans="2:22" ht="13.5">
      <c r="B193" s="1577">
        <v>201603</v>
      </c>
      <c r="C193" s="326" t="s">
        <v>459</v>
      </c>
      <c r="D193" s="327" t="s">
        <v>1015</v>
      </c>
      <c r="E193" s="327" t="s">
        <v>1348</v>
      </c>
      <c r="F193" s="459">
        <v>949.83399999999972</v>
      </c>
      <c r="G193" s="339">
        <v>544.39499999999998</v>
      </c>
      <c r="H193" s="337">
        <v>533.16300000000001</v>
      </c>
      <c r="I193" s="331">
        <v>21</v>
      </c>
      <c r="J193" s="577">
        <v>0.197183</v>
      </c>
      <c r="K193" s="579">
        <v>11.582872340426</v>
      </c>
      <c r="L193" s="436">
        <v>2.2380949999999999</v>
      </c>
      <c r="M193" s="42" t="s">
        <v>227</v>
      </c>
      <c r="N193" s="334">
        <v>109</v>
      </c>
      <c r="O193" s="335">
        <v>94</v>
      </c>
      <c r="P193" s="335">
        <v>13</v>
      </c>
      <c r="Q193" s="389">
        <v>2</v>
      </c>
      <c r="R193" s="430">
        <v>12</v>
      </c>
      <c r="S193" s="339"/>
      <c r="T193" s="362">
        <v>17</v>
      </c>
      <c r="U193" s="337">
        <v>8</v>
      </c>
      <c r="V193" s="338">
        <v>0.53333333333333333</v>
      </c>
    </row>
    <row r="194" spans="2:22" ht="13.5">
      <c r="B194" s="1577">
        <v>201603</v>
      </c>
      <c r="C194" s="324" t="s">
        <v>459</v>
      </c>
      <c r="D194" s="325" t="s">
        <v>825</v>
      </c>
      <c r="E194" s="325" t="s">
        <v>1773</v>
      </c>
      <c r="F194" s="460">
        <v>1397.902</v>
      </c>
      <c r="G194" s="92">
        <v>626.68299999999999</v>
      </c>
      <c r="H194" s="279">
        <v>635.04200000000003</v>
      </c>
      <c r="I194" s="154">
        <v>31</v>
      </c>
      <c r="J194" s="576">
        <v>0.27802700000000002</v>
      </c>
      <c r="K194" s="578">
        <v>13.333680851064001</v>
      </c>
      <c r="L194" s="437">
        <v>1.5161290000000001</v>
      </c>
      <c r="M194" s="42" t="s">
        <v>227</v>
      </c>
      <c r="N194" s="47">
        <v>117</v>
      </c>
      <c r="O194" s="45">
        <v>83</v>
      </c>
      <c r="P194" s="45">
        <v>31</v>
      </c>
      <c r="Q194" s="388">
        <v>3</v>
      </c>
      <c r="R194" s="429">
        <v>14</v>
      </c>
      <c r="S194" s="92">
        <v>8</v>
      </c>
      <c r="T194" s="361">
        <v>17</v>
      </c>
      <c r="U194" s="285">
        <v>12</v>
      </c>
      <c r="V194" s="438">
        <v>0.35294117647058826</v>
      </c>
    </row>
    <row r="195" spans="2:22" ht="13.5">
      <c r="B195" s="1577">
        <v>201603</v>
      </c>
      <c r="C195" s="326" t="s">
        <v>459</v>
      </c>
      <c r="D195" s="327" t="s">
        <v>185</v>
      </c>
      <c r="E195" s="327" t="s">
        <v>190</v>
      </c>
      <c r="F195" s="459">
        <v>2632.5769999999993</v>
      </c>
      <c r="G195" s="339">
        <v>1572.942</v>
      </c>
      <c r="H195" s="337">
        <v>1554.8530000000001</v>
      </c>
      <c r="I195" s="331">
        <v>46</v>
      </c>
      <c r="J195" s="577">
        <v>0.37398399999999998</v>
      </c>
      <c r="K195" s="579">
        <v>20.427818181818001</v>
      </c>
      <c r="L195" s="436">
        <v>1.673913</v>
      </c>
      <c r="M195" s="42" t="s">
        <v>227</v>
      </c>
      <c r="N195" s="334">
        <v>129</v>
      </c>
      <c r="O195" s="335">
        <v>104</v>
      </c>
      <c r="P195" s="335">
        <v>20</v>
      </c>
      <c r="Q195" s="389">
        <v>5</v>
      </c>
      <c r="R195" s="430">
        <v>8</v>
      </c>
      <c r="S195" s="339">
        <v>1</v>
      </c>
      <c r="T195" s="362">
        <v>19</v>
      </c>
      <c r="U195" s="337">
        <v>10</v>
      </c>
      <c r="V195" s="338">
        <v>0.4</v>
      </c>
    </row>
    <row r="196" spans="2:22" ht="13.5">
      <c r="B196" s="1577">
        <v>201603</v>
      </c>
      <c r="C196" s="324" t="s">
        <v>459</v>
      </c>
      <c r="D196" s="325" t="s">
        <v>660</v>
      </c>
      <c r="E196" s="325" t="s">
        <v>656</v>
      </c>
      <c r="F196" s="460">
        <v>943.05500000000052</v>
      </c>
      <c r="G196" s="92">
        <v>356.32299999999998</v>
      </c>
      <c r="H196" s="279">
        <v>356.32299999999998</v>
      </c>
      <c r="I196" s="154">
        <v>20</v>
      </c>
      <c r="J196" s="576">
        <v>0.16460900000000001</v>
      </c>
      <c r="K196" s="578">
        <v>11.877433333333</v>
      </c>
      <c r="L196" s="437">
        <v>1.5</v>
      </c>
      <c r="M196" s="42" t="s">
        <v>227</v>
      </c>
      <c r="N196" s="47">
        <v>129</v>
      </c>
      <c r="O196" s="45">
        <v>102</v>
      </c>
      <c r="P196" s="45">
        <v>23</v>
      </c>
      <c r="Q196" s="388">
        <v>4</v>
      </c>
      <c r="R196" s="429">
        <v>14</v>
      </c>
      <c r="S196" s="92">
        <v>1</v>
      </c>
      <c r="T196" s="361">
        <v>28</v>
      </c>
      <c r="U196" s="285">
        <v>15</v>
      </c>
      <c r="V196" s="438">
        <v>0.55555555555555558</v>
      </c>
    </row>
    <row r="197" spans="2:22" ht="13.5">
      <c r="B197" s="1577">
        <v>201603</v>
      </c>
      <c r="C197" s="326" t="s">
        <v>459</v>
      </c>
      <c r="D197" s="327" t="s">
        <v>1570</v>
      </c>
      <c r="E197" s="327" t="s">
        <v>1571</v>
      </c>
      <c r="F197" s="459">
        <v>1418.1209999999992</v>
      </c>
      <c r="G197" s="339">
        <v>790.07899999999995</v>
      </c>
      <c r="H197" s="337">
        <v>769.93399999999997</v>
      </c>
      <c r="I197" s="331">
        <v>32</v>
      </c>
      <c r="J197" s="577">
        <v>0.22939100000000001</v>
      </c>
      <c r="K197" s="579">
        <v>14.907150943396001</v>
      </c>
      <c r="L197" s="436">
        <v>1.65625</v>
      </c>
      <c r="M197" s="42" t="s">
        <v>227</v>
      </c>
      <c r="N197" s="334">
        <v>137</v>
      </c>
      <c r="O197" s="335">
        <v>102</v>
      </c>
      <c r="P197" s="335">
        <v>32</v>
      </c>
      <c r="Q197" s="389">
        <v>3</v>
      </c>
      <c r="R197" s="430">
        <v>23</v>
      </c>
      <c r="S197" s="339">
        <v>2</v>
      </c>
      <c r="T197" s="362">
        <v>16</v>
      </c>
      <c r="U197" s="337">
        <v>10</v>
      </c>
      <c r="V197" s="338">
        <v>0.2857142857142857</v>
      </c>
    </row>
    <row r="198" spans="2:22" ht="13.5">
      <c r="B198" s="1577">
        <v>201603</v>
      </c>
      <c r="C198" s="324" t="s">
        <v>459</v>
      </c>
      <c r="D198" s="325" t="s">
        <v>662</v>
      </c>
      <c r="E198" s="325" t="s">
        <v>658</v>
      </c>
      <c r="F198" s="460"/>
      <c r="G198" s="92">
        <v>0</v>
      </c>
      <c r="H198" s="279">
        <v>0</v>
      </c>
      <c r="I198" s="154">
        <v>0</v>
      </c>
      <c r="J198" s="576">
        <v>0</v>
      </c>
      <c r="K198" s="578">
        <v>0</v>
      </c>
      <c r="L198" s="437">
        <v>0</v>
      </c>
      <c r="M198" s="42" t="s">
        <v>227</v>
      </c>
      <c r="N198" s="47">
        <v>0</v>
      </c>
      <c r="O198" s="45">
        <v>0</v>
      </c>
      <c r="P198" s="45">
        <v>0</v>
      </c>
      <c r="Q198" s="388">
        <v>0</v>
      </c>
      <c r="R198" s="429">
        <v>0</v>
      </c>
      <c r="S198" s="92"/>
      <c r="T198" s="361"/>
      <c r="U198" s="285"/>
      <c r="V198" s="438"/>
    </row>
    <row r="199" spans="2:22" ht="13.5">
      <c r="B199" s="1577">
        <v>201603</v>
      </c>
      <c r="C199" s="326" t="s">
        <v>459</v>
      </c>
      <c r="D199" s="327" t="s">
        <v>799</v>
      </c>
      <c r="E199" s="327" t="s">
        <v>800</v>
      </c>
      <c r="F199" s="459">
        <v>1393.0449999999994</v>
      </c>
      <c r="G199" s="339">
        <v>897.54499999999996</v>
      </c>
      <c r="H199" s="337">
        <v>872.58299999999997</v>
      </c>
      <c r="I199" s="331">
        <v>40</v>
      </c>
      <c r="J199" s="577">
        <v>0.38461499999999998</v>
      </c>
      <c r="K199" s="579">
        <v>13.808384615385</v>
      </c>
      <c r="L199" s="436">
        <v>1.625</v>
      </c>
      <c r="M199" s="42" t="s">
        <v>227</v>
      </c>
      <c r="N199" s="334">
        <v>114</v>
      </c>
      <c r="O199" s="335">
        <v>90</v>
      </c>
      <c r="P199" s="335">
        <v>19</v>
      </c>
      <c r="Q199" s="389">
        <v>5</v>
      </c>
      <c r="R199" s="430">
        <v>3</v>
      </c>
      <c r="S199" s="339"/>
      <c r="T199" s="362">
        <v>23</v>
      </c>
      <c r="U199" s="337">
        <v>12</v>
      </c>
      <c r="V199" s="338">
        <v>0.5</v>
      </c>
    </row>
    <row r="200" spans="2:22" ht="13.5">
      <c r="B200" s="1577">
        <v>201603</v>
      </c>
      <c r="C200" s="324" t="s">
        <v>459</v>
      </c>
      <c r="D200" s="325" t="s">
        <v>1567</v>
      </c>
      <c r="E200" s="325" t="s">
        <v>1028</v>
      </c>
      <c r="F200" s="460">
        <v>3048.5690000000009</v>
      </c>
      <c r="G200" s="92">
        <v>1789.7380000000001</v>
      </c>
      <c r="H200" s="279">
        <v>1760.4449999999999</v>
      </c>
      <c r="I200" s="154">
        <v>66</v>
      </c>
      <c r="J200" s="576">
        <v>0.411215</v>
      </c>
      <c r="K200" s="578">
        <v>18.450907216495001</v>
      </c>
      <c r="L200" s="437">
        <v>1.469697</v>
      </c>
      <c r="M200" s="42" t="s">
        <v>227</v>
      </c>
      <c r="N200" s="47">
        <v>173</v>
      </c>
      <c r="O200" s="45">
        <v>128</v>
      </c>
      <c r="P200" s="45">
        <v>38</v>
      </c>
      <c r="Q200" s="388">
        <v>7</v>
      </c>
      <c r="R200" s="429">
        <v>6</v>
      </c>
      <c r="S200" s="92">
        <v>4</v>
      </c>
      <c r="T200" s="361">
        <v>27</v>
      </c>
      <c r="U200" s="285">
        <v>16</v>
      </c>
      <c r="V200" s="438">
        <v>0.35555555555555557</v>
      </c>
    </row>
    <row r="201" spans="2:22" ht="13.5">
      <c r="B201" s="1577">
        <v>201603</v>
      </c>
      <c r="C201" s="326" t="s">
        <v>459</v>
      </c>
      <c r="D201" s="327" t="s">
        <v>177</v>
      </c>
      <c r="E201" s="327" t="s">
        <v>189</v>
      </c>
      <c r="F201" s="459">
        <v>1437.5809999999994</v>
      </c>
      <c r="G201" s="339">
        <v>655.45699999999999</v>
      </c>
      <c r="H201" s="337">
        <v>644.58399999999995</v>
      </c>
      <c r="I201" s="331">
        <v>25</v>
      </c>
      <c r="J201" s="577">
        <v>0.32894699999999999</v>
      </c>
      <c r="K201" s="579">
        <v>19.862333333333002</v>
      </c>
      <c r="L201" s="436">
        <v>1.32</v>
      </c>
      <c r="M201" s="42" t="s">
        <v>227</v>
      </c>
      <c r="N201" s="334">
        <v>76</v>
      </c>
      <c r="O201" s="335">
        <v>55</v>
      </c>
      <c r="P201" s="335">
        <v>19</v>
      </c>
      <c r="Q201" s="389">
        <v>2</v>
      </c>
      <c r="R201" s="430">
        <v>8</v>
      </c>
      <c r="S201" s="339"/>
      <c r="T201" s="362">
        <v>8</v>
      </c>
      <c r="U201" s="337">
        <v>5</v>
      </c>
      <c r="V201" s="338">
        <v>0.23809523809523808</v>
      </c>
    </row>
    <row r="202" spans="2:22" ht="13.5">
      <c r="B202" s="1577">
        <v>201603</v>
      </c>
      <c r="C202" s="324" t="s">
        <v>459</v>
      </c>
      <c r="D202" s="325" t="s">
        <v>1568</v>
      </c>
      <c r="E202" s="325" t="s">
        <v>1569</v>
      </c>
      <c r="F202" s="460">
        <v>2488.48</v>
      </c>
      <c r="G202" s="92">
        <v>1404.0119999999999</v>
      </c>
      <c r="H202" s="279">
        <v>1388.596</v>
      </c>
      <c r="I202" s="154">
        <v>70</v>
      </c>
      <c r="J202" s="576">
        <v>0.33898299999999998</v>
      </c>
      <c r="K202" s="578">
        <v>12.000102564102999</v>
      </c>
      <c r="L202" s="437">
        <v>1.6714290000000001</v>
      </c>
      <c r="M202" s="42" t="s">
        <v>227</v>
      </c>
      <c r="N202" s="47">
        <v>205</v>
      </c>
      <c r="O202" s="45">
        <v>154</v>
      </c>
      <c r="P202" s="45">
        <v>50</v>
      </c>
      <c r="Q202" s="388">
        <v>1</v>
      </c>
      <c r="R202" s="429">
        <v>37</v>
      </c>
      <c r="S202" s="92"/>
      <c r="T202" s="361">
        <v>34</v>
      </c>
      <c r="U202" s="285">
        <v>22</v>
      </c>
      <c r="V202" s="438">
        <v>0.43137254901960786</v>
      </c>
    </row>
    <row r="203" spans="2:22" ht="13.5">
      <c r="B203" s="1577">
        <v>201603</v>
      </c>
      <c r="C203" s="326" t="s">
        <v>459</v>
      </c>
      <c r="D203" s="327" t="s">
        <v>176</v>
      </c>
      <c r="E203" s="327" t="s">
        <v>188</v>
      </c>
      <c r="F203" s="459">
        <v>2261.411999999998</v>
      </c>
      <c r="G203" s="339">
        <v>1341.242</v>
      </c>
      <c r="H203" s="337">
        <v>1343.6089999999999</v>
      </c>
      <c r="I203" s="331">
        <v>50</v>
      </c>
      <c r="J203" s="577">
        <v>0.238095</v>
      </c>
      <c r="K203" s="579">
        <v>14.738923076922999</v>
      </c>
      <c r="L203" s="436">
        <v>1.82</v>
      </c>
      <c r="M203" s="42" t="s">
        <v>227</v>
      </c>
      <c r="N203" s="334">
        <v>204</v>
      </c>
      <c r="O203" s="335">
        <v>162</v>
      </c>
      <c r="P203" s="335">
        <v>32</v>
      </c>
      <c r="Q203" s="389">
        <v>10</v>
      </c>
      <c r="R203" s="430">
        <v>28</v>
      </c>
      <c r="S203" s="339"/>
      <c r="T203" s="362">
        <v>16</v>
      </c>
      <c r="U203" s="337">
        <v>9</v>
      </c>
      <c r="V203" s="338">
        <v>0.21428571428571427</v>
      </c>
    </row>
    <row r="204" spans="2:22" ht="13.5">
      <c r="B204" s="1577">
        <v>201603</v>
      </c>
      <c r="C204" s="324" t="s">
        <v>459</v>
      </c>
      <c r="D204" s="325" t="s">
        <v>2710</v>
      </c>
      <c r="E204" s="325" t="s">
        <v>2711</v>
      </c>
      <c r="F204" s="460">
        <v>124.366</v>
      </c>
      <c r="G204" s="92">
        <v>124.366</v>
      </c>
      <c r="H204" s="279">
        <v>124.366</v>
      </c>
      <c r="I204" s="154">
        <v>4</v>
      </c>
      <c r="J204" s="576">
        <v>0.66666700000000001</v>
      </c>
      <c r="K204" s="578">
        <v>20.727666666666998</v>
      </c>
      <c r="L204" s="437">
        <v>1.5</v>
      </c>
      <c r="M204" s="42" t="s">
        <v>227</v>
      </c>
      <c r="N204" s="47">
        <v>12</v>
      </c>
      <c r="O204" s="45">
        <v>6</v>
      </c>
      <c r="P204" s="45">
        <v>6</v>
      </c>
      <c r="Q204" s="388">
        <v>0</v>
      </c>
      <c r="R204" s="429">
        <v>0</v>
      </c>
      <c r="S204" s="92">
        <v>5</v>
      </c>
      <c r="T204" s="361">
        <v>6</v>
      </c>
      <c r="U204" s="285">
        <v>2</v>
      </c>
      <c r="V204" s="438">
        <v>0.33333333333333331</v>
      </c>
    </row>
    <row r="205" spans="2:22" ht="13.5">
      <c r="B205" s="1577">
        <v>201603</v>
      </c>
      <c r="C205" s="326" t="s">
        <v>459</v>
      </c>
      <c r="D205" s="327" t="s">
        <v>1572</v>
      </c>
      <c r="E205" s="327" t="s">
        <v>1573</v>
      </c>
      <c r="F205" s="459">
        <v>1262.0340000000001</v>
      </c>
      <c r="G205" s="339">
        <v>561.17499999999995</v>
      </c>
      <c r="H205" s="337">
        <v>625.33199999999999</v>
      </c>
      <c r="I205" s="331">
        <v>24</v>
      </c>
      <c r="J205" s="577">
        <v>0.275862</v>
      </c>
      <c r="K205" s="579">
        <v>17.536718749999999</v>
      </c>
      <c r="L205" s="436">
        <v>1.3333330000000001</v>
      </c>
      <c r="M205" s="42" t="s">
        <v>227</v>
      </c>
      <c r="N205" s="334">
        <v>86</v>
      </c>
      <c r="O205" s="335">
        <v>74</v>
      </c>
      <c r="P205" s="335">
        <v>8</v>
      </c>
      <c r="Q205" s="389">
        <v>4</v>
      </c>
      <c r="R205" s="430">
        <v>17</v>
      </c>
      <c r="S205" s="339"/>
      <c r="T205" s="362">
        <v>15</v>
      </c>
      <c r="U205" s="337">
        <v>5</v>
      </c>
      <c r="V205" s="338">
        <v>0.41666666666666669</v>
      </c>
    </row>
    <row r="206" spans="2:22" ht="13.5">
      <c r="B206" s="1577">
        <v>201603</v>
      </c>
      <c r="C206" s="324" t="s">
        <v>459</v>
      </c>
      <c r="D206" s="325" t="s">
        <v>1104</v>
      </c>
      <c r="E206" s="325" t="s">
        <v>1287</v>
      </c>
      <c r="F206" s="460">
        <v>1570.6419999999989</v>
      </c>
      <c r="G206" s="92">
        <v>859.22900000000004</v>
      </c>
      <c r="H206" s="279">
        <v>849.50099999999998</v>
      </c>
      <c r="I206" s="154">
        <v>43</v>
      </c>
      <c r="J206" s="576">
        <v>0.302817</v>
      </c>
      <c r="K206" s="578">
        <v>11.611202702702998</v>
      </c>
      <c r="L206" s="437">
        <v>1.7209300000000001</v>
      </c>
      <c r="M206" s="42" t="s">
        <v>227</v>
      </c>
      <c r="N206" s="47">
        <v>153</v>
      </c>
      <c r="O206" s="45">
        <v>119</v>
      </c>
      <c r="P206" s="45">
        <v>23</v>
      </c>
      <c r="Q206" s="388">
        <v>11</v>
      </c>
      <c r="R206" s="429">
        <v>9</v>
      </c>
      <c r="S206" s="92">
        <v>1</v>
      </c>
      <c r="T206" s="361">
        <v>30</v>
      </c>
      <c r="U206" s="285">
        <v>12</v>
      </c>
      <c r="V206" s="438">
        <v>0.35294117647058826</v>
      </c>
    </row>
    <row r="207" spans="2:22" ht="13.5">
      <c r="B207" s="1577">
        <v>201603</v>
      </c>
      <c r="C207" s="326" t="s">
        <v>2048</v>
      </c>
      <c r="D207" s="327" t="s">
        <v>2046</v>
      </c>
      <c r="E207" s="327" t="s">
        <v>2054</v>
      </c>
      <c r="F207" s="459">
        <v>1824.309999999999</v>
      </c>
      <c r="G207" s="339">
        <v>1185.201</v>
      </c>
      <c r="H207" s="337">
        <v>1179.587</v>
      </c>
      <c r="I207" s="331">
        <v>48</v>
      </c>
      <c r="J207" s="577">
        <v>0.32107000000000002</v>
      </c>
      <c r="K207" s="579">
        <v>13.781406976744</v>
      </c>
      <c r="L207" s="436">
        <v>1.7916669999999999</v>
      </c>
      <c r="M207" s="42" t="s">
        <v>227</v>
      </c>
      <c r="N207" s="334">
        <v>148</v>
      </c>
      <c r="O207" s="335">
        <v>117</v>
      </c>
      <c r="P207" s="335">
        <v>31</v>
      </c>
      <c r="Q207" s="389">
        <v>0</v>
      </c>
      <c r="R207" s="430">
        <v>27</v>
      </c>
      <c r="S207" s="339">
        <v>2</v>
      </c>
      <c r="T207" s="362">
        <v>22</v>
      </c>
      <c r="U207" s="337">
        <v>11</v>
      </c>
      <c r="V207" s="338">
        <v>0.35483870967741937</v>
      </c>
    </row>
    <row r="208" spans="2:22" ht="13.5">
      <c r="B208" s="1577">
        <v>201602</v>
      </c>
      <c r="C208" s="326" t="s">
        <v>458</v>
      </c>
      <c r="D208" s="327" t="s">
        <v>1563</v>
      </c>
      <c r="E208" s="327" t="s">
        <v>1564</v>
      </c>
      <c r="F208" s="459">
        <v>444.07000000000011</v>
      </c>
      <c r="G208" s="339">
        <v>272.50299999999999</v>
      </c>
      <c r="H208" s="337">
        <v>287.29899999999998</v>
      </c>
      <c r="I208" s="331">
        <v>8</v>
      </c>
      <c r="J208" s="577">
        <v>0.17391300000000001</v>
      </c>
      <c r="K208" s="579">
        <v>20.961769230769001</v>
      </c>
      <c r="L208" s="436">
        <v>1.625</v>
      </c>
      <c r="M208" s="42" t="s">
        <v>227</v>
      </c>
      <c r="N208" s="334">
        <v>48</v>
      </c>
      <c r="O208" s="335">
        <v>36</v>
      </c>
      <c r="P208" s="335">
        <v>7</v>
      </c>
      <c r="Q208" s="389">
        <v>5</v>
      </c>
      <c r="R208" s="430">
        <v>0</v>
      </c>
      <c r="S208" s="339"/>
      <c r="T208" s="362">
        <v>4</v>
      </c>
      <c r="U208" s="337">
        <v>3</v>
      </c>
      <c r="V208" s="338">
        <v>0.25</v>
      </c>
    </row>
    <row r="209" spans="2:22" ht="13.5">
      <c r="B209" s="1577">
        <v>201602</v>
      </c>
      <c r="C209" s="324" t="s">
        <v>458</v>
      </c>
      <c r="D209" s="325" t="s">
        <v>1099</v>
      </c>
      <c r="E209" s="325" t="s">
        <v>1286</v>
      </c>
      <c r="F209" s="460">
        <v>316.43400000000008</v>
      </c>
      <c r="G209" s="92">
        <v>134.042</v>
      </c>
      <c r="H209" s="279">
        <v>106.67</v>
      </c>
      <c r="I209" s="154">
        <v>7</v>
      </c>
      <c r="J209" s="576">
        <v>8.5889999999999994E-2</v>
      </c>
      <c r="K209" s="578">
        <v>14.893555555555999</v>
      </c>
      <c r="L209" s="437">
        <v>1.285714</v>
      </c>
      <c r="M209" s="42" t="s">
        <v>227</v>
      </c>
      <c r="N209" s="47">
        <v>83</v>
      </c>
      <c r="O209" s="45">
        <v>62</v>
      </c>
      <c r="P209" s="45">
        <v>16</v>
      </c>
      <c r="Q209" s="388">
        <v>5</v>
      </c>
      <c r="R209" s="429">
        <v>0</v>
      </c>
      <c r="S209" s="92"/>
      <c r="T209" s="361">
        <v>3</v>
      </c>
      <c r="U209" s="285">
        <v>2</v>
      </c>
      <c r="V209" s="438">
        <v>9.5238095238095233E-2</v>
      </c>
    </row>
    <row r="210" spans="2:22" ht="13.5">
      <c r="B210" s="1577">
        <v>201602</v>
      </c>
      <c r="C210" s="326" t="s">
        <v>458</v>
      </c>
      <c r="D210" s="327" t="s">
        <v>900</v>
      </c>
      <c r="E210" s="327" t="s">
        <v>901</v>
      </c>
      <c r="F210" s="459">
        <v>181.58600000000001</v>
      </c>
      <c r="G210" s="339">
        <v>139.94</v>
      </c>
      <c r="H210" s="337">
        <v>181.387</v>
      </c>
      <c r="I210" s="331">
        <v>14</v>
      </c>
      <c r="J210" s="577">
        <v>0.25925900000000002</v>
      </c>
      <c r="K210" s="579">
        <v>9.9957142857140013</v>
      </c>
      <c r="L210" s="436">
        <v>1</v>
      </c>
      <c r="M210" s="42" t="s">
        <v>227</v>
      </c>
      <c r="N210" s="334">
        <v>54</v>
      </c>
      <c r="O210" s="335">
        <v>39</v>
      </c>
      <c r="P210" s="335">
        <v>13</v>
      </c>
      <c r="Q210" s="389">
        <v>2</v>
      </c>
      <c r="R210" s="430">
        <v>0</v>
      </c>
      <c r="S210" s="339"/>
      <c r="T210" s="362"/>
      <c r="U210" s="337"/>
      <c r="V210" s="338"/>
    </row>
    <row r="211" spans="2:22" ht="13.5">
      <c r="B211" s="1577">
        <v>201602</v>
      </c>
      <c r="C211" s="324" t="s">
        <v>458</v>
      </c>
      <c r="D211" s="325" t="s">
        <v>649</v>
      </c>
      <c r="E211" s="325" t="s">
        <v>645</v>
      </c>
      <c r="F211" s="460">
        <v>243.08200000000008</v>
      </c>
      <c r="G211" s="92">
        <v>84.35</v>
      </c>
      <c r="H211" s="279">
        <v>48.066000000000003</v>
      </c>
      <c r="I211" s="154">
        <v>4</v>
      </c>
      <c r="J211" s="576">
        <v>6.0606E-2</v>
      </c>
      <c r="K211" s="578">
        <v>28.116666666667001</v>
      </c>
      <c r="L211" s="437">
        <v>0.75</v>
      </c>
      <c r="M211" s="42" t="s">
        <v>227</v>
      </c>
      <c r="N211" s="47">
        <v>60</v>
      </c>
      <c r="O211" s="45">
        <v>45</v>
      </c>
      <c r="P211" s="45">
        <v>14</v>
      </c>
      <c r="Q211" s="388">
        <v>1</v>
      </c>
      <c r="R211" s="429">
        <v>12</v>
      </c>
      <c r="S211" s="92"/>
      <c r="T211" s="361"/>
      <c r="U211" s="285"/>
      <c r="V211" s="438"/>
    </row>
    <row r="212" spans="2:22" ht="13.5">
      <c r="B212" s="1577">
        <v>201602</v>
      </c>
      <c r="C212" s="326" t="s">
        <v>458</v>
      </c>
      <c r="D212" s="327" t="s">
        <v>650</v>
      </c>
      <c r="E212" s="327" t="s">
        <v>1777</v>
      </c>
      <c r="F212" s="459">
        <v>89.125999999999976</v>
      </c>
      <c r="G212" s="339">
        <v>33.340000000000003</v>
      </c>
      <c r="H212" s="337">
        <v>50.095999999999997</v>
      </c>
      <c r="I212" s="331">
        <v>2</v>
      </c>
      <c r="J212" s="577">
        <v>6.7796999999999996E-2</v>
      </c>
      <c r="K212" s="579">
        <v>11.113333333333001</v>
      </c>
      <c r="L212" s="436">
        <v>1.5</v>
      </c>
      <c r="M212" s="42" t="s">
        <v>227</v>
      </c>
      <c r="N212" s="334">
        <v>29</v>
      </c>
      <c r="O212" s="335">
        <v>19</v>
      </c>
      <c r="P212" s="335">
        <v>8</v>
      </c>
      <c r="Q212" s="389">
        <v>2</v>
      </c>
      <c r="R212" s="430">
        <v>1</v>
      </c>
      <c r="S212" s="339"/>
      <c r="T212" s="362"/>
      <c r="U212" s="337"/>
      <c r="V212" s="338"/>
    </row>
    <row r="213" spans="2:22" ht="13.5">
      <c r="B213" s="1577">
        <v>201602</v>
      </c>
      <c r="C213" s="324" t="s">
        <v>458</v>
      </c>
      <c r="D213" s="325" t="s">
        <v>902</v>
      </c>
      <c r="E213" s="325" t="s">
        <v>1014</v>
      </c>
      <c r="F213" s="460">
        <v>524.32999999999993</v>
      </c>
      <c r="G213" s="92">
        <v>215.52699999999999</v>
      </c>
      <c r="H213" s="279">
        <v>211.126</v>
      </c>
      <c r="I213" s="154">
        <v>11</v>
      </c>
      <c r="J213" s="576">
        <v>0.122905</v>
      </c>
      <c r="K213" s="578">
        <v>17.960583333333002</v>
      </c>
      <c r="L213" s="437">
        <v>1.0909089999999999</v>
      </c>
      <c r="M213" s="42" t="s">
        <v>227</v>
      </c>
      <c r="N213" s="47">
        <v>89</v>
      </c>
      <c r="O213" s="45">
        <v>66</v>
      </c>
      <c r="P213" s="45">
        <v>21</v>
      </c>
      <c r="Q213" s="388">
        <v>2</v>
      </c>
      <c r="R213" s="429">
        <v>5</v>
      </c>
      <c r="S213" s="92"/>
      <c r="T213" s="361">
        <v>4</v>
      </c>
      <c r="U213" s="285">
        <v>3</v>
      </c>
      <c r="V213" s="438">
        <v>0.13043478260869565</v>
      </c>
    </row>
    <row r="214" spans="2:22" ht="13.5">
      <c r="B214" s="1577">
        <v>201602</v>
      </c>
      <c r="C214" s="326" t="s">
        <v>458</v>
      </c>
      <c r="D214" s="327" t="s">
        <v>642</v>
      </c>
      <c r="E214" s="327" t="s">
        <v>641</v>
      </c>
      <c r="F214" s="459">
        <v>503.589</v>
      </c>
      <c r="G214" s="339">
        <v>222.452</v>
      </c>
      <c r="H214" s="337">
        <v>217.47200000000001</v>
      </c>
      <c r="I214" s="331">
        <v>16</v>
      </c>
      <c r="J214" s="577">
        <v>0.207792</v>
      </c>
      <c r="K214" s="579">
        <v>10.592952380952001</v>
      </c>
      <c r="L214" s="436">
        <v>1.3125</v>
      </c>
      <c r="M214" s="42" t="s">
        <v>227</v>
      </c>
      <c r="N214" s="334">
        <v>78</v>
      </c>
      <c r="O214" s="335">
        <v>62</v>
      </c>
      <c r="P214" s="335">
        <v>16</v>
      </c>
      <c r="Q214" s="389">
        <v>0</v>
      </c>
      <c r="R214" s="430">
        <v>1</v>
      </c>
      <c r="S214" s="339"/>
      <c r="T214" s="362">
        <v>3</v>
      </c>
      <c r="U214" s="337">
        <v>3</v>
      </c>
      <c r="V214" s="338">
        <v>0.1875</v>
      </c>
    </row>
    <row r="215" spans="2:22" ht="13.5">
      <c r="B215" s="1577">
        <v>201602</v>
      </c>
      <c r="C215" s="324" t="s">
        <v>458</v>
      </c>
      <c r="D215" s="325" t="s">
        <v>91</v>
      </c>
      <c r="E215" s="325" t="s">
        <v>92</v>
      </c>
      <c r="F215" s="460">
        <v>971.54299999999989</v>
      </c>
      <c r="G215" s="92">
        <v>631.66899999999998</v>
      </c>
      <c r="H215" s="279">
        <v>657.08199999999999</v>
      </c>
      <c r="I215" s="154">
        <v>16</v>
      </c>
      <c r="J215" s="576">
        <v>0.141593</v>
      </c>
      <c r="K215" s="578">
        <v>19.739656249999999</v>
      </c>
      <c r="L215" s="437">
        <v>2</v>
      </c>
      <c r="M215" s="42" t="s">
        <v>227</v>
      </c>
      <c r="N215" s="47">
        <v>114</v>
      </c>
      <c r="O215" s="45">
        <v>84</v>
      </c>
      <c r="P215" s="45">
        <v>24</v>
      </c>
      <c r="Q215" s="388">
        <v>6</v>
      </c>
      <c r="R215" s="429">
        <v>3</v>
      </c>
      <c r="S215" s="92"/>
      <c r="T215" s="361">
        <v>4</v>
      </c>
      <c r="U215" s="285">
        <v>4</v>
      </c>
      <c r="V215" s="438">
        <v>0.13333333333333333</v>
      </c>
    </row>
    <row r="216" spans="2:22" ht="13.5">
      <c r="B216" s="1577">
        <v>201602</v>
      </c>
      <c r="C216" s="326" t="s">
        <v>458</v>
      </c>
      <c r="D216" s="327" t="s">
        <v>187</v>
      </c>
      <c r="E216" s="327" t="s">
        <v>194</v>
      </c>
      <c r="F216" s="459">
        <v>298.21599999999995</v>
      </c>
      <c r="G216" s="339">
        <v>108.402</v>
      </c>
      <c r="H216" s="337">
        <v>107.49299999999999</v>
      </c>
      <c r="I216" s="331">
        <v>8</v>
      </c>
      <c r="J216" s="577">
        <v>0.100629</v>
      </c>
      <c r="K216" s="579">
        <v>12.044666666667</v>
      </c>
      <c r="L216" s="436">
        <v>1.125</v>
      </c>
      <c r="M216" s="42" t="s">
        <v>227</v>
      </c>
      <c r="N216" s="334">
        <v>80</v>
      </c>
      <c r="O216" s="335">
        <v>59</v>
      </c>
      <c r="P216" s="335">
        <v>15</v>
      </c>
      <c r="Q216" s="389">
        <v>6</v>
      </c>
      <c r="R216" s="430">
        <v>0</v>
      </c>
      <c r="S216" s="339"/>
      <c r="T216" s="362">
        <v>1</v>
      </c>
      <c r="U216" s="337">
        <v>1</v>
      </c>
      <c r="V216" s="338">
        <v>4.7619047619047616E-2</v>
      </c>
    </row>
    <row r="217" spans="2:22" ht="13.5">
      <c r="B217" s="1577">
        <v>201602</v>
      </c>
      <c r="C217" s="324" t="s">
        <v>458</v>
      </c>
      <c r="D217" s="325" t="s">
        <v>734</v>
      </c>
      <c r="E217" s="325" t="s">
        <v>1766</v>
      </c>
      <c r="F217" s="460">
        <v>407.51799999999986</v>
      </c>
      <c r="G217" s="92">
        <v>122.489</v>
      </c>
      <c r="H217" s="279">
        <v>176.072</v>
      </c>
      <c r="I217" s="154">
        <v>10</v>
      </c>
      <c r="J217" s="576">
        <v>6.3492000000000007E-2</v>
      </c>
      <c r="K217" s="578">
        <v>10.207416666666999</v>
      </c>
      <c r="L217" s="437">
        <v>1.2</v>
      </c>
      <c r="M217" s="42" t="s">
        <v>227</v>
      </c>
      <c r="N217" s="47">
        <v>159</v>
      </c>
      <c r="O217" s="45">
        <v>129</v>
      </c>
      <c r="P217" s="45">
        <v>27</v>
      </c>
      <c r="Q217" s="388">
        <v>3</v>
      </c>
      <c r="R217" s="429">
        <v>0</v>
      </c>
      <c r="S217" s="92"/>
      <c r="T217" s="361">
        <v>3</v>
      </c>
      <c r="U217" s="285">
        <v>1</v>
      </c>
      <c r="V217" s="438">
        <v>3.3333333333333333E-2</v>
      </c>
    </row>
    <row r="218" spans="2:22" ht="13.5">
      <c r="B218" s="1577">
        <v>201602</v>
      </c>
      <c r="C218" s="326" t="s">
        <v>458</v>
      </c>
      <c r="D218" s="327" t="s">
        <v>735</v>
      </c>
      <c r="E218" s="327" t="s">
        <v>790</v>
      </c>
      <c r="F218" s="459">
        <v>1915.633999999972</v>
      </c>
      <c r="G218" s="339">
        <v>856.221</v>
      </c>
      <c r="H218" s="337">
        <v>838.41600000000005</v>
      </c>
      <c r="I218" s="331">
        <v>11</v>
      </c>
      <c r="J218" s="577">
        <v>0.162963</v>
      </c>
      <c r="K218" s="579">
        <v>53.5138125</v>
      </c>
      <c r="L218" s="436">
        <v>1.454545</v>
      </c>
      <c r="M218" s="42" t="s">
        <v>227</v>
      </c>
      <c r="N218" s="334">
        <v>65</v>
      </c>
      <c r="O218" s="335">
        <v>50</v>
      </c>
      <c r="P218" s="335">
        <v>13</v>
      </c>
      <c r="Q218" s="389">
        <v>2</v>
      </c>
      <c r="R218" s="430">
        <v>6</v>
      </c>
      <c r="S218" s="339"/>
      <c r="T218" s="362">
        <v>1</v>
      </c>
      <c r="U218" s="337">
        <v>1</v>
      </c>
      <c r="V218" s="338">
        <v>6.6666666666666666E-2</v>
      </c>
    </row>
    <row r="219" spans="2:22" ht="13.5">
      <c r="B219" s="1577">
        <v>201602</v>
      </c>
      <c r="C219" s="324" t="s">
        <v>458</v>
      </c>
      <c r="D219" s="325" t="s">
        <v>798</v>
      </c>
      <c r="E219" s="325" t="s">
        <v>1768</v>
      </c>
      <c r="F219" s="460">
        <v>732.69399999999973</v>
      </c>
      <c r="G219" s="92">
        <v>401.84899999999999</v>
      </c>
      <c r="H219" s="279">
        <v>426.62200000000001</v>
      </c>
      <c r="I219" s="154">
        <v>8</v>
      </c>
      <c r="J219" s="576">
        <v>0.18181800000000001</v>
      </c>
      <c r="K219" s="578">
        <v>30.911461538462003</v>
      </c>
      <c r="L219" s="437">
        <v>1.625</v>
      </c>
      <c r="M219" s="42" t="s">
        <v>227</v>
      </c>
      <c r="N219" s="47">
        <v>44</v>
      </c>
      <c r="O219" s="45">
        <v>31</v>
      </c>
      <c r="P219" s="45">
        <v>11</v>
      </c>
      <c r="Q219" s="388">
        <v>2</v>
      </c>
      <c r="R219" s="429">
        <v>0</v>
      </c>
      <c r="S219" s="92"/>
      <c r="T219" s="361"/>
      <c r="U219" s="285"/>
      <c r="V219" s="438"/>
    </row>
    <row r="220" spans="2:22" ht="13.5">
      <c r="B220" s="1577">
        <v>201602</v>
      </c>
      <c r="C220" s="326" t="s">
        <v>458</v>
      </c>
      <c r="D220" s="327" t="s">
        <v>949</v>
      </c>
      <c r="E220" s="327" t="s">
        <v>950</v>
      </c>
      <c r="F220" s="459">
        <v>1079.8959999999995</v>
      </c>
      <c r="G220" s="339">
        <v>637.85400000000004</v>
      </c>
      <c r="H220" s="337">
        <v>620.20699999999999</v>
      </c>
      <c r="I220" s="331">
        <v>14</v>
      </c>
      <c r="J220" s="577">
        <v>0.16666700000000001</v>
      </c>
      <c r="K220" s="579">
        <v>19.932937500000001</v>
      </c>
      <c r="L220" s="436">
        <v>2.285714</v>
      </c>
      <c r="M220" s="42" t="s">
        <v>227</v>
      </c>
      <c r="N220" s="334">
        <v>80</v>
      </c>
      <c r="O220" s="335">
        <v>55</v>
      </c>
      <c r="P220" s="335">
        <v>19</v>
      </c>
      <c r="Q220" s="389">
        <v>6</v>
      </c>
      <c r="R220" s="430">
        <v>10</v>
      </c>
      <c r="S220" s="339"/>
      <c r="T220" s="362">
        <v>2</v>
      </c>
      <c r="U220" s="337">
        <v>1</v>
      </c>
      <c r="V220" s="338">
        <v>0.04</v>
      </c>
    </row>
    <row r="221" spans="2:22" ht="13.5">
      <c r="B221" s="1577">
        <v>201602</v>
      </c>
      <c r="C221" s="324" t="s">
        <v>458</v>
      </c>
      <c r="D221" s="325" t="s">
        <v>903</v>
      </c>
      <c r="E221" s="325" t="s">
        <v>904</v>
      </c>
      <c r="F221" s="460">
        <v>938.14399999999898</v>
      </c>
      <c r="G221" s="92">
        <v>426.78399999999999</v>
      </c>
      <c r="H221" s="279">
        <v>431.541</v>
      </c>
      <c r="I221" s="154">
        <v>16</v>
      </c>
      <c r="J221" s="576">
        <v>0.141593</v>
      </c>
      <c r="K221" s="578">
        <v>15.242285714286</v>
      </c>
      <c r="L221" s="437">
        <v>1.75</v>
      </c>
      <c r="M221" s="42" t="s">
        <v>227</v>
      </c>
      <c r="N221" s="47">
        <v>115</v>
      </c>
      <c r="O221" s="45">
        <v>85</v>
      </c>
      <c r="P221" s="45">
        <v>25</v>
      </c>
      <c r="Q221" s="388">
        <v>5</v>
      </c>
      <c r="R221" s="429">
        <v>0</v>
      </c>
      <c r="S221" s="92"/>
      <c r="T221" s="361">
        <v>4</v>
      </c>
      <c r="U221" s="285">
        <v>4</v>
      </c>
      <c r="V221" s="438">
        <v>0.13333333333333333</v>
      </c>
    </row>
    <row r="222" spans="2:22" ht="13.5">
      <c r="B222" s="1577">
        <v>201602</v>
      </c>
      <c r="C222" s="326" t="s">
        <v>458</v>
      </c>
      <c r="D222" s="327" t="s">
        <v>1101</v>
      </c>
      <c r="E222" s="327" t="s">
        <v>1162</v>
      </c>
      <c r="F222" s="459">
        <v>135.40499999999997</v>
      </c>
      <c r="G222" s="339">
        <v>52.198999999999998</v>
      </c>
      <c r="H222" s="337">
        <v>66.100999999999999</v>
      </c>
      <c r="I222" s="331">
        <v>3</v>
      </c>
      <c r="J222" s="577">
        <v>5.4053999999999998E-2</v>
      </c>
      <c r="K222" s="579">
        <v>13.04975</v>
      </c>
      <c r="L222" s="436">
        <v>1.3333330000000001</v>
      </c>
      <c r="M222" s="42" t="s">
        <v>227</v>
      </c>
      <c r="N222" s="334">
        <v>53</v>
      </c>
      <c r="O222" s="335">
        <v>38</v>
      </c>
      <c r="P222" s="335">
        <v>15</v>
      </c>
      <c r="Q222" s="389">
        <v>0</v>
      </c>
      <c r="R222" s="430">
        <v>5</v>
      </c>
      <c r="S222" s="339"/>
      <c r="T222" s="362">
        <v>3</v>
      </c>
      <c r="U222" s="337">
        <v>1</v>
      </c>
      <c r="V222" s="338">
        <v>6.6666666666666666E-2</v>
      </c>
    </row>
    <row r="223" spans="2:22" ht="13.5">
      <c r="B223" s="1577">
        <v>201602</v>
      </c>
      <c r="C223" s="324" t="s">
        <v>458</v>
      </c>
      <c r="D223" s="325" t="s">
        <v>1102</v>
      </c>
      <c r="E223" s="325" t="s">
        <v>1163</v>
      </c>
      <c r="F223" s="460">
        <v>388.05599999999993</v>
      </c>
      <c r="G223" s="92">
        <v>242.70500000000001</v>
      </c>
      <c r="H223" s="279">
        <v>261.637</v>
      </c>
      <c r="I223" s="154">
        <v>20</v>
      </c>
      <c r="J223" s="576">
        <v>0.143369</v>
      </c>
      <c r="K223" s="578">
        <v>10.112708333333</v>
      </c>
      <c r="L223" s="437">
        <v>1.2</v>
      </c>
      <c r="M223" s="42" t="s">
        <v>227</v>
      </c>
      <c r="N223" s="47">
        <v>137</v>
      </c>
      <c r="O223" s="45">
        <v>105</v>
      </c>
      <c r="P223" s="45">
        <v>29</v>
      </c>
      <c r="Q223" s="388">
        <v>3</v>
      </c>
      <c r="R223" s="429">
        <v>7</v>
      </c>
      <c r="S223" s="92">
        <v>2</v>
      </c>
      <c r="T223" s="361">
        <v>11</v>
      </c>
      <c r="U223" s="285">
        <v>7</v>
      </c>
      <c r="V223" s="438">
        <v>0.21875</v>
      </c>
    </row>
    <row r="224" spans="2:22" ht="13.5">
      <c r="B224" s="1577">
        <v>201602</v>
      </c>
      <c r="C224" s="326" t="s">
        <v>458</v>
      </c>
      <c r="D224" s="327" t="s">
        <v>628</v>
      </c>
      <c r="E224" s="327" t="s">
        <v>629</v>
      </c>
      <c r="F224" s="459">
        <v>106.53799999999995</v>
      </c>
      <c r="G224" s="339">
        <v>0</v>
      </c>
      <c r="H224" s="337">
        <v>5.4720000000000004</v>
      </c>
      <c r="I224" s="331">
        <v>0</v>
      </c>
      <c r="J224" s="577">
        <v>0</v>
      </c>
      <c r="K224" s="579">
        <v>0</v>
      </c>
      <c r="L224" s="436">
        <v>0</v>
      </c>
      <c r="M224" s="42" t="s">
        <v>227</v>
      </c>
      <c r="N224" s="334">
        <v>52</v>
      </c>
      <c r="O224" s="335">
        <v>31</v>
      </c>
      <c r="P224" s="335">
        <v>10</v>
      </c>
      <c r="Q224" s="389">
        <v>11</v>
      </c>
      <c r="R224" s="430">
        <v>3</v>
      </c>
      <c r="S224" s="339"/>
      <c r="T224" s="362">
        <v>1</v>
      </c>
      <c r="U224" s="337">
        <v>1</v>
      </c>
      <c r="V224" s="338">
        <v>4.7619047619047616E-2</v>
      </c>
    </row>
    <row r="225" spans="2:22" ht="13.5">
      <c r="B225" s="1577">
        <v>201602</v>
      </c>
      <c r="C225" s="324" t="s">
        <v>458</v>
      </c>
      <c r="D225" s="325" t="s">
        <v>47</v>
      </c>
      <c r="E225" s="325" t="s">
        <v>17</v>
      </c>
      <c r="F225" s="460">
        <v>980.28700000000026</v>
      </c>
      <c r="G225" s="92">
        <v>854.274</v>
      </c>
      <c r="H225" s="279">
        <v>757.07299999999998</v>
      </c>
      <c r="I225" s="154">
        <v>7</v>
      </c>
      <c r="J225" s="576">
        <v>0.16470599999999999</v>
      </c>
      <c r="K225" s="578">
        <v>71.189499999999995</v>
      </c>
      <c r="L225" s="437">
        <v>1.714286</v>
      </c>
      <c r="M225" s="42" t="s">
        <v>227</v>
      </c>
      <c r="N225" s="47">
        <v>43</v>
      </c>
      <c r="O225" s="45">
        <v>31</v>
      </c>
      <c r="P225" s="45">
        <v>10</v>
      </c>
      <c r="Q225" s="388">
        <v>2</v>
      </c>
      <c r="R225" s="429">
        <v>0</v>
      </c>
      <c r="S225" s="92"/>
      <c r="T225" s="361">
        <v>1</v>
      </c>
      <c r="U225" s="285">
        <v>1</v>
      </c>
      <c r="V225" s="438">
        <v>8.3333333333333329E-2</v>
      </c>
    </row>
    <row r="226" spans="2:22" ht="13.5">
      <c r="B226" s="1577">
        <v>201602</v>
      </c>
      <c r="C226" s="326" t="s">
        <v>458</v>
      </c>
      <c r="D226" s="327" t="s">
        <v>736</v>
      </c>
      <c r="E226" s="327" t="s">
        <v>697</v>
      </c>
      <c r="F226" s="459">
        <v>1518.5539999999996</v>
      </c>
      <c r="G226" s="339">
        <v>464.52600000000001</v>
      </c>
      <c r="H226" s="337">
        <v>665.87099999999998</v>
      </c>
      <c r="I226" s="331">
        <v>6</v>
      </c>
      <c r="J226" s="577">
        <v>7.2727E-2</v>
      </c>
      <c r="K226" s="579">
        <v>58.065750000000001</v>
      </c>
      <c r="L226" s="436">
        <v>1.3333330000000001</v>
      </c>
      <c r="M226" s="42" t="s">
        <v>227</v>
      </c>
      <c r="N226" s="334">
        <v>83</v>
      </c>
      <c r="O226" s="335">
        <v>60</v>
      </c>
      <c r="P226" s="335">
        <v>16</v>
      </c>
      <c r="Q226" s="389">
        <v>7</v>
      </c>
      <c r="R226" s="430">
        <v>2</v>
      </c>
      <c r="S226" s="339"/>
      <c r="T226" s="362">
        <v>1</v>
      </c>
      <c r="U226" s="337">
        <v>1</v>
      </c>
      <c r="V226" s="338">
        <v>4.3478260869565216E-2</v>
      </c>
    </row>
    <row r="227" spans="2:22" ht="13.5">
      <c r="B227" s="1577">
        <v>201602</v>
      </c>
      <c r="C227" s="324" t="s">
        <v>458</v>
      </c>
      <c r="D227" s="325" t="s">
        <v>796</v>
      </c>
      <c r="E227" s="325" t="s">
        <v>797</v>
      </c>
      <c r="F227" s="460">
        <v>281.05200000000008</v>
      </c>
      <c r="G227" s="92">
        <v>196.404</v>
      </c>
      <c r="H227" s="279">
        <v>202.39599999999999</v>
      </c>
      <c r="I227" s="154">
        <v>9</v>
      </c>
      <c r="J227" s="576">
        <v>0.193548</v>
      </c>
      <c r="K227" s="578">
        <v>17.854909090909</v>
      </c>
      <c r="L227" s="437">
        <v>1.2222219999999999</v>
      </c>
      <c r="M227" s="42" t="s">
        <v>227</v>
      </c>
      <c r="N227" s="47">
        <v>47</v>
      </c>
      <c r="O227" s="45">
        <v>34</v>
      </c>
      <c r="P227" s="45">
        <v>12</v>
      </c>
      <c r="Q227" s="388">
        <v>1</v>
      </c>
      <c r="R227" s="429">
        <v>0</v>
      </c>
      <c r="S227" s="92"/>
      <c r="T227" s="361">
        <v>1</v>
      </c>
      <c r="U227" s="285">
        <v>1</v>
      </c>
      <c r="V227" s="438">
        <v>7.6923076923076927E-2</v>
      </c>
    </row>
    <row r="228" spans="2:22" ht="13.5">
      <c r="B228" s="1577">
        <v>201602</v>
      </c>
      <c r="C228" s="326" t="s">
        <v>458</v>
      </c>
      <c r="D228" s="327" t="s">
        <v>1418</v>
      </c>
      <c r="E228" s="327" t="s">
        <v>1771</v>
      </c>
      <c r="F228" s="459">
        <v>183.48700000000002</v>
      </c>
      <c r="G228" s="339">
        <v>97.075000000000003</v>
      </c>
      <c r="H228" s="337">
        <v>104.009</v>
      </c>
      <c r="I228" s="331">
        <v>5</v>
      </c>
      <c r="J228" s="577">
        <v>5.7471000000000001E-2</v>
      </c>
      <c r="K228" s="579">
        <v>12.134375</v>
      </c>
      <c r="L228" s="436">
        <v>1.6</v>
      </c>
      <c r="M228" s="42" t="s">
        <v>227</v>
      </c>
      <c r="N228" s="334">
        <v>87</v>
      </c>
      <c r="O228" s="335">
        <v>67</v>
      </c>
      <c r="P228" s="335">
        <v>19</v>
      </c>
      <c r="Q228" s="389">
        <v>1</v>
      </c>
      <c r="R228" s="430">
        <v>0</v>
      </c>
      <c r="S228" s="339"/>
      <c r="T228" s="362"/>
      <c r="U228" s="337"/>
      <c r="V228" s="338"/>
    </row>
    <row r="229" spans="2:22" ht="13.5">
      <c r="B229" s="1577">
        <v>201602</v>
      </c>
      <c r="C229" s="324" t="s">
        <v>458</v>
      </c>
      <c r="D229" s="325" t="s">
        <v>1669</v>
      </c>
      <c r="E229" s="325" t="s">
        <v>1670</v>
      </c>
      <c r="F229" s="460">
        <v>201.44000000000005</v>
      </c>
      <c r="G229" s="92">
        <v>87.13</v>
      </c>
      <c r="H229" s="279">
        <v>125.354</v>
      </c>
      <c r="I229" s="154">
        <v>6</v>
      </c>
      <c r="J229" s="576">
        <v>7.6923000000000005E-2</v>
      </c>
      <c r="K229" s="578">
        <v>10.891249999999999</v>
      </c>
      <c r="L229" s="437">
        <v>1.3333330000000001</v>
      </c>
      <c r="M229" s="42" t="s">
        <v>227</v>
      </c>
      <c r="N229" s="47">
        <v>77</v>
      </c>
      <c r="O229" s="45">
        <v>58</v>
      </c>
      <c r="P229" s="45">
        <v>15</v>
      </c>
      <c r="Q229" s="388">
        <v>4</v>
      </c>
      <c r="R229" s="429">
        <v>2</v>
      </c>
      <c r="S229" s="92"/>
      <c r="T229" s="361"/>
      <c r="U229" s="285"/>
      <c r="V229" s="438"/>
    </row>
    <row r="230" spans="2:22" ht="13.5">
      <c r="B230" s="1577">
        <v>201602</v>
      </c>
      <c r="C230" s="326" t="s">
        <v>458</v>
      </c>
      <c r="D230" s="327" t="s">
        <v>630</v>
      </c>
      <c r="E230" s="327" t="s">
        <v>483</v>
      </c>
      <c r="F230" s="459">
        <v>111.14800000000002</v>
      </c>
      <c r="G230" s="339">
        <v>0</v>
      </c>
      <c r="H230" s="337">
        <v>0</v>
      </c>
      <c r="I230" s="331">
        <v>0</v>
      </c>
      <c r="J230" s="577">
        <v>0</v>
      </c>
      <c r="K230" s="579">
        <v>0</v>
      </c>
      <c r="L230" s="436">
        <v>0</v>
      </c>
      <c r="M230" s="42" t="s">
        <v>227</v>
      </c>
      <c r="N230" s="334">
        <v>0</v>
      </c>
      <c r="O230" s="335">
        <v>0</v>
      </c>
      <c r="P230" s="335">
        <v>0</v>
      </c>
      <c r="Q230" s="389">
        <v>0</v>
      </c>
      <c r="R230" s="430">
        <v>0</v>
      </c>
      <c r="S230" s="339"/>
      <c r="T230" s="362"/>
      <c r="U230" s="337"/>
      <c r="V230" s="338"/>
    </row>
    <row r="231" spans="2:22" ht="13.5">
      <c r="B231" s="1577">
        <v>201602</v>
      </c>
      <c r="C231" s="324" t="s">
        <v>458</v>
      </c>
      <c r="D231" s="325" t="s">
        <v>905</v>
      </c>
      <c r="E231" s="325" t="s">
        <v>906</v>
      </c>
      <c r="F231" s="460">
        <v>288.69500000000011</v>
      </c>
      <c r="G231" s="92">
        <v>81.863</v>
      </c>
      <c r="H231" s="279">
        <v>89.656999999999996</v>
      </c>
      <c r="I231" s="154">
        <v>4</v>
      </c>
      <c r="J231" s="576">
        <v>7.0795999999999998E-2</v>
      </c>
      <c r="K231" s="578">
        <v>11.694714285714001</v>
      </c>
      <c r="L231" s="437">
        <v>1.75</v>
      </c>
      <c r="M231" s="42" t="s">
        <v>227</v>
      </c>
      <c r="N231" s="47">
        <v>55</v>
      </c>
      <c r="O231" s="45">
        <v>40</v>
      </c>
      <c r="P231" s="45">
        <v>13</v>
      </c>
      <c r="Q231" s="388">
        <v>2</v>
      </c>
      <c r="R231" s="429">
        <v>5</v>
      </c>
      <c r="S231" s="92"/>
      <c r="T231" s="361">
        <v>2</v>
      </c>
      <c r="U231" s="285">
        <v>1</v>
      </c>
      <c r="V231" s="438">
        <v>6.6666666666666666E-2</v>
      </c>
    </row>
    <row r="232" spans="2:22" ht="13.5">
      <c r="B232" s="1577">
        <v>201602</v>
      </c>
      <c r="C232" s="326" t="s">
        <v>458</v>
      </c>
      <c r="D232" s="327" t="s">
        <v>648</v>
      </c>
      <c r="E232" s="327" t="s">
        <v>644</v>
      </c>
      <c r="F232" s="459">
        <v>273.14370000000025</v>
      </c>
      <c r="G232" s="339">
        <v>156.858</v>
      </c>
      <c r="H232" s="337">
        <v>162.57</v>
      </c>
      <c r="I232" s="331">
        <v>9</v>
      </c>
      <c r="J232" s="577">
        <v>0.16666700000000001</v>
      </c>
      <c r="K232" s="579">
        <v>13.0715</v>
      </c>
      <c r="L232" s="436">
        <v>1.3333330000000001</v>
      </c>
      <c r="M232" s="42" t="s">
        <v>227</v>
      </c>
      <c r="N232" s="334">
        <v>55</v>
      </c>
      <c r="O232" s="335">
        <v>40</v>
      </c>
      <c r="P232" s="335">
        <v>14</v>
      </c>
      <c r="Q232" s="389">
        <v>1</v>
      </c>
      <c r="R232" s="430">
        <v>0</v>
      </c>
      <c r="S232" s="339"/>
      <c r="T232" s="362">
        <v>2</v>
      </c>
      <c r="U232" s="337">
        <v>1</v>
      </c>
      <c r="V232" s="338">
        <v>6.6666666666666666E-2</v>
      </c>
    </row>
    <row r="233" spans="2:22" ht="13.5">
      <c r="B233" s="1577">
        <v>201602</v>
      </c>
      <c r="C233" s="324" t="s">
        <v>459</v>
      </c>
      <c r="D233" s="325" t="s">
        <v>1100</v>
      </c>
      <c r="E233" s="325" t="s">
        <v>1774</v>
      </c>
      <c r="F233" s="460">
        <v>519.31600000000003</v>
      </c>
      <c r="G233" s="92">
        <v>319.00799999999998</v>
      </c>
      <c r="H233" s="279">
        <v>315.17</v>
      </c>
      <c r="I233" s="154">
        <v>19</v>
      </c>
      <c r="J233" s="576">
        <v>0.151394</v>
      </c>
      <c r="K233" s="578">
        <v>11.815111111110999</v>
      </c>
      <c r="L233" s="437">
        <v>1.4210529999999999</v>
      </c>
      <c r="M233" s="42" t="s">
        <v>227</v>
      </c>
      <c r="N233" s="47">
        <v>123</v>
      </c>
      <c r="O233" s="45">
        <v>96</v>
      </c>
      <c r="P233" s="45">
        <v>20</v>
      </c>
      <c r="Q233" s="388">
        <v>7</v>
      </c>
      <c r="R233" s="429">
        <v>11</v>
      </c>
      <c r="S233" s="92"/>
      <c r="T233" s="361">
        <v>6</v>
      </c>
      <c r="U233" s="285">
        <v>6</v>
      </c>
      <c r="V233" s="438">
        <v>0.22222222222222221</v>
      </c>
    </row>
    <row r="234" spans="2:22" ht="13.5">
      <c r="B234" s="1577">
        <v>201602</v>
      </c>
      <c r="C234" s="326" t="s">
        <v>459</v>
      </c>
      <c r="D234" s="327" t="s">
        <v>1419</v>
      </c>
      <c r="E234" s="327" t="s">
        <v>1420</v>
      </c>
      <c r="F234" s="459">
        <v>292.60000000000002</v>
      </c>
      <c r="G234" s="339">
        <v>73.406000000000006</v>
      </c>
      <c r="H234" s="337">
        <v>76.832999999999998</v>
      </c>
      <c r="I234" s="331">
        <v>10</v>
      </c>
      <c r="J234" s="577">
        <v>8.9286000000000004E-2</v>
      </c>
      <c r="K234" s="579">
        <v>10.486571428571001</v>
      </c>
      <c r="L234" s="436">
        <v>0.7</v>
      </c>
      <c r="M234" s="42" t="s">
        <v>227</v>
      </c>
      <c r="N234" s="334">
        <v>115</v>
      </c>
      <c r="O234" s="335">
        <v>90</v>
      </c>
      <c r="P234" s="335">
        <v>18</v>
      </c>
      <c r="Q234" s="389">
        <v>7</v>
      </c>
      <c r="R234" s="430">
        <v>0</v>
      </c>
      <c r="S234" s="339"/>
      <c r="T234" s="362">
        <v>6</v>
      </c>
      <c r="U234" s="337">
        <v>6</v>
      </c>
      <c r="V234" s="338">
        <v>0.24</v>
      </c>
    </row>
    <row r="235" spans="2:22" ht="13.5">
      <c r="B235" s="1577">
        <v>201602</v>
      </c>
      <c r="C235" s="324" t="s">
        <v>459</v>
      </c>
      <c r="D235" s="325" t="s">
        <v>1103</v>
      </c>
      <c r="E235" s="325" t="s">
        <v>1161</v>
      </c>
      <c r="F235" s="460">
        <v>202.67099999999999</v>
      </c>
      <c r="G235" s="92">
        <v>112.203</v>
      </c>
      <c r="H235" s="279">
        <v>112.203</v>
      </c>
      <c r="I235" s="154">
        <v>10</v>
      </c>
      <c r="J235" s="576">
        <v>0.18018000000000001</v>
      </c>
      <c r="K235" s="578">
        <v>11.2203</v>
      </c>
      <c r="L235" s="437">
        <v>1</v>
      </c>
      <c r="M235" s="42" t="s">
        <v>227</v>
      </c>
      <c r="N235" s="47">
        <v>55</v>
      </c>
      <c r="O235" s="45">
        <v>38</v>
      </c>
      <c r="P235" s="45">
        <v>13</v>
      </c>
      <c r="Q235" s="388">
        <v>4</v>
      </c>
      <c r="R235" s="429">
        <v>3</v>
      </c>
      <c r="S235" s="92">
        <v>1</v>
      </c>
      <c r="T235" s="361">
        <v>2</v>
      </c>
      <c r="U235" s="285">
        <v>2</v>
      </c>
      <c r="V235" s="438">
        <v>0.11764705882352941</v>
      </c>
    </row>
    <row r="236" spans="2:22" ht="13.5">
      <c r="B236" s="1577">
        <v>201602</v>
      </c>
      <c r="C236" s="326" t="s">
        <v>459</v>
      </c>
      <c r="D236" s="327" t="s">
        <v>661</v>
      </c>
      <c r="E236" s="327" t="s">
        <v>1950</v>
      </c>
      <c r="F236" s="459">
        <v>271.05300000000005</v>
      </c>
      <c r="G236" s="339">
        <v>188.95</v>
      </c>
      <c r="H236" s="337">
        <v>210.63200000000001</v>
      </c>
      <c r="I236" s="331">
        <v>7</v>
      </c>
      <c r="J236" s="577">
        <v>0.202899</v>
      </c>
      <c r="K236" s="579">
        <v>15.745833333333001</v>
      </c>
      <c r="L236" s="436">
        <v>1.714286</v>
      </c>
      <c r="M236" s="42" t="s">
        <v>227</v>
      </c>
      <c r="N236" s="334">
        <v>32</v>
      </c>
      <c r="O236" s="335">
        <v>22</v>
      </c>
      <c r="P236" s="335">
        <v>8</v>
      </c>
      <c r="Q236" s="389">
        <v>2</v>
      </c>
      <c r="R236" s="430">
        <v>5</v>
      </c>
      <c r="S236" s="339"/>
      <c r="T236" s="362">
        <v>1</v>
      </c>
      <c r="U236" s="337">
        <v>1</v>
      </c>
      <c r="V236" s="338">
        <v>0.1</v>
      </c>
    </row>
    <row r="237" spans="2:22" ht="13.5">
      <c r="B237" s="1577">
        <v>201602</v>
      </c>
      <c r="C237" s="324" t="s">
        <v>459</v>
      </c>
      <c r="D237" s="325" t="s">
        <v>179</v>
      </c>
      <c r="E237" s="325" t="s">
        <v>191</v>
      </c>
      <c r="F237" s="460">
        <v>1394.127</v>
      </c>
      <c r="G237" s="92">
        <v>619.72699999999998</v>
      </c>
      <c r="H237" s="279">
        <v>614.04399999999998</v>
      </c>
      <c r="I237" s="154">
        <v>14</v>
      </c>
      <c r="J237" s="576">
        <v>8.9172000000000001E-2</v>
      </c>
      <c r="K237" s="578">
        <v>28.169409090908999</v>
      </c>
      <c r="L237" s="437">
        <v>1.571429</v>
      </c>
      <c r="M237" s="42" t="s">
        <v>227</v>
      </c>
      <c r="N237" s="47">
        <v>143</v>
      </c>
      <c r="O237" s="45">
        <v>97</v>
      </c>
      <c r="P237" s="45">
        <v>43</v>
      </c>
      <c r="Q237" s="388">
        <v>3</v>
      </c>
      <c r="R237" s="429">
        <v>29</v>
      </c>
      <c r="S237" s="92">
        <v>1</v>
      </c>
      <c r="T237" s="361">
        <v>2</v>
      </c>
      <c r="U237" s="285">
        <v>2</v>
      </c>
      <c r="V237" s="438">
        <v>4.3478260869565216E-2</v>
      </c>
    </row>
    <row r="238" spans="2:22" ht="13.5">
      <c r="B238" s="1577">
        <v>201602</v>
      </c>
      <c r="C238" s="326" t="s">
        <v>459</v>
      </c>
      <c r="D238" s="327" t="s">
        <v>659</v>
      </c>
      <c r="E238" s="327" t="s">
        <v>655</v>
      </c>
      <c r="F238" s="459">
        <v>1084.5549999999992</v>
      </c>
      <c r="G238" s="339">
        <v>439.69299999999998</v>
      </c>
      <c r="H238" s="337">
        <v>450.10399999999998</v>
      </c>
      <c r="I238" s="331">
        <v>23</v>
      </c>
      <c r="J238" s="577">
        <v>0.247312</v>
      </c>
      <c r="K238" s="579">
        <v>15.161827586207</v>
      </c>
      <c r="L238" s="436">
        <v>1.2608699999999999</v>
      </c>
      <c r="M238" s="42" t="s">
        <v>227</v>
      </c>
      <c r="N238" s="334">
        <v>89</v>
      </c>
      <c r="O238" s="335">
        <v>65</v>
      </c>
      <c r="P238" s="335">
        <v>21</v>
      </c>
      <c r="Q238" s="389">
        <v>3</v>
      </c>
      <c r="R238" s="430">
        <v>15</v>
      </c>
      <c r="S238" s="339"/>
      <c r="T238" s="362">
        <v>7</v>
      </c>
      <c r="U238" s="337">
        <v>4</v>
      </c>
      <c r="V238" s="338">
        <v>0.16666666666666666</v>
      </c>
    </row>
    <row r="239" spans="2:22" ht="13.5">
      <c r="B239" s="1577">
        <v>201602</v>
      </c>
      <c r="C239" s="324" t="s">
        <v>459</v>
      </c>
      <c r="D239" s="325" t="s">
        <v>699</v>
      </c>
      <c r="E239" s="325" t="s">
        <v>698</v>
      </c>
      <c r="F239" s="460">
        <v>452.11699999999985</v>
      </c>
      <c r="G239" s="92">
        <v>262.62700000000001</v>
      </c>
      <c r="H239" s="279">
        <v>256.315</v>
      </c>
      <c r="I239" s="154">
        <v>8</v>
      </c>
      <c r="J239" s="576">
        <v>0.25396800000000003</v>
      </c>
      <c r="K239" s="578">
        <v>32.828375000000001</v>
      </c>
      <c r="L239" s="437">
        <v>1</v>
      </c>
      <c r="M239" s="42" t="s">
        <v>227</v>
      </c>
      <c r="N239" s="47">
        <v>29</v>
      </c>
      <c r="O239" s="45">
        <v>23</v>
      </c>
      <c r="P239" s="45">
        <v>4</v>
      </c>
      <c r="Q239" s="388">
        <v>2</v>
      </c>
      <c r="R239" s="429">
        <v>13</v>
      </c>
      <c r="S239" s="92"/>
      <c r="T239" s="361">
        <v>8</v>
      </c>
      <c r="U239" s="285">
        <v>4</v>
      </c>
      <c r="V239" s="438">
        <v>0.66666666666666663</v>
      </c>
    </row>
    <row r="240" spans="2:22" ht="13.5">
      <c r="B240" s="1577">
        <v>201602</v>
      </c>
      <c r="C240" s="326" t="s">
        <v>459</v>
      </c>
      <c r="D240" s="327" t="s">
        <v>1015</v>
      </c>
      <c r="E240" s="327" t="s">
        <v>1348</v>
      </c>
      <c r="F240" s="459">
        <v>416.67099999999999</v>
      </c>
      <c r="G240" s="339">
        <v>192.24299999999999</v>
      </c>
      <c r="H240" s="337">
        <v>192.24299999999999</v>
      </c>
      <c r="I240" s="331">
        <v>14</v>
      </c>
      <c r="J240" s="577">
        <v>0.13658500000000001</v>
      </c>
      <c r="K240" s="579">
        <v>12.0151875</v>
      </c>
      <c r="L240" s="436">
        <v>1.142857</v>
      </c>
      <c r="M240" s="42" t="s">
        <v>227</v>
      </c>
      <c r="N240" s="334">
        <v>104</v>
      </c>
      <c r="O240" s="335">
        <v>89</v>
      </c>
      <c r="P240" s="335">
        <v>14</v>
      </c>
      <c r="Q240" s="389">
        <v>1</v>
      </c>
      <c r="R240" s="430">
        <v>0</v>
      </c>
      <c r="S240" s="339"/>
      <c r="T240" s="362">
        <v>3</v>
      </c>
      <c r="U240" s="337">
        <v>3</v>
      </c>
      <c r="V240" s="338">
        <v>0.2</v>
      </c>
    </row>
    <row r="241" spans="2:22" ht="13.5">
      <c r="B241" s="1577">
        <v>201602</v>
      </c>
      <c r="C241" s="324" t="s">
        <v>459</v>
      </c>
      <c r="D241" s="325" t="s">
        <v>825</v>
      </c>
      <c r="E241" s="325" t="s">
        <v>1773</v>
      </c>
      <c r="F241" s="460">
        <v>762.86000000000047</v>
      </c>
      <c r="G241" s="92">
        <v>364.42399999999998</v>
      </c>
      <c r="H241" s="279">
        <v>351.63099999999997</v>
      </c>
      <c r="I241" s="154">
        <v>25</v>
      </c>
      <c r="J241" s="576">
        <v>0.22935800000000001</v>
      </c>
      <c r="K241" s="578">
        <v>13.015142857142999</v>
      </c>
      <c r="L241" s="437">
        <v>1.1200000000000001</v>
      </c>
      <c r="M241" s="42" t="s">
        <v>227</v>
      </c>
      <c r="N241" s="47">
        <v>106</v>
      </c>
      <c r="O241" s="45">
        <v>78</v>
      </c>
      <c r="P241" s="45">
        <v>25</v>
      </c>
      <c r="Q241" s="388">
        <v>3</v>
      </c>
      <c r="R241" s="429">
        <v>12</v>
      </c>
      <c r="S241" s="92"/>
      <c r="T241" s="361">
        <v>7</v>
      </c>
      <c r="U241" s="285">
        <v>3</v>
      </c>
      <c r="V241" s="438">
        <v>0.10714285714285714</v>
      </c>
    </row>
    <row r="242" spans="2:22" ht="13.5">
      <c r="B242" s="1577">
        <v>201602</v>
      </c>
      <c r="C242" s="326" t="s">
        <v>459</v>
      </c>
      <c r="D242" s="327" t="s">
        <v>185</v>
      </c>
      <c r="E242" s="327" t="s">
        <v>190</v>
      </c>
      <c r="F242" s="459">
        <v>1077.7239999999999</v>
      </c>
      <c r="G242" s="339">
        <v>475.76400000000001</v>
      </c>
      <c r="H242" s="337">
        <v>471.505</v>
      </c>
      <c r="I242" s="331">
        <v>22</v>
      </c>
      <c r="J242" s="577">
        <v>0.18884100000000001</v>
      </c>
      <c r="K242" s="579">
        <v>12.858486486485999</v>
      </c>
      <c r="L242" s="436">
        <v>1.681818</v>
      </c>
      <c r="M242" s="42" t="s">
        <v>227</v>
      </c>
      <c r="N242" s="334">
        <v>117</v>
      </c>
      <c r="O242" s="335">
        <v>94</v>
      </c>
      <c r="P242" s="335">
        <v>19</v>
      </c>
      <c r="Q242" s="389">
        <v>4</v>
      </c>
      <c r="R242" s="430">
        <v>4</v>
      </c>
      <c r="S242" s="339"/>
      <c r="T242" s="362">
        <v>6</v>
      </c>
      <c r="U242" s="337">
        <v>6</v>
      </c>
      <c r="V242" s="338">
        <v>0.2608695652173913</v>
      </c>
    </row>
    <row r="243" spans="2:22" ht="13.5">
      <c r="B243" s="1577">
        <v>201602</v>
      </c>
      <c r="C243" s="324" t="s">
        <v>459</v>
      </c>
      <c r="D243" s="325" t="s">
        <v>660</v>
      </c>
      <c r="E243" s="325" t="s">
        <v>656</v>
      </c>
      <c r="F243" s="460">
        <v>586.73200000000031</v>
      </c>
      <c r="G243" s="92">
        <v>100.346</v>
      </c>
      <c r="H243" s="279">
        <v>114.38</v>
      </c>
      <c r="I243" s="154">
        <v>8</v>
      </c>
      <c r="J243" s="576">
        <v>6.7511000000000002E-2</v>
      </c>
      <c r="K243" s="578">
        <v>10.034599999999999</v>
      </c>
      <c r="L243" s="437">
        <v>1.25</v>
      </c>
      <c r="M243" s="42" t="s">
        <v>227</v>
      </c>
      <c r="N243" s="47">
        <v>114</v>
      </c>
      <c r="O243" s="45">
        <v>87</v>
      </c>
      <c r="P243" s="45">
        <v>23</v>
      </c>
      <c r="Q243" s="388">
        <v>4</v>
      </c>
      <c r="R243" s="429">
        <v>9</v>
      </c>
      <c r="S243" s="92"/>
      <c r="T243" s="361"/>
      <c r="U243" s="285"/>
      <c r="V243" s="438"/>
    </row>
    <row r="244" spans="2:22" ht="13.5">
      <c r="B244" s="1577">
        <v>201602</v>
      </c>
      <c r="C244" s="326" t="s">
        <v>459</v>
      </c>
      <c r="D244" s="327" t="s">
        <v>1570</v>
      </c>
      <c r="E244" s="327" t="s">
        <v>1571</v>
      </c>
      <c r="F244" s="459">
        <v>648.1869999999999</v>
      </c>
      <c r="G244" s="339">
        <v>263.45400000000001</v>
      </c>
      <c r="H244" s="337">
        <v>259.41800000000001</v>
      </c>
      <c r="I244" s="331">
        <v>23</v>
      </c>
      <c r="J244" s="577">
        <v>0.16254399999999999</v>
      </c>
      <c r="K244" s="579">
        <v>10.97725</v>
      </c>
      <c r="L244" s="436">
        <v>1.0434779999999999</v>
      </c>
      <c r="M244" s="42" t="s">
        <v>227</v>
      </c>
      <c r="N244" s="334">
        <v>142</v>
      </c>
      <c r="O244" s="335">
        <v>112</v>
      </c>
      <c r="P244" s="335">
        <v>30</v>
      </c>
      <c r="Q244" s="389">
        <v>0</v>
      </c>
      <c r="R244" s="430">
        <v>0</v>
      </c>
      <c r="S244" s="339"/>
      <c r="T244" s="362">
        <v>1</v>
      </c>
      <c r="U244" s="337">
        <v>1</v>
      </c>
      <c r="V244" s="338">
        <v>3.3333333333333333E-2</v>
      </c>
    </row>
    <row r="245" spans="2:22" ht="13.5">
      <c r="B245" s="1577">
        <v>201602</v>
      </c>
      <c r="C245" s="324" t="s">
        <v>459</v>
      </c>
      <c r="D245" s="325" t="s">
        <v>662</v>
      </c>
      <c r="E245" s="325" t="s">
        <v>658</v>
      </c>
      <c r="F245" s="460"/>
      <c r="G245" s="92">
        <v>0</v>
      </c>
      <c r="H245" s="279">
        <v>0</v>
      </c>
      <c r="I245" s="154">
        <v>0</v>
      </c>
      <c r="J245" s="576">
        <v>0</v>
      </c>
      <c r="K245" s="578">
        <v>0</v>
      </c>
      <c r="L245" s="437">
        <v>0</v>
      </c>
      <c r="M245" s="42" t="s">
        <v>227</v>
      </c>
      <c r="N245" s="47">
        <v>0</v>
      </c>
      <c r="O245" s="45">
        <v>0</v>
      </c>
      <c r="P245" s="45">
        <v>0</v>
      </c>
      <c r="Q245" s="388">
        <v>0</v>
      </c>
      <c r="R245" s="429">
        <v>0</v>
      </c>
      <c r="S245" s="92"/>
      <c r="T245" s="361"/>
      <c r="U245" s="285"/>
      <c r="V245" s="438"/>
    </row>
    <row r="246" spans="2:22" ht="13.5">
      <c r="B246" s="1577">
        <v>201602</v>
      </c>
      <c r="C246" s="326" t="s">
        <v>459</v>
      </c>
      <c r="D246" s="327" t="s">
        <v>799</v>
      </c>
      <c r="E246" s="327" t="s">
        <v>800</v>
      </c>
      <c r="F246" s="459">
        <v>520.46199999999976</v>
      </c>
      <c r="G246" s="339">
        <v>381.983</v>
      </c>
      <c r="H246" s="337">
        <v>348.78300000000002</v>
      </c>
      <c r="I246" s="331">
        <v>27</v>
      </c>
      <c r="J246" s="577">
        <v>0.28571400000000002</v>
      </c>
      <c r="K246" s="579">
        <v>11.93696875</v>
      </c>
      <c r="L246" s="436">
        <v>1.1851849999999999</v>
      </c>
      <c r="M246" s="42" t="s">
        <v>227</v>
      </c>
      <c r="N246" s="334">
        <v>94</v>
      </c>
      <c r="O246" s="335">
        <v>70</v>
      </c>
      <c r="P246" s="335">
        <v>19</v>
      </c>
      <c r="Q246" s="389">
        <v>5</v>
      </c>
      <c r="R246" s="430">
        <v>14</v>
      </c>
      <c r="S246" s="339">
        <v>2</v>
      </c>
      <c r="T246" s="362">
        <v>10</v>
      </c>
      <c r="U246" s="337">
        <v>6</v>
      </c>
      <c r="V246" s="338">
        <v>0.25</v>
      </c>
    </row>
    <row r="247" spans="2:22" ht="13.5">
      <c r="B247" s="1577">
        <v>201602</v>
      </c>
      <c r="C247" s="324" t="s">
        <v>459</v>
      </c>
      <c r="D247" s="325" t="s">
        <v>1567</v>
      </c>
      <c r="E247" s="325" t="s">
        <v>1028</v>
      </c>
      <c r="F247" s="460">
        <v>1288.1239999999996</v>
      </c>
      <c r="G247" s="92">
        <v>721.33</v>
      </c>
      <c r="H247" s="279">
        <v>597.12</v>
      </c>
      <c r="I247" s="154">
        <v>37</v>
      </c>
      <c r="J247" s="576">
        <v>0.25964900000000002</v>
      </c>
      <c r="K247" s="578">
        <v>18.033249999999999</v>
      </c>
      <c r="L247" s="437">
        <v>1.081081</v>
      </c>
      <c r="M247" s="42" t="s">
        <v>227</v>
      </c>
      <c r="N247" s="47">
        <v>148</v>
      </c>
      <c r="O247" s="45">
        <v>107</v>
      </c>
      <c r="P247" s="45">
        <v>34</v>
      </c>
      <c r="Q247" s="388">
        <v>7</v>
      </c>
      <c r="R247" s="429">
        <v>4</v>
      </c>
      <c r="S247" s="92"/>
      <c r="T247" s="361">
        <v>15</v>
      </c>
      <c r="U247" s="285">
        <v>10</v>
      </c>
      <c r="V247" s="438">
        <v>0.24390243902439024</v>
      </c>
    </row>
    <row r="248" spans="2:22" ht="13.5">
      <c r="B248" s="1577">
        <v>201602</v>
      </c>
      <c r="C248" s="326" t="s">
        <v>459</v>
      </c>
      <c r="D248" s="327" t="s">
        <v>177</v>
      </c>
      <c r="E248" s="327" t="s">
        <v>189</v>
      </c>
      <c r="F248" s="459">
        <v>792.99699999999984</v>
      </c>
      <c r="G248" s="339">
        <v>491.13299999999998</v>
      </c>
      <c r="H248" s="337">
        <v>491.13299999999998</v>
      </c>
      <c r="I248" s="331">
        <v>18</v>
      </c>
      <c r="J248" s="577">
        <v>0.244898</v>
      </c>
      <c r="K248" s="579">
        <v>20.463875000000002</v>
      </c>
      <c r="L248" s="436">
        <v>1.3333330000000001</v>
      </c>
      <c r="M248" s="42" t="s">
        <v>227</v>
      </c>
      <c r="N248" s="334">
        <v>76</v>
      </c>
      <c r="O248" s="335">
        <v>55</v>
      </c>
      <c r="P248" s="335">
        <v>19</v>
      </c>
      <c r="Q248" s="389">
        <v>2</v>
      </c>
      <c r="R248" s="430">
        <v>0</v>
      </c>
      <c r="S248" s="339"/>
      <c r="T248" s="362">
        <v>5</v>
      </c>
      <c r="U248" s="337">
        <v>4</v>
      </c>
      <c r="V248" s="338">
        <v>0.19047619047619047</v>
      </c>
    </row>
    <row r="249" spans="2:22" ht="13.5">
      <c r="B249" s="1577">
        <v>201602</v>
      </c>
      <c r="C249" s="324" t="s">
        <v>459</v>
      </c>
      <c r="D249" s="325" t="s">
        <v>1568</v>
      </c>
      <c r="E249" s="325" t="s">
        <v>1569</v>
      </c>
      <c r="F249" s="460">
        <v>1099.8839999999998</v>
      </c>
      <c r="G249" s="92">
        <v>643.08900000000006</v>
      </c>
      <c r="H249" s="279">
        <v>643.08900000000006</v>
      </c>
      <c r="I249" s="154">
        <v>44</v>
      </c>
      <c r="J249" s="576">
        <v>0.205128</v>
      </c>
      <c r="K249" s="578">
        <v>11.087741379310001</v>
      </c>
      <c r="L249" s="437">
        <v>1.318182</v>
      </c>
      <c r="M249" s="42" t="s">
        <v>227</v>
      </c>
      <c r="N249" s="47">
        <v>208</v>
      </c>
      <c r="O249" s="45">
        <v>154</v>
      </c>
      <c r="P249" s="45">
        <v>53</v>
      </c>
      <c r="Q249" s="388">
        <v>1</v>
      </c>
      <c r="R249" s="429">
        <v>20</v>
      </c>
      <c r="S249" s="92">
        <v>2</v>
      </c>
      <c r="T249" s="361">
        <v>5</v>
      </c>
      <c r="U249" s="285">
        <v>3</v>
      </c>
      <c r="V249" s="438">
        <v>5.5555555555555552E-2</v>
      </c>
    </row>
    <row r="250" spans="2:22" ht="13.5">
      <c r="B250" s="1577">
        <v>201602</v>
      </c>
      <c r="C250" s="326" t="s">
        <v>459</v>
      </c>
      <c r="D250" s="327" t="s">
        <v>176</v>
      </c>
      <c r="E250" s="327" t="s">
        <v>188</v>
      </c>
      <c r="F250" s="459">
        <v>917.80300000000011</v>
      </c>
      <c r="G250" s="339">
        <v>469.13200000000001</v>
      </c>
      <c r="H250" s="337">
        <v>469.13200000000001</v>
      </c>
      <c r="I250" s="331">
        <v>29</v>
      </c>
      <c r="J250" s="577">
        <v>0.123667</v>
      </c>
      <c r="K250" s="579">
        <v>13.403771428571</v>
      </c>
      <c r="L250" s="436">
        <v>1.2068970000000001</v>
      </c>
      <c r="M250" s="42" t="s">
        <v>227</v>
      </c>
      <c r="N250" s="334">
        <v>216</v>
      </c>
      <c r="O250" s="335">
        <v>170</v>
      </c>
      <c r="P250" s="335">
        <v>36</v>
      </c>
      <c r="Q250" s="389">
        <v>10</v>
      </c>
      <c r="R250" s="430">
        <v>39</v>
      </c>
      <c r="S250" s="339">
        <v>1</v>
      </c>
      <c r="T250" s="362">
        <v>1</v>
      </c>
      <c r="U250" s="337">
        <v>1</v>
      </c>
      <c r="V250" s="338">
        <v>2.1739130434782608E-2</v>
      </c>
    </row>
    <row r="251" spans="2:22" ht="13.5">
      <c r="B251" s="1577">
        <v>201602</v>
      </c>
      <c r="C251" s="324" t="s">
        <v>459</v>
      </c>
      <c r="D251" s="325" t="s">
        <v>1572</v>
      </c>
      <c r="E251" s="325" t="s">
        <v>1573</v>
      </c>
      <c r="F251" s="460">
        <v>636.70200000000023</v>
      </c>
      <c r="G251" s="92">
        <v>535.97799999999995</v>
      </c>
      <c r="H251" s="279">
        <v>513.98800000000006</v>
      </c>
      <c r="I251" s="154">
        <v>30</v>
      </c>
      <c r="J251" s="576">
        <v>0.3125</v>
      </c>
      <c r="K251" s="578">
        <v>14.888277777777999</v>
      </c>
      <c r="L251" s="437">
        <v>1.2</v>
      </c>
      <c r="M251" s="42" t="s">
        <v>227</v>
      </c>
      <c r="N251" s="47">
        <v>88</v>
      </c>
      <c r="O251" s="45">
        <v>75</v>
      </c>
      <c r="P251" s="45">
        <v>10</v>
      </c>
      <c r="Q251" s="388">
        <v>3</v>
      </c>
      <c r="R251" s="429">
        <v>28</v>
      </c>
      <c r="S251" s="92">
        <v>1</v>
      </c>
      <c r="T251" s="361">
        <v>10</v>
      </c>
      <c r="U251" s="285">
        <v>5</v>
      </c>
      <c r="V251" s="438">
        <v>0.38461538461538464</v>
      </c>
    </row>
    <row r="252" spans="2:22" ht="13.5">
      <c r="B252" s="1577">
        <v>201602</v>
      </c>
      <c r="C252" s="326" t="s">
        <v>459</v>
      </c>
      <c r="D252" s="327" t="s">
        <v>1104</v>
      </c>
      <c r="E252" s="327" t="s">
        <v>1287</v>
      </c>
      <c r="F252" s="459">
        <v>721.14099999999985</v>
      </c>
      <c r="G252" s="339">
        <v>319.38799999999998</v>
      </c>
      <c r="H252" s="337">
        <v>315.01499999999999</v>
      </c>
      <c r="I252" s="331">
        <v>19</v>
      </c>
      <c r="J252" s="577">
        <v>0.152</v>
      </c>
      <c r="K252" s="579">
        <v>11.406714285714001</v>
      </c>
      <c r="L252" s="436">
        <v>1.473684</v>
      </c>
      <c r="M252" s="42" t="s">
        <v>227</v>
      </c>
      <c r="N252" s="334">
        <v>131</v>
      </c>
      <c r="O252" s="335">
        <v>99</v>
      </c>
      <c r="P252" s="335">
        <v>22</v>
      </c>
      <c r="Q252" s="389">
        <v>10</v>
      </c>
      <c r="R252" s="430">
        <v>8</v>
      </c>
      <c r="S252" s="339"/>
      <c r="T252" s="362">
        <v>20</v>
      </c>
      <c r="U252" s="337">
        <v>8</v>
      </c>
      <c r="V252" s="338">
        <v>0.25</v>
      </c>
    </row>
    <row r="253" spans="2:22" ht="13.5">
      <c r="B253" s="1577">
        <v>201602</v>
      </c>
      <c r="C253" s="324" t="s">
        <v>2048</v>
      </c>
      <c r="D253" s="325" t="s">
        <v>2046</v>
      </c>
      <c r="E253" s="325" t="s">
        <v>2054</v>
      </c>
      <c r="F253" s="460">
        <v>644.72300000000007</v>
      </c>
      <c r="G253" s="92">
        <v>278.97899999999998</v>
      </c>
      <c r="H253" s="279">
        <v>290.21199999999999</v>
      </c>
      <c r="I253" s="154">
        <v>19</v>
      </c>
      <c r="J253" s="576">
        <v>0.129693</v>
      </c>
      <c r="K253" s="578">
        <v>12.12952173913</v>
      </c>
      <c r="L253" s="437">
        <v>1.210526</v>
      </c>
      <c r="M253" s="42" t="s">
        <v>227</v>
      </c>
      <c r="N253" s="47">
        <v>151</v>
      </c>
      <c r="O253" s="45">
        <v>117</v>
      </c>
      <c r="P253" s="45">
        <v>34</v>
      </c>
      <c r="Q253" s="388">
        <v>0</v>
      </c>
      <c r="R253" s="429">
        <v>11</v>
      </c>
      <c r="S253" s="92"/>
      <c r="T253" s="361">
        <v>20</v>
      </c>
      <c r="U253" s="285">
        <v>11</v>
      </c>
      <c r="V253" s="438">
        <v>0.3235294117647059</v>
      </c>
    </row>
    <row r="254" spans="2:22" ht="13.5">
      <c r="B254" s="1577">
        <v>201601</v>
      </c>
      <c r="C254" s="326" t="s">
        <v>458</v>
      </c>
      <c r="D254" s="327" t="s">
        <v>1563</v>
      </c>
      <c r="E254" s="327" t="s">
        <v>1564</v>
      </c>
      <c r="F254" s="459">
        <v>156.77100000000004</v>
      </c>
      <c r="G254" s="339">
        <v>191.27099999999999</v>
      </c>
      <c r="H254" s="337">
        <v>156.77099999999999</v>
      </c>
      <c r="I254" s="331">
        <v>11</v>
      </c>
      <c r="J254" s="577">
        <v>0.261905</v>
      </c>
      <c r="K254" s="579">
        <v>12.7514</v>
      </c>
      <c r="L254" s="436">
        <v>1.3636360000000001</v>
      </c>
      <c r="M254" s="42" t="s">
        <v>227</v>
      </c>
      <c r="N254" s="334">
        <v>44</v>
      </c>
      <c r="O254" s="335">
        <v>34</v>
      </c>
      <c r="P254" s="335">
        <v>7</v>
      </c>
      <c r="Q254" s="389">
        <v>3</v>
      </c>
      <c r="R254" s="430">
        <v>0</v>
      </c>
      <c r="S254" s="339"/>
      <c r="T254" s="362">
        <v>4</v>
      </c>
      <c r="U254" s="337">
        <v>3</v>
      </c>
      <c r="V254" s="338">
        <v>0.3</v>
      </c>
    </row>
    <row r="255" spans="2:22" ht="13.5">
      <c r="B255" s="1577">
        <v>201601</v>
      </c>
      <c r="C255" s="324" t="s">
        <v>458</v>
      </c>
      <c r="D255" s="325" t="s">
        <v>1099</v>
      </c>
      <c r="E255" s="325" t="s">
        <v>1286</v>
      </c>
      <c r="F255" s="460">
        <v>209.76400000000001</v>
      </c>
      <c r="G255" s="92">
        <v>95.385999999999996</v>
      </c>
      <c r="H255" s="279">
        <v>209.76400000000001</v>
      </c>
      <c r="I255" s="154">
        <v>10</v>
      </c>
      <c r="J255" s="576">
        <v>0.12903200000000001</v>
      </c>
      <c r="K255" s="578">
        <v>5.9616249999999997</v>
      </c>
      <c r="L255" s="437">
        <v>1.6</v>
      </c>
      <c r="M255" s="42" t="s">
        <v>227</v>
      </c>
      <c r="N255" s="47">
        <v>80</v>
      </c>
      <c r="O255" s="45">
        <v>59</v>
      </c>
      <c r="P255" s="45">
        <v>16</v>
      </c>
      <c r="Q255" s="388">
        <v>5</v>
      </c>
      <c r="R255" s="429">
        <v>0</v>
      </c>
      <c r="S255" s="92"/>
      <c r="T255" s="361">
        <v>5</v>
      </c>
      <c r="U255" s="285">
        <v>5</v>
      </c>
      <c r="V255" s="438">
        <v>0.23809523809523808</v>
      </c>
    </row>
    <row r="256" spans="2:22" ht="13.5">
      <c r="B256" s="1577">
        <v>201601</v>
      </c>
      <c r="C256" s="326" t="s">
        <v>458</v>
      </c>
      <c r="D256" s="327" t="s">
        <v>900</v>
      </c>
      <c r="E256" s="327" t="s">
        <v>901</v>
      </c>
      <c r="F256" s="459">
        <v>0.19900000000001228</v>
      </c>
      <c r="G256" s="339">
        <v>-37.966999999999999</v>
      </c>
      <c r="H256" s="337">
        <v>0.19900000000000001</v>
      </c>
      <c r="I256" s="331">
        <v>1</v>
      </c>
      <c r="J256" s="577">
        <v>1.8519000000000001E-2</v>
      </c>
      <c r="K256" s="579">
        <v>0</v>
      </c>
      <c r="L256" s="436">
        <v>0</v>
      </c>
      <c r="M256" s="42" t="s">
        <v>227</v>
      </c>
      <c r="N256" s="334">
        <v>54</v>
      </c>
      <c r="O256" s="335">
        <v>39</v>
      </c>
      <c r="P256" s="335">
        <v>13</v>
      </c>
      <c r="Q256" s="389">
        <v>2</v>
      </c>
      <c r="R256" s="430">
        <v>0</v>
      </c>
      <c r="S256" s="339"/>
      <c r="T256" s="362"/>
      <c r="U256" s="337"/>
      <c r="V256" s="338"/>
    </row>
    <row r="257" spans="2:22" ht="13.5">
      <c r="B257" s="1577">
        <v>201601</v>
      </c>
      <c r="C257" s="324" t="s">
        <v>458</v>
      </c>
      <c r="D257" s="325" t="s">
        <v>649</v>
      </c>
      <c r="E257" s="325" t="s">
        <v>645</v>
      </c>
      <c r="F257" s="460">
        <v>195.01600000000005</v>
      </c>
      <c r="G257" s="92">
        <v>146.23099999999999</v>
      </c>
      <c r="H257" s="279">
        <v>195.01599999999999</v>
      </c>
      <c r="I257" s="154">
        <v>6</v>
      </c>
      <c r="J257" s="576">
        <v>8.2192000000000001E-2</v>
      </c>
      <c r="K257" s="578">
        <v>18.278874999999999</v>
      </c>
      <c r="L257" s="437">
        <v>1.3333330000000001</v>
      </c>
      <c r="M257" s="42" t="s">
        <v>227</v>
      </c>
      <c r="N257" s="47">
        <v>72</v>
      </c>
      <c r="O257" s="45">
        <v>52</v>
      </c>
      <c r="P257" s="45">
        <v>19</v>
      </c>
      <c r="Q257" s="388">
        <v>1</v>
      </c>
      <c r="R257" s="429">
        <v>4</v>
      </c>
      <c r="S257" s="92"/>
      <c r="T257" s="361">
        <v>2</v>
      </c>
      <c r="U257" s="285">
        <v>2</v>
      </c>
      <c r="V257" s="438">
        <v>0.1</v>
      </c>
    </row>
    <row r="258" spans="2:22" ht="13.5">
      <c r="B258" s="1577">
        <v>201601</v>
      </c>
      <c r="C258" s="326" t="s">
        <v>458</v>
      </c>
      <c r="D258" s="327" t="s">
        <v>650</v>
      </c>
      <c r="E258" s="327" t="s">
        <v>1777</v>
      </c>
      <c r="F258" s="459">
        <v>39.03</v>
      </c>
      <c r="G258" s="339">
        <v>-0.50800000000000001</v>
      </c>
      <c r="H258" s="337">
        <v>39.03</v>
      </c>
      <c r="I258" s="331">
        <v>0</v>
      </c>
      <c r="J258" s="577">
        <v>0</v>
      </c>
      <c r="K258" s="579">
        <v>-0.50800000000000001</v>
      </c>
      <c r="L258" s="436">
        <v>0</v>
      </c>
      <c r="M258" s="42" t="s">
        <v>227</v>
      </c>
      <c r="N258" s="334">
        <v>30</v>
      </c>
      <c r="O258" s="335">
        <v>19</v>
      </c>
      <c r="P258" s="335">
        <v>9</v>
      </c>
      <c r="Q258" s="389">
        <v>2</v>
      </c>
      <c r="R258" s="430">
        <v>4</v>
      </c>
      <c r="S258" s="339"/>
      <c r="T258" s="362"/>
      <c r="U258" s="337"/>
      <c r="V258" s="338"/>
    </row>
    <row r="259" spans="2:22" ht="13.5">
      <c r="B259" s="1577">
        <v>201601</v>
      </c>
      <c r="C259" s="324" t="s">
        <v>458</v>
      </c>
      <c r="D259" s="325" t="s">
        <v>902</v>
      </c>
      <c r="E259" s="325" t="s">
        <v>1014</v>
      </c>
      <c r="F259" s="460">
        <v>313.20400000000006</v>
      </c>
      <c r="G259" s="92">
        <v>239.898</v>
      </c>
      <c r="H259" s="279">
        <v>313.20400000000001</v>
      </c>
      <c r="I259" s="154">
        <v>14</v>
      </c>
      <c r="J259" s="576">
        <v>0.15384600000000001</v>
      </c>
      <c r="K259" s="578">
        <v>15.9932</v>
      </c>
      <c r="L259" s="437">
        <v>1.071429</v>
      </c>
      <c r="M259" s="42" t="s">
        <v>227</v>
      </c>
      <c r="N259" s="47">
        <v>90</v>
      </c>
      <c r="O259" s="45">
        <v>64</v>
      </c>
      <c r="P259" s="45">
        <v>24</v>
      </c>
      <c r="Q259" s="388">
        <v>2</v>
      </c>
      <c r="R259" s="429">
        <v>6</v>
      </c>
      <c r="S259" s="92"/>
      <c r="T259" s="361">
        <v>4</v>
      </c>
      <c r="U259" s="285">
        <v>3</v>
      </c>
      <c r="V259" s="438">
        <v>0.11538461538461539</v>
      </c>
    </row>
    <row r="260" spans="2:22" ht="13.5">
      <c r="B260" s="1577">
        <v>201601</v>
      </c>
      <c r="C260" s="326" t="s">
        <v>458</v>
      </c>
      <c r="D260" s="327" t="s">
        <v>642</v>
      </c>
      <c r="E260" s="327" t="s">
        <v>641</v>
      </c>
      <c r="F260" s="459">
        <v>286.11699999999996</v>
      </c>
      <c r="G260" s="339">
        <v>281.06</v>
      </c>
      <c r="H260" s="337">
        <v>286.11700000000002</v>
      </c>
      <c r="I260" s="331">
        <v>14</v>
      </c>
      <c r="J260" s="577">
        <v>0.187919</v>
      </c>
      <c r="K260" s="579">
        <v>14.792631578947001</v>
      </c>
      <c r="L260" s="436">
        <v>1.357143</v>
      </c>
      <c r="M260" s="42" t="s">
        <v>227</v>
      </c>
      <c r="N260" s="334">
        <v>76</v>
      </c>
      <c r="O260" s="335">
        <v>59</v>
      </c>
      <c r="P260" s="335">
        <v>17</v>
      </c>
      <c r="Q260" s="389">
        <v>0</v>
      </c>
      <c r="R260" s="430">
        <v>5</v>
      </c>
      <c r="S260" s="339">
        <v>1</v>
      </c>
      <c r="T260" s="362">
        <v>7</v>
      </c>
      <c r="U260" s="337">
        <v>4</v>
      </c>
      <c r="V260" s="338">
        <v>0.23529411764705882</v>
      </c>
    </row>
    <row r="261" spans="2:22" ht="13.5">
      <c r="B261" s="1577">
        <v>201601</v>
      </c>
      <c r="C261" s="324" t="s">
        <v>458</v>
      </c>
      <c r="D261" s="325" t="s">
        <v>91</v>
      </c>
      <c r="E261" s="325" t="s">
        <v>92</v>
      </c>
      <c r="F261" s="460">
        <v>314.46099999999996</v>
      </c>
      <c r="G261" s="92">
        <v>309.00599999999997</v>
      </c>
      <c r="H261" s="279">
        <v>314.46100000000001</v>
      </c>
      <c r="I261" s="154">
        <v>13</v>
      </c>
      <c r="J261" s="576">
        <v>0.116592</v>
      </c>
      <c r="K261" s="578">
        <v>17.167000000000002</v>
      </c>
      <c r="L261" s="437">
        <v>1.3846149999999999</v>
      </c>
      <c r="M261" s="42" t="s">
        <v>227</v>
      </c>
      <c r="N261" s="47">
        <v>113</v>
      </c>
      <c r="O261" s="45">
        <v>79</v>
      </c>
      <c r="P261" s="45">
        <v>28</v>
      </c>
      <c r="Q261" s="388">
        <v>6</v>
      </c>
      <c r="R261" s="429">
        <v>0</v>
      </c>
      <c r="S261" s="92"/>
      <c r="T261" s="361">
        <v>1</v>
      </c>
      <c r="U261" s="285">
        <v>1</v>
      </c>
      <c r="V261" s="438">
        <v>2.9411764705882353E-2</v>
      </c>
    </row>
    <row r="262" spans="2:22" ht="13.5">
      <c r="B262" s="1577">
        <v>201601</v>
      </c>
      <c r="C262" s="326" t="s">
        <v>458</v>
      </c>
      <c r="D262" s="327" t="s">
        <v>187</v>
      </c>
      <c r="E262" s="327" t="s">
        <v>194</v>
      </c>
      <c r="F262" s="459">
        <v>190.72299999999998</v>
      </c>
      <c r="G262" s="339">
        <v>215.108</v>
      </c>
      <c r="H262" s="337">
        <v>190.72300000000001</v>
      </c>
      <c r="I262" s="331">
        <v>11</v>
      </c>
      <c r="J262" s="577">
        <v>0.139241</v>
      </c>
      <c r="K262" s="579">
        <v>15.364857142857</v>
      </c>
      <c r="L262" s="436">
        <v>1.2727269999999999</v>
      </c>
      <c r="M262" s="42" t="s">
        <v>227</v>
      </c>
      <c r="N262" s="334">
        <v>79</v>
      </c>
      <c r="O262" s="335">
        <v>58</v>
      </c>
      <c r="P262" s="335">
        <v>15</v>
      </c>
      <c r="Q262" s="389">
        <v>6</v>
      </c>
      <c r="R262" s="430">
        <v>0</v>
      </c>
      <c r="S262" s="339"/>
      <c r="T262" s="362"/>
      <c r="U262" s="337"/>
      <c r="V262" s="338"/>
    </row>
    <row r="263" spans="2:22" ht="13.5">
      <c r="B263" s="1577">
        <v>201601</v>
      </c>
      <c r="C263" s="324" t="s">
        <v>458</v>
      </c>
      <c r="D263" s="325" t="s">
        <v>734</v>
      </c>
      <c r="E263" s="325" t="s">
        <v>1766</v>
      </c>
      <c r="F263" s="460">
        <v>231.44599999999994</v>
      </c>
      <c r="G263" s="92">
        <v>244.071</v>
      </c>
      <c r="H263" s="279">
        <v>231.446</v>
      </c>
      <c r="I263" s="154">
        <v>14</v>
      </c>
      <c r="J263" s="576">
        <v>8.7774000000000005E-2</v>
      </c>
      <c r="K263" s="578">
        <v>14.357117647058999</v>
      </c>
      <c r="L263" s="437">
        <v>1.214286</v>
      </c>
      <c r="M263" s="42" t="s">
        <v>227</v>
      </c>
      <c r="N263" s="47">
        <v>156</v>
      </c>
      <c r="O263" s="45">
        <v>125</v>
      </c>
      <c r="P263" s="45">
        <v>28</v>
      </c>
      <c r="Q263" s="388">
        <v>3</v>
      </c>
      <c r="R263" s="429">
        <v>8</v>
      </c>
      <c r="S263" s="92"/>
      <c r="T263" s="361">
        <v>1</v>
      </c>
      <c r="U263" s="285">
        <v>1</v>
      </c>
      <c r="V263" s="438">
        <v>3.2258064516129031E-2</v>
      </c>
    </row>
    <row r="264" spans="2:22" ht="13.5">
      <c r="B264" s="1577">
        <v>201601</v>
      </c>
      <c r="C264" s="326" t="s">
        <v>458</v>
      </c>
      <c r="D264" s="327" t="s">
        <v>735</v>
      </c>
      <c r="E264" s="327" t="s">
        <v>790</v>
      </c>
      <c r="F264" s="459">
        <v>1077.2180000000001</v>
      </c>
      <c r="G264" s="339">
        <v>1163.5229999999999</v>
      </c>
      <c r="H264" s="337">
        <v>1077.2180000000001</v>
      </c>
      <c r="I264" s="331">
        <v>18</v>
      </c>
      <c r="J264" s="577">
        <v>0.264706</v>
      </c>
      <c r="K264" s="579">
        <v>40.121482758620999</v>
      </c>
      <c r="L264" s="436">
        <v>1.611111</v>
      </c>
      <c r="M264" s="42" t="s">
        <v>227</v>
      </c>
      <c r="N264" s="334">
        <v>70</v>
      </c>
      <c r="O264" s="335">
        <v>54</v>
      </c>
      <c r="P264" s="335">
        <v>14</v>
      </c>
      <c r="Q264" s="389">
        <v>2</v>
      </c>
      <c r="R264" s="430">
        <v>0</v>
      </c>
      <c r="S264" s="339">
        <v>1</v>
      </c>
      <c r="T264" s="362">
        <v>3</v>
      </c>
      <c r="U264" s="337">
        <v>3</v>
      </c>
      <c r="V264" s="338">
        <v>0.1875</v>
      </c>
    </row>
    <row r="265" spans="2:22" ht="13.5">
      <c r="B265" s="1577">
        <v>201601</v>
      </c>
      <c r="C265" s="324" t="s">
        <v>458</v>
      </c>
      <c r="D265" s="325" t="s">
        <v>798</v>
      </c>
      <c r="E265" s="325" t="s">
        <v>1768</v>
      </c>
      <c r="F265" s="460">
        <v>306.072</v>
      </c>
      <c r="G265" s="92">
        <v>304.73099999999999</v>
      </c>
      <c r="H265" s="279">
        <v>306.072</v>
      </c>
      <c r="I265" s="154">
        <v>6</v>
      </c>
      <c r="J265" s="576">
        <v>0.13636400000000001</v>
      </c>
      <c r="K265" s="578">
        <v>23.440846153846</v>
      </c>
      <c r="L265" s="437">
        <v>2.1666669999999999</v>
      </c>
      <c r="M265" s="42" t="s">
        <v>227</v>
      </c>
      <c r="N265" s="47">
        <v>44</v>
      </c>
      <c r="O265" s="45">
        <v>31</v>
      </c>
      <c r="P265" s="45">
        <v>11</v>
      </c>
      <c r="Q265" s="388">
        <v>2</v>
      </c>
      <c r="R265" s="429">
        <v>0</v>
      </c>
      <c r="S265" s="92"/>
      <c r="T265" s="361"/>
      <c r="U265" s="285"/>
      <c r="V265" s="438"/>
    </row>
    <row r="266" spans="2:22" ht="13.5">
      <c r="B266" s="1577">
        <v>201601</v>
      </c>
      <c r="C266" s="326" t="s">
        <v>458</v>
      </c>
      <c r="D266" s="327" t="s">
        <v>949</v>
      </c>
      <c r="E266" s="327" t="s">
        <v>950</v>
      </c>
      <c r="F266" s="459">
        <v>459.68899999999985</v>
      </c>
      <c r="G266" s="339">
        <v>416.66399999999999</v>
      </c>
      <c r="H266" s="337">
        <v>459.68900000000002</v>
      </c>
      <c r="I266" s="331">
        <v>13</v>
      </c>
      <c r="J266" s="577">
        <v>0.149425</v>
      </c>
      <c r="K266" s="579">
        <v>18.115826086957</v>
      </c>
      <c r="L266" s="436">
        <v>1.769231</v>
      </c>
      <c r="M266" s="42" t="s">
        <v>227</v>
      </c>
      <c r="N266" s="334">
        <v>88</v>
      </c>
      <c r="O266" s="335">
        <v>63</v>
      </c>
      <c r="P266" s="335">
        <v>20</v>
      </c>
      <c r="Q266" s="389">
        <v>5</v>
      </c>
      <c r="R266" s="430">
        <v>2</v>
      </c>
      <c r="S266" s="339"/>
      <c r="T266" s="362">
        <v>4</v>
      </c>
      <c r="U266" s="337">
        <v>4</v>
      </c>
      <c r="V266" s="338">
        <v>0.16</v>
      </c>
    </row>
    <row r="267" spans="2:22" ht="13.5">
      <c r="B267" s="1577">
        <v>201601</v>
      </c>
      <c r="C267" s="324" t="s">
        <v>458</v>
      </c>
      <c r="D267" s="325" t="s">
        <v>903</v>
      </c>
      <c r="E267" s="325" t="s">
        <v>904</v>
      </c>
      <c r="F267" s="460">
        <v>506.60300000000007</v>
      </c>
      <c r="G267" s="92">
        <v>524.72199999999998</v>
      </c>
      <c r="H267" s="279">
        <v>506.60300000000001</v>
      </c>
      <c r="I267" s="154">
        <v>21</v>
      </c>
      <c r="J267" s="576">
        <v>0.193548</v>
      </c>
      <c r="K267" s="578">
        <v>18.740071428571</v>
      </c>
      <c r="L267" s="437">
        <v>1.3333330000000001</v>
      </c>
      <c r="M267" s="42" t="s">
        <v>227</v>
      </c>
      <c r="N267" s="47">
        <v>111</v>
      </c>
      <c r="O267" s="45">
        <v>81</v>
      </c>
      <c r="P267" s="45">
        <v>25</v>
      </c>
      <c r="Q267" s="388">
        <v>5</v>
      </c>
      <c r="R267" s="429">
        <v>0</v>
      </c>
      <c r="S267" s="92"/>
      <c r="T267" s="361">
        <v>5</v>
      </c>
      <c r="U267" s="285">
        <v>5</v>
      </c>
      <c r="V267" s="438">
        <v>0.16666666666666666</v>
      </c>
    </row>
    <row r="268" spans="2:22" ht="13.5">
      <c r="B268" s="1577">
        <v>201601</v>
      </c>
      <c r="C268" s="326" t="s">
        <v>458</v>
      </c>
      <c r="D268" s="327" t="s">
        <v>1101</v>
      </c>
      <c r="E268" s="327" t="s">
        <v>1162</v>
      </c>
      <c r="F268" s="459">
        <v>69.304000000000002</v>
      </c>
      <c r="G268" s="339">
        <v>64.233999999999995</v>
      </c>
      <c r="H268" s="337">
        <v>69.304000000000002</v>
      </c>
      <c r="I268" s="331">
        <v>3</v>
      </c>
      <c r="J268" s="577">
        <v>4.9180000000000001E-2</v>
      </c>
      <c r="K268" s="579">
        <v>10.705666666667</v>
      </c>
      <c r="L268" s="436">
        <v>2</v>
      </c>
      <c r="M268" s="42" t="s">
        <v>227</v>
      </c>
      <c r="N268" s="334">
        <v>55</v>
      </c>
      <c r="O268" s="335">
        <v>40</v>
      </c>
      <c r="P268" s="335">
        <v>15</v>
      </c>
      <c r="Q268" s="389">
        <v>0</v>
      </c>
      <c r="R268" s="430">
        <v>12</v>
      </c>
      <c r="S268" s="339"/>
      <c r="T268" s="362"/>
      <c r="U268" s="337"/>
      <c r="V268" s="338"/>
    </row>
    <row r="269" spans="2:22" ht="13.5">
      <c r="B269" s="1577">
        <v>201601</v>
      </c>
      <c r="C269" s="324" t="s">
        <v>458</v>
      </c>
      <c r="D269" s="325" t="s">
        <v>1102</v>
      </c>
      <c r="E269" s="325" t="s">
        <v>1163</v>
      </c>
      <c r="F269" s="460">
        <v>126.41899999999995</v>
      </c>
      <c r="G269" s="92">
        <v>140.28700000000001</v>
      </c>
      <c r="H269" s="279">
        <v>126.419</v>
      </c>
      <c r="I269" s="154">
        <v>12</v>
      </c>
      <c r="J269" s="576">
        <v>9.4488000000000003E-2</v>
      </c>
      <c r="K269" s="578">
        <v>12.753363636364</v>
      </c>
      <c r="L269" s="437">
        <v>0.91666700000000001</v>
      </c>
      <c r="M269" s="42" t="s">
        <v>227</v>
      </c>
      <c r="N269" s="47">
        <v>130</v>
      </c>
      <c r="O269" s="45">
        <v>99</v>
      </c>
      <c r="P269" s="45">
        <v>28</v>
      </c>
      <c r="Q269" s="388">
        <v>3</v>
      </c>
      <c r="R269" s="429">
        <v>0</v>
      </c>
      <c r="S269" s="92">
        <v>1</v>
      </c>
      <c r="T269" s="361">
        <v>5</v>
      </c>
      <c r="U269" s="285">
        <v>4</v>
      </c>
      <c r="V269" s="438">
        <v>0.12903225806451613</v>
      </c>
    </row>
    <row r="270" spans="2:22" ht="13.5">
      <c r="B270" s="1577">
        <v>201601</v>
      </c>
      <c r="C270" s="326" t="s">
        <v>458</v>
      </c>
      <c r="D270" s="327" t="s">
        <v>628</v>
      </c>
      <c r="E270" s="327" t="s">
        <v>629</v>
      </c>
      <c r="F270" s="459">
        <v>101.06599999999996</v>
      </c>
      <c r="G270" s="339">
        <v>102.34</v>
      </c>
      <c r="H270" s="337">
        <v>101.066</v>
      </c>
      <c r="I270" s="331">
        <v>5</v>
      </c>
      <c r="J270" s="577">
        <v>9.4339999999999993E-2</v>
      </c>
      <c r="K270" s="579">
        <v>10.234</v>
      </c>
      <c r="L270" s="436">
        <v>2</v>
      </c>
      <c r="M270" s="42" t="s">
        <v>227</v>
      </c>
      <c r="N270" s="334">
        <v>54</v>
      </c>
      <c r="O270" s="335">
        <v>33</v>
      </c>
      <c r="P270" s="335">
        <v>10</v>
      </c>
      <c r="Q270" s="389">
        <v>11</v>
      </c>
      <c r="R270" s="430">
        <v>0</v>
      </c>
      <c r="S270" s="339"/>
      <c r="T270" s="362">
        <v>2</v>
      </c>
      <c r="U270" s="337">
        <v>2</v>
      </c>
      <c r="V270" s="338">
        <v>9.5238095238095233E-2</v>
      </c>
    </row>
    <row r="271" spans="2:22" ht="13.5">
      <c r="B271" s="1577">
        <v>201601</v>
      </c>
      <c r="C271" s="324" t="s">
        <v>458</v>
      </c>
      <c r="D271" s="325" t="s">
        <v>1565</v>
      </c>
      <c r="E271" s="325" t="s">
        <v>1566</v>
      </c>
      <c r="F271" s="460">
        <v>90.447000000000017</v>
      </c>
      <c r="G271" s="92">
        <v>90.447000000000003</v>
      </c>
      <c r="H271" s="279">
        <v>90.447000000000003</v>
      </c>
      <c r="I271" s="154">
        <v>4</v>
      </c>
      <c r="J271" s="576">
        <v>0.112676</v>
      </c>
      <c r="K271" s="578">
        <v>18.089400000000001</v>
      </c>
      <c r="L271" s="437">
        <v>1.25</v>
      </c>
      <c r="M271" s="42" t="s">
        <v>227</v>
      </c>
      <c r="N271" s="47">
        <v>34</v>
      </c>
      <c r="O271" s="45">
        <v>28</v>
      </c>
      <c r="P271" s="45">
        <v>5</v>
      </c>
      <c r="Q271" s="388">
        <v>1</v>
      </c>
      <c r="R271" s="429">
        <v>4</v>
      </c>
      <c r="S271" s="92"/>
      <c r="T271" s="361">
        <v>1</v>
      </c>
      <c r="U271" s="285">
        <v>1</v>
      </c>
      <c r="V271" s="438">
        <v>0.16666666666666666</v>
      </c>
    </row>
    <row r="272" spans="2:22" ht="13.5">
      <c r="B272" s="1577">
        <v>201601</v>
      </c>
      <c r="C272" s="326" t="s">
        <v>458</v>
      </c>
      <c r="D272" s="327" t="s">
        <v>47</v>
      </c>
      <c r="E272" s="327" t="s">
        <v>17</v>
      </c>
      <c r="F272" s="459">
        <v>223.2140000000002</v>
      </c>
      <c r="G272" s="339">
        <v>139.161</v>
      </c>
      <c r="H272" s="337">
        <v>223.214</v>
      </c>
      <c r="I272" s="331">
        <v>5</v>
      </c>
      <c r="J272" s="577">
        <v>0.119048</v>
      </c>
      <c r="K272" s="579">
        <v>19.880142857142999</v>
      </c>
      <c r="L272" s="436">
        <v>1.4</v>
      </c>
      <c r="M272" s="42" t="s">
        <v>227</v>
      </c>
      <c r="N272" s="334">
        <v>42</v>
      </c>
      <c r="O272" s="335">
        <v>30</v>
      </c>
      <c r="P272" s="335">
        <v>10</v>
      </c>
      <c r="Q272" s="389">
        <v>2</v>
      </c>
      <c r="R272" s="430">
        <v>0</v>
      </c>
      <c r="S272" s="339"/>
      <c r="T272" s="362"/>
      <c r="U272" s="337"/>
      <c r="V272" s="338"/>
    </row>
    <row r="273" spans="2:22" ht="13.5">
      <c r="B273" s="1577">
        <v>201601</v>
      </c>
      <c r="C273" s="324" t="s">
        <v>458</v>
      </c>
      <c r="D273" s="325" t="s">
        <v>736</v>
      </c>
      <c r="E273" s="325" t="s">
        <v>697</v>
      </c>
      <c r="F273" s="460">
        <v>852.68300000000011</v>
      </c>
      <c r="G273" s="92">
        <v>393.02800000000002</v>
      </c>
      <c r="H273" s="279">
        <v>852.68299999999999</v>
      </c>
      <c r="I273" s="154">
        <v>12</v>
      </c>
      <c r="J273" s="576">
        <v>0.13953499999999999</v>
      </c>
      <c r="K273" s="578">
        <v>18.715619047619001</v>
      </c>
      <c r="L273" s="437">
        <v>1.75</v>
      </c>
      <c r="M273" s="42" t="s">
        <v>227</v>
      </c>
      <c r="N273" s="47">
        <v>84</v>
      </c>
      <c r="O273" s="45">
        <v>60</v>
      </c>
      <c r="P273" s="45">
        <v>16</v>
      </c>
      <c r="Q273" s="388">
        <v>8</v>
      </c>
      <c r="R273" s="429">
        <v>7</v>
      </c>
      <c r="S273" s="92"/>
      <c r="T273" s="361">
        <v>1</v>
      </c>
      <c r="U273" s="285">
        <v>1</v>
      </c>
      <c r="V273" s="438">
        <v>4.1666666666666664E-2</v>
      </c>
    </row>
    <row r="274" spans="2:22" ht="13.5">
      <c r="B274" s="1577">
        <v>201601</v>
      </c>
      <c r="C274" s="326" t="s">
        <v>458</v>
      </c>
      <c r="D274" s="327" t="s">
        <v>796</v>
      </c>
      <c r="E274" s="327" t="s">
        <v>797</v>
      </c>
      <c r="F274" s="459">
        <v>78.656000000000006</v>
      </c>
      <c r="G274" s="339">
        <v>25.24</v>
      </c>
      <c r="H274" s="337">
        <v>78.656000000000006</v>
      </c>
      <c r="I274" s="331">
        <v>3</v>
      </c>
      <c r="J274" s="577">
        <v>6.5216999999999997E-2</v>
      </c>
      <c r="K274" s="579">
        <v>12.62</v>
      </c>
      <c r="L274" s="436">
        <v>0.66666700000000001</v>
      </c>
      <c r="M274" s="42" t="s">
        <v>227</v>
      </c>
      <c r="N274" s="334">
        <v>46</v>
      </c>
      <c r="O274" s="335">
        <v>33</v>
      </c>
      <c r="P274" s="335">
        <v>12</v>
      </c>
      <c r="Q274" s="389">
        <v>1</v>
      </c>
      <c r="R274" s="430">
        <v>0</v>
      </c>
      <c r="S274" s="339"/>
      <c r="T274" s="362"/>
      <c r="U274" s="337"/>
      <c r="V274" s="338"/>
    </row>
    <row r="275" spans="2:22" ht="13.5">
      <c r="B275" s="1577">
        <v>201601</v>
      </c>
      <c r="C275" s="324" t="s">
        <v>458</v>
      </c>
      <c r="D275" s="325" t="s">
        <v>1418</v>
      </c>
      <c r="E275" s="325" t="s">
        <v>1771</v>
      </c>
      <c r="F275" s="460">
        <v>79.47799999999998</v>
      </c>
      <c r="G275" s="92">
        <v>79.477999999999994</v>
      </c>
      <c r="H275" s="279">
        <v>79.477999999999994</v>
      </c>
      <c r="I275" s="154">
        <v>4</v>
      </c>
      <c r="J275" s="576">
        <v>7.2727E-2</v>
      </c>
      <c r="K275" s="578">
        <v>11.353999999999999</v>
      </c>
      <c r="L275" s="437">
        <v>1.75</v>
      </c>
      <c r="M275" s="42" t="s">
        <v>227</v>
      </c>
      <c r="N275" s="47">
        <v>55</v>
      </c>
      <c r="O275" s="45">
        <v>39</v>
      </c>
      <c r="P275" s="45">
        <v>15</v>
      </c>
      <c r="Q275" s="388">
        <v>1</v>
      </c>
      <c r="R275" s="429">
        <v>0</v>
      </c>
      <c r="S275" s="92"/>
      <c r="T275" s="361"/>
      <c r="U275" s="285"/>
      <c r="V275" s="438"/>
    </row>
    <row r="276" spans="2:22" ht="13.5">
      <c r="B276" s="1577">
        <v>201601</v>
      </c>
      <c r="C276" s="326" t="s">
        <v>458</v>
      </c>
      <c r="D276" s="327" t="s">
        <v>1669</v>
      </c>
      <c r="E276" s="327" t="s">
        <v>1670</v>
      </c>
      <c r="F276" s="459">
        <v>76.085999999999984</v>
      </c>
      <c r="G276" s="339">
        <v>84.533000000000001</v>
      </c>
      <c r="H276" s="337">
        <v>76.085999999999999</v>
      </c>
      <c r="I276" s="331">
        <v>1</v>
      </c>
      <c r="J276" s="577">
        <v>0.05</v>
      </c>
      <c r="K276" s="579">
        <v>21.13325</v>
      </c>
      <c r="L276" s="436">
        <v>4</v>
      </c>
      <c r="M276" s="42" t="s">
        <v>227</v>
      </c>
      <c r="N276" s="334">
        <v>19</v>
      </c>
      <c r="O276" s="335">
        <v>15</v>
      </c>
      <c r="P276" s="335">
        <v>4</v>
      </c>
      <c r="Q276" s="389">
        <v>0</v>
      </c>
      <c r="R276" s="430">
        <v>3</v>
      </c>
      <c r="S276" s="339"/>
      <c r="T276" s="362">
        <v>1</v>
      </c>
      <c r="U276" s="337">
        <v>1</v>
      </c>
      <c r="V276" s="338">
        <v>0.25</v>
      </c>
    </row>
    <row r="277" spans="2:22" ht="13.5">
      <c r="B277" s="1577">
        <v>201601</v>
      </c>
      <c r="C277" s="324" t="s">
        <v>458</v>
      </c>
      <c r="D277" s="325" t="s">
        <v>630</v>
      </c>
      <c r="E277" s="325" t="s">
        <v>483</v>
      </c>
      <c r="F277" s="460">
        <v>111.14800000000002</v>
      </c>
      <c r="G277" s="92">
        <v>100.74</v>
      </c>
      <c r="H277" s="279">
        <v>111.148</v>
      </c>
      <c r="I277" s="154">
        <v>3</v>
      </c>
      <c r="J277" s="576">
        <v>0.05</v>
      </c>
      <c r="K277" s="578">
        <v>14.391428571429</v>
      </c>
      <c r="L277" s="437">
        <v>2.3333330000000001</v>
      </c>
      <c r="M277" s="42" t="s">
        <v>227</v>
      </c>
      <c r="N277" s="47">
        <v>60</v>
      </c>
      <c r="O277" s="45">
        <v>45</v>
      </c>
      <c r="P277" s="45">
        <v>11</v>
      </c>
      <c r="Q277" s="388">
        <v>4</v>
      </c>
      <c r="R277" s="429">
        <v>0</v>
      </c>
      <c r="S277" s="92"/>
      <c r="T277" s="361"/>
      <c r="U277" s="285"/>
      <c r="V277" s="438"/>
    </row>
    <row r="278" spans="2:22" ht="13.5">
      <c r="B278" s="1577">
        <v>201601</v>
      </c>
      <c r="C278" s="326" t="s">
        <v>458</v>
      </c>
      <c r="D278" s="327" t="s">
        <v>905</v>
      </c>
      <c r="E278" s="327" t="s">
        <v>906</v>
      </c>
      <c r="F278" s="459">
        <v>199.03800000000001</v>
      </c>
      <c r="G278" s="339">
        <v>183.774</v>
      </c>
      <c r="H278" s="337">
        <v>199.03800000000001</v>
      </c>
      <c r="I278" s="331">
        <v>10</v>
      </c>
      <c r="J278" s="577">
        <v>0.17391300000000001</v>
      </c>
      <c r="K278" s="579">
        <v>15.314500000000001</v>
      </c>
      <c r="L278" s="436">
        <v>1.2</v>
      </c>
      <c r="M278" s="42" t="s">
        <v>227</v>
      </c>
      <c r="N278" s="334">
        <v>58</v>
      </c>
      <c r="O278" s="335">
        <v>44</v>
      </c>
      <c r="P278" s="335">
        <v>13</v>
      </c>
      <c r="Q278" s="389">
        <v>1</v>
      </c>
      <c r="R278" s="430">
        <v>0</v>
      </c>
      <c r="S278" s="339"/>
      <c r="T278" s="362">
        <v>1</v>
      </c>
      <c r="U278" s="337">
        <v>1</v>
      </c>
      <c r="V278" s="338">
        <v>7.1428571428571425E-2</v>
      </c>
    </row>
    <row r="279" spans="2:22" ht="13.5">
      <c r="B279" s="1577">
        <v>201601</v>
      </c>
      <c r="C279" s="324" t="s">
        <v>458</v>
      </c>
      <c r="D279" s="325" t="s">
        <v>648</v>
      </c>
      <c r="E279" s="325" t="s">
        <v>644</v>
      </c>
      <c r="F279" s="460">
        <v>110.57370000000007</v>
      </c>
      <c r="G279" s="92">
        <v>160.613</v>
      </c>
      <c r="H279" s="279">
        <v>110.5737</v>
      </c>
      <c r="I279" s="154">
        <v>6</v>
      </c>
      <c r="J279" s="576">
        <v>0.113208</v>
      </c>
      <c r="K279" s="578">
        <v>11.472357142857</v>
      </c>
      <c r="L279" s="437">
        <v>2.3333330000000001</v>
      </c>
      <c r="M279" s="42" t="s">
        <v>227</v>
      </c>
      <c r="N279" s="47">
        <v>53</v>
      </c>
      <c r="O279" s="45">
        <v>38</v>
      </c>
      <c r="P279" s="45">
        <v>14</v>
      </c>
      <c r="Q279" s="388">
        <v>1</v>
      </c>
      <c r="R279" s="429">
        <v>3</v>
      </c>
      <c r="S279" s="92"/>
      <c r="T279" s="361">
        <v>3</v>
      </c>
      <c r="U279" s="285">
        <v>2</v>
      </c>
      <c r="V279" s="438">
        <v>0.13333333333333333</v>
      </c>
    </row>
    <row r="280" spans="2:22" ht="13.5">
      <c r="B280" s="1577">
        <v>201601</v>
      </c>
      <c r="C280" s="326" t="s">
        <v>459</v>
      </c>
      <c r="D280" s="327" t="s">
        <v>1100</v>
      </c>
      <c r="E280" s="327" t="s">
        <v>1774</v>
      </c>
      <c r="F280" s="459">
        <v>204.14599999999996</v>
      </c>
      <c r="G280" s="339">
        <v>204.14599999999999</v>
      </c>
      <c r="H280" s="337">
        <v>204.14599999999999</v>
      </c>
      <c r="I280" s="331">
        <v>13</v>
      </c>
      <c r="J280" s="577">
        <v>9.5940999999999999E-2</v>
      </c>
      <c r="K280" s="579">
        <v>11.341444444444001</v>
      </c>
      <c r="L280" s="436">
        <v>1.3846149999999999</v>
      </c>
      <c r="M280" s="42" t="s">
        <v>227</v>
      </c>
      <c r="N280" s="334">
        <v>128</v>
      </c>
      <c r="O280" s="335">
        <v>97</v>
      </c>
      <c r="P280" s="335">
        <v>23</v>
      </c>
      <c r="Q280" s="389">
        <v>8</v>
      </c>
      <c r="R280" s="430">
        <v>24</v>
      </c>
      <c r="S280" s="339"/>
      <c r="T280" s="362">
        <v>9</v>
      </c>
      <c r="U280" s="337">
        <v>6</v>
      </c>
      <c r="V280" s="338">
        <v>0.19354838709677419</v>
      </c>
    </row>
    <row r="281" spans="2:22" ht="13.5">
      <c r="B281" s="1577">
        <v>201601</v>
      </c>
      <c r="C281" s="324" t="s">
        <v>459</v>
      </c>
      <c r="D281" s="325" t="s">
        <v>1419</v>
      </c>
      <c r="E281" s="325" t="s">
        <v>1420</v>
      </c>
      <c r="F281" s="460">
        <v>215.76700000000011</v>
      </c>
      <c r="G281" s="92">
        <v>226.20500000000001</v>
      </c>
      <c r="H281" s="279">
        <v>215.767</v>
      </c>
      <c r="I281" s="154">
        <v>17</v>
      </c>
      <c r="J281" s="576">
        <v>0.15740699999999999</v>
      </c>
      <c r="K281" s="578">
        <v>12.566944444444001</v>
      </c>
      <c r="L281" s="437">
        <v>1.058824</v>
      </c>
      <c r="M281" s="42" t="s">
        <v>227</v>
      </c>
      <c r="N281" s="47">
        <v>109</v>
      </c>
      <c r="O281" s="45">
        <v>84</v>
      </c>
      <c r="P281" s="45">
        <v>18</v>
      </c>
      <c r="Q281" s="388">
        <v>7</v>
      </c>
      <c r="R281" s="429">
        <v>1</v>
      </c>
      <c r="S281" s="92"/>
      <c r="T281" s="361">
        <v>3</v>
      </c>
      <c r="U281" s="285">
        <v>2</v>
      </c>
      <c r="V281" s="438">
        <v>0.08</v>
      </c>
    </row>
    <row r="282" spans="2:22" ht="13.5">
      <c r="B282" s="1577">
        <v>201601</v>
      </c>
      <c r="C282" s="326" t="s">
        <v>459</v>
      </c>
      <c r="D282" s="327" t="s">
        <v>1103</v>
      </c>
      <c r="E282" s="327" t="s">
        <v>1161</v>
      </c>
      <c r="F282" s="459">
        <v>90.468000000000004</v>
      </c>
      <c r="G282" s="339">
        <v>90.468000000000004</v>
      </c>
      <c r="H282" s="337">
        <v>90.468000000000004</v>
      </c>
      <c r="I282" s="331">
        <v>8</v>
      </c>
      <c r="J282" s="577">
        <v>0.148148</v>
      </c>
      <c r="K282" s="579">
        <v>11.3085</v>
      </c>
      <c r="L282" s="436">
        <v>1</v>
      </c>
      <c r="M282" s="42" t="s">
        <v>227</v>
      </c>
      <c r="N282" s="334">
        <v>55</v>
      </c>
      <c r="O282" s="335">
        <v>39</v>
      </c>
      <c r="P282" s="335">
        <v>12</v>
      </c>
      <c r="Q282" s="389">
        <v>4</v>
      </c>
      <c r="R282" s="430">
        <v>0</v>
      </c>
      <c r="S282" s="339"/>
      <c r="T282" s="362">
        <v>2</v>
      </c>
      <c r="U282" s="337">
        <v>2</v>
      </c>
      <c r="V282" s="338">
        <v>0.125</v>
      </c>
    </row>
    <row r="283" spans="2:22" ht="13.5">
      <c r="B283" s="1577">
        <v>201601</v>
      </c>
      <c r="C283" s="324" t="s">
        <v>459</v>
      </c>
      <c r="D283" s="325" t="s">
        <v>661</v>
      </c>
      <c r="E283" s="325" t="s">
        <v>1950</v>
      </c>
      <c r="F283" s="460">
        <v>60.420999999999999</v>
      </c>
      <c r="G283" s="92">
        <v>87.096000000000004</v>
      </c>
      <c r="H283" s="279">
        <v>60.420999999999999</v>
      </c>
      <c r="I283" s="154">
        <v>3</v>
      </c>
      <c r="J283" s="576">
        <v>8.5713999999999999E-2</v>
      </c>
      <c r="K283" s="578">
        <v>14.516</v>
      </c>
      <c r="L283" s="437">
        <v>2</v>
      </c>
      <c r="M283" s="42" t="s">
        <v>227</v>
      </c>
      <c r="N283" s="47">
        <v>36</v>
      </c>
      <c r="O283" s="45">
        <v>25</v>
      </c>
      <c r="P283" s="45">
        <v>9</v>
      </c>
      <c r="Q283" s="388">
        <v>2</v>
      </c>
      <c r="R283" s="429">
        <v>0</v>
      </c>
      <c r="S283" s="92"/>
      <c r="T283" s="361">
        <v>2</v>
      </c>
      <c r="U283" s="285">
        <v>1</v>
      </c>
      <c r="V283" s="438">
        <v>9.0909090909090912E-2</v>
      </c>
    </row>
    <row r="284" spans="2:22" ht="13.5">
      <c r="B284" s="1577">
        <v>201601</v>
      </c>
      <c r="C284" s="326" t="s">
        <v>459</v>
      </c>
      <c r="D284" s="327" t="s">
        <v>179</v>
      </c>
      <c r="E284" s="327" t="s">
        <v>191</v>
      </c>
      <c r="F284" s="459">
        <v>780.08299999999997</v>
      </c>
      <c r="G284" s="339">
        <v>740.63699999999994</v>
      </c>
      <c r="H284" s="337">
        <v>780.08299999999997</v>
      </c>
      <c r="I284" s="331">
        <v>26</v>
      </c>
      <c r="J284" s="577">
        <v>0.15757599999999999</v>
      </c>
      <c r="K284" s="579">
        <v>21.161057142857</v>
      </c>
      <c r="L284" s="436">
        <v>1.3461540000000001</v>
      </c>
      <c r="M284" s="42" t="s">
        <v>227</v>
      </c>
      <c r="N284" s="334">
        <v>169</v>
      </c>
      <c r="O284" s="335">
        <v>125</v>
      </c>
      <c r="P284" s="335">
        <v>43</v>
      </c>
      <c r="Q284" s="389">
        <v>1</v>
      </c>
      <c r="R284" s="430">
        <v>1</v>
      </c>
      <c r="S284" s="339">
        <v>2</v>
      </c>
      <c r="T284" s="362">
        <v>7</v>
      </c>
      <c r="U284" s="337">
        <v>4</v>
      </c>
      <c r="V284" s="338">
        <v>9.0909090909090912E-2</v>
      </c>
    </row>
    <row r="285" spans="2:22" ht="13.5">
      <c r="B285" s="1577">
        <v>201601</v>
      </c>
      <c r="C285" s="324" t="s">
        <v>459</v>
      </c>
      <c r="D285" s="325" t="s">
        <v>659</v>
      </c>
      <c r="E285" s="325" t="s">
        <v>655</v>
      </c>
      <c r="F285" s="460">
        <v>634.45099999999991</v>
      </c>
      <c r="G285" s="92">
        <v>348.90600000000001</v>
      </c>
      <c r="H285" s="279">
        <v>634.45100000000002</v>
      </c>
      <c r="I285" s="154">
        <v>13</v>
      </c>
      <c r="J285" s="576">
        <v>0.134715</v>
      </c>
      <c r="K285" s="578">
        <v>19.383666666667001</v>
      </c>
      <c r="L285" s="437">
        <v>1.3846149999999999</v>
      </c>
      <c r="M285" s="42" t="s">
        <v>227</v>
      </c>
      <c r="N285" s="47">
        <v>97</v>
      </c>
      <c r="O285" s="45">
        <v>72</v>
      </c>
      <c r="P285" s="45">
        <v>22</v>
      </c>
      <c r="Q285" s="388">
        <v>3</v>
      </c>
      <c r="R285" s="429">
        <v>0</v>
      </c>
      <c r="S285" s="92"/>
      <c r="T285" s="361">
        <v>1</v>
      </c>
      <c r="U285" s="285">
        <v>1</v>
      </c>
      <c r="V285" s="438">
        <v>0.04</v>
      </c>
    </row>
    <row r="286" spans="2:22" ht="13.5">
      <c r="B286" s="1577">
        <v>201601</v>
      </c>
      <c r="C286" s="326" t="s">
        <v>459</v>
      </c>
      <c r="D286" s="327" t="s">
        <v>699</v>
      </c>
      <c r="E286" s="327" t="s">
        <v>698</v>
      </c>
      <c r="F286" s="459">
        <v>195.80199999999996</v>
      </c>
      <c r="G286" s="339">
        <v>195.80199999999999</v>
      </c>
      <c r="H286" s="337">
        <v>195.80199999999999</v>
      </c>
      <c r="I286" s="331">
        <v>4</v>
      </c>
      <c r="J286" s="577">
        <v>0.121212</v>
      </c>
      <c r="K286" s="579">
        <v>21.755777777778</v>
      </c>
      <c r="L286" s="436">
        <v>2.25</v>
      </c>
      <c r="M286" s="42" t="s">
        <v>227</v>
      </c>
      <c r="N286" s="334">
        <v>34</v>
      </c>
      <c r="O286" s="335">
        <v>28</v>
      </c>
      <c r="P286" s="335">
        <v>5</v>
      </c>
      <c r="Q286" s="389">
        <v>1</v>
      </c>
      <c r="R286" s="430">
        <v>0</v>
      </c>
      <c r="S286" s="339"/>
      <c r="T286" s="362">
        <v>2</v>
      </c>
      <c r="U286" s="337">
        <v>2</v>
      </c>
      <c r="V286" s="338">
        <v>0.33333333333333331</v>
      </c>
    </row>
    <row r="287" spans="2:22" ht="13.5">
      <c r="B287" s="1577">
        <v>201601</v>
      </c>
      <c r="C287" s="324" t="s">
        <v>459</v>
      </c>
      <c r="D287" s="325" t="s">
        <v>1015</v>
      </c>
      <c r="E287" s="325" t="s">
        <v>1348</v>
      </c>
      <c r="F287" s="460">
        <v>224.428</v>
      </c>
      <c r="G287" s="92">
        <v>232.22300000000001</v>
      </c>
      <c r="H287" s="279">
        <v>224.428</v>
      </c>
      <c r="I287" s="154">
        <v>13</v>
      </c>
      <c r="J287" s="576">
        <v>0.129353</v>
      </c>
      <c r="K287" s="578">
        <v>13.660176470588</v>
      </c>
      <c r="L287" s="437">
        <v>1.3076920000000001</v>
      </c>
      <c r="M287" s="42" t="s">
        <v>227</v>
      </c>
      <c r="N287" s="47">
        <v>101</v>
      </c>
      <c r="O287" s="45">
        <v>86</v>
      </c>
      <c r="P287" s="45">
        <v>14</v>
      </c>
      <c r="Q287" s="388">
        <v>1</v>
      </c>
      <c r="R287" s="429">
        <v>7</v>
      </c>
      <c r="S287" s="92"/>
      <c r="T287" s="361">
        <v>8</v>
      </c>
      <c r="U287" s="285">
        <v>6</v>
      </c>
      <c r="V287" s="438">
        <v>0.4</v>
      </c>
    </row>
    <row r="288" spans="2:22" ht="13.5">
      <c r="B288" s="1577">
        <v>201601</v>
      </c>
      <c r="C288" s="326" t="s">
        <v>459</v>
      </c>
      <c r="D288" s="327" t="s">
        <v>825</v>
      </c>
      <c r="E288" s="327" t="s">
        <v>1773</v>
      </c>
      <c r="F288" s="459">
        <v>411.2290000000001</v>
      </c>
      <c r="G288" s="339">
        <v>411.22899999999998</v>
      </c>
      <c r="H288" s="337">
        <v>411.22899999999998</v>
      </c>
      <c r="I288" s="331">
        <v>30</v>
      </c>
      <c r="J288" s="577">
        <v>0.26548699999999997</v>
      </c>
      <c r="K288" s="579">
        <v>12.461484848485</v>
      </c>
      <c r="L288" s="436">
        <v>1.1000000000000001</v>
      </c>
      <c r="M288" s="42" t="s">
        <v>227</v>
      </c>
      <c r="N288" s="334">
        <v>111</v>
      </c>
      <c r="O288" s="335">
        <v>81</v>
      </c>
      <c r="P288" s="335">
        <v>26</v>
      </c>
      <c r="Q288" s="389">
        <v>4</v>
      </c>
      <c r="R288" s="430">
        <v>9</v>
      </c>
      <c r="S288" s="339">
        <v>1</v>
      </c>
      <c r="T288" s="362">
        <v>4</v>
      </c>
      <c r="U288" s="337">
        <v>3</v>
      </c>
      <c r="V288" s="338">
        <v>0.1</v>
      </c>
    </row>
    <row r="289" spans="2:22" ht="13.5">
      <c r="B289" s="1577">
        <v>201601</v>
      </c>
      <c r="C289" s="324" t="s">
        <v>459</v>
      </c>
      <c r="D289" s="325" t="s">
        <v>185</v>
      </c>
      <c r="E289" s="325" t="s">
        <v>190</v>
      </c>
      <c r="F289" s="460">
        <v>606.21900000000016</v>
      </c>
      <c r="G289" s="92">
        <v>633.55200000000002</v>
      </c>
      <c r="H289" s="279">
        <v>606.21900000000005</v>
      </c>
      <c r="I289" s="154">
        <v>32</v>
      </c>
      <c r="J289" s="576">
        <v>0.294931</v>
      </c>
      <c r="K289" s="578">
        <v>15.838800000000001</v>
      </c>
      <c r="L289" s="437">
        <v>1.25</v>
      </c>
      <c r="M289" s="42" t="s">
        <v>227</v>
      </c>
      <c r="N289" s="47">
        <v>115</v>
      </c>
      <c r="O289" s="45">
        <v>92</v>
      </c>
      <c r="P289" s="45">
        <v>19</v>
      </c>
      <c r="Q289" s="388">
        <v>4</v>
      </c>
      <c r="R289" s="429">
        <v>1</v>
      </c>
      <c r="S289" s="92">
        <v>1</v>
      </c>
      <c r="T289" s="361">
        <v>13</v>
      </c>
      <c r="U289" s="285">
        <v>9</v>
      </c>
      <c r="V289" s="438">
        <v>0.39130434782608697</v>
      </c>
    </row>
    <row r="290" spans="2:22" ht="13.5">
      <c r="B290" s="1577">
        <v>201601</v>
      </c>
      <c r="C290" s="326" t="s">
        <v>459</v>
      </c>
      <c r="D290" s="327" t="s">
        <v>660</v>
      </c>
      <c r="E290" s="327" t="s">
        <v>656</v>
      </c>
      <c r="F290" s="459">
        <v>472.35200000000015</v>
      </c>
      <c r="G290" s="339">
        <v>588.43499999999995</v>
      </c>
      <c r="H290" s="337">
        <v>472.35199999999998</v>
      </c>
      <c r="I290" s="331">
        <v>41</v>
      </c>
      <c r="J290" s="577">
        <v>0.33064500000000002</v>
      </c>
      <c r="K290" s="579">
        <v>12.519893617020999</v>
      </c>
      <c r="L290" s="436">
        <v>1.1463410000000001</v>
      </c>
      <c r="M290" s="42" t="s">
        <v>227</v>
      </c>
      <c r="N290" s="334">
        <v>123</v>
      </c>
      <c r="O290" s="335">
        <v>98</v>
      </c>
      <c r="P290" s="335">
        <v>23</v>
      </c>
      <c r="Q290" s="389">
        <v>2</v>
      </c>
      <c r="R290" s="430">
        <v>13</v>
      </c>
      <c r="S290" s="339"/>
      <c r="T290" s="362">
        <v>11</v>
      </c>
      <c r="U290" s="337">
        <v>8</v>
      </c>
      <c r="V290" s="338">
        <v>0.32</v>
      </c>
    </row>
    <row r="291" spans="2:22" ht="13.5">
      <c r="B291" s="1577">
        <v>201601</v>
      </c>
      <c r="C291" s="324" t="s">
        <v>459</v>
      </c>
      <c r="D291" s="325" t="s">
        <v>1570</v>
      </c>
      <c r="E291" s="325" t="s">
        <v>1571</v>
      </c>
      <c r="F291" s="460">
        <v>388.76899999999978</v>
      </c>
      <c r="G291" s="92">
        <v>408.89299999999997</v>
      </c>
      <c r="H291" s="279">
        <v>388.76900000000001</v>
      </c>
      <c r="I291" s="154">
        <v>28</v>
      </c>
      <c r="J291" s="576">
        <v>0.21621599999999999</v>
      </c>
      <c r="K291" s="578">
        <v>11.051162162162001</v>
      </c>
      <c r="L291" s="437">
        <v>1.321429</v>
      </c>
      <c r="M291" s="42" t="s">
        <v>227</v>
      </c>
      <c r="N291" s="47">
        <v>141</v>
      </c>
      <c r="O291" s="45">
        <v>111</v>
      </c>
      <c r="P291" s="45">
        <v>30</v>
      </c>
      <c r="Q291" s="388">
        <v>0</v>
      </c>
      <c r="R291" s="429">
        <v>0</v>
      </c>
      <c r="S291" s="92">
        <v>1</v>
      </c>
      <c r="T291" s="361">
        <v>22</v>
      </c>
      <c r="U291" s="285">
        <v>15</v>
      </c>
      <c r="V291" s="438">
        <v>0.5</v>
      </c>
    </row>
    <row r="292" spans="2:22" ht="13.5">
      <c r="B292" s="1577">
        <v>201601</v>
      </c>
      <c r="C292" s="326" t="s">
        <v>459</v>
      </c>
      <c r="D292" s="327" t="s">
        <v>662</v>
      </c>
      <c r="E292" s="327" t="s">
        <v>658</v>
      </c>
      <c r="F292" s="459"/>
      <c r="G292" s="339">
        <v>0</v>
      </c>
      <c r="H292" s="337">
        <v>0</v>
      </c>
      <c r="I292" s="331">
        <v>0</v>
      </c>
      <c r="J292" s="577">
        <v>0</v>
      </c>
      <c r="K292" s="579">
        <v>0</v>
      </c>
      <c r="L292" s="436">
        <v>0</v>
      </c>
      <c r="M292" s="42" t="s">
        <v>227</v>
      </c>
      <c r="N292" s="334">
        <v>0</v>
      </c>
      <c r="O292" s="335">
        <v>0</v>
      </c>
      <c r="P292" s="335">
        <v>0</v>
      </c>
      <c r="Q292" s="389">
        <v>0</v>
      </c>
      <c r="R292" s="430">
        <v>0</v>
      </c>
      <c r="S292" s="339"/>
      <c r="T292" s="362"/>
      <c r="U292" s="337"/>
      <c r="V292" s="338"/>
    </row>
    <row r="293" spans="2:22" ht="13.5">
      <c r="B293" s="1577">
        <v>201601</v>
      </c>
      <c r="C293" s="324" t="s">
        <v>459</v>
      </c>
      <c r="D293" s="325" t="s">
        <v>799</v>
      </c>
      <c r="E293" s="325" t="s">
        <v>800</v>
      </c>
      <c r="F293" s="460">
        <v>171.679</v>
      </c>
      <c r="G293" s="92">
        <v>163.726</v>
      </c>
      <c r="H293" s="279">
        <v>171.679</v>
      </c>
      <c r="I293" s="154">
        <v>15</v>
      </c>
      <c r="J293" s="576">
        <v>0.147783</v>
      </c>
      <c r="K293" s="578">
        <v>10.915066666667</v>
      </c>
      <c r="L293" s="437">
        <v>1</v>
      </c>
      <c r="M293" s="42" t="s">
        <v>227</v>
      </c>
      <c r="N293" s="47">
        <v>95</v>
      </c>
      <c r="O293" s="45">
        <v>75</v>
      </c>
      <c r="P293" s="45">
        <v>17</v>
      </c>
      <c r="Q293" s="388">
        <v>3</v>
      </c>
      <c r="R293" s="429">
        <v>19</v>
      </c>
      <c r="S293" s="92">
        <v>1</v>
      </c>
      <c r="T293" s="361">
        <v>5</v>
      </c>
      <c r="U293" s="285">
        <v>5</v>
      </c>
      <c r="V293" s="438">
        <v>0.25</v>
      </c>
    </row>
    <row r="294" spans="2:22" ht="13.5">
      <c r="B294" s="1577">
        <v>201601</v>
      </c>
      <c r="C294" s="326" t="s">
        <v>459</v>
      </c>
      <c r="D294" s="327" t="s">
        <v>1567</v>
      </c>
      <c r="E294" s="327" t="s">
        <v>1028</v>
      </c>
      <c r="F294" s="459">
        <v>691.00399999999991</v>
      </c>
      <c r="G294" s="339">
        <v>773.27700000000004</v>
      </c>
      <c r="H294" s="337">
        <v>691.00400000000002</v>
      </c>
      <c r="I294" s="331">
        <v>46</v>
      </c>
      <c r="J294" s="577">
        <v>0.34328399999999998</v>
      </c>
      <c r="K294" s="579">
        <v>13.566263157895001</v>
      </c>
      <c r="L294" s="436">
        <v>1.2391300000000001</v>
      </c>
      <c r="M294" s="42" t="s">
        <v>227</v>
      </c>
      <c r="N294" s="334">
        <v>137</v>
      </c>
      <c r="O294" s="335">
        <v>95</v>
      </c>
      <c r="P294" s="335">
        <v>35</v>
      </c>
      <c r="Q294" s="389">
        <v>7</v>
      </c>
      <c r="R294" s="430">
        <v>3</v>
      </c>
      <c r="S294" s="339"/>
      <c r="T294" s="362">
        <v>9</v>
      </c>
      <c r="U294" s="337">
        <v>7</v>
      </c>
      <c r="V294" s="338">
        <v>0.16666666666666666</v>
      </c>
    </row>
    <row r="295" spans="2:22" ht="13.5">
      <c r="B295" s="1577">
        <v>201601</v>
      </c>
      <c r="C295" s="324" t="s">
        <v>459</v>
      </c>
      <c r="D295" s="325" t="s">
        <v>177</v>
      </c>
      <c r="E295" s="325" t="s">
        <v>189</v>
      </c>
      <c r="F295" s="460">
        <v>301.86400000000003</v>
      </c>
      <c r="G295" s="92">
        <v>240.24100000000001</v>
      </c>
      <c r="H295" s="279">
        <v>301.86399999999998</v>
      </c>
      <c r="I295" s="154">
        <v>10</v>
      </c>
      <c r="J295" s="576">
        <v>0.14388500000000001</v>
      </c>
      <c r="K295" s="578">
        <v>30.030125000000002</v>
      </c>
      <c r="L295" s="437">
        <v>0.8</v>
      </c>
      <c r="M295" s="42" t="s">
        <v>227</v>
      </c>
      <c r="N295" s="47">
        <v>71</v>
      </c>
      <c r="O295" s="45">
        <v>50</v>
      </c>
      <c r="P295" s="45">
        <v>19</v>
      </c>
      <c r="Q295" s="388">
        <v>2</v>
      </c>
      <c r="R295" s="429">
        <v>0</v>
      </c>
      <c r="S295" s="92"/>
      <c r="T295" s="361">
        <v>3</v>
      </c>
      <c r="U295" s="285">
        <v>3</v>
      </c>
      <c r="V295" s="438">
        <v>0.14285714285714285</v>
      </c>
    </row>
    <row r="296" spans="2:22" ht="13.5">
      <c r="B296" s="1577">
        <v>201601</v>
      </c>
      <c r="C296" s="326" t="s">
        <v>459</v>
      </c>
      <c r="D296" s="327" t="s">
        <v>1568</v>
      </c>
      <c r="E296" s="327" t="s">
        <v>1569</v>
      </c>
      <c r="F296" s="459">
        <v>456.79499999999996</v>
      </c>
      <c r="G296" s="339">
        <v>456.79500000000002</v>
      </c>
      <c r="H296" s="337">
        <v>456.79500000000002</v>
      </c>
      <c r="I296" s="331">
        <v>37</v>
      </c>
      <c r="J296" s="577">
        <v>0.163717</v>
      </c>
      <c r="K296" s="579">
        <v>11.419874999999999</v>
      </c>
      <c r="L296" s="436">
        <v>1.081081</v>
      </c>
      <c r="M296" s="42" t="s">
        <v>227</v>
      </c>
      <c r="N296" s="334">
        <v>221</v>
      </c>
      <c r="O296" s="335">
        <v>167</v>
      </c>
      <c r="P296" s="335">
        <v>53</v>
      </c>
      <c r="Q296" s="389">
        <v>1</v>
      </c>
      <c r="R296" s="430">
        <v>20</v>
      </c>
      <c r="S296" s="339"/>
      <c r="T296" s="362">
        <v>10</v>
      </c>
      <c r="U296" s="337">
        <v>7</v>
      </c>
      <c r="V296" s="338">
        <v>0.12962962962962962</v>
      </c>
    </row>
    <row r="297" spans="2:22" ht="13.5">
      <c r="B297" s="1577">
        <v>201601</v>
      </c>
      <c r="C297" s="324" t="s">
        <v>459</v>
      </c>
      <c r="D297" s="325" t="s">
        <v>176</v>
      </c>
      <c r="E297" s="325" t="s">
        <v>188</v>
      </c>
      <c r="F297" s="460">
        <v>448.67099999999999</v>
      </c>
      <c r="G297" s="92">
        <v>440.55799999999999</v>
      </c>
      <c r="H297" s="279">
        <v>448.67099999999999</v>
      </c>
      <c r="I297" s="154">
        <v>30</v>
      </c>
      <c r="J297" s="576">
        <v>0.119048</v>
      </c>
      <c r="K297" s="578">
        <v>14.211548387096999</v>
      </c>
      <c r="L297" s="437">
        <v>1.0333330000000001</v>
      </c>
      <c r="M297" s="42" t="s">
        <v>227</v>
      </c>
      <c r="N297" s="47">
        <v>253</v>
      </c>
      <c r="O297" s="45">
        <v>211</v>
      </c>
      <c r="P297" s="45">
        <v>35</v>
      </c>
      <c r="Q297" s="388">
        <v>7</v>
      </c>
      <c r="R297" s="429">
        <v>9</v>
      </c>
      <c r="S297" s="92">
        <v>1</v>
      </c>
      <c r="T297" s="361">
        <v>10</v>
      </c>
      <c r="U297" s="285">
        <v>7</v>
      </c>
      <c r="V297" s="438">
        <v>0.16666666666666666</v>
      </c>
    </row>
    <row r="298" spans="2:22" ht="13.5">
      <c r="B298" s="1577">
        <v>201601</v>
      </c>
      <c r="C298" s="326" t="s">
        <v>459</v>
      </c>
      <c r="D298" s="327" t="s">
        <v>1572</v>
      </c>
      <c r="E298" s="327" t="s">
        <v>1573</v>
      </c>
      <c r="F298" s="459">
        <v>122.71399999999996</v>
      </c>
      <c r="G298" s="339">
        <v>116.65</v>
      </c>
      <c r="H298" s="337">
        <v>122.714</v>
      </c>
      <c r="I298" s="331">
        <v>7</v>
      </c>
      <c r="J298" s="577">
        <v>6.7960999999999994E-2</v>
      </c>
      <c r="K298" s="579">
        <v>19.441666666667</v>
      </c>
      <c r="L298" s="436">
        <v>0.85714299999999999</v>
      </c>
      <c r="M298" s="42" t="s">
        <v>227</v>
      </c>
      <c r="N298" s="334">
        <v>104</v>
      </c>
      <c r="O298" s="335">
        <v>91</v>
      </c>
      <c r="P298" s="335">
        <v>10</v>
      </c>
      <c r="Q298" s="389">
        <v>3</v>
      </c>
      <c r="R298" s="430">
        <v>0</v>
      </c>
      <c r="S298" s="339"/>
      <c r="T298" s="362">
        <v>2</v>
      </c>
      <c r="U298" s="337">
        <v>1</v>
      </c>
      <c r="V298" s="338">
        <v>7.6923076923076927E-2</v>
      </c>
    </row>
    <row r="299" spans="2:22" ht="13.5">
      <c r="B299" s="1577">
        <v>201601</v>
      </c>
      <c r="C299" s="324" t="s">
        <v>459</v>
      </c>
      <c r="D299" s="325" t="s">
        <v>1104</v>
      </c>
      <c r="E299" s="325" t="s">
        <v>1287</v>
      </c>
      <c r="F299" s="460">
        <v>406.12599999999998</v>
      </c>
      <c r="G299" s="92">
        <v>416.923</v>
      </c>
      <c r="H299" s="279">
        <v>406.12599999999998</v>
      </c>
      <c r="I299" s="154">
        <v>21</v>
      </c>
      <c r="J299" s="576">
        <v>0.17948700000000001</v>
      </c>
      <c r="K299" s="578">
        <v>16.676919999999999</v>
      </c>
      <c r="L299" s="437">
        <v>1.1904760000000001</v>
      </c>
      <c r="M299" s="42" t="s">
        <v>227</v>
      </c>
      <c r="N299" s="47">
        <v>119</v>
      </c>
      <c r="O299" s="45">
        <v>89</v>
      </c>
      <c r="P299" s="45">
        <v>22</v>
      </c>
      <c r="Q299" s="388">
        <v>8</v>
      </c>
      <c r="R299" s="429">
        <v>0</v>
      </c>
      <c r="S299" s="92">
        <v>1</v>
      </c>
      <c r="T299" s="361">
        <v>3</v>
      </c>
      <c r="U299" s="285">
        <v>2</v>
      </c>
      <c r="V299" s="438">
        <v>6.6666666666666666E-2</v>
      </c>
    </row>
    <row r="300" spans="2:22" ht="13.5">
      <c r="B300" s="1577">
        <v>201601</v>
      </c>
      <c r="C300" s="326" t="s">
        <v>2048</v>
      </c>
      <c r="D300" s="327" t="s">
        <v>2046</v>
      </c>
      <c r="E300" s="327" t="s">
        <v>2054</v>
      </c>
      <c r="F300" s="459">
        <v>354.51099999999997</v>
      </c>
      <c r="G300" s="339">
        <v>405.452</v>
      </c>
      <c r="H300" s="337">
        <v>354.51100000000002</v>
      </c>
      <c r="I300" s="331">
        <v>21</v>
      </c>
      <c r="J300" s="577">
        <v>0.15671599999999999</v>
      </c>
      <c r="K300" s="579">
        <v>15.016740740741</v>
      </c>
      <c r="L300" s="436">
        <v>1.285714</v>
      </c>
      <c r="M300" s="42" t="s">
        <v>227</v>
      </c>
      <c r="N300" s="334">
        <v>142</v>
      </c>
      <c r="O300" s="335">
        <v>108</v>
      </c>
      <c r="P300" s="335">
        <v>34</v>
      </c>
      <c r="Q300" s="389">
        <v>0</v>
      </c>
      <c r="R300" s="430">
        <v>3</v>
      </c>
      <c r="S300" s="339">
        <v>3</v>
      </c>
      <c r="T300" s="362">
        <v>16</v>
      </c>
      <c r="U300" s="337">
        <v>11</v>
      </c>
      <c r="V300" s="338">
        <v>0.3235294117647059</v>
      </c>
    </row>
    <row r="301" spans="2:22" ht="13.5">
      <c r="B301" s="1577">
        <v>201512</v>
      </c>
      <c r="C301" s="324" t="s">
        <v>458</v>
      </c>
      <c r="D301" s="325" t="s">
        <v>1563</v>
      </c>
      <c r="E301" s="325" t="s">
        <v>1564</v>
      </c>
      <c r="F301" s="460">
        <v>2752.5869999999986</v>
      </c>
      <c r="G301" s="92">
        <v>1003.664</v>
      </c>
      <c r="H301" s="279">
        <v>1021.489</v>
      </c>
      <c r="I301" s="154">
        <v>20</v>
      </c>
      <c r="J301" s="576">
        <v>0.54054100000000005</v>
      </c>
      <c r="K301" s="578">
        <v>20.909666666667</v>
      </c>
      <c r="L301" s="437">
        <v>2.4</v>
      </c>
      <c r="M301" s="42" t="s">
        <v>227</v>
      </c>
      <c r="N301" s="47">
        <v>40</v>
      </c>
      <c r="O301" s="45">
        <v>30</v>
      </c>
      <c r="P301" s="45">
        <v>7</v>
      </c>
      <c r="Q301" s="388">
        <v>3</v>
      </c>
      <c r="R301" s="429">
        <v>0</v>
      </c>
      <c r="S301" s="92"/>
      <c r="T301" s="361">
        <v>6</v>
      </c>
      <c r="U301" s="285">
        <v>4</v>
      </c>
      <c r="V301" s="438">
        <v>0.4</v>
      </c>
    </row>
    <row r="302" spans="2:22" ht="13.5">
      <c r="B302" s="1577">
        <v>201512</v>
      </c>
      <c r="C302" s="326" t="s">
        <v>458</v>
      </c>
      <c r="D302" s="327" t="s">
        <v>1099</v>
      </c>
      <c r="E302" s="327" t="s">
        <v>1286</v>
      </c>
      <c r="F302" s="459">
        <v>8213.8420000000388</v>
      </c>
      <c r="G302" s="339">
        <v>946.42</v>
      </c>
      <c r="H302" s="337">
        <v>1280.7239999999999</v>
      </c>
      <c r="I302" s="331">
        <v>34</v>
      </c>
      <c r="J302" s="577">
        <v>0.44444400000000001</v>
      </c>
      <c r="K302" s="579">
        <v>18.200384615385001</v>
      </c>
      <c r="L302" s="436">
        <v>1.529412</v>
      </c>
      <c r="M302" s="42" t="s">
        <v>227</v>
      </c>
      <c r="N302" s="334">
        <v>75</v>
      </c>
      <c r="O302" s="335">
        <v>54</v>
      </c>
      <c r="P302" s="335">
        <v>16</v>
      </c>
      <c r="Q302" s="389">
        <v>5</v>
      </c>
      <c r="R302" s="430">
        <v>14</v>
      </c>
      <c r="S302" s="339">
        <v>2</v>
      </c>
      <c r="T302" s="362">
        <v>9</v>
      </c>
      <c r="U302" s="337">
        <v>5</v>
      </c>
      <c r="V302" s="338">
        <v>0.23809523809523808</v>
      </c>
    </row>
    <row r="303" spans="2:22" ht="13.5">
      <c r="B303" s="1577">
        <v>201512</v>
      </c>
      <c r="C303" s="324" t="s">
        <v>458</v>
      </c>
      <c r="D303" s="325" t="s">
        <v>900</v>
      </c>
      <c r="E303" s="325" t="s">
        <v>901</v>
      </c>
      <c r="F303" s="460">
        <v>9471.8790000000099</v>
      </c>
      <c r="G303" s="92">
        <v>2797.998</v>
      </c>
      <c r="H303" s="279">
        <v>2802.6469999999999</v>
      </c>
      <c r="I303" s="154">
        <v>22</v>
      </c>
      <c r="J303" s="576">
        <v>0.41509400000000002</v>
      </c>
      <c r="K303" s="578">
        <v>37.810783783784004</v>
      </c>
      <c r="L303" s="437">
        <v>3.3636360000000001</v>
      </c>
      <c r="M303" s="42" t="s">
        <v>227</v>
      </c>
      <c r="N303" s="47">
        <v>54</v>
      </c>
      <c r="O303" s="45">
        <v>40</v>
      </c>
      <c r="P303" s="45">
        <v>13</v>
      </c>
      <c r="Q303" s="388">
        <v>1</v>
      </c>
      <c r="R303" s="429">
        <v>6</v>
      </c>
      <c r="S303" s="92">
        <v>1</v>
      </c>
      <c r="T303" s="361">
        <v>7</v>
      </c>
      <c r="U303" s="285">
        <v>5</v>
      </c>
      <c r="V303" s="438">
        <v>0.35714285714285715</v>
      </c>
    </row>
    <row r="304" spans="2:22" ht="13.5">
      <c r="B304" s="1577">
        <v>201512</v>
      </c>
      <c r="C304" s="326" t="s">
        <v>458</v>
      </c>
      <c r="D304" s="327" t="s">
        <v>649</v>
      </c>
      <c r="E304" s="327" t="s">
        <v>645</v>
      </c>
      <c r="F304" s="459">
        <v>6348.5950000000121</v>
      </c>
      <c r="G304" s="339">
        <v>1010.614</v>
      </c>
      <c r="H304" s="337">
        <v>986.40300000000002</v>
      </c>
      <c r="I304" s="331">
        <v>24</v>
      </c>
      <c r="J304" s="577">
        <v>0.32</v>
      </c>
      <c r="K304" s="579">
        <v>22.458088888889002</v>
      </c>
      <c r="L304" s="436">
        <v>1.875</v>
      </c>
      <c r="M304" s="42" t="s">
        <v>227</v>
      </c>
      <c r="N304" s="334">
        <v>74</v>
      </c>
      <c r="O304" s="335">
        <v>53</v>
      </c>
      <c r="P304" s="335">
        <v>17</v>
      </c>
      <c r="Q304" s="389">
        <v>4</v>
      </c>
      <c r="R304" s="430">
        <v>7</v>
      </c>
      <c r="S304" s="339"/>
      <c r="T304" s="362">
        <v>5</v>
      </c>
      <c r="U304" s="337">
        <v>4</v>
      </c>
      <c r="V304" s="338">
        <v>0.19047619047619047</v>
      </c>
    </row>
    <row r="305" spans="2:22" ht="13.5">
      <c r="B305" s="1577">
        <v>201512</v>
      </c>
      <c r="C305" s="324" t="s">
        <v>458</v>
      </c>
      <c r="D305" s="325" t="s">
        <v>650</v>
      </c>
      <c r="E305" s="325" t="s">
        <v>1777</v>
      </c>
      <c r="F305" s="460">
        <v>1741.0189999999973</v>
      </c>
      <c r="G305" s="92">
        <v>266.83199999999999</v>
      </c>
      <c r="H305" s="279">
        <v>280.46699999999998</v>
      </c>
      <c r="I305" s="154">
        <v>9</v>
      </c>
      <c r="J305" s="576">
        <v>0.264706</v>
      </c>
      <c r="K305" s="578">
        <v>22.236000000000001</v>
      </c>
      <c r="L305" s="437">
        <v>1.3333330000000001</v>
      </c>
      <c r="M305" s="42" t="s">
        <v>227</v>
      </c>
      <c r="N305" s="47">
        <v>34</v>
      </c>
      <c r="O305" s="45">
        <v>18</v>
      </c>
      <c r="P305" s="45">
        <v>13</v>
      </c>
      <c r="Q305" s="388">
        <v>3</v>
      </c>
      <c r="R305" s="429">
        <v>0</v>
      </c>
      <c r="S305" s="92"/>
      <c r="T305" s="361"/>
      <c r="U305" s="285"/>
      <c r="V305" s="438"/>
    </row>
    <row r="306" spans="2:22" ht="13.5">
      <c r="B306" s="1577">
        <v>201512</v>
      </c>
      <c r="C306" s="326" t="s">
        <v>458</v>
      </c>
      <c r="D306" s="327" t="s">
        <v>902</v>
      </c>
      <c r="E306" s="327" t="s">
        <v>1014</v>
      </c>
      <c r="F306" s="459">
        <v>6100.2700000000023</v>
      </c>
      <c r="G306" s="339">
        <v>2247.2710000000002</v>
      </c>
      <c r="H306" s="337">
        <v>2305.9789999999998</v>
      </c>
      <c r="I306" s="331">
        <v>38</v>
      </c>
      <c r="J306" s="577">
        <v>0.43428600000000001</v>
      </c>
      <c r="K306" s="579">
        <v>24.426858695652001</v>
      </c>
      <c r="L306" s="436">
        <v>2.4210530000000001</v>
      </c>
      <c r="M306" s="42" t="s">
        <v>227</v>
      </c>
      <c r="N306" s="334">
        <v>92</v>
      </c>
      <c r="O306" s="335">
        <v>68</v>
      </c>
      <c r="P306" s="335">
        <v>24</v>
      </c>
      <c r="Q306" s="389">
        <v>0</v>
      </c>
      <c r="R306" s="430">
        <v>9</v>
      </c>
      <c r="S306" s="339">
        <v>2</v>
      </c>
      <c r="T306" s="362">
        <v>14</v>
      </c>
      <c r="U306" s="337">
        <v>9</v>
      </c>
      <c r="V306" s="338">
        <v>0.375</v>
      </c>
    </row>
    <row r="307" spans="2:22" ht="13.5">
      <c r="B307" s="1577">
        <v>201512</v>
      </c>
      <c r="C307" s="324" t="s">
        <v>458</v>
      </c>
      <c r="D307" s="325" t="s">
        <v>642</v>
      </c>
      <c r="E307" s="325" t="s">
        <v>641</v>
      </c>
      <c r="F307" s="460">
        <v>8069.0280000000548</v>
      </c>
      <c r="G307" s="92">
        <v>1265.2049999999999</v>
      </c>
      <c r="H307" s="279">
        <v>1393.145</v>
      </c>
      <c r="I307" s="154">
        <v>30</v>
      </c>
      <c r="J307" s="576">
        <v>0.41666700000000001</v>
      </c>
      <c r="K307" s="578">
        <v>19.169772727272999</v>
      </c>
      <c r="L307" s="437">
        <v>2.2000000000000002</v>
      </c>
      <c r="M307" s="42" t="s">
        <v>227</v>
      </c>
      <c r="N307" s="47">
        <v>73</v>
      </c>
      <c r="O307" s="45">
        <v>57</v>
      </c>
      <c r="P307" s="45">
        <v>16</v>
      </c>
      <c r="Q307" s="388">
        <v>0</v>
      </c>
      <c r="R307" s="429">
        <v>9</v>
      </c>
      <c r="S307" s="92"/>
      <c r="T307" s="361">
        <v>9</v>
      </c>
      <c r="U307" s="285">
        <v>6</v>
      </c>
      <c r="V307" s="438">
        <v>0.375</v>
      </c>
    </row>
    <row r="308" spans="2:22" ht="13.5">
      <c r="B308" s="1577">
        <v>201512</v>
      </c>
      <c r="C308" s="326" t="s">
        <v>458</v>
      </c>
      <c r="D308" s="327" t="s">
        <v>91</v>
      </c>
      <c r="E308" s="327" t="s">
        <v>92</v>
      </c>
      <c r="F308" s="459">
        <v>11288.053000000093</v>
      </c>
      <c r="G308" s="339">
        <v>2105.1210000000001</v>
      </c>
      <c r="H308" s="337">
        <v>2062.5039999999999</v>
      </c>
      <c r="I308" s="331">
        <v>50</v>
      </c>
      <c r="J308" s="577">
        <v>0.456621</v>
      </c>
      <c r="K308" s="579">
        <v>19.674028037383</v>
      </c>
      <c r="L308" s="436">
        <v>2.14</v>
      </c>
      <c r="M308" s="42" t="s">
        <v>227</v>
      </c>
      <c r="N308" s="334">
        <v>112</v>
      </c>
      <c r="O308" s="335">
        <v>80</v>
      </c>
      <c r="P308" s="335">
        <v>27</v>
      </c>
      <c r="Q308" s="389">
        <v>5</v>
      </c>
      <c r="R308" s="430">
        <v>6</v>
      </c>
      <c r="S308" s="339"/>
      <c r="T308" s="362">
        <v>9</v>
      </c>
      <c r="U308" s="337">
        <v>7</v>
      </c>
      <c r="V308" s="338">
        <v>0.21875</v>
      </c>
    </row>
    <row r="309" spans="2:22" ht="13.5">
      <c r="B309" s="1577">
        <v>201512</v>
      </c>
      <c r="C309" s="324" t="s">
        <v>458</v>
      </c>
      <c r="D309" s="325" t="s">
        <v>187</v>
      </c>
      <c r="E309" s="325" t="s">
        <v>194</v>
      </c>
      <c r="F309" s="460">
        <v>3817.5139999999974</v>
      </c>
      <c r="G309" s="92">
        <v>513.63300000000004</v>
      </c>
      <c r="H309" s="279">
        <v>539.649</v>
      </c>
      <c r="I309" s="154">
        <v>29</v>
      </c>
      <c r="J309" s="576">
        <v>0.37662299999999999</v>
      </c>
      <c r="K309" s="578">
        <v>11.165934782609002</v>
      </c>
      <c r="L309" s="437">
        <v>1.5862069999999999</v>
      </c>
      <c r="M309" s="42" t="s">
        <v>227</v>
      </c>
      <c r="N309" s="47">
        <v>79</v>
      </c>
      <c r="O309" s="45">
        <v>59</v>
      </c>
      <c r="P309" s="45">
        <v>14</v>
      </c>
      <c r="Q309" s="388">
        <v>6</v>
      </c>
      <c r="R309" s="429">
        <v>7</v>
      </c>
      <c r="S309" s="92"/>
      <c r="T309" s="361">
        <v>11</v>
      </c>
      <c r="U309" s="285">
        <v>8</v>
      </c>
      <c r="V309" s="438">
        <v>0.4</v>
      </c>
    </row>
    <row r="310" spans="2:22" ht="13.5">
      <c r="B310" s="1577">
        <v>201512</v>
      </c>
      <c r="C310" s="326" t="s">
        <v>458</v>
      </c>
      <c r="D310" s="327" t="s">
        <v>734</v>
      </c>
      <c r="E310" s="327" t="s">
        <v>1766</v>
      </c>
      <c r="F310" s="459">
        <v>12758.761000000057</v>
      </c>
      <c r="G310" s="339">
        <v>2234.114</v>
      </c>
      <c r="H310" s="337">
        <v>2219.3440000000001</v>
      </c>
      <c r="I310" s="331">
        <v>48</v>
      </c>
      <c r="J310" s="577">
        <v>0.28656700000000002</v>
      </c>
      <c r="K310" s="579">
        <v>17.454015625</v>
      </c>
      <c r="L310" s="436">
        <v>2.6666669999999999</v>
      </c>
      <c r="M310" s="42" t="s">
        <v>227</v>
      </c>
      <c r="N310" s="334">
        <v>163</v>
      </c>
      <c r="O310" s="335">
        <v>132</v>
      </c>
      <c r="P310" s="335">
        <v>28</v>
      </c>
      <c r="Q310" s="389">
        <v>3</v>
      </c>
      <c r="R310" s="430">
        <v>24</v>
      </c>
      <c r="S310" s="339"/>
      <c r="T310" s="362">
        <v>15</v>
      </c>
      <c r="U310" s="337">
        <v>8</v>
      </c>
      <c r="V310" s="338">
        <v>0.25806451612903225</v>
      </c>
    </row>
    <row r="311" spans="2:22" ht="13.5">
      <c r="B311" s="1577">
        <v>201512</v>
      </c>
      <c r="C311" s="324" t="s">
        <v>458</v>
      </c>
      <c r="D311" s="325" t="s">
        <v>735</v>
      </c>
      <c r="E311" s="325" t="s">
        <v>790</v>
      </c>
      <c r="F311" s="460">
        <v>15796.846000000131</v>
      </c>
      <c r="G311" s="92">
        <v>3274.7040000000002</v>
      </c>
      <c r="H311" s="279">
        <v>3143.1590000000001</v>
      </c>
      <c r="I311" s="154">
        <v>33</v>
      </c>
      <c r="J311" s="576">
        <v>0.5</v>
      </c>
      <c r="K311" s="578">
        <v>34.111499999999999</v>
      </c>
      <c r="L311" s="437">
        <v>2.9090910000000001</v>
      </c>
      <c r="M311" s="42" t="s">
        <v>227</v>
      </c>
      <c r="N311" s="47">
        <v>66</v>
      </c>
      <c r="O311" s="45">
        <v>48</v>
      </c>
      <c r="P311" s="45">
        <v>15</v>
      </c>
      <c r="Q311" s="388">
        <v>3</v>
      </c>
      <c r="R311" s="429">
        <v>14</v>
      </c>
      <c r="S311" s="92">
        <v>1</v>
      </c>
      <c r="T311" s="361">
        <v>13</v>
      </c>
      <c r="U311" s="285">
        <v>5</v>
      </c>
      <c r="V311" s="438">
        <v>0.27777777777777779</v>
      </c>
    </row>
    <row r="312" spans="2:22" ht="13.5">
      <c r="B312" s="1577">
        <v>201512</v>
      </c>
      <c r="C312" s="326" t="s">
        <v>458</v>
      </c>
      <c r="D312" s="327" t="s">
        <v>798</v>
      </c>
      <c r="E312" s="327" t="s">
        <v>1768</v>
      </c>
      <c r="F312" s="459">
        <v>7239.1310000000294</v>
      </c>
      <c r="G312" s="339">
        <v>1606.6880000000001</v>
      </c>
      <c r="H312" s="337">
        <v>1605.2829999999999</v>
      </c>
      <c r="I312" s="331">
        <v>20</v>
      </c>
      <c r="J312" s="577">
        <v>0.449438</v>
      </c>
      <c r="K312" s="579">
        <v>21.422506666667001</v>
      </c>
      <c r="L312" s="436">
        <v>3.75</v>
      </c>
      <c r="M312" s="42" t="s">
        <v>227</v>
      </c>
      <c r="N312" s="334">
        <v>44</v>
      </c>
      <c r="O312" s="335">
        <v>31</v>
      </c>
      <c r="P312" s="335">
        <v>11</v>
      </c>
      <c r="Q312" s="389">
        <v>2</v>
      </c>
      <c r="R312" s="430">
        <v>5</v>
      </c>
      <c r="S312" s="339"/>
      <c r="T312" s="362">
        <v>4</v>
      </c>
      <c r="U312" s="337">
        <v>4</v>
      </c>
      <c r="V312" s="338">
        <v>0.30769230769230771</v>
      </c>
    </row>
    <row r="313" spans="2:22" ht="13.5">
      <c r="B313" s="1577">
        <v>201512</v>
      </c>
      <c r="C313" s="324" t="s">
        <v>458</v>
      </c>
      <c r="D313" s="325" t="s">
        <v>949</v>
      </c>
      <c r="E313" s="325" t="s">
        <v>950</v>
      </c>
      <c r="F313" s="460">
        <v>8601.3600000000242</v>
      </c>
      <c r="G313" s="92">
        <v>1020.942</v>
      </c>
      <c r="H313" s="279">
        <v>1082.798</v>
      </c>
      <c r="I313" s="154">
        <v>34</v>
      </c>
      <c r="J313" s="576">
        <v>0.379888</v>
      </c>
      <c r="K313" s="578">
        <v>16.205428571429</v>
      </c>
      <c r="L313" s="437">
        <v>1.8529409999999999</v>
      </c>
      <c r="M313" s="42" t="s">
        <v>227</v>
      </c>
      <c r="N313" s="47">
        <v>86</v>
      </c>
      <c r="O313" s="45">
        <v>62</v>
      </c>
      <c r="P313" s="45">
        <v>20</v>
      </c>
      <c r="Q313" s="388">
        <v>4</v>
      </c>
      <c r="R313" s="429">
        <v>17</v>
      </c>
      <c r="S313" s="92"/>
      <c r="T313" s="361">
        <v>10</v>
      </c>
      <c r="U313" s="285">
        <v>7</v>
      </c>
      <c r="V313" s="438">
        <v>0.29166666666666669</v>
      </c>
    </row>
    <row r="314" spans="2:22" ht="13.5">
      <c r="B314" s="1577">
        <v>201512</v>
      </c>
      <c r="C314" s="326" t="s">
        <v>458</v>
      </c>
      <c r="D314" s="327" t="s">
        <v>903</v>
      </c>
      <c r="E314" s="327" t="s">
        <v>904</v>
      </c>
      <c r="F314" s="459">
        <v>10113.826000000039</v>
      </c>
      <c r="G314" s="339">
        <v>1548.1110000000001</v>
      </c>
      <c r="H314" s="337">
        <v>1565.26</v>
      </c>
      <c r="I314" s="331">
        <v>44</v>
      </c>
      <c r="J314" s="577">
        <v>0.43137300000000001</v>
      </c>
      <c r="K314" s="579">
        <v>17.394505617977998</v>
      </c>
      <c r="L314" s="436">
        <v>2.0227270000000002</v>
      </c>
      <c r="M314" s="42" t="s">
        <v>227</v>
      </c>
      <c r="N314" s="334">
        <v>106</v>
      </c>
      <c r="O314" s="335">
        <v>78</v>
      </c>
      <c r="P314" s="335">
        <v>23</v>
      </c>
      <c r="Q314" s="389">
        <v>5</v>
      </c>
      <c r="R314" s="430">
        <v>14</v>
      </c>
      <c r="S314" s="339">
        <v>3</v>
      </c>
      <c r="T314" s="362">
        <v>19</v>
      </c>
      <c r="U314" s="337">
        <v>14</v>
      </c>
      <c r="V314" s="338">
        <v>0.5</v>
      </c>
    </row>
    <row r="315" spans="2:22" ht="13.5">
      <c r="B315" s="1577">
        <v>201512</v>
      </c>
      <c r="C315" s="324" t="s">
        <v>458</v>
      </c>
      <c r="D315" s="325" t="s">
        <v>1101</v>
      </c>
      <c r="E315" s="325" t="s">
        <v>1162</v>
      </c>
      <c r="F315" s="460">
        <v>2708.8900000000017</v>
      </c>
      <c r="G315" s="92">
        <v>397.048</v>
      </c>
      <c r="H315" s="279">
        <v>410.55200000000002</v>
      </c>
      <c r="I315" s="154">
        <v>9</v>
      </c>
      <c r="J315" s="576">
        <v>0.132353</v>
      </c>
      <c r="K315" s="578">
        <v>15.271076923077</v>
      </c>
      <c r="L315" s="437">
        <v>2.8888889999999998</v>
      </c>
      <c r="M315" s="42" t="s">
        <v>227</v>
      </c>
      <c r="N315" s="47">
        <v>67</v>
      </c>
      <c r="O315" s="45">
        <v>52</v>
      </c>
      <c r="P315" s="45">
        <v>15</v>
      </c>
      <c r="Q315" s="388">
        <v>0</v>
      </c>
      <c r="R315" s="429">
        <v>7</v>
      </c>
      <c r="S315" s="92"/>
      <c r="T315" s="361">
        <v>8</v>
      </c>
      <c r="U315" s="285">
        <v>5</v>
      </c>
      <c r="V315" s="438">
        <v>0.33333333333333331</v>
      </c>
    </row>
    <row r="316" spans="2:22" ht="13.5">
      <c r="B316" s="1577">
        <v>201512</v>
      </c>
      <c r="C316" s="326" t="s">
        <v>458</v>
      </c>
      <c r="D316" s="327" t="s">
        <v>1102</v>
      </c>
      <c r="E316" s="327" t="s">
        <v>1163</v>
      </c>
      <c r="F316" s="459">
        <v>6781.1990000000005</v>
      </c>
      <c r="G316" s="339">
        <v>1361.9459999999999</v>
      </c>
      <c r="H316" s="337">
        <v>1414.0530000000001</v>
      </c>
      <c r="I316" s="331">
        <v>56</v>
      </c>
      <c r="J316" s="577">
        <v>0.493392</v>
      </c>
      <c r="K316" s="579">
        <v>19.182338028168999</v>
      </c>
      <c r="L316" s="436">
        <v>1.267857</v>
      </c>
      <c r="M316" s="42" t="s">
        <v>227</v>
      </c>
      <c r="N316" s="334">
        <v>124</v>
      </c>
      <c r="O316" s="335">
        <v>95</v>
      </c>
      <c r="P316" s="335">
        <v>27</v>
      </c>
      <c r="Q316" s="389">
        <v>2</v>
      </c>
      <c r="R316" s="430">
        <v>15</v>
      </c>
      <c r="S316" s="339">
        <v>6</v>
      </c>
      <c r="T316" s="362">
        <v>32</v>
      </c>
      <c r="U316" s="337">
        <v>11</v>
      </c>
      <c r="V316" s="338">
        <v>0.37931034482758619</v>
      </c>
    </row>
    <row r="317" spans="2:22" ht="13.5">
      <c r="B317" s="1577">
        <v>201512</v>
      </c>
      <c r="C317" s="324" t="s">
        <v>458</v>
      </c>
      <c r="D317" s="325" t="s">
        <v>628</v>
      </c>
      <c r="E317" s="325" t="s">
        <v>629</v>
      </c>
      <c r="F317" s="460">
        <v>3635.4009999999885</v>
      </c>
      <c r="G317" s="92">
        <v>576.29499999999996</v>
      </c>
      <c r="H317" s="279">
        <v>576.50699999999995</v>
      </c>
      <c r="I317" s="154">
        <v>23</v>
      </c>
      <c r="J317" s="576">
        <v>0.44230799999999998</v>
      </c>
      <c r="K317" s="578">
        <v>12.806555555555999</v>
      </c>
      <c r="L317" s="437">
        <v>1.9565220000000001</v>
      </c>
      <c r="M317" s="42" t="s">
        <v>227</v>
      </c>
      <c r="N317" s="47">
        <v>52</v>
      </c>
      <c r="O317" s="45">
        <v>32</v>
      </c>
      <c r="P317" s="45">
        <v>10</v>
      </c>
      <c r="Q317" s="388">
        <v>10</v>
      </c>
      <c r="R317" s="429">
        <v>3</v>
      </c>
      <c r="S317" s="92"/>
      <c r="T317" s="361">
        <v>3</v>
      </c>
      <c r="U317" s="285">
        <v>2</v>
      </c>
      <c r="V317" s="438">
        <v>0.1</v>
      </c>
    </row>
    <row r="318" spans="2:22" ht="13.5">
      <c r="B318" s="1577">
        <v>201512</v>
      </c>
      <c r="C318" s="326" t="s">
        <v>458</v>
      </c>
      <c r="D318" s="327" t="s">
        <v>1565</v>
      </c>
      <c r="E318" s="327" t="s">
        <v>1566</v>
      </c>
      <c r="F318" s="459">
        <v>1456.0289999999998</v>
      </c>
      <c r="G318" s="339">
        <v>482.685</v>
      </c>
      <c r="H318" s="337">
        <v>478.43900000000002</v>
      </c>
      <c r="I318" s="331">
        <v>14</v>
      </c>
      <c r="J318" s="577">
        <v>0.37837799999999999</v>
      </c>
      <c r="K318" s="579">
        <v>19.307400000000001</v>
      </c>
      <c r="L318" s="436">
        <v>1.785714</v>
      </c>
      <c r="M318" s="42" t="s">
        <v>227</v>
      </c>
      <c r="N318" s="334">
        <v>37</v>
      </c>
      <c r="O318" s="335">
        <v>32</v>
      </c>
      <c r="P318" s="335">
        <v>5</v>
      </c>
      <c r="Q318" s="389">
        <v>0</v>
      </c>
      <c r="R318" s="430">
        <v>5</v>
      </c>
      <c r="S318" s="339"/>
      <c r="T318" s="362">
        <v>5</v>
      </c>
      <c r="U318" s="337">
        <v>3</v>
      </c>
      <c r="V318" s="338">
        <v>0.6</v>
      </c>
    </row>
    <row r="319" spans="2:22" ht="13.5">
      <c r="B319" s="1577">
        <v>201512</v>
      </c>
      <c r="C319" s="324" t="s">
        <v>458</v>
      </c>
      <c r="D319" s="325" t="s">
        <v>47</v>
      </c>
      <c r="E319" s="325" t="s">
        <v>17</v>
      </c>
      <c r="F319" s="460">
        <v>6331.3290000000052</v>
      </c>
      <c r="G319" s="92">
        <v>903.16399999999999</v>
      </c>
      <c r="H319" s="279">
        <v>837.51700000000005</v>
      </c>
      <c r="I319" s="154">
        <v>14</v>
      </c>
      <c r="J319" s="576">
        <v>0.33333299999999999</v>
      </c>
      <c r="K319" s="578">
        <v>29.134322580644998</v>
      </c>
      <c r="L319" s="437">
        <v>2.214286</v>
      </c>
      <c r="M319" s="42" t="s">
        <v>227</v>
      </c>
      <c r="N319" s="47">
        <v>42</v>
      </c>
      <c r="O319" s="45">
        <v>30</v>
      </c>
      <c r="P319" s="45">
        <v>10</v>
      </c>
      <c r="Q319" s="388">
        <v>2</v>
      </c>
      <c r="R319" s="429">
        <v>3</v>
      </c>
      <c r="S319" s="92"/>
      <c r="T319" s="361">
        <v>3</v>
      </c>
      <c r="U319" s="285">
        <v>3</v>
      </c>
      <c r="V319" s="438">
        <v>0.25</v>
      </c>
    </row>
    <row r="320" spans="2:22" ht="13.5">
      <c r="B320" s="1577">
        <v>201512</v>
      </c>
      <c r="C320" s="326" t="s">
        <v>458</v>
      </c>
      <c r="D320" s="327" t="s">
        <v>736</v>
      </c>
      <c r="E320" s="327" t="s">
        <v>697</v>
      </c>
      <c r="F320" s="459">
        <v>11337.9450000001</v>
      </c>
      <c r="G320" s="339">
        <v>2737.625</v>
      </c>
      <c r="H320" s="337">
        <v>2031.664</v>
      </c>
      <c r="I320" s="331">
        <v>45</v>
      </c>
      <c r="J320" s="577">
        <v>0.483871</v>
      </c>
      <c r="K320" s="579">
        <v>30.759831460674</v>
      </c>
      <c r="L320" s="436">
        <v>1.977778</v>
      </c>
      <c r="M320" s="42" t="s">
        <v>227</v>
      </c>
      <c r="N320" s="334">
        <v>90</v>
      </c>
      <c r="O320" s="335">
        <v>65</v>
      </c>
      <c r="P320" s="335">
        <v>17</v>
      </c>
      <c r="Q320" s="389">
        <v>8</v>
      </c>
      <c r="R320" s="430">
        <v>24</v>
      </c>
      <c r="S320" s="339"/>
      <c r="T320" s="362">
        <v>16</v>
      </c>
      <c r="U320" s="337">
        <v>7</v>
      </c>
      <c r="V320" s="338">
        <v>0.28000000000000003</v>
      </c>
    </row>
    <row r="321" spans="2:22" ht="13.5">
      <c r="B321" s="1577">
        <v>201512</v>
      </c>
      <c r="C321" s="324" t="s">
        <v>458</v>
      </c>
      <c r="D321" s="325" t="s">
        <v>796</v>
      </c>
      <c r="E321" s="325" t="s">
        <v>797</v>
      </c>
      <c r="F321" s="460">
        <v>6873.9000000000087</v>
      </c>
      <c r="G321" s="92">
        <v>863.06799999999998</v>
      </c>
      <c r="H321" s="279">
        <v>840.50099999999998</v>
      </c>
      <c r="I321" s="154">
        <v>23</v>
      </c>
      <c r="J321" s="576">
        <v>0.43809500000000001</v>
      </c>
      <c r="K321" s="578">
        <v>19.179288888889001</v>
      </c>
      <c r="L321" s="437">
        <v>1.9565220000000001</v>
      </c>
      <c r="M321" s="42" t="s">
        <v>227</v>
      </c>
      <c r="N321" s="47">
        <v>46</v>
      </c>
      <c r="O321" s="45">
        <v>34</v>
      </c>
      <c r="P321" s="45">
        <v>12</v>
      </c>
      <c r="Q321" s="388">
        <v>0</v>
      </c>
      <c r="R321" s="429">
        <v>15</v>
      </c>
      <c r="S321" s="92"/>
      <c r="T321" s="361">
        <v>1</v>
      </c>
      <c r="U321" s="285">
        <v>1</v>
      </c>
      <c r="V321" s="438">
        <v>8.3333333333333329E-2</v>
      </c>
    </row>
    <row r="322" spans="2:22" ht="13.5">
      <c r="B322" s="1577">
        <v>201512</v>
      </c>
      <c r="C322" s="326" t="s">
        <v>458</v>
      </c>
      <c r="D322" s="327" t="s">
        <v>1418</v>
      </c>
      <c r="E322" s="327" t="s">
        <v>1771</v>
      </c>
      <c r="F322" s="459">
        <v>3420.09</v>
      </c>
      <c r="G322" s="339">
        <v>806.34</v>
      </c>
      <c r="H322" s="337">
        <v>816.61199999999997</v>
      </c>
      <c r="I322" s="331">
        <v>25</v>
      </c>
      <c r="J322" s="577">
        <v>0.44642900000000002</v>
      </c>
      <c r="K322" s="579">
        <v>17.918666666667001</v>
      </c>
      <c r="L322" s="436">
        <v>1.8</v>
      </c>
      <c r="M322" s="42" t="s">
        <v>227</v>
      </c>
      <c r="N322" s="334">
        <v>55</v>
      </c>
      <c r="O322" s="335">
        <v>37</v>
      </c>
      <c r="P322" s="335">
        <v>15</v>
      </c>
      <c r="Q322" s="389">
        <v>3</v>
      </c>
      <c r="R322" s="430">
        <v>6</v>
      </c>
      <c r="S322" s="339">
        <v>1</v>
      </c>
      <c r="T322" s="362">
        <v>3</v>
      </c>
      <c r="U322" s="337">
        <v>3</v>
      </c>
      <c r="V322" s="338">
        <v>0.16666666666666666</v>
      </c>
    </row>
    <row r="323" spans="2:22" ht="13.5">
      <c r="B323" s="1577">
        <v>201512</v>
      </c>
      <c r="C323" s="324" t="s">
        <v>458</v>
      </c>
      <c r="D323" s="325" t="s">
        <v>1669</v>
      </c>
      <c r="E323" s="325" t="s">
        <v>1670</v>
      </c>
      <c r="F323" s="460">
        <v>1311.5559999999991</v>
      </c>
      <c r="G323" s="92">
        <v>571.47199999999998</v>
      </c>
      <c r="H323" s="279">
        <v>565.02</v>
      </c>
      <c r="I323" s="154">
        <v>9</v>
      </c>
      <c r="J323" s="576">
        <v>0.40909099999999998</v>
      </c>
      <c r="K323" s="578">
        <v>30.077473684211</v>
      </c>
      <c r="L323" s="437">
        <v>2.1111110000000002</v>
      </c>
      <c r="M323" s="42" t="s">
        <v>227</v>
      </c>
      <c r="N323" s="47">
        <v>21</v>
      </c>
      <c r="O323" s="45">
        <v>17</v>
      </c>
      <c r="P323" s="45">
        <v>4</v>
      </c>
      <c r="Q323" s="388">
        <v>0</v>
      </c>
      <c r="R323" s="429">
        <v>3</v>
      </c>
      <c r="S323" s="92"/>
      <c r="T323" s="361">
        <v>1</v>
      </c>
      <c r="U323" s="285">
        <v>1</v>
      </c>
      <c r="V323" s="438">
        <v>0.25</v>
      </c>
    </row>
    <row r="324" spans="2:22" ht="13.5">
      <c r="B324" s="1577">
        <v>201512</v>
      </c>
      <c r="C324" s="326" t="s">
        <v>458</v>
      </c>
      <c r="D324" s="327" t="s">
        <v>630</v>
      </c>
      <c r="E324" s="327" t="s">
        <v>483</v>
      </c>
      <c r="F324" s="459">
        <v>3531.289499999993</v>
      </c>
      <c r="G324" s="339">
        <v>394.24599999999998</v>
      </c>
      <c r="H324" s="337">
        <v>413.09249999999997</v>
      </c>
      <c r="I324" s="331">
        <v>20</v>
      </c>
      <c r="J324" s="577">
        <v>0.33613399999999999</v>
      </c>
      <c r="K324" s="579">
        <v>13.594689655171999</v>
      </c>
      <c r="L324" s="436">
        <v>1.45</v>
      </c>
      <c r="M324" s="42" t="s">
        <v>227</v>
      </c>
      <c r="N324" s="334">
        <v>60</v>
      </c>
      <c r="O324" s="335">
        <v>45</v>
      </c>
      <c r="P324" s="335">
        <v>10</v>
      </c>
      <c r="Q324" s="389">
        <v>5</v>
      </c>
      <c r="R324" s="430">
        <v>3</v>
      </c>
      <c r="S324" s="339"/>
      <c r="T324" s="362">
        <v>4</v>
      </c>
      <c r="U324" s="337">
        <v>4</v>
      </c>
      <c r="V324" s="338">
        <v>0.26666666666666666</v>
      </c>
    </row>
    <row r="325" spans="2:22" ht="13.5">
      <c r="B325" s="1577">
        <v>201512</v>
      </c>
      <c r="C325" s="324" t="s">
        <v>458</v>
      </c>
      <c r="D325" s="325" t="s">
        <v>905</v>
      </c>
      <c r="E325" s="325" t="s">
        <v>906</v>
      </c>
      <c r="F325" s="460">
        <v>9187.2470000000103</v>
      </c>
      <c r="G325" s="92">
        <v>1336.45</v>
      </c>
      <c r="H325" s="279">
        <v>1385.5350000000001</v>
      </c>
      <c r="I325" s="154">
        <v>20</v>
      </c>
      <c r="J325" s="576">
        <v>0.37735800000000003</v>
      </c>
      <c r="K325" s="578">
        <v>28.435106382979001</v>
      </c>
      <c r="L325" s="437">
        <v>2.35</v>
      </c>
      <c r="M325" s="42" t="s">
        <v>227</v>
      </c>
      <c r="N325" s="47">
        <v>57</v>
      </c>
      <c r="O325" s="45">
        <v>42</v>
      </c>
      <c r="P325" s="45">
        <v>12</v>
      </c>
      <c r="Q325" s="388">
        <v>3</v>
      </c>
      <c r="R325" s="429">
        <v>3</v>
      </c>
      <c r="S325" s="92"/>
      <c r="T325" s="361">
        <v>11</v>
      </c>
      <c r="U325" s="285">
        <v>7</v>
      </c>
      <c r="V325" s="438">
        <v>0.46666666666666667</v>
      </c>
    </row>
    <row r="326" spans="2:22" ht="13.5">
      <c r="B326" s="1577">
        <v>201512</v>
      </c>
      <c r="C326" s="326" t="s">
        <v>458</v>
      </c>
      <c r="D326" s="327" t="s">
        <v>648</v>
      </c>
      <c r="E326" s="327" t="s">
        <v>644</v>
      </c>
      <c r="F326" s="459">
        <v>3891.1259999999888</v>
      </c>
      <c r="G326" s="339">
        <v>630.15</v>
      </c>
      <c r="H326" s="337">
        <v>551.41600000000005</v>
      </c>
      <c r="I326" s="331">
        <v>20</v>
      </c>
      <c r="J326" s="577">
        <v>0.38095200000000001</v>
      </c>
      <c r="K326" s="579">
        <v>16.582894736842</v>
      </c>
      <c r="L326" s="436">
        <v>1.9</v>
      </c>
      <c r="M326" s="42" t="s">
        <v>227</v>
      </c>
      <c r="N326" s="334">
        <v>53</v>
      </c>
      <c r="O326" s="335">
        <v>36</v>
      </c>
      <c r="P326" s="335">
        <v>15</v>
      </c>
      <c r="Q326" s="389">
        <v>2</v>
      </c>
      <c r="R326" s="430">
        <v>10</v>
      </c>
      <c r="S326" s="339">
        <v>3</v>
      </c>
      <c r="T326" s="362">
        <v>8</v>
      </c>
      <c r="U326" s="337">
        <v>5</v>
      </c>
      <c r="V326" s="338">
        <v>0.29411764705882354</v>
      </c>
    </row>
    <row r="327" spans="2:22" ht="13.5">
      <c r="B327" s="1577">
        <v>201512</v>
      </c>
      <c r="C327" s="324" t="s">
        <v>459</v>
      </c>
      <c r="D327" s="325" t="s">
        <v>1100</v>
      </c>
      <c r="E327" s="325" t="s">
        <v>1774</v>
      </c>
      <c r="F327" s="460">
        <v>8049.6280000000734</v>
      </c>
      <c r="G327" s="92">
        <v>779.27599999999995</v>
      </c>
      <c r="H327" s="279">
        <v>779.27599999999995</v>
      </c>
      <c r="I327" s="154">
        <v>43</v>
      </c>
      <c r="J327" s="576">
        <v>0.28956199999999999</v>
      </c>
      <c r="K327" s="578">
        <v>14.431037037037001</v>
      </c>
      <c r="L327" s="437">
        <v>1.255814</v>
      </c>
      <c r="M327" s="42" t="s">
        <v>227</v>
      </c>
      <c r="N327" s="47">
        <v>143</v>
      </c>
      <c r="O327" s="45">
        <v>112</v>
      </c>
      <c r="P327" s="45">
        <v>22</v>
      </c>
      <c r="Q327" s="388">
        <v>9</v>
      </c>
      <c r="R327" s="429">
        <v>27</v>
      </c>
      <c r="S327" s="92">
        <v>1</v>
      </c>
      <c r="T327" s="361">
        <v>15</v>
      </c>
      <c r="U327" s="285">
        <v>9</v>
      </c>
      <c r="V327" s="438">
        <v>0.29032258064516131</v>
      </c>
    </row>
    <row r="328" spans="2:22" ht="13.5">
      <c r="B328" s="1577">
        <v>201512</v>
      </c>
      <c r="C328" s="326" t="s">
        <v>459</v>
      </c>
      <c r="D328" s="327" t="s">
        <v>1419</v>
      </c>
      <c r="E328" s="327" t="s">
        <v>1420</v>
      </c>
      <c r="F328" s="459">
        <v>4884.6460000000097</v>
      </c>
      <c r="G328" s="339">
        <v>745.07600000000002</v>
      </c>
      <c r="H328" s="337">
        <v>736.15599999999995</v>
      </c>
      <c r="I328" s="331">
        <v>44</v>
      </c>
      <c r="J328" s="577">
        <v>0.42926799999999998</v>
      </c>
      <c r="K328" s="579">
        <v>11.462707692307999</v>
      </c>
      <c r="L328" s="436">
        <v>1.4772730000000001</v>
      </c>
      <c r="M328" s="42" t="s">
        <v>227</v>
      </c>
      <c r="N328" s="334">
        <v>107</v>
      </c>
      <c r="O328" s="335">
        <v>83</v>
      </c>
      <c r="P328" s="335">
        <v>18</v>
      </c>
      <c r="Q328" s="389">
        <v>6</v>
      </c>
      <c r="R328" s="430">
        <v>9</v>
      </c>
      <c r="S328" s="339">
        <v>1</v>
      </c>
      <c r="T328" s="362">
        <v>17</v>
      </c>
      <c r="U328" s="337">
        <v>12</v>
      </c>
      <c r="V328" s="338">
        <v>0.5</v>
      </c>
    </row>
    <row r="329" spans="2:22" ht="13.5">
      <c r="B329" s="1577">
        <v>201512</v>
      </c>
      <c r="C329" s="324" t="s">
        <v>459</v>
      </c>
      <c r="D329" s="325" t="s">
        <v>1103</v>
      </c>
      <c r="E329" s="325" t="s">
        <v>1161</v>
      </c>
      <c r="F329" s="460">
        <v>2539.645</v>
      </c>
      <c r="G329" s="92">
        <v>298.19600000000003</v>
      </c>
      <c r="H329" s="279">
        <v>311.512</v>
      </c>
      <c r="I329" s="154">
        <v>15</v>
      </c>
      <c r="J329" s="576">
        <v>0.26548699999999997</v>
      </c>
      <c r="K329" s="578">
        <v>13.554363636364</v>
      </c>
      <c r="L329" s="437">
        <v>1.4666669999999999</v>
      </c>
      <c r="M329" s="42" t="s">
        <v>227</v>
      </c>
      <c r="N329" s="47">
        <v>53</v>
      </c>
      <c r="O329" s="45">
        <v>37</v>
      </c>
      <c r="P329" s="45">
        <v>12</v>
      </c>
      <c r="Q329" s="388">
        <v>4</v>
      </c>
      <c r="R329" s="429">
        <v>13</v>
      </c>
      <c r="S329" s="92"/>
      <c r="T329" s="361">
        <v>6</v>
      </c>
      <c r="U329" s="285">
        <v>5</v>
      </c>
      <c r="V329" s="438">
        <v>0.3125</v>
      </c>
    </row>
    <row r="330" spans="2:22" ht="13.5">
      <c r="B330" s="1577">
        <v>201512</v>
      </c>
      <c r="C330" s="326" t="s">
        <v>459</v>
      </c>
      <c r="D330" s="327" t="s">
        <v>661</v>
      </c>
      <c r="E330" s="327" t="s">
        <v>1950</v>
      </c>
      <c r="F330" s="459">
        <v>2880.2529999999983</v>
      </c>
      <c r="G330" s="339">
        <v>411.29899999999998</v>
      </c>
      <c r="H330" s="337">
        <v>400.18799999999999</v>
      </c>
      <c r="I330" s="331">
        <v>11</v>
      </c>
      <c r="J330" s="577">
        <v>0.30137000000000003</v>
      </c>
      <c r="K330" s="579">
        <v>31.638384615385</v>
      </c>
      <c r="L330" s="436">
        <v>1.181818</v>
      </c>
      <c r="M330" s="42" t="s">
        <v>227</v>
      </c>
      <c r="N330" s="334">
        <v>34</v>
      </c>
      <c r="O330" s="335">
        <v>23</v>
      </c>
      <c r="P330" s="335">
        <v>9</v>
      </c>
      <c r="Q330" s="389">
        <v>2</v>
      </c>
      <c r="R330" s="430">
        <v>8</v>
      </c>
      <c r="S330" s="339"/>
      <c r="T330" s="362">
        <v>3</v>
      </c>
      <c r="U330" s="337">
        <v>2</v>
      </c>
      <c r="V330" s="338">
        <v>0.18181818181818182</v>
      </c>
    </row>
    <row r="331" spans="2:22" ht="13.5">
      <c r="B331" s="1577">
        <v>201512</v>
      </c>
      <c r="C331" s="324" t="s">
        <v>459</v>
      </c>
      <c r="D331" s="325" t="s">
        <v>179</v>
      </c>
      <c r="E331" s="325" t="s">
        <v>191</v>
      </c>
      <c r="F331" s="460">
        <v>14743.404000000108</v>
      </c>
      <c r="G331" s="92">
        <v>2359.9369999999999</v>
      </c>
      <c r="H331" s="279">
        <v>2558.8090000000002</v>
      </c>
      <c r="I331" s="154">
        <v>61</v>
      </c>
      <c r="J331" s="576">
        <v>0.38730199999999998</v>
      </c>
      <c r="K331" s="578">
        <v>19.343745901639</v>
      </c>
      <c r="L331" s="437">
        <v>2</v>
      </c>
      <c r="M331" s="42" t="s">
        <v>227</v>
      </c>
      <c r="N331" s="47">
        <v>161</v>
      </c>
      <c r="O331" s="45">
        <v>119</v>
      </c>
      <c r="P331" s="45">
        <v>40</v>
      </c>
      <c r="Q331" s="388">
        <v>2</v>
      </c>
      <c r="R331" s="429">
        <v>9</v>
      </c>
      <c r="S331" s="92">
        <v>2</v>
      </c>
      <c r="T331" s="361">
        <v>14</v>
      </c>
      <c r="U331" s="285">
        <v>10</v>
      </c>
      <c r="V331" s="438">
        <v>0.23809523809523808</v>
      </c>
    </row>
    <row r="332" spans="2:22" ht="13.5">
      <c r="B332" s="1577">
        <v>201512</v>
      </c>
      <c r="C332" s="326" t="s">
        <v>459</v>
      </c>
      <c r="D332" s="327" t="s">
        <v>659</v>
      </c>
      <c r="E332" s="327" t="s">
        <v>655</v>
      </c>
      <c r="F332" s="459">
        <v>11382.064000000002</v>
      </c>
      <c r="G332" s="339">
        <v>3285.6</v>
      </c>
      <c r="H332" s="337">
        <v>2923.7759999999998</v>
      </c>
      <c r="I332" s="331">
        <v>45</v>
      </c>
      <c r="J332" s="577">
        <v>0.483871</v>
      </c>
      <c r="K332" s="579">
        <v>25.668749999999999</v>
      </c>
      <c r="L332" s="436">
        <v>2.8444440000000002</v>
      </c>
      <c r="M332" s="42" t="s">
        <v>227</v>
      </c>
      <c r="N332" s="334">
        <v>96</v>
      </c>
      <c r="O332" s="335">
        <v>71</v>
      </c>
      <c r="P332" s="335">
        <v>22</v>
      </c>
      <c r="Q332" s="389">
        <v>3</v>
      </c>
      <c r="R332" s="430">
        <v>9</v>
      </c>
      <c r="S332" s="339">
        <v>2</v>
      </c>
      <c r="T332" s="362">
        <v>13</v>
      </c>
      <c r="U332" s="337">
        <v>10</v>
      </c>
      <c r="V332" s="338">
        <v>0.4</v>
      </c>
    </row>
    <row r="333" spans="2:22" ht="13.5">
      <c r="B333" s="1577">
        <v>201512</v>
      </c>
      <c r="C333" s="324" t="s">
        <v>459</v>
      </c>
      <c r="D333" s="325" t="s">
        <v>699</v>
      </c>
      <c r="E333" s="325" t="s">
        <v>698</v>
      </c>
      <c r="F333" s="460">
        <v>2532.5849999999996</v>
      </c>
      <c r="G333" s="92">
        <v>99.453000000000003</v>
      </c>
      <c r="H333" s="279">
        <v>110.182</v>
      </c>
      <c r="I333" s="154">
        <v>6</v>
      </c>
      <c r="J333" s="576">
        <v>0.15789500000000001</v>
      </c>
      <c r="K333" s="578">
        <v>19.890599999999999</v>
      </c>
      <c r="L333" s="437">
        <v>0.83333299999999999</v>
      </c>
      <c r="M333" s="42" t="s">
        <v>227</v>
      </c>
      <c r="N333" s="47">
        <v>32</v>
      </c>
      <c r="O333" s="45">
        <v>26</v>
      </c>
      <c r="P333" s="45">
        <v>5</v>
      </c>
      <c r="Q333" s="388">
        <v>1</v>
      </c>
      <c r="R333" s="429">
        <v>15</v>
      </c>
      <c r="S333" s="92"/>
      <c r="T333" s="361">
        <v>3</v>
      </c>
      <c r="U333" s="285">
        <v>2</v>
      </c>
      <c r="V333" s="438">
        <v>0.33333333333333331</v>
      </c>
    </row>
    <row r="334" spans="2:22" ht="13.5">
      <c r="B334" s="1577">
        <v>201512</v>
      </c>
      <c r="C334" s="326" t="s">
        <v>459</v>
      </c>
      <c r="D334" s="327" t="s">
        <v>1015</v>
      </c>
      <c r="E334" s="327" t="s">
        <v>1348</v>
      </c>
      <c r="F334" s="459">
        <v>3376.6700000000028</v>
      </c>
      <c r="G334" s="339">
        <v>500.74099999999999</v>
      </c>
      <c r="H334" s="337">
        <v>447.166</v>
      </c>
      <c r="I334" s="331">
        <v>26</v>
      </c>
      <c r="J334" s="577">
        <v>0.25490200000000002</v>
      </c>
      <c r="K334" s="579">
        <v>12.213195121951001</v>
      </c>
      <c r="L334" s="436">
        <v>1.5769230000000001</v>
      </c>
      <c r="M334" s="42" t="s">
        <v>227</v>
      </c>
      <c r="N334" s="334">
        <v>100</v>
      </c>
      <c r="O334" s="335">
        <v>84</v>
      </c>
      <c r="P334" s="335">
        <v>15</v>
      </c>
      <c r="Q334" s="389">
        <v>1</v>
      </c>
      <c r="R334" s="430">
        <v>12</v>
      </c>
      <c r="S334" s="339"/>
      <c r="T334" s="362">
        <v>8</v>
      </c>
      <c r="U334" s="337">
        <v>6</v>
      </c>
      <c r="V334" s="338">
        <v>0.375</v>
      </c>
    </row>
    <row r="335" spans="2:22" ht="13.5">
      <c r="B335" s="1577">
        <v>201512</v>
      </c>
      <c r="C335" s="324" t="s">
        <v>459</v>
      </c>
      <c r="D335" s="325" t="s">
        <v>825</v>
      </c>
      <c r="E335" s="325" t="s">
        <v>1773</v>
      </c>
      <c r="F335" s="460">
        <v>4561.6710000000057</v>
      </c>
      <c r="G335" s="92">
        <v>637.005</v>
      </c>
      <c r="H335" s="279">
        <v>626.92399999999998</v>
      </c>
      <c r="I335" s="154">
        <v>41</v>
      </c>
      <c r="J335" s="576">
        <v>0.38862600000000003</v>
      </c>
      <c r="K335" s="578">
        <v>12.7401</v>
      </c>
      <c r="L335" s="437">
        <v>1.2195119999999999</v>
      </c>
      <c r="M335" s="42" t="s">
        <v>227</v>
      </c>
      <c r="N335" s="47">
        <v>115</v>
      </c>
      <c r="O335" s="45">
        <v>88</v>
      </c>
      <c r="P335" s="45">
        <v>25</v>
      </c>
      <c r="Q335" s="388">
        <v>2</v>
      </c>
      <c r="R335" s="429">
        <v>7</v>
      </c>
      <c r="S335" s="92">
        <v>3</v>
      </c>
      <c r="T335" s="361">
        <v>23</v>
      </c>
      <c r="U335" s="285">
        <v>13</v>
      </c>
      <c r="V335" s="438">
        <v>0.48148148148148145</v>
      </c>
    </row>
    <row r="336" spans="2:22" ht="13.5">
      <c r="B336" s="1577">
        <v>201512</v>
      </c>
      <c r="C336" s="326" t="s">
        <v>459</v>
      </c>
      <c r="D336" s="327" t="s">
        <v>185</v>
      </c>
      <c r="E336" s="327" t="s">
        <v>190</v>
      </c>
      <c r="F336" s="459">
        <v>7944.1650000000363</v>
      </c>
      <c r="G336" s="339">
        <v>1915.3209999999999</v>
      </c>
      <c r="H336" s="337">
        <v>1950.037</v>
      </c>
      <c r="I336" s="331">
        <v>45</v>
      </c>
      <c r="J336" s="577">
        <v>0.45226100000000002</v>
      </c>
      <c r="K336" s="579">
        <v>21.520460674157</v>
      </c>
      <c r="L336" s="436">
        <v>1.977778</v>
      </c>
      <c r="M336" s="42" t="s">
        <v>227</v>
      </c>
      <c r="N336" s="334">
        <v>102</v>
      </c>
      <c r="O336" s="335">
        <v>80</v>
      </c>
      <c r="P336" s="335">
        <v>18</v>
      </c>
      <c r="Q336" s="389">
        <v>4</v>
      </c>
      <c r="R336" s="430">
        <v>4</v>
      </c>
      <c r="S336" s="339">
        <v>1</v>
      </c>
      <c r="T336" s="362">
        <v>8</v>
      </c>
      <c r="U336" s="337">
        <v>8</v>
      </c>
      <c r="V336" s="338">
        <v>0.36363636363636365</v>
      </c>
    </row>
    <row r="337" spans="2:22" ht="13.5">
      <c r="B337" s="1577">
        <v>201512</v>
      </c>
      <c r="C337" s="324" t="s">
        <v>459</v>
      </c>
      <c r="D337" s="325" t="s">
        <v>660</v>
      </c>
      <c r="E337" s="325" t="s">
        <v>656</v>
      </c>
      <c r="F337" s="460">
        <v>6283.7010000000291</v>
      </c>
      <c r="G337" s="92">
        <v>1188.3599999999999</v>
      </c>
      <c r="H337" s="279">
        <v>1165.6469999999999</v>
      </c>
      <c r="I337" s="154">
        <v>37</v>
      </c>
      <c r="J337" s="576">
        <v>0.28352500000000003</v>
      </c>
      <c r="K337" s="578">
        <v>12.916956521739001</v>
      </c>
      <c r="L337" s="437">
        <v>2.4864860000000002</v>
      </c>
      <c r="M337" s="42" t="s">
        <v>227</v>
      </c>
      <c r="N337" s="47">
        <v>125</v>
      </c>
      <c r="O337" s="45">
        <v>101</v>
      </c>
      <c r="P337" s="45">
        <v>22</v>
      </c>
      <c r="Q337" s="388">
        <v>2</v>
      </c>
      <c r="R337" s="429">
        <v>19</v>
      </c>
      <c r="S337" s="92"/>
      <c r="T337" s="361">
        <v>8</v>
      </c>
      <c r="U337" s="285">
        <v>5</v>
      </c>
      <c r="V337" s="438">
        <v>0.20833333333333334</v>
      </c>
    </row>
    <row r="338" spans="2:22" ht="13.5">
      <c r="B338" s="1577">
        <v>201512</v>
      </c>
      <c r="C338" s="326" t="s">
        <v>459</v>
      </c>
      <c r="D338" s="327" t="s">
        <v>1570</v>
      </c>
      <c r="E338" s="327" t="s">
        <v>1571</v>
      </c>
      <c r="F338" s="459">
        <v>2807.2389999999987</v>
      </c>
      <c r="G338" s="339">
        <v>762.67700000000002</v>
      </c>
      <c r="H338" s="337">
        <v>762.67700000000002</v>
      </c>
      <c r="I338" s="331">
        <v>47</v>
      </c>
      <c r="J338" s="577">
        <v>0.39830500000000002</v>
      </c>
      <c r="K338" s="579">
        <v>12.502901639344</v>
      </c>
      <c r="L338" s="436">
        <v>1.2978719999999999</v>
      </c>
      <c r="M338" s="42" t="s">
        <v>227</v>
      </c>
      <c r="N338" s="334">
        <v>118</v>
      </c>
      <c r="O338" s="335">
        <v>89</v>
      </c>
      <c r="P338" s="335">
        <v>29</v>
      </c>
      <c r="Q338" s="389">
        <v>0</v>
      </c>
      <c r="R338" s="430">
        <v>32</v>
      </c>
      <c r="S338" s="339">
        <v>6</v>
      </c>
      <c r="T338" s="362">
        <v>26</v>
      </c>
      <c r="U338" s="337">
        <v>15</v>
      </c>
      <c r="V338" s="338">
        <v>0.51724137931034486</v>
      </c>
    </row>
    <row r="339" spans="2:22" ht="13.5">
      <c r="B339" s="1577">
        <v>201512</v>
      </c>
      <c r="C339" s="324" t="s">
        <v>459</v>
      </c>
      <c r="D339" s="325" t="s">
        <v>662</v>
      </c>
      <c r="E339" s="325" t="s">
        <v>658</v>
      </c>
      <c r="F339" s="460">
        <v>570.25200000000018</v>
      </c>
      <c r="G339" s="92">
        <v>0</v>
      </c>
      <c r="H339" s="279">
        <v>0</v>
      </c>
      <c r="I339" s="154">
        <v>0</v>
      </c>
      <c r="J339" s="576">
        <v>0</v>
      </c>
      <c r="K339" s="578">
        <v>0</v>
      </c>
      <c r="L339" s="437">
        <v>0</v>
      </c>
      <c r="M339" s="42" t="s">
        <v>227</v>
      </c>
      <c r="N339" s="47">
        <v>0</v>
      </c>
      <c r="O339" s="45">
        <v>0</v>
      </c>
      <c r="P339" s="45">
        <v>0</v>
      </c>
      <c r="Q339" s="388">
        <v>0</v>
      </c>
      <c r="R339" s="429">
        <v>0</v>
      </c>
      <c r="S339" s="92"/>
      <c r="T339" s="361"/>
      <c r="U339" s="285"/>
      <c r="V339" s="438"/>
    </row>
    <row r="340" spans="2:22" ht="13.5">
      <c r="B340" s="1577">
        <v>201512</v>
      </c>
      <c r="C340" s="326" t="s">
        <v>459</v>
      </c>
      <c r="D340" s="327" t="s">
        <v>799</v>
      </c>
      <c r="E340" s="327" t="s">
        <v>800</v>
      </c>
      <c r="F340" s="459">
        <v>5248.9790000000085</v>
      </c>
      <c r="G340" s="339">
        <v>789.53899999999999</v>
      </c>
      <c r="H340" s="337">
        <v>776.68899999999996</v>
      </c>
      <c r="I340" s="331">
        <v>28</v>
      </c>
      <c r="J340" s="577">
        <v>0.25806499999999999</v>
      </c>
      <c r="K340" s="579">
        <v>15.79078</v>
      </c>
      <c r="L340" s="436">
        <v>1.785714</v>
      </c>
      <c r="M340" s="42" t="s">
        <v>227</v>
      </c>
      <c r="N340" s="334">
        <v>108</v>
      </c>
      <c r="O340" s="335">
        <v>91</v>
      </c>
      <c r="P340" s="335">
        <v>16</v>
      </c>
      <c r="Q340" s="389">
        <v>1</v>
      </c>
      <c r="R340" s="430">
        <v>12</v>
      </c>
      <c r="S340" s="339"/>
      <c r="T340" s="362">
        <v>11</v>
      </c>
      <c r="U340" s="337">
        <v>7</v>
      </c>
      <c r="V340" s="338">
        <v>0.41176470588235292</v>
      </c>
    </row>
    <row r="341" spans="2:22" ht="13.5">
      <c r="B341" s="1577">
        <v>201512</v>
      </c>
      <c r="C341" s="324" t="s">
        <v>459</v>
      </c>
      <c r="D341" s="325" t="s">
        <v>1567</v>
      </c>
      <c r="E341" s="325" t="s">
        <v>1028</v>
      </c>
      <c r="F341" s="460">
        <v>7314.9150000000191</v>
      </c>
      <c r="G341" s="92">
        <v>2193.288</v>
      </c>
      <c r="H341" s="279">
        <v>2169.6320000000001</v>
      </c>
      <c r="I341" s="154">
        <v>71</v>
      </c>
      <c r="J341" s="576">
        <v>0.56799999999999995</v>
      </c>
      <c r="K341" s="578">
        <v>16.009401459854001</v>
      </c>
      <c r="L341" s="437">
        <v>1.9295770000000001</v>
      </c>
      <c r="M341" s="42" t="s">
        <v>227</v>
      </c>
      <c r="N341" s="47">
        <v>131</v>
      </c>
      <c r="O341" s="45">
        <v>91</v>
      </c>
      <c r="P341" s="45">
        <v>35</v>
      </c>
      <c r="Q341" s="388">
        <v>5</v>
      </c>
      <c r="R341" s="429">
        <v>13</v>
      </c>
      <c r="S341" s="92">
        <v>6</v>
      </c>
      <c r="T341" s="361">
        <v>19</v>
      </c>
      <c r="U341" s="285">
        <v>13</v>
      </c>
      <c r="V341" s="438">
        <v>0.32500000000000001</v>
      </c>
    </row>
    <row r="342" spans="2:22" ht="13.5">
      <c r="B342" s="1577">
        <v>201512</v>
      </c>
      <c r="C342" s="326" t="s">
        <v>459</v>
      </c>
      <c r="D342" s="327" t="s">
        <v>177</v>
      </c>
      <c r="E342" s="327" t="s">
        <v>189</v>
      </c>
      <c r="F342" s="459">
        <v>9916.0600000000377</v>
      </c>
      <c r="G342" s="339">
        <v>1943.106</v>
      </c>
      <c r="H342" s="337">
        <v>1932.3979999999999</v>
      </c>
      <c r="I342" s="331">
        <v>27</v>
      </c>
      <c r="J342" s="577">
        <v>0.39416099999999998</v>
      </c>
      <c r="K342" s="579">
        <v>28.160956521738999</v>
      </c>
      <c r="L342" s="436">
        <v>2.5555560000000002</v>
      </c>
      <c r="M342" s="42" t="s">
        <v>227</v>
      </c>
      <c r="N342" s="334">
        <v>68</v>
      </c>
      <c r="O342" s="335">
        <v>48</v>
      </c>
      <c r="P342" s="335">
        <v>19</v>
      </c>
      <c r="Q342" s="389">
        <v>1</v>
      </c>
      <c r="R342" s="430">
        <v>11</v>
      </c>
      <c r="S342" s="339"/>
      <c r="T342" s="362">
        <v>10</v>
      </c>
      <c r="U342" s="337">
        <v>7</v>
      </c>
      <c r="V342" s="338">
        <v>0.35</v>
      </c>
    </row>
    <row r="343" spans="2:22" ht="13.5">
      <c r="B343" s="1577">
        <v>201512</v>
      </c>
      <c r="C343" s="324" t="s">
        <v>459</v>
      </c>
      <c r="D343" s="325" t="s">
        <v>1568</v>
      </c>
      <c r="E343" s="325" t="s">
        <v>1569</v>
      </c>
      <c r="F343" s="460">
        <v>9117.478000000021</v>
      </c>
      <c r="G343" s="92">
        <v>2064.9299999999998</v>
      </c>
      <c r="H343" s="279">
        <v>2064.9299999999998</v>
      </c>
      <c r="I343" s="154">
        <v>93</v>
      </c>
      <c r="J343" s="576">
        <v>0.41150399999999998</v>
      </c>
      <c r="K343" s="578">
        <v>12.146647058824001</v>
      </c>
      <c r="L343" s="437">
        <v>1.8279570000000001</v>
      </c>
      <c r="M343" s="42" t="s">
        <v>227</v>
      </c>
      <c r="N343" s="47">
        <v>231</v>
      </c>
      <c r="O343" s="45">
        <v>173</v>
      </c>
      <c r="P343" s="45">
        <v>57</v>
      </c>
      <c r="Q343" s="388">
        <v>1</v>
      </c>
      <c r="R343" s="429">
        <v>18</v>
      </c>
      <c r="S343" s="92">
        <v>2</v>
      </c>
      <c r="T343" s="361">
        <v>26</v>
      </c>
      <c r="U343" s="285">
        <v>18</v>
      </c>
      <c r="V343" s="438">
        <v>0.31034482758620691</v>
      </c>
    </row>
    <row r="344" spans="2:22" ht="13.5">
      <c r="B344" s="1577">
        <v>201512</v>
      </c>
      <c r="C344" s="326" t="s">
        <v>459</v>
      </c>
      <c r="D344" s="327" t="s">
        <v>176</v>
      </c>
      <c r="E344" s="327" t="s">
        <v>188</v>
      </c>
      <c r="F344" s="459">
        <v>20389.887999999988</v>
      </c>
      <c r="G344" s="339">
        <v>2390.7269999999999</v>
      </c>
      <c r="H344" s="337">
        <v>2419.444</v>
      </c>
      <c r="I344" s="331">
        <v>90</v>
      </c>
      <c r="J344" s="577">
        <v>0.39045600000000003</v>
      </c>
      <c r="K344" s="579">
        <v>18.111568181818001</v>
      </c>
      <c r="L344" s="436">
        <v>1.4666669999999999</v>
      </c>
      <c r="M344" s="42" t="s">
        <v>227</v>
      </c>
      <c r="N344" s="334">
        <v>251</v>
      </c>
      <c r="O344" s="335">
        <v>211</v>
      </c>
      <c r="P344" s="335">
        <v>34</v>
      </c>
      <c r="Q344" s="389">
        <v>6</v>
      </c>
      <c r="R344" s="430">
        <v>7</v>
      </c>
      <c r="S344" s="339">
        <v>5</v>
      </c>
      <c r="T344" s="362">
        <v>43</v>
      </c>
      <c r="U344" s="337">
        <v>22</v>
      </c>
      <c r="V344" s="338">
        <v>0.55000000000000004</v>
      </c>
    </row>
    <row r="345" spans="2:22" ht="13.5">
      <c r="B345" s="1577">
        <v>201512</v>
      </c>
      <c r="C345" s="324" t="s">
        <v>459</v>
      </c>
      <c r="D345" s="325" t="s">
        <v>1572</v>
      </c>
      <c r="E345" s="325" t="s">
        <v>1573</v>
      </c>
      <c r="F345" s="460">
        <v>2650.3720000000012</v>
      </c>
      <c r="G345" s="92">
        <v>671.87300000000005</v>
      </c>
      <c r="H345" s="279">
        <v>665.77099999999996</v>
      </c>
      <c r="I345" s="154">
        <v>34</v>
      </c>
      <c r="J345" s="576">
        <v>0.38418099999999999</v>
      </c>
      <c r="K345" s="578">
        <v>13.997354166667</v>
      </c>
      <c r="L345" s="437">
        <v>1.4117649999999999</v>
      </c>
      <c r="M345" s="42" t="s">
        <v>227</v>
      </c>
      <c r="N345" s="47">
        <v>102</v>
      </c>
      <c r="O345" s="45">
        <v>91</v>
      </c>
      <c r="P345" s="45">
        <v>11</v>
      </c>
      <c r="Q345" s="388">
        <v>0</v>
      </c>
      <c r="R345" s="429">
        <v>16</v>
      </c>
      <c r="S345" s="92">
        <v>1</v>
      </c>
      <c r="T345" s="361">
        <v>42</v>
      </c>
      <c r="U345" s="285">
        <v>7</v>
      </c>
      <c r="V345" s="438">
        <v>0.63636363636363635</v>
      </c>
    </row>
    <row r="346" spans="2:22" ht="13.5">
      <c r="B346" s="1577">
        <v>201512</v>
      </c>
      <c r="C346" s="326" t="s">
        <v>459</v>
      </c>
      <c r="D346" s="327" t="s">
        <v>1104</v>
      </c>
      <c r="E346" s="327" t="s">
        <v>1287</v>
      </c>
      <c r="F346" s="459">
        <v>5749.5760000000055</v>
      </c>
      <c r="G346" s="339">
        <v>1020.511</v>
      </c>
      <c r="H346" s="337">
        <v>994.19</v>
      </c>
      <c r="I346" s="331">
        <v>44</v>
      </c>
      <c r="J346" s="577">
        <v>0.38260899999999998</v>
      </c>
      <c r="K346" s="579">
        <v>12.598901234568</v>
      </c>
      <c r="L346" s="436">
        <v>1.8409089999999999</v>
      </c>
      <c r="M346" s="42" t="s">
        <v>227</v>
      </c>
      <c r="N346" s="334">
        <v>115</v>
      </c>
      <c r="O346" s="335">
        <v>86</v>
      </c>
      <c r="P346" s="335">
        <v>21</v>
      </c>
      <c r="Q346" s="389">
        <v>8</v>
      </c>
      <c r="R346" s="430">
        <v>25</v>
      </c>
      <c r="S346" s="339">
        <v>2</v>
      </c>
      <c r="T346" s="362">
        <v>23</v>
      </c>
      <c r="U346" s="337">
        <v>11</v>
      </c>
      <c r="V346" s="338">
        <v>0.37931034482758619</v>
      </c>
    </row>
    <row r="347" spans="2:22" ht="13.5">
      <c r="B347" s="1577">
        <v>201512</v>
      </c>
      <c r="C347" s="324" t="s">
        <v>2048</v>
      </c>
      <c r="D347" s="325" t="s">
        <v>2046</v>
      </c>
      <c r="E347" s="325" t="s">
        <v>2054</v>
      </c>
      <c r="F347" s="460">
        <v>3059.6239999999966</v>
      </c>
      <c r="G347" s="92">
        <v>1401.248</v>
      </c>
      <c r="H347" s="279">
        <v>1331.3009999999999</v>
      </c>
      <c r="I347" s="154">
        <v>47</v>
      </c>
      <c r="J347" s="576">
        <v>0.38524599999999998</v>
      </c>
      <c r="K347" s="578">
        <v>13.345219047619</v>
      </c>
      <c r="L347" s="437">
        <v>2.2340429999999998</v>
      </c>
      <c r="M347" s="42" t="s">
        <v>227</v>
      </c>
      <c r="N347" s="47">
        <v>126</v>
      </c>
      <c r="O347" s="45">
        <v>95</v>
      </c>
      <c r="P347" s="45">
        <v>31</v>
      </c>
      <c r="Q347" s="388">
        <v>0</v>
      </c>
      <c r="R347" s="429">
        <v>3</v>
      </c>
      <c r="S347" s="92">
        <v>2</v>
      </c>
      <c r="T347" s="361">
        <v>13</v>
      </c>
      <c r="U347" s="285">
        <v>9</v>
      </c>
      <c r="V347" s="438">
        <v>0.29032258064516131</v>
      </c>
    </row>
    <row r="348" spans="2:22" ht="13.5">
      <c r="B348" s="1577">
        <v>201511</v>
      </c>
      <c r="C348" s="326" t="s">
        <v>458</v>
      </c>
      <c r="D348" s="327" t="s">
        <v>1563</v>
      </c>
      <c r="E348" s="327" t="s">
        <v>1564</v>
      </c>
      <c r="F348" s="459">
        <v>1731.098</v>
      </c>
      <c r="G348" s="339">
        <v>484.96199999999999</v>
      </c>
      <c r="H348" s="337">
        <v>495.92700000000002</v>
      </c>
      <c r="I348" s="331">
        <v>14</v>
      </c>
      <c r="J348" s="577">
        <v>0.48275899999999999</v>
      </c>
      <c r="K348" s="579">
        <v>16.165400000000002</v>
      </c>
      <c r="L348" s="436">
        <v>2.1428569999999998</v>
      </c>
      <c r="M348" s="42"/>
      <c r="N348" s="334">
        <v>34</v>
      </c>
      <c r="O348" s="335">
        <v>26</v>
      </c>
      <c r="P348" s="335">
        <v>7</v>
      </c>
      <c r="Q348" s="389">
        <v>1</v>
      </c>
      <c r="R348" s="430">
        <v>0</v>
      </c>
      <c r="S348" s="339"/>
      <c r="T348" s="362">
        <v>10</v>
      </c>
      <c r="U348" s="337">
        <v>6</v>
      </c>
      <c r="V348" s="338">
        <v>0.75</v>
      </c>
    </row>
    <row r="349" spans="2:22" ht="13.5">
      <c r="B349" s="1577">
        <v>201511</v>
      </c>
      <c r="C349" s="324" t="s">
        <v>458</v>
      </c>
      <c r="D349" s="325" t="s">
        <v>1099</v>
      </c>
      <c r="E349" s="325" t="s">
        <v>1286</v>
      </c>
      <c r="F349" s="460">
        <v>6933.1180000000204</v>
      </c>
      <c r="G349" s="92">
        <v>1201.6020000000001</v>
      </c>
      <c r="H349" s="279">
        <v>786.01900000000001</v>
      </c>
      <c r="I349" s="154">
        <v>23</v>
      </c>
      <c r="J349" s="576">
        <v>0.31292500000000001</v>
      </c>
      <c r="K349" s="578">
        <v>23.560823529412001</v>
      </c>
      <c r="L349" s="437">
        <v>2.2173910000000001</v>
      </c>
      <c r="M349" s="42"/>
      <c r="N349" s="47">
        <v>78</v>
      </c>
      <c r="O349" s="45">
        <v>59</v>
      </c>
      <c r="P349" s="45">
        <v>14</v>
      </c>
      <c r="Q349" s="388">
        <v>5</v>
      </c>
      <c r="R349" s="429">
        <v>0</v>
      </c>
      <c r="S349" s="92"/>
      <c r="T349" s="361">
        <v>9</v>
      </c>
      <c r="U349" s="285">
        <v>7</v>
      </c>
      <c r="V349" s="438">
        <v>0.36842105263157898</v>
      </c>
    </row>
    <row r="350" spans="2:22" ht="13.5">
      <c r="B350" s="1577">
        <v>201511</v>
      </c>
      <c r="C350" s="326" t="s">
        <v>458</v>
      </c>
      <c r="D350" s="327" t="s">
        <v>900</v>
      </c>
      <c r="E350" s="327" t="s">
        <v>901</v>
      </c>
      <c r="F350" s="459">
        <v>6669.23200000001</v>
      </c>
      <c r="G350" s="339">
        <v>840.66399999999999</v>
      </c>
      <c r="H350" s="337">
        <v>865.76400000000001</v>
      </c>
      <c r="I350" s="331">
        <v>18</v>
      </c>
      <c r="J350" s="577">
        <v>0.38297900000000001</v>
      </c>
      <c r="K350" s="579">
        <v>24.725411764705999</v>
      </c>
      <c r="L350" s="436">
        <v>1.888889</v>
      </c>
      <c r="M350" s="42"/>
      <c r="N350" s="334">
        <v>52</v>
      </c>
      <c r="O350" s="335">
        <v>37</v>
      </c>
      <c r="P350" s="335">
        <v>14</v>
      </c>
      <c r="Q350" s="389">
        <v>1</v>
      </c>
      <c r="R350" s="430">
        <v>2</v>
      </c>
      <c r="S350" s="339">
        <v>1</v>
      </c>
      <c r="T350" s="362">
        <v>11</v>
      </c>
      <c r="U350" s="337">
        <v>6</v>
      </c>
      <c r="V350" s="338">
        <v>0.4</v>
      </c>
    </row>
    <row r="351" spans="2:22" ht="13.5">
      <c r="B351" s="1577">
        <v>201511</v>
      </c>
      <c r="C351" s="324" t="s">
        <v>458</v>
      </c>
      <c r="D351" s="325" t="s">
        <v>649</v>
      </c>
      <c r="E351" s="325" t="s">
        <v>645</v>
      </c>
      <c r="F351" s="460">
        <v>5362.192</v>
      </c>
      <c r="G351" s="92">
        <v>1001.869</v>
      </c>
      <c r="H351" s="279">
        <v>1001.765</v>
      </c>
      <c r="I351" s="154">
        <v>25</v>
      </c>
      <c r="J351" s="576">
        <v>0.33556999999999998</v>
      </c>
      <c r="K351" s="578">
        <v>21.779760869564999</v>
      </c>
      <c r="L351" s="437">
        <v>1.84</v>
      </c>
      <c r="M351" s="42"/>
      <c r="N351" s="47">
        <v>76</v>
      </c>
      <c r="O351" s="45">
        <v>55</v>
      </c>
      <c r="P351" s="45">
        <v>18</v>
      </c>
      <c r="Q351" s="388">
        <v>3</v>
      </c>
      <c r="R351" s="429">
        <v>16</v>
      </c>
      <c r="S351" s="92"/>
      <c r="T351" s="361">
        <v>19</v>
      </c>
      <c r="U351" s="285">
        <v>10</v>
      </c>
      <c r="V351" s="438">
        <v>0.476190476190476</v>
      </c>
    </row>
    <row r="352" spans="2:22" ht="13.5">
      <c r="B352" s="1577">
        <v>201511</v>
      </c>
      <c r="C352" s="326" t="s">
        <v>458</v>
      </c>
      <c r="D352" s="327" t="s">
        <v>650</v>
      </c>
      <c r="E352" s="327" t="s">
        <v>1777</v>
      </c>
      <c r="F352" s="459">
        <v>1460.5519999999999</v>
      </c>
      <c r="G352" s="339">
        <v>204.821</v>
      </c>
      <c r="H352" s="337">
        <v>164.39500000000001</v>
      </c>
      <c r="I352" s="331">
        <v>8</v>
      </c>
      <c r="J352" s="577">
        <v>0.21917800000000001</v>
      </c>
      <c r="K352" s="579">
        <v>18.620090909091001</v>
      </c>
      <c r="L352" s="436">
        <v>1.375</v>
      </c>
      <c r="M352" s="42"/>
      <c r="N352" s="334">
        <v>34</v>
      </c>
      <c r="O352" s="335">
        <v>18</v>
      </c>
      <c r="P352" s="335">
        <v>13</v>
      </c>
      <c r="Q352" s="389">
        <v>3</v>
      </c>
      <c r="R352" s="430">
        <v>6</v>
      </c>
      <c r="S352" s="339"/>
      <c r="T352" s="362">
        <v>1</v>
      </c>
      <c r="U352" s="337">
        <v>1</v>
      </c>
      <c r="V352" s="338">
        <v>6.25E-2</v>
      </c>
    </row>
    <row r="353" spans="2:22" ht="13.5">
      <c r="B353" s="1577">
        <v>201511</v>
      </c>
      <c r="C353" s="324" t="s">
        <v>458</v>
      </c>
      <c r="D353" s="325" t="s">
        <v>902</v>
      </c>
      <c r="E353" s="325" t="s">
        <v>1014</v>
      </c>
      <c r="F353" s="460">
        <v>3794.2909999999902</v>
      </c>
      <c r="G353" s="92">
        <v>781.12599999999998</v>
      </c>
      <c r="H353" s="279">
        <v>666.67100000000005</v>
      </c>
      <c r="I353" s="154">
        <v>27</v>
      </c>
      <c r="J353" s="576">
        <v>0.343949</v>
      </c>
      <c r="K353" s="578">
        <v>16.981000000000002</v>
      </c>
      <c r="L353" s="437">
        <v>1.7037040000000001</v>
      </c>
      <c r="M353" s="42"/>
      <c r="N353" s="47">
        <v>85</v>
      </c>
      <c r="O353" s="45">
        <v>62</v>
      </c>
      <c r="P353" s="45">
        <v>23</v>
      </c>
      <c r="Q353" s="388">
        <v>0</v>
      </c>
      <c r="R353" s="429">
        <v>8</v>
      </c>
      <c r="S353" s="92">
        <v>2</v>
      </c>
      <c r="T353" s="361">
        <v>17</v>
      </c>
      <c r="U353" s="285">
        <v>10</v>
      </c>
      <c r="V353" s="438">
        <v>0.434782608695652</v>
      </c>
    </row>
    <row r="354" spans="2:22" ht="13.5">
      <c r="B354" s="1577">
        <v>201511</v>
      </c>
      <c r="C354" s="326" t="s">
        <v>458</v>
      </c>
      <c r="D354" s="327" t="s">
        <v>642</v>
      </c>
      <c r="E354" s="327" t="s">
        <v>641</v>
      </c>
      <c r="F354" s="459">
        <v>6675.8830000000198</v>
      </c>
      <c r="G354" s="339">
        <v>1181.6600000000001</v>
      </c>
      <c r="H354" s="337">
        <v>1167.2349999999999</v>
      </c>
      <c r="I354" s="331">
        <v>30</v>
      </c>
      <c r="J354" s="577">
        <v>0.48</v>
      </c>
      <c r="K354" s="579">
        <v>14.77075</v>
      </c>
      <c r="L354" s="436">
        <v>2.6666669999999999</v>
      </c>
      <c r="M354" s="42"/>
      <c r="N354" s="334">
        <v>71</v>
      </c>
      <c r="O354" s="335">
        <v>52</v>
      </c>
      <c r="P354" s="335">
        <v>19</v>
      </c>
      <c r="Q354" s="389">
        <v>0</v>
      </c>
      <c r="R354" s="430">
        <v>0</v>
      </c>
      <c r="S354" s="339">
        <v>1</v>
      </c>
      <c r="T354" s="362">
        <v>16</v>
      </c>
      <c r="U354" s="337">
        <v>8</v>
      </c>
      <c r="V354" s="338">
        <v>0.42105263157894701</v>
      </c>
    </row>
    <row r="355" spans="2:22" ht="13.5">
      <c r="B355" s="1577">
        <v>201511</v>
      </c>
      <c r="C355" s="324" t="s">
        <v>458</v>
      </c>
      <c r="D355" s="325" t="s">
        <v>91</v>
      </c>
      <c r="E355" s="325" t="s">
        <v>92</v>
      </c>
      <c r="F355" s="460">
        <v>9225.54900000007</v>
      </c>
      <c r="G355" s="92">
        <v>1981.6410000000001</v>
      </c>
      <c r="H355" s="279">
        <v>1912.501</v>
      </c>
      <c r="I355" s="154">
        <v>53</v>
      </c>
      <c r="J355" s="576">
        <v>0.49074099999999998</v>
      </c>
      <c r="K355" s="578">
        <v>18.348527777777999</v>
      </c>
      <c r="L355" s="437">
        <v>2.0377360000000002</v>
      </c>
      <c r="M355" s="42"/>
      <c r="N355" s="47">
        <v>109</v>
      </c>
      <c r="O355" s="45">
        <v>79</v>
      </c>
      <c r="P355" s="45">
        <v>25</v>
      </c>
      <c r="Q355" s="388">
        <v>5</v>
      </c>
      <c r="R355" s="429">
        <v>14</v>
      </c>
      <c r="S355" s="92"/>
      <c r="T355" s="361">
        <v>11</v>
      </c>
      <c r="U355" s="285">
        <v>6</v>
      </c>
      <c r="V355" s="438">
        <v>0.2</v>
      </c>
    </row>
    <row r="356" spans="2:22" ht="13.5">
      <c r="B356" s="1577">
        <v>201511</v>
      </c>
      <c r="C356" s="326" t="s">
        <v>458</v>
      </c>
      <c r="D356" s="327" t="s">
        <v>187</v>
      </c>
      <c r="E356" s="327" t="s">
        <v>194</v>
      </c>
      <c r="F356" s="459">
        <v>3277.8649999999998</v>
      </c>
      <c r="G356" s="339">
        <v>346.19</v>
      </c>
      <c r="H356" s="337">
        <v>350.07100000000003</v>
      </c>
      <c r="I356" s="331">
        <v>19</v>
      </c>
      <c r="J356" s="577">
        <v>0.246753</v>
      </c>
      <c r="K356" s="579">
        <v>13.8476</v>
      </c>
      <c r="L356" s="436">
        <v>1.3157890000000001</v>
      </c>
      <c r="M356" s="42"/>
      <c r="N356" s="334">
        <v>75</v>
      </c>
      <c r="O356" s="335">
        <v>54</v>
      </c>
      <c r="P356" s="335">
        <v>15</v>
      </c>
      <c r="Q356" s="389">
        <v>6</v>
      </c>
      <c r="R356" s="430">
        <v>7</v>
      </c>
      <c r="S356" s="339"/>
      <c r="T356" s="362">
        <v>3</v>
      </c>
      <c r="U356" s="337">
        <v>2</v>
      </c>
      <c r="V356" s="338">
        <v>9.5238095238095205E-2</v>
      </c>
    </row>
    <row r="357" spans="2:22" ht="13.5">
      <c r="B357" s="1577">
        <v>201511</v>
      </c>
      <c r="C357" s="324" t="s">
        <v>458</v>
      </c>
      <c r="D357" s="325" t="s">
        <v>734</v>
      </c>
      <c r="E357" s="325" t="s">
        <v>1766</v>
      </c>
      <c r="F357" s="460">
        <v>10539.416999999999</v>
      </c>
      <c r="G357" s="92">
        <v>1383.346</v>
      </c>
      <c r="H357" s="279">
        <v>1433.5930000000001</v>
      </c>
      <c r="I357" s="154">
        <v>32</v>
      </c>
      <c r="J357" s="576">
        <v>0.18604699999999999</v>
      </c>
      <c r="K357" s="578">
        <v>20.048492753623002</v>
      </c>
      <c r="L357" s="437">
        <v>2.15625</v>
      </c>
      <c r="M357" s="42"/>
      <c r="N357" s="47">
        <v>172</v>
      </c>
      <c r="O357" s="45">
        <v>129</v>
      </c>
      <c r="P357" s="45">
        <v>39</v>
      </c>
      <c r="Q357" s="388">
        <v>4</v>
      </c>
      <c r="R357" s="429">
        <v>19</v>
      </c>
      <c r="S357" s="92">
        <v>1</v>
      </c>
      <c r="T357" s="361">
        <v>17</v>
      </c>
      <c r="U357" s="285">
        <v>11</v>
      </c>
      <c r="V357" s="438">
        <v>0.25581395348837199</v>
      </c>
    </row>
    <row r="358" spans="2:22" ht="13.5">
      <c r="B358" s="1577">
        <v>201511</v>
      </c>
      <c r="C358" s="326" t="s">
        <v>458</v>
      </c>
      <c r="D358" s="327" t="s">
        <v>735</v>
      </c>
      <c r="E358" s="327" t="s">
        <v>790</v>
      </c>
      <c r="F358" s="459">
        <v>12653.6870000001</v>
      </c>
      <c r="G358" s="339">
        <v>1605.855</v>
      </c>
      <c r="H358" s="337">
        <v>1525.731</v>
      </c>
      <c r="I358" s="331">
        <v>27</v>
      </c>
      <c r="J358" s="577">
        <v>0.40298499999999998</v>
      </c>
      <c r="K358" s="579">
        <v>25.900887096773999</v>
      </c>
      <c r="L358" s="436">
        <v>2.2962959999999999</v>
      </c>
      <c r="M358" s="42"/>
      <c r="N358" s="334">
        <v>66</v>
      </c>
      <c r="O358" s="335">
        <v>49</v>
      </c>
      <c r="P358" s="335">
        <v>14</v>
      </c>
      <c r="Q358" s="389">
        <v>3</v>
      </c>
      <c r="R358" s="430">
        <v>13</v>
      </c>
      <c r="S358" s="339">
        <v>2</v>
      </c>
      <c r="T358" s="362">
        <v>9</v>
      </c>
      <c r="U358" s="337">
        <v>5</v>
      </c>
      <c r="V358" s="338">
        <v>0.29411764705882398</v>
      </c>
    </row>
    <row r="359" spans="2:22" ht="13.5">
      <c r="B359" s="1577">
        <v>201511</v>
      </c>
      <c r="C359" s="324" t="s">
        <v>458</v>
      </c>
      <c r="D359" s="325" t="s">
        <v>798</v>
      </c>
      <c r="E359" s="325" t="s">
        <v>1768</v>
      </c>
      <c r="F359" s="460">
        <v>5633.84800000001</v>
      </c>
      <c r="G359" s="92">
        <v>670.822</v>
      </c>
      <c r="H359" s="279">
        <v>690.39200000000005</v>
      </c>
      <c r="I359" s="154">
        <v>16</v>
      </c>
      <c r="J359" s="576">
        <v>0.344086</v>
      </c>
      <c r="K359" s="578">
        <v>19.166342857143</v>
      </c>
      <c r="L359" s="437">
        <v>2.1875</v>
      </c>
      <c r="M359" s="42"/>
      <c r="N359" s="47">
        <v>45</v>
      </c>
      <c r="O359" s="45">
        <v>32</v>
      </c>
      <c r="P359" s="45">
        <v>11</v>
      </c>
      <c r="Q359" s="388">
        <v>2</v>
      </c>
      <c r="R359" s="429">
        <v>4</v>
      </c>
      <c r="S359" s="92"/>
      <c r="T359" s="361">
        <v>1</v>
      </c>
      <c r="U359" s="285">
        <v>1</v>
      </c>
      <c r="V359" s="438">
        <v>7.69230769230769E-2</v>
      </c>
    </row>
    <row r="360" spans="2:22" ht="13.5">
      <c r="B360" s="1577">
        <v>201511</v>
      </c>
      <c r="C360" s="326" t="s">
        <v>458</v>
      </c>
      <c r="D360" s="327" t="s">
        <v>949</v>
      </c>
      <c r="E360" s="327" t="s">
        <v>950</v>
      </c>
      <c r="F360" s="459">
        <v>7518.5620000000099</v>
      </c>
      <c r="G360" s="339">
        <v>981.79300000000001</v>
      </c>
      <c r="H360" s="337">
        <v>1028.6289999999999</v>
      </c>
      <c r="I360" s="331">
        <v>25</v>
      </c>
      <c r="J360" s="577">
        <v>0.26455000000000001</v>
      </c>
      <c r="K360" s="579">
        <v>18.524396226415</v>
      </c>
      <c r="L360" s="436">
        <v>2.12</v>
      </c>
      <c r="M360" s="42"/>
      <c r="N360" s="334">
        <v>93</v>
      </c>
      <c r="O360" s="335">
        <v>68</v>
      </c>
      <c r="P360" s="335">
        <v>19</v>
      </c>
      <c r="Q360" s="389">
        <v>6</v>
      </c>
      <c r="R360" s="430">
        <v>6</v>
      </c>
      <c r="S360" s="339"/>
      <c r="T360" s="362">
        <v>3</v>
      </c>
      <c r="U360" s="337">
        <v>3</v>
      </c>
      <c r="V360" s="338">
        <v>0.12</v>
      </c>
    </row>
    <row r="361" spans="2:22" ht="13.5">
      <c r="B361" s="1577">
        <v>201511</v>
      </c>
      <c r="C361" s="324" t="s">
        <v>458</v>
      </c>
      <c r="D361" s="325" t="s">
        <v>903</v>
      </c>
      <c r="E361" s="325" t="s">
        <v>904</v>
      </c>
      <c r="F361" s="460">
        <v>8548.5660000000098</v>
      </c>
      <c r="G361" s="92">
        <v>1354.847</v>
      </c>
      <c r="H361" s="279">
        <v>1363.963</v>
      </c>
      <c r="I361" s="154">
        <v>38</v>
      </c>
      <c r="J361" s="576">
        <v>0.38383800000000001</v>
      </c>
      <c r="K361" s="578">
        <v>18.817319444443999</v>
      </c>
      <c r="L361" s="437">
        <v>1.8947369999999999</v>
      </c>
      <c r="M361" s="42"/>
      <c r="N361" s="47">
        <v>98</v>
      </c>
      <c r="O361" s="45">
        <v>70</v>
      </c>
      <c r="P361" s="45">
        <v>22</v>
      </c>
      <c r="Q361" s="388">
        <v>6</v>
      </c>
      <c r="R361" s="429">
        <v>14</v>
      </c>
      <c r="S361" s="92">
        <v>1</v>
      </c>
      <c r="T361" s="361">
        <v>11</v>
      </c>
      <c r="U361" s="285">
        <v>8</v>
      </c>
      <c r="V361" s="438">
        <v>0.28571428571428598</v>
      </c>
    </row>
    <row r="362" spans="2:22" ht="13.5">
      <c r="B362" s="1577">
        <v>201511</v>
      </c>
      <c r="C362" s="326" t="s">
        <v>458</v>
      </c>
      <c r="D362" s="327" t="s">
        <v>1101</v>
      </c>
      <c r="E362" s="327" t="s">
        <v>1162</v>
      </c>
      <c r="F362" s="459">
        <v>2298.3380000000002</v>
      </c>
      <c r="G362" s="339">
        <v>389.863</v>
      </c>
      <c r="H362" s="337">
        <v>424.24599999999998</v>
      </c>
      <c r="I362" s="331">
        <v>13</v>
      </c>
      <c r="J362" s="577">
        <v>0.195489</v>
      </c>
      <c r="K362" s="579">
        <v>14.43937037037</v>
      </c>
      <c r="L362" s="436">
        <v>2.0769229999999999</v>
      </c>
      <c r="M362" s="42"/>
      <c r="N362" s="334">
        <v>66</v>
      </c>
      <c r="O362" s="335">
        <v>51</v>
      </c>
      <c r="P362" s="335">
        <v>15</v>
      </c>
      <c r="Q362" s="389">
        <v>0</v>
      </c>
      <c r="R362" s="430">
        <v>16</v>
      </c>
      <c r="S362" s="339">
        <v>1</v>
      </c>
      <c r="T362" s="362">
        <v>14</v>
      </c>
      <c r="U362" s="337">
        <v>7</v>
      </c>
      <c r="V362" s="338">
        <v>0.46666666666666701</v>
      </c>
    </row>
    <row r="363" spans="2:22" ht="13.5">
      <c r="B363" s="1577">
        <v>201511</v>
      </c>
      <c r="C363" s="324" t="s">
        <v>458</v>
      </c>
      <c r="D363" s="325" t="s">
        <v>1102</v>
      </c>
      <c r="E363" s="325" t="s">
        <v>1163</v>
      </c>
      <c r="F363" s="460">
        <v>5367.1459999999997</v>
      </c>
      <c r="G363" s="92">
        <v>774.68299999999999</v>
      </c>
      <c r="H363" s="279">
        <v>707.06299999999999</v>
      </c>
      <c r="I363" s="154">
        <v>30</v>
      </c>
      <c r="J363" s="576">
        <v>0.3125</v>
      </c>
      <c r="K363" s="578">
        <v>14.89775</v>
      </c>
      <c r="L363" s="437">
        <v>1.733333</v>
      </c>
      <c r="M363" s="42"/>
      <c r="N363" s="47">
        <v>101</v>
      </c>
      <c r="O363" s="45">
        <v>76</v>
      </c>
      <c r="P363" s="45">
        <v>23</v>
      </c>
      <c r="Q363" s="388">
        <v>2</v>
      </c>
      <c r="R363" s="429">
        <v>19</v>
      </c>
      <c r="S363" s="92">
        <v>3</v>
      </c>
      <c r="T363" s="361">
        <v>26</v>
      </c>
      <c r="U363" s="285">
        <v>11</v>
      </c>
      <c r="V363" s="438">
        <v>0.44</v>
      </c>
    </row>
    <row r="364" spans="2:22" ht="13.5">
      <c r="B364" s="1577">
        <v>201511</v>
      </c>
      <c r="C364" s="326" t="s">
        <v>458</v>
      </c>
      <c r="D364" s="327" t="s">
        <v>628</v>
      </c>
      <c r="E364" s="327" t="s">
        <v>629</v>
      </c>
      <c r="F364" s="459">
        <v>3058.8939999999898</v>
      </c>
      <c r="G364" s="339">
        <v>327.88799999999998</v>
      </c>
      <c r="H364" s="337">
        <v>319.947</v>
      </c>
      <c r="I364" s="331">
        <v>18</v>
      </c>
      <c r="J364" s="577">
        <v>0.375</v>
      </c>
      <c r="K364" s="579">
        <v>11.710285714286</v>
      </c>
      <c r="L364" s="436">
        <v>1.5555559999999999</v>
      </c>
      <c r="M364" s="42"/>
      <c r="N364" s="334">
        <v>52</v>
      </c>
      <c r="O364" s="335">
        <v>35</v>
      </c>
      <c r="P364" s="335">
        <v>10</v>
      </c>
      <c r="Q364" s="389">
        <v>7</v>
      </c>
      <c r="R364" s="430">
        <v>1</v>
      </c>
      <c r="S364" s="339"/>
      <c r="T364" s="362">
        <v>9</v>
      </c>
      <c r="U364" s="337">
        <v>4</v>
      </c>
      <c r="V364" s="338">
        <v>0.23529411764705899</v>
      </c>
    </row>
    <row r="365" spans="2:22" ht="13.5">
      <c r="B365" s="1577">
        <v>201511</v>
      </c>
      <c r="C365" s="324" t="s">
        <v>458</v>
      </c>
      <c r="D365" s="325" t="s">
        <v>1565</v>
      </c>
      <c r="E365" s="325" t="s">
        <v>1566</v>
      </c>
      <c r="F365" s="460">
        <v>977.59</v>
      </c>
      <c r="G365" s="92">
        <v>210.16800000000001</v>
      </c>
      <c r="H365" s="279">
        <v>210.16800000000001</v>
      </c>
      <c r="I365" s="154">
        <v>7</v>
      </c>
      <c r="J365" s="576">
        <v>0.19178100000000001</v>
      </c>
      <c r="K365" s="578">
        <v>14.011200000000001</v>
      </c>
      <c r="L365" s="437">
        <v>2.1428569999999998</v>
      </c>
      <c r="M365" s="42"/>
      <c r="N365" s="47">
        <v>37</v>
      </c>
      <c r="O365" s="45">
        <v>31</v>
      </c>
      <c r="P365" s="45">
        <v>6</v>
      </c>
      <c r="Q365" s="388">
        <v>0</v>
      </c>
      <c r="R365" s="429">
        <v>4</v>
      </c>
      <c r="S365" s="92"/>
      <c r="T365" s="361">
        <v>5</v>
      </c>
      <c r="U365" s="285">
        <v>3</v>
      </c>
      <c r="V365" s="438">
        <v>0.5</v>
      </c>
    </row>
    <row r="366" spans="2:22" ht="13.5">
      <c r="B366" s="1577">
        <v>201511</v>
      </c>
      <c r="C366" s="326" t="s">
        <v>458</v>
      </c>
      <c r="D366" s="327" t="s">
        <v>47</v>
      </c>
      <c r="E366" s="327" t="s">
        <v>17</v>
      </c>
      <c r="F366" s="459">
        <v>5493.8119999999999</v>
      </c>
      <c r="G366" s="339">
        <v>726.58500000000004</v>
      </c>
      <c r="H366" s="337">
        <v>586.36699999999996</v>
      </c>
      <c r="I366" s="331">
        <v>17</v>
      </c>
      <c r="J366" s="577">
        <v>0.4</v>
      </c>
      <c r="K366" s="579">
        <v>23.438225806451999</v>
      </c>
      <c r="L366" s="436">
        <v>1.823529</v>
      </c>
      <c r="M366" s="42"/>
      <c r="N366" s="334">
        <v>42</v>
      </c>
      <c r="O366" s="335">
        <v>29</v>
      </c>
      <c r="P366" s="335">
        <v>11</v>
      </c>
      <c r="Q366" s="389">
        <v>2</v>
      </c>
      <c r="R366" s="430">
        <v>4</v>
      </c>
      <c r="S366" s="339"/>
      <c r="T366" s="362">
        <v>3</v>
      </c>
      <c r="U366" s="337">
        <v>2</v>
      </c>
      <c r="V366" s="338">
        <v>0.15384615384615399</v>
      </c>
    </row>
    <row r="367" spans="2:22" ht="13.5">
      <c r="B367" s="1577">
        <v>201511</v>
      </c>
      <c r="C367" s="324" t="s">
        <v>458</v>
      </c>
      <c r="D367" s="325" t="s">
        <v>736</v>
      </c>
      <c r="E367" s="325" t="s">
        <v>697</v>
      </c>
      <c r="F367" s="460">
        <v>9306.28100000007</v>
      </c>
      <c r="G367" s="92">
        <v>867.94500000000005</v>
      </c>
      <c r="H367" s="279">
        <v>845.27800000000002</v>
      </c>
      <c r="I367" s="154">
        <v>32</v>
      </c>
      <c r="J367" s="576">
        <v>0.33155099999999998</v>
      </c>
      <c r="K367" s="578">
        <v>13.999112903226001</v>
      </c>
      <c r="L367" s="437">
        <v>1.9375</v>
      </c>
      <c r="M367" s="42"/>
      <c r="N367" s="47">
        <v>98</v>
      </c>
      <c r="O367" s="45">
        <v>74</v>
      </c>
      <c r="P367" s="45">
        <v>17</v>
      </c>
      <c r="Q367" s="388">
        <v>7</v>
      </c>
      <c r="R367" s="429">
        <v>6</v>
      </c>
      <c r="S367" s="92"/>
      <c r="T367" s="361">
        <v>14</v>
      </c>
      <c r="U367" s="285">
        <v>8</v>
      </c>
      <c r="V367" s="438">
        <v>0.33333333333333298</v>
      </c>
    </row>
    <row r="368" spans="2:22" ht="13.5">
      <c r="B368" s="1577">
        <v>201511</v>
      </c>
      <c r="C368" s="326" t="s">
        <v>458</v>
      </c>
      <c r="D368" s="327" t="s">
        <v>796</v>
      </c>
      <c r="E368" s="327" t="s">
        <v>797</v>
      </c>
      <c r="F368" s="459">
        <v>6033.3990000000003</v>
      </c>
      <c r="G368" s="339">
        <v>725.27800000000002</v>
      </c>
      <c r="H368" s="337">
        <v>708.43600000000004</v>
      </c>
      <c r="I368" s="331">
        <v>21</v>
      </c>
      <c r="J368" s="577">
        <v>0.32061099999999998</v>
      </c>
      <c r="K368" s="579">
        <v>15.766913043478</v>
      </c>
      <c r="L368" s="436">
        <v>2.1904759999999999</v>
      </c>
      <c r="M368" s="42"/>
      <c r="N368" s="334">
        <v>59</v>
      </c>
      <c r="O368" s="335">
        <v>42</v>
      </c>
      <c r="P368" s="335">
        <v>17</v>
      </c>
      <c r="Q368" s="389">
        <v>0</v>
      </c>
      <c r="R368" s="430">
        <v>21</v>
      </c>
      <c r="S368" s="339"/>
      <c r="T368" s="362">
        <v>8</v>
      </c>
      <c r="U368" s="337">
        <v>4</v>
      </c>
      <c r="V368" s="338">
        <v>0.23529411764705899</v>
      </c>
    </row>
    <row r="369" spans="2:22" ht="13.5">
      <c r="B369" s="1577">
        <v>201511</v>
      </c>
      <c r="C369" s="324" t="s">
        <v>458</v>
      </c>
      <c r="D369" s="325" t="s">
        <v>1418</v>
      </c>
      <c r="E369" s="325" t="s">
        <v>1771</v>
      </c>
      <c r="F369" s="460">
        <v>2603.4780000000001</v>
      </c>
      <c r="G369" s="92">
        <v>597.40899999999999</v>
      </c>
      <c r="H369" s="279">
        <v>597.40899999999999</v>
      </c>
      <c r="I369" s="154">
        <v>19</v>
      </c>
      <c r="J369" s="576">
        <v>0.351852</v>
      </c>
      <c r="K369" s="578">
        <v>18.66903125</v>
      </c>
      <c r="L369" s="437">
        <v>1.6842109999999999</v>
      </c>
      <c r="M369" s="42"/>
      <c r="N369" s="47">
        <v>57</v>
      </c>
      <c r="O369" s="45">
        <v>40</v>
      </c>
      <c r="P369" s="45">
        <v>13</v>
      </c>
      <c r="Q369" s="388">
        <v>4</v>
      </c>
      <c r="R369" s="429">
        <v>6</v>
      </c>
      <c r="S369" s="92">
        <v>1</v>
      </c>
      <c r="T369" s="361">
        <v>11</v>
      </c>
      <c r="U369" s="285">
        <v>5</v>
      </c>
      <c r="V369" s="438">
        <v>0.29411764705882398</v>
      </c>
    </row>
    <row r="370" spans="2:22" ht="13.5">
      <c r="B370" s="1577">
        <v>201511</v>
      </c>
      <c r="C370" s="326" t="s">
        <v>458</v>
      </c>
      <c r="D370" s="327" t="s">
        <v>1669</v>
      </c>
      <c r="E370" s="327" t="s">
        <v>1670</v>
      </c>
      <c r="F370" s="459">
        <v>746.53599999999994</v>
      </c>
      <c r="G370" s="339">
        <v>293.99200000000002</v>
      </c>
      <c r="H370" s="337">
        <v>281.28399999999999</v>
      </c>
      <c r="I370" s="331">
        <v>8</v>
      </c>
      <c r="J370" s="577">
        <v>0.41025600000000001</v>
      </c>
      <c r="K370" s="579">
        <v>17.293647058824</v>
      </c>
      <c r="L370" s="436">
        <v>2.125</v>
      </c>
      <c r="M370" s="42"/>
      <c r="N370" s="334">
        <v>23</v>
      </c>
      <c r="O370" s="335">
        <v>19</v>
      </c>
      <c r="P370" s="335">
        <v>4</v>
      </c>
      <c r="Q370" s="389">
        <v>0</v>
      </c>
      <c r="R370" s="430">
        <v>4</v>
      </c>
      <c r="S370" s="339">
        <v>1</v>
      </c>
      <c r="T370" s="362">
        <v>10</v>
      </c>
      <c r="U370" s="337">
        <v>4</v>
      </c>
      <c r="V370" s="338">
        <v>1</v>
      </c>
    </row>
    <row r="371" spans="2:22" ht="13.5">
      <c r="B371" s="1577">
        <v>201511</v>
      </c>
      <c r="C371" s="324" t="s">
        <v>458</v>
      </c>
      <c r="D371" s="325" t="s">
        <v>630</v>
      </c>
      <c r="E371" s="325" t="s">
        <v>483</v>
      </c>
      <c r="F371" s="460">
        <v>3118.1969999999901</v>
      </c>
      <c r="G371" s="92">
        <v>356.77499999999998</v>
      </c>
      <c r="H371" s="279">
        <v>345.07499999999999</v>
      </c>
      <c r="I371" s="154">
        <v>12</v>
      </c>
      <c r="J371" s="576">
        <v>0.2</v>
      </c>
      <c r="K371" s="578">
        <v>15.511956521739</v>
      </c>
      <c r="L371" s="437">
        <v>1.9166669999999999</v>
      </c>
      <c r="M371" s="42"/>
      <c r="N371" s="47">
        <v>59</v>
      </c>
      <c r="O371" s="45">
        <v>42</v>
      </c>
      <c r="P371" s="45">
        <v>11</v>
      </c>
      <c r="Q371" s="388">
        <v>6</v>
      </c>
      <c r="R371" s="429">
        <v>11</v>
      </c>
      <c r="S371" s="92"/>
      <c r="T371" s="361">
        <v>9</v>
      </c>
      <c r="U371" s="285">
        <v>6</v>
      </c>
      <c r="V371" s="438">
        <v>0.35294117647058798</v>
      </c>
    </row>
    <row r="372" spans="2:22" ht="13.5">
      <c r="B372" s="1577">
        <v>201511</v>
      </c>
      <c r="C372" s="326" t="s">
        <v>458</v>
      </c>
      <c r="D372" s="327" t="s">
        <v>905</v>
      </c>
      <c r="E372" s="327" t="s">
        <v>906</v>
      </c>
      <c r="F372" s="459">
        <v>7801.7120000000104</v>
      </c>
      <c r="G372" s="339">
        <v>696.59799999999996</v>
      </c>
      <c r="H372" s="337">
        <v>693.70899999999995</v>
      </c>
      <c r="I372" s="331">
        <v>19</v>
      </c>
      <c r="J372" s="577">
        <v>0.37623800000000002</v>
      </c>
      <c r="K372" s="579">
        <v>20.488176470588002</v>
      </c>
      <c r="L372" s="436">
        <v>1.789474</v>
      </c>
      <c r="M372" s="42"/>
      <c r="N372" s="334">
        <v>49</v>
      </c>
      <c r="O372" s="335">
        <v>34</v>
      </c>
      <c r="P372" s="335">
        <v>12</v>
      </c>
      <c r="Q372" s="389">
        <v>3</v>
      </c>
      <c r="R372" s="430">
        <v>10</v>
      </c>
      <c r="S372" s="339">
        <v>1</v>
      </c>
      <c r="T372" s="362">
        <v>5</v>
      </c>
      <c r="U372" s="337">
        <v>3</v>
      </c>
      <c r="V372" s="338">
        <v>0.2</v>
      </c>
    </row>
    <row r="373" spans="2:22" ht="13.5">
      <c r="B373" s="1577">
        <v>201511</v>
      </c>
      <c r="C373" s="324" t="s">
        <v>458</v>
      </c>
      <c r="D373" s="325" t="s">
        <v>648</v>
      </c>
      <c r="E373" s="325" t="s">
        <v>644</v>
      </c>
      <c r="F373" s="460">
        <v>3339.70999999999</v>
      </c>
      <c r="G373" s="92">
        <v>477.86099999999999</v>
      </c>
      <c r="H373" s="279">
        <v>437.49700000000001</v>
      </c>
      <c r="I373" s="154">
        <v>20</v>
      </c>
      <c r="J373" s="576">
        <v>0.39215699999999998</v>
      </c>
      <c r="K373" s="578">
        <v>17.066464285714002</v>
      </c>
      <c r="L373" s="437">
        <v>1.4</v>
      </c>
      <c r="M373" s="42"/>
      <c r="N373" s="47">
        <v>52</v>
      </c>
      <c r="O373" s="45">
        <v>37</v>
      </c>
      <c r="P373" s="45">
        <v>13</v>
      </c>
      <c r="Q373" s="388">
        <v>2</v>
      </c>
      <c r="R373" s="429">
        <v>9</v>
      </c>
      <c r="S373" s="92"/>
      <c r="T373" s="361">
        <v>11</v>
      </c>
      <c r="U373" s="285">
        <v>3</v>
      </c>
      <c r="V373" s="438">
        <v>0.2</v>
      </c>
    </row>
    <row r="374" spans="2:22" ht="13.5">
      <c r="B374" s="1577">
        <v>201511</v>
      </c>
      <c r="C374" s="326" t="s">
        <v>459</v>
      </c>
      <c r="D374" s="327" t="s">
        <v>1100</v>
      </c>
      <c r="E374" s="327" t="s">
        <v>1774</v>
      </c>
      <c r="F374" s="459">
        <v>7270.3520000000599</v>
      </c>
      <c r="G374" s="339">
        <v>1049.5</v>
      </c>
      <c r="H374" s="337">
        <v>1058.173</v>
      </c>
      <c r="I374" s="331">
        <v>51</v>
      </c>
      <c r="J374" s="577">
        <v>0.32484099999999999</v>
      </c>
      <c r="K374" s="579">
        <v>12.956790123457001</v>
      </c>
      <c r="L374" s="436">
        <v>1.5882350000000001</v>
      </c>
      <c r="M374" s="42"/>
      <c r="N374" s="334">
        <v>154</v>
      </c>
      <c r="O374" s="335">
        <v>114</v>
      </c>
      <c r="P374" s="335">
        <v>30</v>
      </c>
      <c r="Q374" s="389">
        <v>10</v>
      </c>
      <c r="R374" s="430">
        <v>40</v>
      </c>
      <c r="S374" s="339">
        <v>2</v>
      </c>
      <c r="T374" s="362">
        <v>33</v>
      </c>
      <c r="U374" s="337">
        <v>17</v>
      </c>
      <c r="V374" s="338">
        <v>0.42499999999999999</v>
      </c>
    </row>
    <row r="375" spans="2:22" ht="13.5">
      <c r="B375" s="1577">
        <v>201511</v>
      </c>
      <c r="C375" s="324" t="s">
        <v>459</v>
      </c>
      <c r="D375" s="325" t="s">
        <v>1419</v>
      </c>
      <c r="E375" s="325" t="s">
        <v>1420</v>
      </c>
      <c r="F375" s="460">
        <v>4148.49</v>
      </c>
      <c r="G375" s="92">
        <v>1096.6959999999999</v>
      </c>
      <c r="H375" s="279">
        <v>1058.9390000000001</v>
      </c>
      <c r="I375" s="154">
        <v>44</v>
      </c>
      <c r="J375" s="576">
        <v>0.46560800000000002</v>
      </c>
      <c r="K375" s="578">
        <v>13.539456790122999</v>
      </c>
      <c r="L375" s="437">
        <v>1.8409089999999999</v>
      </c>
      <c r="M375" s="42"/>
      <c r="N375" s="47">
        <v>98</v>
      </c>
      <c r="O375" s="45">
        <v>75</v>
      </c>
      <c r="P375" s="45">
        <v>19</v>
      </c>
      <c r="Q375" s="388">
        <v>4</v>
      </c>
      <c r="R375" s="429">
        <v>9</v>
      </c>
      <c r="S375" s="92">
        <v>2</v>
      </c>
      <c r="T375" s="361">
        <v>14</v>
      </c>
      <c r="U375" s="285">
        <v>9</v>
      </c>
      <c r="V375" s="438">
        <v>0.39130434782608697</v>
      </c>
    </row>
    <row r="376" spans="2:22" ht="13.5">
      <c r="B376" s="1577">
        <v>201511</v>
      </c>
      <c r="C376" s="326" t="s">
        <v>459</v>
      </c>
      <c r="D376" s="327" t="s">
        <v>1103</v>
      </c>
      <c r="E376" s="327" t="s">
        <v>1161</v>
      </c>
      <c r="F376" s="459">
        <v>2228.1329999999998</v>
      </c>
      <c r="G376" s="339">
        <v>640.89700000000005</v>
      </c>
      <c r="H376" s="337">
        <v>618.97900000000004</v>
      </c>
      <c r="I376" s="331">
        <v>22</v>
      </c>
      <c r="J376" s="577">
        <v>0.483516</v>
      </c>
      <c r="K376" s="579">
        <v>14.565840909090999</v>
      </c>
      <c r="L376" s="436">
        <v>2</v>
      </c>
      <c r="M376" s="42"/>
      <c r="N376" s="334">
        <v>60</v>
      </c>
      <c r="O376" s="335">
        <v>45</v>
      </c>
      <c r="P376" s="335">
        <v>12</v>
      </c>
      <c r="Q376" s="389">
        <v>3</v>
      </c>
      <c r="R376" s="430">
        <v>0</v>
      </c>
      <c r="S376" s="339">
        <v>4</v>
      </c>
      <c r="T376" s="362">
        <v>25</v>
      </c>
      <c r="U376" s="337">
        <v>10</v>
      </c>
      <c r="V376" s="338">
        <v>0.66666666666666696</v>
      </c>
    </row>
    <row r="377" spans="2:22" ht="13.5">
      <c r="B377" s="1577">
        <v>201511</v>
      </c>
      <c r="C377" s="324" t="s">
        <v>459</v>
      </c>
      <c r="D377" s="325" t="s">
        <v>661</v>
      </c>
      <c r="E377" s="325" t="s">
        <v>1950</v>
      </c>
      <c r="F377" s="460">
        <v>2480.0650000000001</v>
      </c>
      <c r="G377" s="92">
        <v>127.608</v>
      </c>
      <c r="H377" s="279">
        <v>127.608</v>
      </c>
      <c r="I377" s="154">
        <v>9</v>
      </c>
      <c r="J377" s="576">
        <v>0.2</v>
      </c>
      <c r="K377" s="578">
        <v>10.634</v>
      </c>
      <c r="L377" s="437">
        <v>1.3333330000000001</v>
      </c>
      <c r="M377" s="42"/>
      <c r="N377" s="47">
        <v>39</v>
      </c>
      <c r="O377" s="45">
        <v>28</v>
      </c>
      <c r="P377" s="45">
        <v>9</v>
      </c>
      <c r="Q377" s="388">
        <v>2</v>
      </c>
      <c r="R377" s="429">
        <v>14</v>
      </c>
      <c r="S377" s="92"/>
      <c r="T377" s="361">
        <v>2</v>
      </c>
      <c r="U377" s="285">
        <v>2</v>
      </c>
      <c r="V377" s="438">
        <v>0.18181818181818199</v>
      </c>
    </row>
    <row r="378" spans="2:22" ht="13.5">
      <c r="B378" s="1577">
        <v>201511</v>
      </c>
      <c r="C378" s="326" t="s">
        <v>459</v>
      </c>
      <c r="D378" s="327" t="s">
        <v>179</v>
      </c>
      <c r="E378" s="327" t="s">
        <v>191</v>
      </c>
      <c r="F378" s="459">
        <v>12184.595000000099</v>
      </c>
      <c r="G378" s="339">
        <v>1893.711</v>
      </c>
      <c r="H378" s="337">
        <v>1816.9770000000001</v>
      </c>
      <c r="I378" s="331">
        <v>52</v>
      </c>
      <c r="J378" s="577">
        <v>0.37142900000000001</v>
      </c>
      <c r="K378" s="579">
        <v>18.385543689319999</v>
      </c>
      <c r="L378" s="436">
        <v>1.980769</v>
      </c>
      <c r="M378" s="42"/>
      <c r="N378" s="334">
        <v>154</v>
      </c>
      <c r="O378" s="335">
        <v>112</v>
      </c>
      <c r="P378" s="335">
        <v>40</v>
      </c>
      <c r="Q378" s="389">
        <v>2</v>
      </c>
      <c r="R378" s="430">
        <v>4</v>
      </c>
      <c r="S378" s="339">
        <v>3</v>
      </c>
      <c r="T378" s="362">
        <v>29</v>
      </c>
      <c r="U378" s="337">
        <v>11</v>
      </c>
      <c r="V378" s="338">
        <v>0.26190476190476197</v>
      </c>
    </row>
    <row r="379" spans="2:22" ht="13.5">
      <c r="B379" s="1577">
        <v>201511</v>
      </c>
      <c r="C379" s="324" t="s">
        <v>459</v>
      </c>
      <c r="D379" s="325" t="s">
        <v>659</v>
      </c>
      <c r="E379" s="325" t="s">
        <v>655</v>
      </c>
      <c r="F379" s="460">
        <v>8458.2880000000005</v>
      </c>
      <c r="G379" s="92">
        <v>1494.9939999999999</v>
      </c>
      <c r="H379" s="279">
        <v>1515.7460000000001</v>
      </c>
      <c r="I379" s="154">
        <v>36</v>
      </c>
      <c r="J379" s="576">
        <v>0.418605</v>
      </c>
      <c r="K379" s="578">
        <v>17.18383908046</v>
      </c>
      <c r="L379" s="437">
        <v>2.4166669999999999</v>
      </c>
      <c r="M379" s="42"/>
      <c r="N379" s="47">
        <v>90</v>
      </c>
      <c r="O379" s="45">
        <v>65</v>
      </c>
      <c r="P379" s="45">
        <v>22</v>
      </c>
      <c r="Q379" s="388">
        <v>3</v>
      </c>
      <c r="R379" s="429">
        <v>5</v>
      </c>
      <c r="S379" s="92">
        <v>3</v>
      </c>
      <c r="T379" s="361">
        <v>10</v>
      </c>
      <c r="U379" s="285">
        <v>7</v>
      </c>
      <c r="V379" s="438">
        <v>0.28000000000000003</v>
      </c>
    </row>
    <row r="380" spans="2:22" ht="13.5">
      <c r="B380" s="1577">
        <v>201511</v>
      </c>
      <c r="C380" s="326" t="s">
        <v>459</v>
      </c>
      <c r="D380" s="327" t="s">
        <v>699</v>
      </c>
      <c r="E380" s="327" t="s">
        <v>698</v>
      </c>
      <c r="F380" s="459">
        <v>2422.4029999999998</v>
      </c>
      <c r="G380" s="339">
        <v>137.04499999999999</v>
      </c>
      <c r="H380" s="337">
        <v>145.89099999999999</v>
      </c>
      <c r="I380" s="331">
        <v>8</v>
      </c>
      <c r="J380" s="577">
        <v>0.17777799999999999</v>
      </c>
      <c r="K380" s="579">
        <v>13.704499999999999</v>
      </c>
      <c r="L380" s="436">
        <v>1.25</v>
      </c>
      <c r="M380" s="42"/>
      <c r="N380" s="334">
        <v>44</v>
      </c>
      <c r="O380" s="335">
        <v>35</v>
      </c>
      <c r="P380" s="335">
        <v>7</v>
      </c>
      <c r="Q380" s="389">
        <v>2</v>
      </c>
      <c r="R380" s="430">
        <v>7</v>
      </c>
      <c r="S380" s="339"/>
      <c r="T380" s="362">
        <v>5</v>
      </c>
      <c r="U380" s="337">
        <v>3</v>
      </c>
      <c r="V380" s="338">
        <v>0.33333333333333298</v>
      </c>
    </row>
    <row r="381" spans="2:22" ht="13.5">
      <c r="B381" s="1577">
        <v>201511</v>
      </c>
      <c r="C381" s="324" t="s">
        <v>459</v>
      </c>
      <c r="D381" s="325" t="s">
        <v>1015</v>
      </c>
      <c r="E381" s="325" t="s">
        <v>1348</v>
      </c>
      <c r="F381" s="460">
        <v>2929.5039999999999</v>
      </c>
      <c r="G381" s="92">
        <v>850.79399999999998</v>
      </c>
      <c r="H381" s="279">
        <v>846.65700000000004</v>
      </c>
      <c r="I381" s="154">
        <v>34</v>
      </c>
      <c r="J381" s="576">
        <v>0.36363600000000001</v>
      </c>
      <c r="K381" s="578">
        <v>11.983014084506999</v>
      </c>
      <c r="L381" s="437">
        <v>2.0882350000000001</v>
      </c>
      <c r="M381" s="42"/>
      <c r="N381" s="47">
        <v>104</v>
      </c>
      <c r="O381" s="45">
        <v>88</v>
      </c>
      <c r="P381" s="45">
        <v>15</v>
      </c>
      <c r="Q381" s="388">
        <v>1</v>
      </c>
      <c r="R381" s="429">
        <v>3</v>
      </c>
      <c r="S381" s="92">
        <v>1</v>
      </c>
      <c r="T381" s="361">
        <v>23</v>
      </c>
      <c r="U381" s="285">
        <v>13</v>
      </c>
      <c r="V381" s="438">
        <v>0.8125</v>
      </c>
    </row>
    <row r="382" spans="2:22" ht="13.5">
      <c r="B382" s="1577">
        <v>201511</v>
      </c>
      <c r="C382" s="326" t="s">
        <v>459</v>
      </c>
      <c r="D382" s="327" t="s">
        <v>825</v>
      </c>
      <c r="E382" s="327" t="s">
        <v>1773</v>
      </c>
      <c r="F382" s="459">
        <v>3934.7469999999998</v>
      </c>
      <c r="G382" s="339">
        <v>522.15899999999999</v>
      </c>
      <c r="H382" s="337">
        <v>522.15899999999999</v>
      </c>
      <c r="I382" s="331">
        <v>32</v>
      </c>
      <c r="J382" s="577">
        <v>0.376471</v>
      </c>
      <c r="K382" s="579">
        <v>12.143232558139999</v>
      </c>
      <c r="L382" s="436">
        <v>1.34375</v>
      </c>
      <c r="M382" s="42"/>
      <c r="N382" s="334">
        <v>96</v>
      </c>
      <c r="O382" s="335">
        <v>71</v>
      </c>
      <c r="P382" s="335">
        <v>22</v>
      </c>
      <c r="Q382" s="389">
        <v>3</v>
      </c>
      <c r="R382" s="430">
        <v>10</v>
      </c>
      <c r="S382" s="339">
        <v>8</v>
      </c>
      <c r="T382" s="362">
        <v>24</v>
      </c>
      <c r="U382" s="337">
        <v>13</v>
      </c>
      <c r="V382" s="338">
        <v>0.52</v>
      </c>
    </row>
    <row r="383" spans="2:22" ht="13.5">
      <c r="B383" s="1577">
        <v>201511</v>
      </c>
      <c r="C383" s="324" t="s">
        <v>459</v>
      </c>
      <c r="D383" s="325" t="s">
        <v>185</v>
      </c>
      <c r="E383" s="325" t="s">
        <v>190</v>
      </c>
      <c r="F383" s="460">
        <v>5994.1280000000197</v>
      </c>
      <c r="G383" s="92">
        <v>1478.6130000000001</v>
      </c>
      <c r="H383" s="279">
        <v>1414.5260000000001</v>
      </c>
      <c r="I383" s="154">
        <v>45</v>
      </c>
      <c r="J383" s="576">
        <v>0.51428600000000002</v>
      </c>
      <c r="K383" s="578">
        <v>16.613629213483001</v>
      </c>
      <c r="L383" s="437">
        <v>1.977778</v>
      </c>
      <c r="M383" s="42"/>
      <c r="N383" s="47">
        <v>97</v>
      </c>
      <c r="O383" s="45">
        <v>78</v>
      </c>
      <c r="P383" s="45">
        <v>17</v>
      </c>
      <c r="Q383" s="388">
        <v>2</v>
      </c>
      <c r="R383" s="429">
        <v>5</v>
      </c>
      <c r="S383" s="92">
        <v>1</v>
      </c>
      <c r="T383" s="361">
        <v>22</v>
      </c>
      <c r="U383" s="285">
        <v>14</v>
      </c>
      <c r="V383" s="438">
        <v>0.73684210526315796</v>
      </c>
    </row>
    <row r="384" spans="2:22" ht="13.5">
      <c r="B384" s="1577">
        <v>201511</v>
      </c>
      <c r="C384" s="326" t="s">
        <v>459</v>
      </c>
      <c r="D384" s="327" t="s">
        <v>660</v>
      </c>
      <c r="E384" s="327" t="s">
        <v>656</v>
      </c>
      <c r="F384" s="459">
        <v>5118.0540000000301</v>
      </c>
      <c r="G384" s="339">
        <v>698.72799999999995</v>
      </c>
      <c r="H384" s="337">
        <v>691.08699999999999</v>
      </c>
      <c r="I384" s="331">
        <v>39</v>
      </c>
      <c r="J384" s="577">
        <v>0.28676499999999999</v>
      </c>
      <c r="K384" s="579">
        <v>10.917624999999999</v>
      </c>
      <c r="L384" s="436">
        <v>1.6410260000000001</v>
      </c>
      <c r="M384" s="42"/>
      <c r="N384" s="334">
        <v>136</v>
      </c>
      <c r="O384" s="335">
        <v>112</v>
      </c>
      <c r="P384" s="335">
        <v>22</v>
      </c>
      <c r="Q384" s="389">
        <v>2</v>
      </c>
      <c r="R384" s="430">
        <v>24</v>
      </c>
      <c r="S384" s="339">
        <v>2</v>
      </c>
      <c r="T384" s="362">
        <v>22</v>
      </c>
      <c r="U384" s="337">
        <v>11</v>
      </c>
      <c r="V384" s="338">
        <v>0.45833333333333298</v>
      </c>
    </row>
    <row r="385" spans="2:22" ht="13.5">
      <c r="B385" s="1577">
        <v>201511</v>
      </c>
      <c r="C385" s="324" t="s">
        <v>459</v>
      </c>
      <c r="D385" s="325" t="s">
        <v>1570</v>
      </c>
      <c r="E385" s="325" t="s">
        <v>1571</v>
      </c>
      <c r="F385" s="460">
        <v>2044.5619999999999</v>
      </c>
      <c r="G385" s="92">
        <v>733.13099999999997</v>
      </c>
      <c r="H385" s="279">
        <v>733.13099999999997</v>
      </c>
      <c r="I385" s="154">
        <v>39</v>
      </c>
      <c r="J385" s="576">
        <v>0.37142900000000001</v>
      </c>
      <c r="K385" s="578">
        <v>13.329654545455</v>
      </c>
      <c r="L385" s="437">
        <v>1.410256</v>
      </c>
      <c r="M385" s="42"/>
      <c r="N385" s="47">
        <v>118</v>
      </c>
      <c r="O385" s="45">
        <v>89</v>
      </c>
      <c r="P385" s="45">
        <v>28</v>
      </c>
      <c r="Q385" s="388">
        <v>1</v>
      </c>
      <c r="R385" s="429">
        <v>25</v>
      </c>
      <c r="S385" s="92">
        <v>9</v>
      </c>
      <c r="T385" s="361">
        <v>42</v>
      </c>
      <c r="U385" s="285">
        <v>20</v>
      </c>
      <c r="V385" s="438">
        <v>0.68965517241379304</v>
      </c>
    </row>
    <row r="386" spans="2:22" ht="13.5">
      <c r="B386" s="1577">
        <v>201511</v>
      </c>
      <c r="C386" s="326" t="s">
        <v>459</v>
      </c>
      <c r="D386" s="327" t="s">
        <v>662</v>
      </c>
      <c r="E386" s="327" t="s">
        <v>658</v>
      </c>
      <c r="F386" s="459">
        <v>570.25199999999995</v>
      </c>
      <c r="G386" s="339">
        <v>0</v>
      </c>
      <c r="H386" s="337">
        <v>0</v>
      </c>
      <c r="I386" s="331">
        <v>0</v>
      </c>
      <c r="J386" s="577">
        <v>0</v>
      </c>
      <c r="K386" s="579">
        <v>0</v>
      </c>
      <c r="L386" s="436">
        <v>0</v>
      </c>
      <c r="M386" s="42"/>
      <c r="N386" s="334">
        <v>0</v>
      </c>
      <c r="O386" s="335">
        <v>0</v>
      </c>
      <c r="P386" s="335">
        <v>0</v>
      </c>
      <c r="Q386" s="389">
        <v>0</v>
      </c>
      <c r="R386" s="430">
        <v>0</v>
      </c>
      <c r="S386" s="339"/>
      <c r="T386" s="362"/>
      <c r="U386" s="337"/>
      <c r="V386" s="338"/>
    </row>
    <row r="387" spans="2:22" ht="13.5">
      <c r="B387" s="1577">
        <v>201511</v>
      </c>
      <c r="C387" s="324" t="s">
        <v>459</v>
      </c>
      <c r="D387" s="325" t="s">
        <v>799</v>
      </c>
      <c r="E387" s="325" t="s">
        <v>800</v>
      </c>
      <c r="F387" s="460">
        <v>4472.29</v>
      </c>
      <c r="G387" s="92">
        <v>1334.963</v>
      </c>
      <c r="H387" s="279">
        <v>1316.1959999999999</v>
      </c>
      <c r="I387" s="154">
        <v>44</v>
      </c>
      <c r="J387" s="576">
        <v>0.44897999999999999</v>
      </c>
      <c r="K387" s="578">
        <v>15.892416666667</v>
      </c>
      <c r="L387" s="437">
        <v>1.9090910000000001</v>
      </c>
      <c r="M387" s="42"/>
      <c r="N387" s="47">
        <v>109</v>
      </c>
      <c r="O387" s="45">
        <v>91</v>
      </c>
      <c r="P387" s="45">
        <v>17</v>
      </c>
      <c r="Q387" s="388">
        <v>1</v>
      </c>
      <c r="R387" s="429">
        <v>8</v>
      </c>
      <c r="S387" s="92">
        <v>1</v>
      </c>
      <c r="T387" s="361">
        <v>29</v>
      </c>
      <c r="U387" s="285">
        <v>9</v>
      </c>
      <c r="V387" s="438">
        <v>0.5</v>
      </c>
    </row>
    <row r="388" spans="2:22" ht="13.5">
      <c r="B388" s="1577">
        <v>201511</v>
      </c>
      <c r="C388" s="326" t="s">
        <v>459</v>
      </c>
      <c r="D388" s="327" t="s">
        <v>1567</v>
      </c>
      <c r="E388" s="327" t="s">
        <v>1028</v>
      </c>
      <c r="F388" s="459">
        <v>5145.2830000000104</v>
      </c>
      <c r="G388" s="339">
        <v>1742.0219999999999</v>
      </c>
      <c r="H388" s="337">
        <v>1720.751</v>
      </c>
      <c r="I388" s="331">
        <v>46</v>
      </c>
      <c r="J388" s="577">
        <v>0.43601899999999999</v>
      </c>
      <c r="K388" s="579">
        <v>15.693891891891999</v>
      </c>
      <c r="L388" s="436">
        <v>2.413043</v>
      </c>
      <c r="M388" s="42"/>
      <c r="N388" s="334">
        <v>119</v>
      </c>
      <c r="O388" s="335">
        <v>84</v>
      </c>
      <c r="P388" s="335">
        <v>30</v>
      </c>
      <c r="Q388" s="389">
        <v>5</v>
      </c>
      <c r="R388" s="430">
        <v>5</v>
      </c>
      <c r="S388" s="339">
        <v>3</v>
      </c>
      <c r="T388" s="362">
        <v>29</v>
      </c>
      <c r="U388" s="337">
        <v>16</v>
      </c>
      <c r="V388" s="338">
        <v>0.45714285714285702</v>
      </c>
    </row>
    <row r="389" spans="2:22" ht="13.5">
      <c r="B389" s="1577">
        <v>201511</v>
      </c>
      <c r="C389" s="324" t="s">
        <v>459</v>
      </c>
      <c r="D389" s="325" t="s">
        <v>177</v>
      </c>
      <c r="E389" s="325" t="s">
        <v>189</v>
      </c>
      <c r="F389" s="460">
        <v>7983.6620000000203</v>
      </c>
      <c r="G389" s="92">
        <v>1059.8610000000001</v>
      </c>
      <c r="H389" s="279">
        <v>1059.8610000000001</v>
      </c>
      <c r="I389" s="154">
        <v>27</v>
      </c>
      <c r="J389" s="576">
        <v>0.37241400000000002</v>
      </c>
      <c r="K389" s="578">
        <v>23.552466666667002</v>
      </c>
      <c r="L389" s="437">
        <v>1.6666669999999999</v>
      </c>
      <c r="M389" s="42"/>
      <c r="N389" s="47">
        <v>69</v>
      </c>
      <c r="O389" s="45">
        <v>46</v>
      </c>
      <c r="P389" s="45">
        <v>22</v>
      </c>
      <c r="Q389" s="388">
        <v>1</v>
      </c>
      <c r="R389" s="429">
        <v>10</v>
      </c>
      <c r="S389" s="92"/>
      <c r="T389" s="361">
        <v>3</v>
      </c>
      <c r="U389" s="285">
        <v>3</v>
      </c>
      <c r="V389" s="438">
        <v>0.13043478260869601</v>
      </c>
    </row>
    <row r="390" spans="2:22" ht="13.5">
      <c r="B390" s="1577">
        <v>201511</v>
      </c>
      <c r="C390" s="326" t="s">
        <v>459</v>
      </c>
      <c r="D390" s="327" t="s">
        <v>1568</v>
      </c>
      <c r="E390" s="327" t="s">
        <v>1569</v>
      </c>
      <c r="F390" s="459">
        <v>7052.5480000000198</v>
      </c>
      <c r="G390" s="339">
        <v>2172.9940000000001</v>
      </c>
      <c r="H390" s="337">
        <v>2172.9940000000001</v>
      </c>
      <c r="I390" s="331">
        <v>82</v>
      </c>
      <c r="J390" s="577">
        <v>0.39234400000000003</v>
      </c>
      <c r="K390" s="579">
        <v>12.707567251462001</v>
      </c>
      <c r="L390" s="436">
        <v>2.0853660000000001</v>
      </c>
      <c r="M390" s="42"/>
      <c r="N390" s="334">
        <v>221</v>
      </c>
      <c r="O390" s="335">
        <v>164</v>
      </c>
      <c r="P390" s="335">
        <v>56</v>
      </c>
      <c r="Q390" s="389">
        <v>1</v>
      </c>
      <c r="R390" s="430">
        <v>26</v>
      </c>
      <c r="S390" s="339">
        <v>6</v>
      </c>
      <c r="T390" s="362">
        <v>44</v>
      </c>
      <c r="U390" s="337">
        <v>24</v>
      </c>
      <c r="V390" s="338">
        <v>0.42105263157894701</v>
      </c>
    </row>
    <row r="391" spans="2:22" ht="13.5">
      <c r="B391" s="1577">
        <v>201511</v>
      </c>
      <c r="C391" s="324" t="s">
        <v>459</v>
      </c>
      <c r="D391" s="325" t="s">
        <v>176</v>
      </c>
      <c r="E391" s="325" t="s">
        <v>188</v>
      </c>
      <c r="F391" s="460">
        <v>17970.444</v>
      </c>
      <c r="G391" s="92">
        <v>2178.0770000000002</v>
      </c>
      <c r="H391" s="279">
        <v>2151.5839999999998</v>
      </c>
      <c r="I391" s="154">
        <v>74</v>
      </c>
      <c r="J391" s="576">
        <v>0.38144299999999998</v>
      </c>
      <c r="K391" s="578">
        <v>16.254305970149002</v>
      </c>
      <c r="L391" s="437">
        <v>1.8108109999999999</v>
      </c>
      <c r="M391" s="42"/>
      <c r="N391" s="47">
        <v>210</v>
      </c>
      <c r="O391" s="45">
        <v>177</v>
      </c>
      <c r="P391" s="45">
        <v>29</v>
      </c>
      <c r="Q391" s="388">
        <v>4</v>
      </c>
      <c r="R391" s="429">
        <v>24</v>
      </c>
      <c r="S391" s="92">
        <v>2</v>
      </c>
      <c r="T391" s="361">
        <v>53</v>
      </c>
      <c r="U391" s="285">
        <v>23</v>
      </c>
      <c r="V391" s="438">
        <v>0.69696969696969702</v>
      </c>
    </row>
    <row r="392" spans="2:22" ht="13.5">
      <c r="B392" s="1577">
        <v>201511</v>
      </c>
      <c r="C392" s="326" t="s">
        <v>459</v>
      </c>
      <c r="D392" s="327" t="s">
        <v>1572</v>
      </c>
      <c r="E392" s="327" t="s">
        <v>1573</v>
      </c>
      <c r="F392" s="459">
        <v>1984.6010000000001</v>
      </c>
      <c r="G392" s="339">
        <v>751.15499999999997</v>
      </c>
      <c r="H392" s="337">
        <v>765.20100000000002</v>
      </c>
      <c r="I392" s="331">
        <v>31</v>
      </c>
      <c r="J392" s="577">
        <v>0.42758600000000002</v>
      </c>
      <c r="K392" s="579">
        <v>13.910277777777999</v>
      </c>
      <c r="L392" s="436">
        <v>1.741935</v>
      </c>
      <c r="M392" s="42"/>
      <c r="N392" s="334">
        <v>75</v>
      </c>
      <c r="O392" s="335">
        <v>61</v>
      </c>
      <c r="P392" s="335">
        <v>14</v>
      </c>
      <c r="Q392" s="389">
        <v>0</v>
      </c>
      <c r="R392" s="430">
        <v>19</v>
      </c>
      <c r="S392" s="339">
        <v>2</v>
      </c>
      <c r="T392" s="362">
        <v>22</v>
      </c>
      <c r="U392" s="337">
        <v>4</v>
      </c>
      <c r="V392" s="338">
        <v>0.28571428571428598</v>
      </c>
    </row>
    <row r="393" spans="2:22" ht="13.5">
      <c r="B393" s="1577">
        <v>201511</v>
      </c>
      <c r="C393" s="324" t="s">
        <v>459</v>
      </c>
      <c r="D393" s="325" t="s">
        <v>1104</v>
      </c>
      <c r="E393" s="325" t="s">
        <v>1287</v>
      </c>
      <c r="F393" s="460">
        <v>4755.3860000000004</v>
      </c>
      <c r="G393" s="92">
        <v>1164.866</v>
      </c>
      <c r="H393" s="279">
        <v>1158.336</v>
      </c>
      <c r="I393" s="154">
        <v>40</v>
      </c>
      <c r="J393" s="576">
        <v>0.36866399999999999</v>
      </c>
      <c r="K393" s="578">
        <v>12.134020833333</v>
      </c>
      <c r="L393" s="437">
        <v>2.4</v>
      </c>
      <c r="M393" s="42"/>
      <c r="N393" s="47">
        <v>115</v>
      </c>
      <c r="O393" s="45">
        <v>86</v>
      </c>
      <c r="P393" s="45">
        <v>21</v>
      </c>
      <c r="Q393" s="388">
        <v>8</v>
      </c>
      <c r="R393" s="429">
        <v>6</v>
      </c>
      <c r="S393" s="92"/>
      <c r="T393" s="361">
        <v>17</v>
      </c>
      <c r="U393" s="285">
        <v>12</v>
      </c>
      <c r="V393" s="438">
        <v>0.41379310344827602</v>
      </c>
    </row>
    <row r="394" spans="2:22" ht="13.5">
      <c r="B394" s="1577">
        <v>201511</v>
      </c>
      <c r="C394" s="326" t="s">
        <v>2048</v>
      </c>
      <c r="D394" s="327" t="s">
        <v>2046</v>
      </c>
      <c r="E394" s="327" t="s">
        <v>2054</v>
      </c>
      <c r="F394" s="459">
        <v>1728.3230000000001</v>
      </c>
      <c r="G394" s="339">
        <v>1144.0260000000001</v>
      </c>
      <c r="H394" s="337">
        <v>1136.04</v>
      </c>
      <c r="I394" s="331">
        <v>40</v>
      </c>
      <c r="J394" s="577">
        <v>0.41450799999999999</v>
      </c>
      <c r="K394" s="579">
        <v>12.711399999999999</v>
      </c>
      <c r="L394" s="436">
        <v>2.25</v>
      </c>
      <c r="M394" s="42"/>
      <c r="N394" s="334">
        <v>114</v>
      </c>
      <c r="O394" s="335">
        <v>84</v>
      </c>
      <c r="P394" s="335">
        <v>30</v>
      </c>
      <c r="Q394" s="389">
        <v>0</v>
      </c>
      <c r="R394" s="430">
        <v>0</v>
      </c>
      <c r="S394" s="339">
        <v>3</v>
      </c>
      <c r="T394" s="362">
        <v>32</v>
      </c>
      <c r="U394" s="337">
        <v>22</v>
      </c>
      <c r="V394" s="338">
        <v>0.73333333333333295</v>
      </c>
    </row>
    <row r="395" spans="2:22" ht="13.5">
      <c r="B395" s="1577">
        <v>201510</v>
      </c>
      <c r="C395" s="326" t="s">
        <v>458</v>
      </c>
      <c r="D395" s="327" t="s">
        <v>1563</v>
      </c>
      <c r="E395" s="327" t="s">
        <v>1564</v>
      </c>
      <c r="F395" s="459">
        <v>1235.171</v>
      </c>
      <c r="G395" s="339">
        <v>279.53100000000001</v>
      </c>
      <c r="H395" s="337">
        <v>279.53100000000001</v>
      </c>
      <c r="I395" s="331">
        <v>8</v>
      </c>
      <c r="J395" s="577">
        <v>0.33333299999999999</v>
      </c>
      <c r="K395" s="579">
        <v>25.411909090908999</v>
      </c>
      <c r="L395" s="436">
        <v>1.375</v>
      </c>
      <c r="M395" s="42"/>
      <c r="N395" s="334">
        <v>24</v>
      </c>
      <c r="O395" s="335">
        <v>17</v>
      </c>
      <c r="P395" s="335">
        <v>7</v>
      </c>
      <c r="Q395" s="389">
        <v>0</v>
      </c>
      <c r="R395" s="430">
        <v>3</v>
      </c>
      <c r="S395" s="339"/>
      <c r="T395" s="362">
        <v>3</v>
      </c>
      <c r="U395" s="337">
        <v>3</v>
      </c>
      <c r="V395" s="338">
        <v>0.42857142857142899</v>
      </c>
    </row>
    <row r="396" spans="2:22" ht="13.5">
      <c r="B396" s="1577">
        <v>201510</v>
      </c>
      <c r="C396" s="324" t="s">
        <v>458</v>
      </c>
      <c r="D396" s="325" t="s">
        <v>1099</v>
      </c>
      <c r="E396" s="325" t="s">
        <v>1286</v>
      </c>
      <c r="F396" s="460">
        <v>6147.0990000000102</v>
      </c>
      <c r="G396" s="92">
        <v>636.06600000000003</v>
      </c>
      <c r="H396" s="279">
        <v>694.91600000000005</v>
      </c>
      <c r="I396" s="154">
        <v>20</v>
      </c>
      <c r="J396" s="576">
        <v>0.30075200000000002</v>
      </c>
      <c r="K396" s="578">
        <v>18.707823529412</v>
      </c>
      <c r="L396" s="437">
        <v>1.7</v>
      </c>
      <c r="M396" s="42"/>
      <c r="N396" s="47">
        <v>69</v>
      </c>
      <c r="O396" s="45">
        <v>52</v>
      </c>
      <c r="P396" s="45">
        <v>13</v>
      </c>
      <c r="Q396" s="388">
        <v>4</v>
      </c>
      <c r="R396" s="429">
        <v>4</v>
      </c>
      <c r="S396" s="92"/>
      <c r="T396" s="361">
        <v>9</v>
      </c>
      <c r="U396" s="285">
        <v>6</v>
      </c>
      <c r="V396" s="438">
        <v>0.35294117647058798</v>
      </c>
    </row>
    <row r="397" spans="2:22" ht="13.5">
      <c r="B397" s="1577">
        <v>201510</v>
      </c>
      <c r="C397" s="326" t="s">
        <v>458</v>
      </c>
      <c r="D397" s="327" t="s">
        <v>900</v>
      </c>
      <c r="E397" s="327" t="s">
        <v>901</v>
      </c>
      <c r="F397" s="459">
        <v>5803.4679999999998</v>
      </c>
      <c r="G397" s="339">
        <v>1003.913</v>
      </c>
      <c r="H397" s="337">
        <v>1042.079</v>
      </c>
      <c r="I397" s="331">
        <v>13</v>
      </c>
      <c r="J397" s="577">
        <v>0.29885099999999998</v>
      </c>
      <c r="K397" s="579">
        <v>26.418763157895</v>
      </c>
      <c r="L397" s="436">
        <v>2.9230770000000001</v>
      </c>
      <c r="M397" s="42"/>
      <c r="N397" s="334">
        <v>42</v>
      </c>
      <c r="O397" s="335">
        <v>27</v>
      </c>
      <c r="P397" s="335">
        <v>14</v>
      </c>
      <c r="Q397" s="389">
        <v>1</v>
      </c>
      <c r="R397" s="430">
        <v>5</v>
      </c>
      <c r="S397" s="339"/>
      <c r="T397" s="362">
        <v>2</v>
      </c>
      <c r="U397" s="337">
        <v>2</v>
      </c>
      <c r="V397" s="338">
        <v>0.133333333333333</v>
      </c>
    </row>
    <row r="398" spans="2:22" ht="13.5">
      <c r="B398" s="1577">
        <v>201510</v>
      </c>
      <c r="C398" s="324" t="s">
        <v>458</v>
      </c>
      <c r="D398" s="325" t="s">
        <v>649</v>
      </c>
      <c r="E398" s="325" t="s">
        <v>645</v>
      </c>
      <c r="F398" s="460">
        <v>4360.4269999999897</v>
      </c>
      <c r="G398" s="92">
        <v>463.36500000000001</v>
      </c>
      <c r="H398" s="279">
        <v>464.59</v>
      </c>
      <c r="I398" s="154">
        <v>21</v>
      </c>
      <c r="J398" s="576">
        <v>0.30434800000000001</v>
      </c>
      <c r="K398" s="578">
        <v>17.161666666666999</v>
      </c>
      <c r="L398" s="437">
        <v>1.285714</v>
      </c>
      <c r="M398" s="42"/>
      <c r="N398" s="47">
        <v>73</v>
      </c>
      <c r="O398" s="45">
        <v>50</v>
      </c>
      <c r="P398" s="45">
        <v>20</v>
      </c>
      <c r="Q398" s="388">
        <v>3</v>
      </c>
      <c r="R398" s="429">
        <v>5</v>
      </c>
      <c r="S398" s="92">
        <v>4</v>
      </c>
      <c r="T398" s="361">
        <v>9</v>
      </c>
      <c r="U398" s="285">
        <v>6</v>
      </c>
      <c r="V398" s="438">
        <v>0.26086956521739102</v>
      </c>
    </row>
    <row r="399" spans="2:22" ht="13.5">
      <c r="B399" s="1577">
        <v>201510</v>
      </c>
      <c r="C399" s="326" t="s">
        <v>458</v>
      </c>
      <c r="D399" s="327" t="s">
        <v>650</v>
      </c>
      <c r="E399" s="327" t="s">
        <v>1777</v>
      </c>
      <c r="F399" s="459">
        <v>1296.1569999999999</v>
      </c>
      <c r="G399" s="339">
        <v>167.702</v>
      </c>
      <c r="H399" s="337">
        <v>108.685</v>
      </c>
      <c r="I399" s="331">
        <v>7</v>
      </c>
      <c r="J399" s="577">
        <v>0.155556</v>
      </c>
      <c r="K399" s="579">
        <v>18.633555555556001</v>
      </c>
      <c r="L399" s="436">
        <v>1.285714</v>
      </c>
      <c r="M399" s="42"/>
      <c r="N399" s="334">
        <v>39</v>
      </c>
      <c r="O399" s="335">
        <v>23</v>
      </c>
      <c r="P399" s="335">
        <v>13</v>
      </c>
      <c r="Q399" s="389">
        <v>3</v>
      </c>
      <c r="R399" s="430">
        <v>13</v>
      </c>
      <c r="S399" s="339"/>
      <c r="T399" s="362">
        <v>1</v>
      </c>
      <c r="U399" s="337">
        <v>1</v>
      </c>
      <c r="V399" s="338">
        <v>6.25E-2</v>
      </c>
    </row>
    <row r="400" spans="2:22" ht="13.5">
      <c r="B400" s="1577">
        <v>201510</v>
      </c>
      <c r="C400" s="324" t="s">
        <v>458</v>
      </c>
      <c r="D400" s="325" t="s">
        <v>902</v>
      </c>
      <c r="E400" s="325" t="s">
        <v>1014</v>
      </c>
      <c r="F400" s="460">
        <v>3127.6199999999899</v>
      </c>
      <c r="G400" s="92">
        <v>288.86</v>
      </c>
      <c r="H400" s="279">
        <v>301.09199999999998</v>
      </c>
      <c r="I400" s="154">
        <v>22</v>
      </c>
      <c r="J400" s="576">
        <v>0.31654700000000002</v>
      </c>
      <c r="K400" s="578">
        <v>12.559130434783</v>
      </c>
      <c r="L400" s="437">
        <v>1.045455</v>
      </c>
      <c r="M400" s="42"/>
      <c r="N400" s="47">
        <v>74</v>
      </c>
      <c r="O400" s="45">
        <v>53</v>
      </c>
      <c r="P400" s="45">
        <v>21</v>
      </c>
      <c r="Q400" s="388">
        <v>0</v>
      </c>
      <c r="R400" s="429">
        <v>2</v>
      </c>
      <c r="S400" s="92">
        <v>1</v>
      </c>
      <c r="T400" s="361">
        <v>7</v>
      </c>
      <c r="U400" s="285">
        <v>6</v>
      </c>
      <c r="V400" s="438">
        <v>0.28571428571428598</v>
      </c>
    </row>
    <row r="401" spans="2:22" ht="13.5">
      <c r="B401" s="1577">
        <v>201510</v>
      </c>
      <c r="C401" s="326" t="s">
        <v>458</v>
      </c>
      <c r="D401" s="327" t="s">
        <v>642</v>
      </c>
      <c r="E401" s="327" t="s">
        <v>641</v>
      </c>
      <c r="F401" s="459">
        <v>5508.6480000000101</v>
      </c>
      <c r="G401" s="339">
        <v>622.59799999999996</v>
      </c>
      <c r="H401" s="337">
        <v>649.52</v>
      </c>
      <c r="I401" s="331">
        <v>20</v>
      </c>
      <c r="J401" s="577">
        <v>0.38834999999999997</v>
      </c>
      <c r="K401" s="579">
        <v>19.456187499999999</v>
      </c>
      <c r="L401" s="436">
        <v>1.6</v>
      </c>
      <c r="M401" s="42"/>
      <c r="N401" s="334">
        <v>54</v>
      </c>
      <c r="O401" s="335">
        <v>36</v>
      </c>
      <c r="P401" s="335">
        <v>18</v>
      </c>
      <c r="Q401" s="389">
        <v>0</v>
      </c>
      <c r="R401" s="430">
        <v>0</v>
      </c>
      <c r="S401" s="339">
        <v>3</v>
      </c>
      <c r="T401" s="362">
        <v>2</v>
      </c>
      <c r="U401" s="337">
        <v>2</v>
      </c>
      <c r="V401" s="338">
        <v>0.11111111111111099</v>
      </c>
    </row>
    <row r="402" spans="2:22" ht="13.5">
      <c r="B402" s="1577">
        <v>201510</v>
      </c>
      <c r="C402" s="324" t="s">
        <v>458</v>
      </c>
      <c r="D402" s="325" t="s">
        <v>91</v>
      </c>
      <c r="E402" s="325" t="s">
        <v>92</v>
      </c>
      <c r="F402" s="460">
        <v>7313.0480000000298</v>
      </c>
      <c r="G402" s="92">
        <v>822.63699999999994</v>
      </c>
      <c r="H402" s="279">
        <v>794.60599999999999</v>
      </c>
      <c r="I402" s="154">
        <v>29</v>
      </c>
      <c r="J402" s="576">
        <v>0.26794299999999999</v>
      </c>
      <c r="K402" s="578">
        <v>20.064317073171001</v>
      </c>
      <c r="L402" s="437">
        <v>1.4137930000000001</v>
      </c>
      <c r="M402" s="42"/>
      <c r="N402" s="47">
        <v>112</v>
      </c>
      <c r="O402" s="45">
        <v>82</v>
      </c>
      <c r="P402" s="45">
        <v>25</v>
      </c>
      <c r="Q402" s="388">
        <v>5</v>
      </c>
      <c r="R402" s="429">
        <v>1</v>
      </c>
      <c r="S402" s="92"/>
      <c r="T402" s="361">
        <v>10</v>
      </c>
      <c r="U402" s="285">
        <v>6</v>
      </c>
      <c r="V402" s="438">
        <v>0.2</v>
      </c>
    </row>
    <row r="403" spans="2:22" ht="13.5">
      <c r="B403" s="1577">
        <v>201510</v>
      </c>
      <c r="C403" s="326" t="s">
        <v>458</v>
      </c>
      <c r="D403" s="327" t="s">
        <v>187</v>
      </c>
      <c r="E403" s="327" t="s">
        <v>194</v>
      </c>
      <c r="F403" s="459">
        <v>2927.7939999999999</v>
      </c>
      <c r="G403" s="339">
        <v>547.41</v>
      </c>
      <c r="H403" s="337">
        <v>521.024</v>
      </c>
      <c r="I403" s="331">
        <v>23</v>
      </c>
      <c r="J403" s="577">
        <v>0.33576600000000001</v>
      </c>
      <c r="K403" s="579">
        <v>15.640285714286</v>
      </c>
      <c r="L403" s="436">
        <v>1.521739</v>
      </c>
      <c r="M403" s="42"/>
      <c r="N403" s="334">
        <v>79</v>
      </c>
      <c r="O403" s="335">
        <v>62</v>
      </c>
      <c r="P403" s="335">
        <v>15</v>
      </c>
      <c r="Q403" s="389">
        <v>2</v>
      </c>
      <c r="R403" s="430">
        <v>0</v>
      </c>
      <c r="S403" s="339">
        <v>1</v>
      </c>
      <c r="T403" s="362">
        <v>20</v>
      </c>
      <c r="U403" s="337">
        <v>9</v>
      </c>
      <c r="V403" s="338">
        <v>0.52941176470588203</v>
      </c>
    </row>
    <row r="404" spans="2:22" ht="13.5">
      <c r="B404" s="1577">
        <v>201510</v>
      </c>
      <c r="C404" s="324" t="s">
        <v>458</v>
      </c>
      <c r="D404" s="325" t="s">
        <v>734</v>
      </c>
      <c r="E404" s="325" t="s">
        <v>1766</v>
      </c>
      <c r="F404" s="460">
        <v>9105.8240000000205</v>
      </c>
      <c r="G404" s="92">
        <v>1472.8710000000001</v>
      </c>
      <c r="H404" s="279">
        <v>1278.6949999999999</v>
      </c>
      <c r="I404" s="154">
        <v>41</v>
      </c>
      <c r="J404" s="576">
        <v>0.23631099999999999</v>
      </c>
      <c r="K404" s="578">
        <v>22.316227272727001</v>
      </c>
      <c r="L404" s="437">
        <v>1.609756</v>
      </c>
      <c r="M404" s="42"/>
      <c r="N404" s="47">
        <v>172</v>
      </c>
      <c r="O404" s="45">
        <v>129</v>
      </c>
      <c r="P404" s="45">
        <v>39</v>
      </c>
      <c r="Q404" s="388">
        <v>4</v>
      </c>
      <c r="R404" s="429">
        <v>9</v>
      </c>
      <c r="S404" s="92">
        <v>1</v>
      </c>
      <c r="T404" s="361">
        <v>5</v>
      </c>
      <c r="U404" s="285">
        <v>4</v>
      </c>
      <c r="V404" s="438">
        <v>9.3023255813953501E-2</v>
      </c>
    </row>
    <row r="405" spans="2:22" ht="13.5">
      <c r="B405" s="1577">
        <v>201510</v>
      </c>
      <c r="C405" s="326" t="s">
        <v>458</v>
      </c>
      <c r="D405" s="327" t="s">
        <v>735</v>
      </c>
      <c r="E405" s="327" t="s">
        <v>790</v>
      </c>
      <c r="F405" s="459">
        <v>11127.9560000001</v>
      </c>
      <c r="G405" s="339">
        <v>940.50900000000001</v>
      </c>
      <c r="H405" s="337">
        <v>882.98699999999997</v>
      </c>
      <c r="I405" s="331">
        <v>20</v>
      </c>
      <c r="J405" s="577">
        <v>0.28169</v>
      </c>
      <c r="K405" s="579">
        <v>26.871685714285999</v>
      </c>
      <c r="L405" s="436">
        <v>1.75</v>
      </c>
      <c r="M405" s="42"/>
      <c r="N405" s="334">
        <v>68</v>
      </c>
      <c r="O405" s="335">
        <v>54</v>
      </c>
      <c r="P405" s="335">
        <v>12</v>
      </c>
      <c r="Q405" s="389">
        <v>2</v>
      </c>
      <c r="R405" s="430">
        <v>9</v>
      </c>
      <c r="S405" s="339"/>
      <c r="T405" s="362">
        <v>3</v>
      </c>
      <c r="U405" s="337">
        <v>3</v>
      </c>
      <c r="V405" s="338">
        <v>0.214285714285714</v>
      </c>
    </row>
    <row r="406" spans="2:22" ht="13.5">
      <c r="B406" s="1577">
        <v>201510</v>
      </c>
      <c r="C406" s="324" t="s">
        <v>458</v>
      </c>
      <c r="D406" s="325" t="s">
        <v>798</v>
      </c>
      <c r="E406" s="325" t="s">
        <v>1768</v>
      </c>
      <c r="F406" s="460">
        <v>4943.4560000000001</v>
      </c>
      <c r="G406" s="92">
        <v>787.21400000000006</v>
      </c>
      <c r="H406" s="279">
        <v>805.66899999999998</v>
      </c>
      <c r="I406" s="154">
        <v>12</v>
      </c>
      <c r="J406" s="576">
        <v>0.25263200000000002</v>
      </c>
      <c r="K406" s="578">
        <v>24.600437500000002</v>
      </c>
      <c r="L406" s="437">
        <v>2.6666669999999999</v>
      </c>
      <c r="M406" s="42"/>
      <c r="N406" s="47">
        <v>48</v>
      </c>
      <c r="O406" s="45">
        <v>35</v>
      </c>
      <c r="P406" s="45">
        <v>11</v>
      </c>
      <c r="Q406" s="388">
        <v>2</v>
      </c>
      <c r="R406" s="429">
        <v>0</v>
      </c>
      <c r="S406" s="92"/>
      <c r="T406" s="361">
        <v>1</v>
      </c>
      <c r="U406" s="285">
        <v>1</v>
      </c>
      <c r="V406" s="438">
        <v>7.69230769230769E-2</v>
      </c>
    </row>
    <row r="407" spans="2:22" ht="13.5">
      <c r="B407" s="1577">
        <v>201510</v>
      </c>
      <c r="C407" s="326" t="s">
        <v>458</v>
      </c>
      <c r="D407" s="327" t="s">
        <v>949</v>
      </c>
      <c r="E407" s="327" t="s">
        <v>950</v>
      </c>
      <c r="F407" s="459">
        <v>6489.93300000001</v>
      </c>
      <c r="G407" s="339">
        <v>913.22900000000004</v>
      </c>
      <c r="H407" s="337">
        <v>907.63300000000004</v>
      </c>
      <c r="I407" s="331">
        <v>31</v>
      </c>
      <c r="J407" s="577">
        <v>0.31794899999999998</v>
      </c>
      <c r="K407" s="579">
        <v>16.021561403509001</v>
      </c>
      <c r="L407" s="436">
        <v>1.8387100000000001</v>
      </c>
      <c r="M407" s="42"/>
      <c r="N407" s="334">
        <v>96</v>
      </c>
      <c r="O407" s="335">
        <v>70</v>
      </c>
      <c r="P407" s="335">
        <v>20</v>
      </c>
      <c r="Q407" s="389">
        <v>6</v>
      </c>
      <c r="R407" s="430">
        <v>3</v>
      </c>
      <c r="S407" s="339"/>
      <c r="T407" s="362"/>
      <c r="U407" s="337"/>
      <c r="V407" s="338"/>
    </row>
    <row r="408" spans="2:22" ht="13.5">
      <c r="B408" s="1577">
        <v>201510</v>
      </c>
      <c r="C408" s="324" t="s">
        <v>458</v>
      </c>
      <c r="D408" s="325" t="s">
        <v>903</v>
      </c>
      <c r="E408" s="325" t="s">
        <v>904</v>
      </c>
      <c r="F408" s="460">
        <v>7184.6030000000101</v>
      </c>
      <c r="G408" s="92">
        <v>849.11</v>
      </c>
      <c r="H408" s="279">
        <v>828.99300000000005</v>
      </c>
      <c r="I408" s="154">
        <v>31</v>
      </c>
      <c r="J408" s="576">
        <v>0.31472099999999997</v>
      </c>
      <c r="K408" s="578">
        <v>17.689791666666999</v>
      </c>
      <c r="L408" s="437">
        <v>1.548387</v>
      </c>
      <c r="M408" s="42"/>
      <c r="N408" s="47">
        <v>100</v>
      </c>
      <c r="O408" s="45">
        <v>69</v>
      </c>
      <c r="P408" s="45">
        <v>25</v>
      </c>
      <c r="Q408" s="388">
        <v>6</v>
      </c>
      <c r="R408" s="429">
        <v>5</v>
      </c>
      <c r="S408" s="92"/>
      <c r="T408" s="361">
        <v>7</v>
      </c>
      <c r="U408" s="285">
        <v>3</v>
      </c>
      <c r="V408" s="438">
        <v>9.6774193548387094E-2</v>
      </c>
    </row>
    <row r="409" spans="2:22" ht="13.5">
      <c r="B409" s="1577">
        <v>201510</v>
      </c>
      <c r="C409" s="326" t="s">
        <v>458</v>
      </c>
      <c r="D409" s="327" t="s">
        <v>1101</v>
      </c>
      <c r="E409" s="327" t="s">
        <v>1162</v>
      </c>
      <c r="F409" s="459">
        <v>1874.0920000000001</v>
      </c>
      <c r="G409" s="339">
        <v>123.279</v>
      </c>
      <c r="H409" s="337">
        <v>107.88200000000001</v>
      </c>
      <c r="I409" s="331">
        <v>7</v>
      </c>
      <c r="J409" s="577">
        <v>0.105263</v>
      </c>
      <c r="K409" s="579">
        <v>13.697666666667001</v>
      </c>
      <c r="L409" s="436">
        <v>1.285714</v>
      </c>
      <c r="M409" s="42"/>
      <c r="N409" s="334">
        <v>67</v>
      </c>
      <c r="O409" s="335">
        <v>47</v>
      </c>
      <c r="P409" s="335">
        <v>20</v>
      </c>
      <c r="Q409" s="389">
        <v>0</v>
      </c>
      <c r="R409" s="430">
        <v>2</v>
      </c>
      <c r="S409" s="339"/>
      <c r="T409" s="362">
        <v>3</v>
      </c>
      <c r="U409" s="337">
        <v>3</v>
      </c>
      <c r="V409" s="338">
        <v>0.15</v>
      </c>
    </row>
    <row r="410" spans="2:22" ht="13.5">
      <c r="B410" s="1577">
        <v>201510</v>
      </c>
      <c r="C410" s="324" t="s">
        <v>458</v>
      </c>
      <c r="D410" s="325" t="s">
        <v>1102</v>
      </c>
      <c r="E410" s="325" t="s">
        <v>1163</v>
      </c>
      <c r="F410" s="460">
        <v>4660.0829999999996</v>
      </c>
      <c r="G410" s="92">
        <v>396.83300000000003</v>
      </c>
      <c r="H410" s="279">
        <v>364.565</v>
      </c>
      <c r="I410" s="154">
        <v>23</v>
      </c>
      <c r="J410" s="576">
        <v>0.25555600000000001</v>
      </c>
      <c r="K410" s="578">
        <v>14.172607142857</v>
      </c>
      <c r="L410" s="437">
        <v>1.2173909999999999</v>
      </c>
      <c r="M410" s="42"/>
      <c r="N410" s="47">
        <v>91</v>
      </c>
      <c r="O410" s="45">
        <v>71</v>
      </c>
      <c r="P410" s="45">
        <v>20</v>
      </c>
      <c r="Q410" s="388">
        <v>0</v>
      </c>
      <c r="R410" s="429">
        <v>16</v>
      </c>
      <c r="S410" s="92">
        <v>2</v>
      </c>
      <c r="T410" s="361">
        <v>16</v>
      </c>
      <c r="U410" s="285">
        <v>9</v>
      </c>
      <c r="V410" s="438">
        <v>0.45</v>
      </c>
    </row>
    <row r="411" spans="2:22" ht="13.5">
      <c r="B411" s="1577">
        <v>201510</v>
      </c>
      <c r="C411" s="326" t="s">
        <v>458</v>
      </c>
      <c r="D411" s="327" t="s">
        <v>628</v>
      </c>
      <c r="E411" s="327" t="s">
        <v>629</v>
      </c>
      <c r="F411" s="459">
        <v>2738.9469999999901</v>
      </c>
      <c r="G411" s="339">
        <v>216.90799999999999</v>
      </c>
      <c r="H411" s="337">
        <v>212.68100000000001</v>
      </c>
      <c r="I411" s="331">
        <v>11</v>
      </c>
      <c r="J411" s="577">
        <v>0.24444399999999999</v>
      </c>
      <c r="K411" s="579">
        <v>15.493428571429</v>
      </c>
      <c r="L411" s="436">
        <v>1.2727269999999999</v>
      </c>
      <c r="M411" s="42"/>
      <c r="N411" s="334">
        <v>44</v>
      </c>
      <c r="O411" s="335">
        <v>27</v>
      </c>
      <c r="P411" s="335">
        <v>10</v>
      </c>
      <c r="Q411" s="389">
        <v>7</v>
      </c>
      <c r="R411" s="430">
        <v>4</v>
      </c>
      <c r="S411" s="339"/>
      <c r="T411" s="362">
        <v>1</v>
      </c>
      <c r="U411" s="337">
        <v>1</v>
      </c>
      <c r="V411" s="338">
        <v>5.8823529411764698E-2</v>
      </c>
    </row>
    <row r="412" spans="2:22" ht="13.5">
      <c r="B412" s="1577">
        <v>201510</v>
      </c>
      <c r="C412" s="324" t="s">
        <v>458</v>
      </c>
      <c r="D412" s="325" t="s">
        <v>1565</v>
      </c>
      <c r="E412" s="325" t="s">
        <v>1566</v>
      </c>
      <c r="F412" s="460">
        <v>767.42200000000003</v>
      </c>
      <c r="G412" s="92">
        <v>272.17399999999998</v>
      </c>
      <c r="H412" s="279">
        <v>261.91800000000001</v>
      </c>
      <c r="I412" s="154">
        <v>8</v>
      </c>
      <c r="J412" s="576">
        <v>0.23188400000000001</v>
      </c>
      <c r="K412" s="578">
        <v>27.217400000000001</v>
      </c>
      <c r="L412" s="437">
        <v>1.25</v>
      </c>
      <c r="M412" s="42"/>
      <c r="N412" s="47">
        <v>36</v>
      </c>
      <c r="O412" s="45">
        <v>30</v>
      </c>
      <c r="P412" s="45">
        <v>6</v>
      </c>
      <c r="Q412" s="388">
        <v>0</v>
      </c>
      <c r="R412" s="429">
        <v>0</v>
      </c>
      <c r="S412" s="92"/>
      <c r="T412" s="361">
        <v>3</v>
      </c>
      <c r="U412" s="285">
        <v>2</v>
      </c>
      <c r="V412" s="438">
        <v>0.33333333333333298</v>
      </c>
    </row>
    <row r="413" spans="2:22" ht="13.5">
      <c r="B413" s="1577">
        <v>201510</v>
      </c>
      <c r="C413" s="326" t="s">
        <v>458</v>
      </c>
      <c r="D413" s="327" t="s">
        <v>47</v>
      </c>
      <c r="E413" s="327" t="s">
        <v>17</v>
      </c>
      <c r="F413" s="459">
        <v>4907.4449999999897</v>
      </c>
      <c r="G413" s="339">
        <v>1548.0840000000001</v>
      </c>
      <c r="H413" s="337">
        <v>1528.721</v>
      </c>
      <c r="I413" s="331">
        <v>16</v>
      </c>
      <c r="J413" s="577">
        <v>0.35164800000000002</v>
      </c>
      <c r="K413" s="579">
        <v>64.503500000000003</v>
      </c>
      <c r="L413" s="436">
        <v>1.5</v>
      </c>
      <c r="M413" s="42"/>
      <c r="N413" s="334">
        <v>43</v>
      </c>
      <c r="O413" s="335">
        <v>31</v>
      </c>
      <c r="P413" s="335">
        <v>11</v>
      </c>
      <c r="Q413" s="389">
        <v>1</v>
      </c>
      <c r="R413" s="430">
        <v>7</v>
      </c>
      <c r="S413" s="339"/>
      <c r="T413" s="362">
        <v>2</v>
      </c>
      <c r="U413" s="337">
        <v>2</v>
      </c>
      <c r="V413" s="338">
        <v>0.16666666666666699</v>
      </c>
    </row>
    <row r="414" spans="2:22" ht="13.5">
      <c r="B414" s="1577">
        <v>201510</v>
      </c>
      <c r="C414" s="324" t="s">
        <v>458</v>
      </c>
      <c r="D414" s="325" t="s">
        <v>736</v>
      </c>
      <c r="E414" s="325" t="s">
        <v>697</v>
      </c>
      <c r="F414" s="460">
        <v>8461.0030000000497</v>
      </c>
      <c r="G414" s="92">
        <v>-1618.1610000000001</v>
      </c>
      <c r="H414" s="279">
        <v>-1548.741</v>
      </c>
      <c r="I414" s="154">
        <v>24</v>
      </c>
      <c r="J414" s="576">
        <v>0.26666699999999999</v>
      </c>
      <c r="K414" s="578">
        <v>-55.798655172414001</v>
      </c>
      <c r="L414" s="437">
        <v>1.2083330000000001</v>
      </c>
      <c r="M414" s="42"/>
      <c r="N414" s="47">
        <v>90</v>
      </c>
      <c r="O414" s="45">
        <v>66</v>
      </c>
      <c r="P414" s="45">
        <v>16</v>
      </c>
      <c r="Q414" s="388">
        <v>8</v>
      </c>
      <c r="R414" s="429">
        <v>5</v>
      </c>
      <c r="S414" s="92"/>
      <c r="T414" s="361">
        <v>5</v>
      </c>
      <c r="U414" s="285">
        <v>4</v>
      </c>
      <c r="V414" s="438">
        <v>0.16666666666666699</v>
      </c>
    </row>
    <row r="415" spans="2:22" ht="13.5">
      <c r="B415" s="1577">
        <v>201510</v>
      </c>
      <c r="C415" s="326" t="s">
        <v>458</v>
      </c>
      <c r="D415" s="327" t="s">
        <v>796</v>
      </c>
      <c r="E415" s="327" t="s">
        <v>797</v>
      </c>
      <c r="F415" s="459">
        <v>5324.9629999999997</v>
      </c>
      <c r="G415" s="339">
        <v>342.041</v>
      </c>
      <c r="H415" s="337">
        <v>318.34100000000001</v>
      </c>
      <c r="I415" s="331">
        <v>12</v>
      </c>
      <c r="J415" s="577">
        <v>0.17266200000000001</v>
      </c>
      <c r="K415" s="579">
        <v>21.3775625</v>
      </c>
      <c r="L415" s="436">
        <v>1.3333330000000001</v>
      </c>
      <c r="M415" s="42"/>
      <c r="N415" s="334">
        <v>72</v>
      </c>
      <c r="O415" s="335">
        <v>51</v>
      </c>
      <c r="P415" s="335">
        <v>20</v>
      </c>
      <c r="Q415" s="389">
        <v>1</v>
      </c>
      <c r="R415" s="430">
        <v>2</v>
      </c>
      <c r="S415" s="339"/>
      <c r="T415" s="362">
        <v>7</v>
      </c>
      <c r="U415" s="337">
        <v>6</v>
      </c>
      <c r="V415" s="338">
        <v>0.28571428571428598</v>
      </c>
    </row>
    <row r="416" spans="2:22" ht="13.5">
      <c r="B416" s="1577">
        <v>201510</v>
      </c>
      <c r="C416" s="324" t="s">
        <v>458</v>
      </c>
      <c r="D416" s="325" t="s">
        <v>1418</v>
      </c>
      <c r="E416" s="325" t="s">
        <v>1771</v>
      </c>
      <c r="F416" s="460">
        <v>2006.069</v>
      </c>
      <c r="G416" s="92">
        <v>456.44600000000003</v>
      </c>
      <c r="H416" s="279">
        <v>463.38</v>
      </c>
      <c r="I416" s="154">
        <v>16</v>
      </c>
      <c r="J416" s="576">
        <v>0.35555599999999998</v>
      </c>
      <c r="K416" s="578">
        <v>19.845478260869999</v>
      </c>
      <c r="L416" s="437">
        <v>1.4375</v>
      </c>
      <c r="M416" s="42"/>
      <c r="N416" s="47">
        <v>51</v>
      </c>
      <c r="O416" s="45">
        <v>33</v>
      </c>
      <c r="P416" s="45">
        <v>14</v>
      </c>
      <c r="Q416" s="388">
        <v>4</v>
      </c>
      <c r="R416" s="429">
        <v>3</v>
      </c>
      <c r="S416" s="92">
        <v>3</v>
      </c>
      <c r="T416" s="361">
        <v>12</v>
      </c>
      <c r="U416" s="285">
        <v>7</v>
      </c>
      <c r="V416" s="438">
        <v>0.38888888888888901</v>
      </c>
    </row>
    <row r="417" spans="2:22" ht="13.5">
      <c r="B417" s="1577">
        <v>201510</v>
      </c>
      <c r="C417" s="326" t="s">
        <v>458</v>
      </c>
      <c r="D417" s="327" t="s">
        <v>1669</v>
      </c>
      <c r="E417" s="327" t="s">
        <v>1670</v>
      </c>
      <c r="F417" s="459">
        <v>465.25200000000001</v>
      </c>
      <c r="G417" s="339">
        <v>102.02</v>
      </c>
      <c r="H417" s="337">
        <v>95.070999999999998</v>
      </c>
      <c r="I417" s="331">
        <v>6</v>
      </c>
      <c r="J417" s="577">
        <v>0.375</v>
      </c>
      <c r="K417" s="579">
        <v>17.003333333333</v>
      </c>
      <c r="L417" s="436">
        <v>1</v>
      </c>
      <c r="M417" s="42"/>
      <c r="N417" s="334">
        <v>16</v>
      </c>
      <c r="O417" s="335">
        <v>13</v>
      </c>
      <c r="P417" s="335">
        <v>3</v>
      </c>
      <c r="Q417" s="389">
        <v>0</v>
      </c>
      <c r="R417" s="430">
        <v>1</v>
      </c>
      <c r="S417" s="339"/>
      <c r="T417" s="362">
        <v>1</v>
      </c>
      <c r="U417" s="337">
        <v>1</v>
      </c>
      <c r="V417" s="338">
        <v>0.33333333333333298</v>
      </c>
    </row>
    <row r="418" spans="2:22" ht="13.5">
      <c r="B418" s="1577">
        <v>201510</v>
      </c>
      <c r="C418" s="324" t="s">
        <v>458</v>
      </c>
      <c r="D418" s="325" t="s">
        <v>630</v>
      </c>
      <c r="E418" s="325" t="s">
        <v>483</v>
      </c>
      <c r="F418" s="460">
        <v>2773.1219999999898</v>
      </c>
      <c r="G418" s="92">
        <v>189.727</v>
      </c>
      <c r="H418" s="279">
        <v>247.99600000000001</v>
      </c>
      <c r="I418" s="154">
        <v>19</v>
      </c>
      <c r="J418" s="576">
        <v>0.296875</v>
      </c>
      <c r="K418" s="578">
        <v>9.9856315789470003</v>
      </c>
      <c r="L418" s="437">
        <v>1</v>
      </c>
      <c r="M418" s="42"/>
      <c r="N418" s="47">
        <v>61</v>
      </c>
      <c r="O418" s="45">
        <v>44</v>
      </c>
      <c r="P418" s="45">
        <v>11</v>
      </c>
      <c r="Q418" s="388">
        <v>6</v>
      </c>
      <c r="R418" s="429">
        <v>7</v>
      </c>
      <c r="S418" s="92">
        <v>1</v>
      </c>
      <c r="T418" s="361"/>
      <c r="U418" s="285"/>
      <c r="V418" s="438"/>
    </row>
    <row r="419" spans="2:22" ht="13.5">
      <c r="B419" s="1577">
        <v>201510</v>
      </c>
      <c r="C419" s="326" t="s">
        <v>458</v>
      </c>
      <c r="D419" s="327" t="s">
        <v>905</v>
      </c>
      <c r="E419" s="327" t="s">
        <v>906</v>
      </c>
      <c r="F419" s="459">
        <v>7108.0030000000097</v>
      </c>
      <c r="G419" s="339">
        <v>1257.2059999999999</v>
      </c>
      <c r="H419" s="337">
        <v>1266.73</v>
      </c>
      <c r="I419" s="331">
        <v>16</v>
      </c>
      <c r="J419" s="577">
        <v>0.31068000000000001</v>
      </c>
      <c r="K419" s="579">
        <v>30.66356097561</v>
      </c>
      <c r="L419" s="436">
        <v>2.5625</v>
      </c>
      <c r="M419" s="42"/>
      <c r="N419" s="334">
        <v>52</v>
      </c>
      <c r="O419" s="335">
        <v>36</v>
      </c>
      <c r="P419" s="335">
        <v>12</v>
      </c>
      <c r="Q419" s="389">
        <v>4</v>
      </c>
      <c r="R419" s="430">
        <v>3</v>
      </c>
      <c r="S419" s="339"/>
      <c r="T419" s="362">
        <v>4</v>
      </c>
      <c r="U419" s="337">
        <v>4</v>
      </c>
      <c r="V419" s="338">
        <v>0.25</v>
      </c>
    </row>
    <row r="420" spans="2:22" ht="13.5">
      <c r="B420" s="1577">
        <v>201510</v>
      </c>
      <c r="C420" s="324" t="s">
        <v>458</v>
      </c>
      <c r="D420" s="325" t="s">
        <v>648</v>
      </c>
      <c r="E420" s="325" t="s">
        <v>644</v>
      </c>
      <c r="F420" s="460">
        <v>2902.2129999999902</v>
      </c>
      <c r="G420" s="92">
        <v>251.07</v>
      </c>
      <c r="H420" s="279">
        <v>257.14999999999998</v>
      </c>
      <c r="I420" s="154">
        <v>16</v>
      </c>
      <c r="J420" s="576">
        <v>0.30769200000000002</v>
      </c>
      <c r="K420" s="578">
        <v>13.948333333333</v>
      </c>
      <c r="L420" s="437">
        <v>1.125</v>
      </c>
      <c r="M420" s="42"/>
      <c r="N420" s="47">
        <v>50</v>
      </c>
      <c r="O420" s="45">
        <v>35</v>
      </c>
      <c r="P420" s="45">
        <v>13</v>
      </c>
      <c r="Q420" s="388">
        <v>2</v>
      </c>
      <c r="R420" s="429">
        <v>10</v>
      </c>
      <c r="S420" s="92"/>
      <c r="T420" s="361">
        <v>6</v>
      </c>
      <c r="U420" s="285">
        <v>4</v>
      </c>
      <c r="V420" s="438">
        <v>0.266666666666667</v>
      </c>
    </row>
    <row r="421" spans="2:22" ht="13.5">
      <c r="B421" s="1577">
        <v>201510</v>
      </c>
      <c r="C421" s="326" t="s">
        <v>459</v>
      </c>
      <c r="D421" s="327" t="s">
        <v>1100</v>
      </c>
      <c r="E421" s="327" t="s">
        <v>1774</v>
      </c>
      <c r="F421" s="459">
        <v>6212.1790000000501</v>
      </c>
      <c r="G421" s="339">
        <v>472.21</v>
      </c>
      <c r="H421" s="337">
        <v>457.11399999999998</v>
      </c>
      <c r="I421" s="331">
        <v>33</v>
      </c>
      <c r="J421" s="577">
        <v>0.206897</v>
      </c>
      <c r="K421" s="579">
        <v>13.491714285714</v>
      </c>
      <c r="L421" s="436">
        <v>1.0606059999999999</v>
      </c>
      <c r="M421" s="42"/>
      <c r="N421" s="334">
        <v>160</v>
      </c>
      <c r="O421" s="335">
        <v>121</v>
      </c>
      <c r="P421" s="335">
        <v>29</v>
      </c>
      <c r="Q421" s="389">
        <v>10</v>
      </c>
      <c r="R421" s="430">
        <v>13</v>
      </c>
      <c r="S421" s="339">
        <v>2</v>
      </c>
      <c r="T421" s="362">
        <v>12</v>
      </c>
      <c r="U421" s="337">
        <v>10</v>
      </c>
      <c r="V421" s="338">
        <v>0.256410256410256</v>
      </c>
    </row>
    <row r="422" spans="2:22" ht="13.5">
      <c r="B422" s="1577">
        <v>201510</v>
      </c>
      <c r="C422" s="324" t="s">
        <v>459</v>
      </c>
      <c r="D422" s="325" t="s">
        <v>1419</v>
      </c>
      <c r="E422" s="325" t="s">
        <v>1420</v>
      </c>
      <c r="F422" s="460">
        <v>3089.5509999999999</v>
      </c>
      <c r="G422" s="92">
        <v>480.41899999999998</v>
      </c>
      <c r="H422" s="279">
        <v>455.47500000000002</v>
      </c>
      <c r="I422" s="154">
        <v>31</v>
      </c>
      <c r="J422" s="576">
        <v>0.33879799999999999</v>
      </c>
      <c r="K422" s="578">
        <v>11.717536585366</v>
      </c>
      <c r="L422" s="437">
        <v>1.322581</v>
      </c>
      <c r="M422" s="42"/>
      <c r="N422" s="47">
        <v>91</v>
      </c>
      <c r="O422" s="45">
        <v>71</v>
      </c>
      <c r="P422" s="45">
        <v>17</v>
      </c>
      <c r="Q422" s="388">
        <v>3</v>
      </c>
      <c r="R422" s="429">
        <v>14</v>
      </c>
      <c r="S422" s="92">
        <v>1</v>
      </c>
      <c r="T422" s="361">
        <v>12</v>
      </c>
      <c r="U422" s="285">
        <v>8</v>
      </c>
      <c r="V422" s="438">
        <v>0.4</v>
      </c>
    </row>
    <row r="423" spans="2:22" ht="13.5">
      <c r="B423" s="1577">
        <v>201510</v>
      </c>
      <c r="C423" s="326" t="s">
        <v>459</v>
      </c>
      <c r="D423" s="327" t="s">
        <v>1103</v>
      </c>
      <c r="E423" s="327" t="s">
        <v>1161</v>
      </c>
      <c r="F423" s="459">
        <v>1609.154</v>
      </c>
      <c r="G423" s="339">
        <v>322.36900000000003</v>
      </c>
      <c r="H423" s="337">
        <v>318.32</v>
      </c>
      <c r="I423" s="331">
        <v>12</v>
      </c>
      <c r="J423" s="577">
        <v>0.38095200000000001</v>
      </c>
      <c r="K423" s="579">
        <v>23.026357142857002</v>
      </c>
      <c r="L423" s="436">
        <v>1.1666669999999999</v>
      </c>
      <c r="M423" s="42"/>
      <c r="N423" s="334">
        <v>31</v>
      </c>
      <c r="O423" s="335">
        <v>23</v>
      </c>
      <c r="P423" s="335">
        <v>8</v>
      </c>
      <c r="Q423" s="389">
        <v>0</v>
      </c>
      <c r="R423" s="430">
        <v>5</v>
      </c>
      <c r="S423" s="339">
        <v>1</v>
      </c>
      <c r="T423" s="362">
        <v>3</v>
      </c>
      <c r="U423" s="337">
        <v>3</v>
      </c>
      <c r="V423" s="338">
        <v>0.375</v>
      </c>
    </row>
    <row r="424" spans="2:22" ht="13.5">
      <c r="B424" s="1577">
        <v>201510</v>
      </c>
      <c r="C424" s="324" t="s">
        <v>459</v>
      </c>
      <c r="D424" s="325" t="s">
        <v>661</v>
      </c>
      <c r="E424" s="325" t="s">
        <v>1950</v>
      </c>
      <c r="F424" s="460">
        <v>2352.4569999999999</v>
      </c>
      <c r="G424" s="92">
        <v>259.61</v>
      </c>
      <c r="H424" s="279">
        <v>250.714</v>
      </c>
      <c r="I424" s="154">
        <v>7</v>
      </c>
      <c r="J424" s="576">
        <v>0.12844</v>
      </c>
      <c r="K424" s="578">
        <v>37.087142857143</v>
      </c>
      <c r="L424" s="437">
        <v>1</v>
      </c>
      <c r="M424" s="42"/>
      <c r="N424" s="47">
        <v>51</v>
      </c>
      <c r="O424" s="45">
        <v>34</v>
      </c>
      <c r="P424" s="45">
        <v>12</v>
      </c>
      <c r="Q424" s="388">
        <v>5</v>
      </c>
      <c r="R424" s="429">
        <v>7</v>
      </c>
      <c r="S424" s="92"/>
      <c r="T424" s="361"/>
      <c r="U424" s="285"/>
      <c r="V424" s="438"/>
    </row>
    <row r="425" spans="2:22" ht="13.5">
      <c r="B425" s="1577">
        <v>201510</v>
      </c>
      <c r="C425" s="326" t="s">
        <v>459</v>
      </c>
      <c r="D425" s="327" t="s">
        <v>179</v>
      </c>
      <c r="E425" s="327" t="s">
        <v>191</v>
      </c>
      <c r="F425" s="459">
        <v>10367.618</v>
      </c>
      <c r="G425" s="339">
        <v>1070.5630000000001</v>
      </c>
      <c r="H425" s="337">
        <v>998.34699999999998</v>
      </c>
      <c r="I425" s="331">
        <v>65</v>
      </c>
      <c r="J425" s="577">
        <v>0.50387599999999999</v>
      </c>
      <c r="K425" s="579">
        <v>14.665246575342</v>
      </c>
      <c r="L425" s="436">
        <v>1.1230770000000001</v>
      </c>
      <c r="M425" s="42"/>
      <c r="N425" s="334">
        <v>126</v>
      </c>
      <c r="O425" s="335">
        <v>81</v>
      </c>
      <c r="P425" s="335">
        <v>43</v>
      </c>
      <c r="Q425" s="389">
        <v>2</v>
      </c>
      <c r="R425" s="430">
        <v>20</v>
      </c>
      <c r="S425" s="339">
        <v>2</v>
      </c>
      <c r="T425" s="362">
        <v>12</v>
      </c>
      <c r="U425" s="337">
        <v>10</v>
      </c>
      <c r="V425" s="338">
        <v>0.22222222222222199</v>
      </c>
    </row>
    <row r="426" spans="2:22" ht="13.5">
      <c r="B426" s="1577">
        <v>201510</v>
      </c>
      <c r="C426" s="324" t="s">
        <v>459</v>
      </c>
      <c r="D426" s="325" t="s">
        <v>659</v>
      </c>
      <c r="E426" s="325" t="s">
        <v>655</v>
      </c>
      <c r="F426" s="460">
        <v>6942.5420000000004</v>
      </c>
      <c r="G426" s="92">
        <v>772.04100000000005</v>
      </c>
      <c r="H426" s="279">
        <v>752.85199999999998</v>
      </c>
      <c r="I426" s="154">
        <v>31</v>
      </c>
      <c r="J426" s="576">
        <v>0.38036799999999998</v>
      </c>
      <c r="K426" s="578">
        <v>22.058314285714001</v>
      </c>
      <c r="L426" s="437">
        <v>1.129032</v>
      </c>
      <c r="M426" s="42"/>
      <c r="N426" s="47">
        <v>82</v>
      </c>
      <c r="O426" s="45">
        <v>61</v>
      </c>
      <c r="P426" s="45">
        <v>19</v>
      </c>
      <c r="Q426" s="388">
        <v>2</v>
      </c>
      <c r="R426" s="429">
        <v>6</v>
      </c>
      <c r="S426" s="92"/>
      <c r="T426" s="361">
        <v>7</v>
      </c>
      <c r="U426" s="285">
        <v>4</v>
      </c>
      <c r="V426" s="438">
        <v>0.19047619047618999</v>
      </c>
    </row>
    <row r="427" spans="2:22" ht="13.5">
      <c r="B427" s="1577">
        <v>201510</v>
      </c>
      <c r="C427" s="326" t="s">
        <v>459</v>
      </c>
      <c r="D427" s="327" t="s">
        <v>699</v>
      </c>
      <c r="E427" s="327" t="s">
        <v>698</v>
      </c>
      <c r="F427" s="459">
        <v>2276.5120000000002</v>
      </c>
      <c r="G427" s="339">
        <v>296.30599999999998</v>
      </c>
      <c r="H427" s="337">
        <v>328.72899999999998</v>
      </c>
      <c r="I427" s="331">
        <v>13</v>
      </c>
      <c r="J427" s="577">
        <v>0.27083299999999999</v>
      </c>
      <c r="K427" s="579">
        <v>18.519124999999999</v>
      </c>
      <c r="L427" s="436">
        <v>1.230769</v>
      </c>
      <c r="M427" s="42"/>
      <c r="N427" s="334">
        <v>46</v>
      </c>
      <c r="O427" s="335">
        <v>35</v>
      </c>
      <c r="P427" s="335">
        <v>9</v>
      </c>
      <c r="Q427" s="389">
        <v>2</v>
      </c>
      <c r="R427" s="430">
        <v>6</v>
      </c>
      <c r="S427" s="339"/>
      <c r="T427" s="362">
        <v>2</v>
      </c>
      <c r="U427" s="337">
        <v>2</v>
      </c>
      <c r="V427" s="338">
        <v>0.18181818181818199</v>
      </c>
    </row>
    <row r="428" spans="2:22" ht="13.5">
      <c r="B428" s="1577">
        <v>201510</v>
      </c>
      <c r="C428" s="324" t="s">
        <v>459</v>
      </c>
      <c r="D428" s="325" t="s">
        <v>1015</v>
      </c>
      <c r="E428" s="325" t="s">
        <v>1348</v>
      </c>
      <c r="F428" s="460">
        <v>2082.8470000000002</v>
      </c>
      <c r="G428" s="92">
        <v>575.45600000000002</v>
      </c>
      <c r="H428" s="279">
        <v>543.59799999999996</v>
      </c>
      <c r="I428" s="154">
        <v>42</v>
      </c>
      <c r="J428" s="576">
        <v>0.52830200000000005</v>
      </c>
      <c r="K428" s="578">
        <v>11.283450980392001</v>
      </c>
      <c r="L428" s="437">
        <v>1.214286</v>
      </c>
      <c r="M428" s="42"/>
      <c r="N428" s="47">
        <v>83</v>
      </c>
      <c r="O428" s="45">
        <v>66</v>
      </c>
      <c r="P428" s="45">
        <v>17</v>
      </c>
      <c r="Q428" s="388">
        <v>0</v>
      </c>
      <c r="R428" s="429">
        <v>7</v>
      </c>
      <c r="S428" s="92"/>
      <c r="T428" s="361">
        <v>14</v>
      </c>
      <c r="U428" s="285">
        <v>10</v>
      </c>
      <c r="V428" s="438">
        <v>0.58823529411764697</v>
      </c>
    </row>
    <row r="429" spans="2:22" ht="13.5">
      <c r="B429" s="1577">
        <v>201510</v>
      </c>
      <c r="C429" s="326" t="s">
        <v>459</v>
      </c>
      <c r="D429" s="327" t="s">
        <v>825</v>
      </c>
      <c r="E429" s="327" t="s">
        <v>1773</v>
      </c>
      <c r="F429" s="459">
        <v>3412.5880000000002</v>
      </c>
      <c r="G429" s="339">
        <v>520.09100000000001</v>
      </c>
      <c r="H429" s="337">
        <v>520.09100000000001</v>
      </c>
      <c r="I429" s="331">
        <v>25</v>
      </c>
      <c r="J429" s="577">
        <v>0.35460999999999998</v>
      </c>
      <c r="K429" s="579">
        <v>13.002274999999999</v>
      </c>
      <c r="L429" s="436">
        <v>1.6</v>
      </c>
      <c r="M429" s="42"/>
      <c r="N429" s="334">
        <v>74</v>
      </c>
      <c r="O429" s="335">
        <v>54</v>
      </c>
      <c r="P429" s="335">
        <v>17</v>
      </c>
      <c r="Q429" s="389">
        <v>3</v>
      </c>
      <c r="R429" s="430">
        <v>5</v>
      </c>
      <c r="S429" s="339">
        <v>3</v>
      </c>
      <c r="T429" s="362">
        <v>9</v>
      </c>
      <c r="U429" s="337">
        <v>6</v>
      </c>
      <c r="V429" s="338">
        <v>0.3</v>
      </c>
    </row>
    <row r="430" spans="2:22" ht="13.5">
      <c r="B430" s="1577">
        <v>201510</v>
      </c>
      <c r="C430" s="324" t="s">
        <v>459</v>
      </c>
      <c r="D430" s="325" t="s">
        <v>185</v>
      </c>
      <c r="E430" s="325" t="s">
        <v>190</v>
      </c>
      <c r="F430" s="460">
        <v>4579.6019999999999</v>
      </c>
      <c r="G430" s="92">
        <v>541.53399999999999</v>
      </c>
      <c r="H430" s="279">
        <v>552.33699999999999</v>
      </c>
      <c r="I430" s="154">
        <v>24</v>
      </c>
      <c r="J430" s="576">
        <v>0.305732</v>
      </c>
      <c r="K430" s="578">
        <v>15.4724</v>
      </c>
      <c r="L430" s="437">
        <v>1.4583330000000001</v>
      </c>
      <c r="M430" s="42"/>
      <c r="N430" s="47">
        <v>78</v>
      </c>
      <c r="O430" s="45">
        <v>60</v>
      </c>
      <c r="P430" s="45">
        <v>16</v>
      </c>
      <c r="Q430" s="388">
        <v>2</v>
      </c>
      <c r="R430" s="429">
        <v>7</v>
      </c>
      <c r="S430" s="92">
        <v>2</v>
      </c>
      <c r="T430" s="361">
        <v>3</v>
      </c>
      <c r="U430" s="285">
        <v>3</v>
      </c>
      <c r="V430" s="438">
        <v>0.16666666666666699</v>
      </c>
    </row>
    <row r="431" spans="2:22" ht="13.5">
      <c r="B431" s="1577">
        <v>201510</v>
      </c>
      <c r="C431" s="326" t="s">
        <v>459</v>
      </c>
      <c r="D431" s="327" t="s">
        <v>660</v>
      </c>
      <c r="E431" s="327" t="s">
        <v>656</v>
      </c>
      <c r="F431" s="459">
        <v>4426.9670000000096</v>
      </c>
      <c r="G431" s="339">
        <v>737.27300000000002</v>
      </c>
      <c r="H431" s="337">
        <v>743.38199999999995</v>
      </c>
      <c r="I431" s="331">
        <v>52</v>
      </c>
      <c r="J431" s="577">
        <v>0.40154400000000001</v>
      </c>
      <c r="K431" s="579">
        <v>11.004074626866</v>
      </c>
      <c r="L431" s="436">
        <v>1.288462</v>
      </c>
      <c r="M431" s="42"/>
      <c r="N431" s="334">
        <v>136</v>
      </c>
      <c r="O431" s="335">
        <v>114</v>
      </c>
      <c r="P431" s="335">
        <v>20</v>
      </c>
      <c r="Q431" s="389">
        <v>2</v>
      </c>
      <c r="R431" s="430">
        <v>10</v>
      </c>
      <c r="S431" s="339">
        <v>3</v>
      </c>
      <c r="T431" s="362">
        <v>20</v>
      </c>
      <c r="U431" s="337">
        <v>11</v>
      </c>
      <c r="V431" s="338">
        <v>0.5</v>
      </c>
    </row>
    <row r="432" spans="2:22" ht="13.5">
      <c r="B432" s="1577">
        <v>201510</v>
      </c>
      <c r="C432" s="324" t="s">
        <v>459</v>
      </c>
      <c r="D432" s="325" t="s">
        <v>1570</v>
      </c>
      <c r="E432" s="325" t="s">
        <v>1571</v>
      </c>
      <c r="F432" s="460">
        <v>1311.431</v>
      </c>
      <c r="G432" s="92">
        <v>365.51600000000002</v>
      </c>
      <c r="H432" s="279">
        <v>365.51600000000002</v>
      </c>
      <c r="I432" s="154">
        <v>25</v>
      </c>
      <c r="J432" s="576">
        <v>0.29585800000000001</v>
      </c>
      <c r="K432" s="578">
        <v>12.603999999999999</v>
      </c>
      <c r="L432" s="437">
        <v>1.1599999999999999</v>
      </c>
      <c r="M432" s="42"/>
      <c r="N432" s="47">
        <v>92</v>
      </c>
      <c r="O432" s="45">
        <v>67</v>
      </c>
      <c r="P432" s="45">
        <v>24</v>
      </c>
      <c r="Q432" s="388">
        <v>1</v>
      </c>
      <c r="R432" s="429">
        <v>0</v>
      </c>
      <c r="S432" s="92"/>
      <c r="T432" s="361">
        <v>15</v>
      </c>
      <c r="U432" s="285">
        <v>13</v>
      </c>
      <c r="V432" s="438">
        <v>0.52</v>
      </c>
    </row>
    <row r="433" spans="2:22" ht="13.5">
      <c r="B433" s="1577">
        <v>201510</v>
      </c>
      <c r="C433" s="326" t="s">
        <v>459</v>
      </c>
      <c r="D433" s="327" t="s">
        <v>662</v>
      </c>
      <c r="E433" s="327"/>
      <c r="F433" s="459">
        <v>570.25199999999995</v>
      </c>
      <c r="G433" s="339">
        <v>0</v>
      </c>
      <c r="H433" s="337">
        <v>0</v>
      </c>
      <c r="I433" s="331">
        <v>0</v>
      </c>
      <c r="J433" s="577">
        <v>0</v>
      </c>
      <c r="K433" s="579">
        <v>0</v>
      </c>
      <c r="L433" s="436">
        <v>0</v>
      </c>
      <c r="M433" s="42"/>
      <c r="N433" s="334">
        <v>0</v>
      </c>
      <c r="O433" s="335">
        <v>0</v>
      </c>
      <c r="P433" s="335">
        <v>0</v>
      </c>
      <c r="Q433" s="389">
        <v>0</v>
      </c>
      <c r="R433" s="430">
        <v>0</v>
      </c>
      <c r="S433" s="339"/>
      <c r="T433" s="362"/>
      <c r="U433" s="337"/>
      <c r="V433" s="338"/>
    </row>
    <row r="434" spans="2:22" ht="13.5">
      <c r="B434" s="1577">
        <v>201510</v>
      </c>
      <c r="C434" s="324" t="s">
        <v>459</v>
      </c>
      <c r="D434" s="325" t="s">
        <v>799</v>
      </c>
      <c r="E434" s="325" t="s">
        <v>800</v>
      </c>
      <c r="F434" s="460">
        <v>3156.0940000000001</v>
      </c>
      <c r="G434" s="92">
        <v>724.63499999999999</v>
      </c>
      <c r="H434" s="279">
        <v>672.65899999999999</v>
      </c>
      <c r="I434" s="154">
        <v>26</v>
      </c>
      <c r="J434" s="576">
        <v>0.34210499999999999</v>
      </c>
      <c r="K434" s="578">
        <v>18.115874999999999</v>
      </c>
      <c r="L434" s="437">
        <v>1.538462</v>
      </c>
      <c r="M434" s="42"/>
      <c r="N434" s="47">
        <v>87</v>
      </c>
      <c r="O434" s="45">
        <v>69</v>
      </c>
      <c r="P434" s="45">
        <v>17</v>
      </c>
      <c r="Q434" s="388">
        <v>1</v>
      </c>
      <c r="R434" s="429">
        <v>4</v>
      </c>
      <c r="S434" s="92">
        <v>3</v>
      </c>
      <c r="T434" s="361">
        <v>23</v>
      </c>
      <c r="U434" s="285">
        <v>9</v>
      </c>
      <c r="V434" s="438">
        <v>0.5</v>
      </c>
    </row>
    <row r="435" spans="2:22" ht="13.5">
      <c r="B435" s="1577">
        <v>201510</v>
      </c>
      <c r="C435" s="326" t="s">
        <v>459</v>
      </c>
      <c r="D435" s="327" t="s">
        <v>1567</v>
      </c>
      <c r="E435" s="327" t="s">
        <v>1028</v>
      </c>
      <c r="F435" s="459">
        <v>3424.5320000000002</v>
      </c>
      <c r="G435" s="339">
        <v>789.04600000000005</v>
      </c>
      <c r="H435" s="337">
        <v>756.26700000000005</v>
      </c>
      <c r="I435" s="331">
        <v>34</v>
      </c>
      <c r="J435" s="577">
        <v>0.38202199999999997</v>
      </c>
      <c r="K435" s="579">
        <v>16.788212765956999</v>
      </c>
      <c r="L435" s="436">
        <v>1.3823529999999999</v>
      </c>
      <c r="M435" s="42"/>
      <c r="N435" s="334">
        <v>92</v>
      </c>
      <c r="O435" s="335">
        <v>61</v>
      </c>
      <c r="P435" s="335">
        <v>27</v>
      </c>
      <c r="Q435" s="389">
        <v>4</v>
      </c>
      <c r="R435" s="430">
        <v>4</v>
      </c>
      <c r="S435" s="339">
        <v>1</v>
      </c>
      <c r="T435" s="362">
        <v>9</v>
      </c>
      <c r="U435" s="337">
        <v>6</v>
      </c>
      <c r="V435" s="338">
        <v>0.19354838709677399</v>
      </c>
    </row>
    <row r="436" spans="2:22" ht="13.5">
      <c r="B436" s="1577">
        <v>201510</v>
      </c>
      <c r="C436" s="324" t="s">
        <v>459</v>
      </c>
      <c r="D436" s="325" t="s">
        <v>177</v>
      </c>
      <c r="E436" s="325" t="s">
        <v>189</v>
      </c>
      <c r="F436" s="460">
        <v>6923.8010000000104</v>
      </c>
      <c r="G436" s="92">
        <v>627.11</v>
      </c>
      <c r="H436" s="279">
        <v>642.32399999999996</v>
      </c>
      <c r="I436" s="154">
        <v>24</v>
      </c>
      <c r="J436" s="576">
        <v>0.29447899999999999</v>
      </c>
      <c r="K436" s="578">
        <v>20.229354838710002</v>
      </c>
      <c r="L436" s="437">
        <v>1.2916669999999999</v>
      </c>
      <c r="M436" s="42"/>
      <c r="N436" s="47">
        <v>76</v>
      </c>
      <c r="O436" s="45">
        <v>51</v>
      </c>
      <c r="P436" s="45">
        <v>24</v>
      </c>
      <c r="Q436" s="388">
        <v>1</v>
      </c>
      <c r="R436" s="429">
        <v>14</v>
      </c>
      <c r="S436" s="92"/>
      <c r="T436" s="361">
        <v>3</v>
      </c>
      <c r="U436" s="285">
        <v>3</v>
      </c>
      <c r="V436" s="438">
        <v>0.12</v>
      </c>
    </row>
    <row r="437" spans="2:22" ht="13.5">
      <c r="B437" s="1577">
        <v>201510</v>
      </c>
      <c r="C437" s="326" t="s">
        <v>459</v>
      </c>
      <c r="D437" s="327" t="s">
        <v>1568</v>
      </c>
      <c r="E437" s="327" t="s">
        <v>1569</v>
      </c>
      <c r="F437" s="459">
        <v>4879.5540000000001</v>
      </c>
      <c r="G437" s="339">
        <v>1430.3579999999999</v>
      </c>
      <c r="H437" s="337">
        <v>1430.3579999999999</v>
      </c>
      <c r="I437" s="331">
        <v>80</v>
      </c>
      <c r="J437" s="577">
        <v>0.47619</v>
      </c>
      <c r="K437" s="579">
        <v>12.225282051282001</v>
      </c>
      <c r="L437" s="436">
        <v>1.4624999999999999</v>
      </c>
      <c r="M437" s="42"/>
      <c r="N437" s="334">
        <v>197</v>
      </c>
      <c r="O437" s="335">
        <v>142</v>
      </c>
      <c r="P437" s="335">
        <v>54</v>
      </c>
      <c r="Q437" s="389">
        <v>1</v>
      </c>
      <c r="R437" s="430">
        <v>9</v>
      </c>
      <c r="S437" s="339">
        <v>9</v>
      </c>
      <c r="T437" s="362">
        <v>58</v>
      </c>
      <c r="U437" s="337">
        <v>30</v>
      </c>
      <c r="V437" s="338">
        <v>0.54545454545454497</v>
      </c>
    </row>
    <row r="438" spans="2:22" ht="13.5">
      <c r="B438" s="1577">
        <v>201510</v>
      </c>
      <c r="C438" s="324" t="s">
        <v>459</v>
      </c>
      <c r="D438" s="325" t="s">
        <v>176</v>
      </c>
      <c r="E438" s="325" t="s">
        <v>188</v>
      </c>
      <c r="F438" s="460">
        <v>15818.86</v>
      </c>
      <c r="G438" s="92">
        <v>1140.2940000000001</v>
      </c>
      <c r="H438" s="279">
        <v>1136.299</v>
      </c>
      <c r="I438" s="154">
        <v>65</v>
      </c>
      <c r="J438" s="576">
        <v>0.38461499999999998</v>
      </c>
      <c r="K438" s="578">
        <v>15.003868421052999</v>
      </c>
      <c r="L438" s="437">
        <v>1.1692309999999999</v>
      </c>
      <c r="M438" s="42"/>
      <c r="N438" s="47">
        <v>178</v>
      </c>
      <c r="O438" s="45">
        <v>145</v>
      </c>
      <c r="P438" s="45">
        <v>30</v>
      </c>
      <c r="Q438" s="388">
        <v>3</v>
      </c>
      <c r="R438" s="429">
        <v>12</v>
      </c>
      <c r="S438" s="92">
        <v>4</v>
      </c>
      <c r="T438" s="361">
        <v>26</v>
      </c>
      <c r="U438" s="285">
        <v>15</v>
      </c>
      <c r="V438" s="438">
        <v>0.45454545454545497</v>
      </c>
    </row>
    <row r="439" spans="2:22" ht="13.5">
      <c r="B439" s="1577">
        <v>201510</v>
      </c>
      <c r="C439" s="326" t="s">
        <v>459</v>
      </c>
      <c r="D439" s="327" t="s">
        <v>1572</v>
      </c>
      <c r="E439" s="327" t="s">
        <v>1573</v>
      </c>
      <c r="F439" s="459">
        <v>1219.4000000000001</v>
      </c>
      <c r="G439" s="339">
        <v>285.77800000000002</v>
      </c>
      <c r="H439" s="337">
        <v>247.11600000000001</v>
      </c>
      <c r="I439" s="331">
        <v>15</v>
      </c>
      <c r="J439" s="577">
        <v>0.23255799999999999</v>
      </c>
      <c r="K439" s="579">
        <v>16.810470588234999</v>
      </c>
      <c r="L439" s="436">
        <v>1.1333329999999999</v>
      </c>
      <c r="M439" s="42"/>
      <c r="N439" s="334">
        <v>70</v>
      </c>
      <c r="O439" s="335">
        <v>55</v>
      </c>
      <c r="P439" s="335">
        <v>15</v>
      </c>
      <c r="Q439" s="389">
        <v>0</v>
      </c>
      <c r="R439" s="430">
        <v>0</v>
      </c>
      <c r="S439" s="339">
        <v>2</v>
      </c>
      <c r="T439" s="362">
        <v>9</v>
      </c>
      <c r="U439" s="337">
        <v>6</v>
      </c>
      <c r="V439" s="338">
        <v>0.4</v>
      </c>
    </row>
    <row r="440" spans="2:22" ht="13.5">
      <c r="B440" s="1577">
        <v>201510</v>
      </c>
      <c r="C440" s="324" t="s">
        <v>459</v>
      </c>
      <c r="D440" s="325" t="s">
        <v>1104</v>
      </c>
      <c r="E440" s="325" t="s">
        <v>1287</v>
      </c>
      <c r="F440" s="460">
        <v>3597.05</v>
      </c>
      <c r="G440" s="92">
        <v>513.197</v>
      </c>
      <c r="H440" s="279">
        <v>513.197</v>
      </c>
      <c r="I440" s="154">
        <v>32</v>
      </c>
      <c r="J440" s="576">
        <v>0.30188700000000002</v>
      </c>
      <c r="K440" s="578">
        <v>11.156456521739001</v>
      </c>
      <c r="L440" s="437">
        <v>1.4375</v>
      </c>
      <c r="M440" s="42"/>
      <c r="N440" s="47">
        <v>102</v>
      </c>
      <c r="O440" s="45">
        <v>77</v>
      </c>
      <c r="P440" s="45">
        <v>20</v>
      </c>
      <c r="Q440" s="388">
        <v>5</v>
      </c>
      <c r="R440" s="429">
        <v>17</v>
      </c>
      <c r="S440" s="92"/>
      <c r="T440" s="361">
        <v>9</v>
      </c>
      <c r="U440" s="285">
        <v>8</v>
      </c>
      <c r="V440" s="438">
        <v>0.32</v>
      </c>
    </row>
    <row r="441" spans="2:22" ht="13.5">
      <c r="B441" s="1577">
        <v>201510</v>
      </c>
      <c r="C441" s="326" t="s">
        <v>2048</v>
      </c>
      <c r="D441" s="327" t="s">
        <v>2046</v>
      </c>
      <c r="E441" s="327" t="s">
        <v>2054</v>
      </c>
      <c r="F441" s="459">
        <v>592.28300000000002</v>
      </c>
      <c r="G441" s="339">
        <v>492.64</v>
      </c>
      <c r="H441" s="337">
        <v>468.9</v>
      </c>
      <c r="I441" s="331">
        <v>23</v>
      </c>
      <c r="J441" s="577">
        <v>0.359375</v>
      </c>
      <c r="K441" s="579">
        <v>14.928484848485001</v>
      </c>
      <c r="L441" s="436">
        <v>1.4347829999999999</v>
      </c>
      <c r="M441" s="42"/>
      <c r="N441" s="334">
        <v>79</v>
      </c>
      <c r="O441" s="335">
        <v>52</v>
      </c>
      <c r="P441" s="335">
        <v>27</v>
      </c>
      <c r="Q441" s="389">
        <v>0</v>
      </c>
      <c r="R441" s="430">
        <v>0</v>
      </c>
      <c r="S441" s="339">
        <v>9</v>
      </c>
      <c r="T441" s="362">
        <v>21</v>
      </c>
      <c r="U441" s="337">
        <v>13</v>
      </c>
      <c r="V441" s="338">
        <v>0.48148148148148101</v>
      </c>
    </row>
    <row r="442" spans="2:22" ht="13.5">
      <c r="B442" s="1577">
        <v>201509</v>
      </c>
      <c r="C442" s="326" t="s">
        <v>458</v>
      </c>
      <c r="D442" s="327" t="s">
        <v>1563</v>
      </c>
      <c r="E442" s="327" t="s">
        <v>1564</v>
      </c>
      <c r="F442" s="459">
        <v>955.63999999999896</v>
      </c>
      <c r="G442" s="339">
        <v>285.39299999999997</v>
      </c>
      <c r="H442" s="337">
        <v>285.39299999999997</v>
      </c>
      <c r="I442" s="331">
        <v>11</v>
      </c>
      <c r="J442" s="577">
        <v>0.42307699999999998</v>
      </c>
      <c r="K442" s="579">
        <v>23.78275</v>
      </c>
      <c r="L442" s="436">
        <v>1.0909089999999999</v>
      </c>
      <c r="M442" s="42"/>
      <c r="N442" s="334">
        <v>24</v>
      </c>
      <c r="O442" s="335">
        <v>17</v>
      </c>
      <c r="P442" s="335">
        <v>7</v>
      </c>
      <c r="Q442" s="389">
        <v>0</v>
      </c>
      <c r="R442" s="430">
        <v>4</v>
      </c>
      <c r="S442" s="339"/>
      <c r="T442" s="362"/>
      <c r="U442" s="337"/>
      <c r="V442" s="338"/>
    </row>
    <row r="443" spans="2:22" ht="13.5">
      <c r="B443" s="1577">
        <v>201509</v>
      </c>
      <c r="C443" s="324" t="s">
        <v>458</v>
      </c>
      <c r="D443" s="325" t="s">
        <v>1099</v>
      </c>
      <c r="E443" s="325" t="s">
        <v>1286</v>
      </c>
      <c r="F443" s="460">
        <v>5452.18300000001</v>
      </c>
      <c r="G443" s="92">
        <v>953.48</v>
      </c>
      <c r="H443" s="279">
        <v>829.19</v>
      </c>
      <c r="I443" s="154">
        <v>31</v>
      </c>
      <c r="J443" s="576">
        <v>0.49206299999999997</v>
      </c>
      <c r="K443" s="578">
        <v>22.701904761904999</v>
      </c>
      <c r="L443" s="437">
        <v>1.3548389999999999</v>
      </c>
      <c r="M443" s="42"/>
      <c r="N443" s="47">
        <v>64</v>
      </c>
      <c r="O443" s="45">
        <v>48</v>
      </c>
      <c r="P443" s="45">
        <v>13</v>
      </c>
      <c r="Q443" s="388">
        <v>3</v>
      </c>
      <c r="R443" s="429">
        <v>3</v>
      </c>
      <c r="S443" s="92">
        <v>1</v>
      </c>
      <c r="T443" s="361">
        <v>4</v>
      </c>
      <c r="U443" s="285">
        <v>3</v>
      </c>
      <c r="V443" s="438">
        <v>0.1875</v>
      </c>
    </row>
    <row r="444" spans="2:22" ht="13.5">
      <c r="B444" s="1577">
        <v>201509</v>
      </c>
      <c r="C444" s="326" t="s">
        <v>458</v>
      </c>
      <c r="D444" s="327" t="s">
        <v>900</v>
      </c>
      <c r="E444" s="327" t="s">
        <v>901</v>
      </c>
      <c r="F444" s="459">
        <v>4761.3890000000001</v>
      </c>
      <c r="G444" s="339">
        <v>1052.2470000000001</v>
      </c>
      <c r="H444" s="337">
        <v>1056.896</v>
      </c>
      <c r="I444" s="331">
        <v>17</v>
      </c>
      <c r="J444" s="577">
        <v>0.40476200000000001</v>
      </c>
      <c r="K444" s="579">
        <v>31.886272727272999</v>
      </c>
      <c r="L444" s="436">
        <v>1.941176</v>
      </c>
      <c r="M444" s="42"/>
      <c r="N444" s="334">
        <v>45</v>
      </c>
      <c r="O444" s="335">
        <v>30</v>
      </c>
      <c r="P444" s="335">
        <v>14</v>
      </c>
      <c r="Q444" s="389">
        <v>1</v>
      </c>
      <c r="R444" s="430">
        <v>5</v>
      </c>
      <c r="S444" s="339">
        <v>2</v>
      </c>
      <c r="T444" s="362">
        <v>9</v>
      </c>
      <c r="U444" s="337">
        <v>6</v>
      </c>
      <c r="V444" s="338">
        <v>0.4</v>
      </c>
    </row>
    <row r="445" spans="2:22" ht="13.5">
      <c r="B445" s="1577">
        <v>201509</v>
      </c>
      <c r="C445" s="324" t="s">
        <v>458</v>
      </c>
      <c r="D445" s="325" t="s">
        <v>649</v>
      </c>
      <c r="E445" s="325" t="s">
        <v>645</v>
      </c>
      <c r="F445" s="460">
        <v>3895.83699999999</v>
      </c>
      <c r="G445" s="92">
        <v>762.255</v>
      </c>
      <c r="H445" s="279">
        <v>770.83699999999999</v>
      </c>
      <c r="I445" s="154">
        <v>25</v>
      </c>
      <c r="J445" s="576">
        <v>0.38461499999999998</v>
      </c>
      <c r="K445" s="578">
        <v>23.82046875</v>
      </c>
      <c r="L445" s="437">
        <v>1.28</v>
      </c>
      <c r="M445" s="42"/>
      <c r="N445" s="47">
        <v>65</v>
      </c>
      <c r="O445" s="45">
        <v>46</v>
      </c>
      <c r="P445" s="45">
        <v>16</v>
      </c>
      <c r="Q445" s="388">
        <v>3</v>
      </c>
      <c r="R445" s="429">
        <v>5</v>
      </c>
      <c r="S445" s="92">
        <v>1</v>
      </c>
      <c r="T445" s="361">
        <v>4</v>
      </c>
      <c r="U445" s="285">
        <v>3</v>
      </c>
      <c r="V445" s="438">
        <v>0.157894736842105</v>
      </c>
    </row>
    <row r="446" spans="2:22" ht="13.5">
      <c r="B446" s="1577">
        <v>201509</v>
      </c>
      <c r="C446" s="326" t="s">
        <v>458</v>
      </c>
      <c r="D446" s="327" t="s">
        <v>650</v>
      </c>
      <c r="E446" s="327" t="s">
        <v>1777</v>
      </c>
      <c r="F446" s="459">
        <v>1187.472</v>
      </c>
      <c r="G446" s="339">
        <v>204.32</v>
      </c>
      <c r="H446" s="337">
        <v>160.374</v>
      </c>
      <c r="I446" s="331">
        <v>6</v>
      </c>
      <c r="J446" s="577">
        <v>0.105263</v>
      </c>
      <c r="K446" s="579">
        <v>25.54</v>
      </c>
      <c r="L446" s="436">
        <v>1.3333330000000001</v>
      </c>
      <c r="M446" s="42"/>
      <c r="N446" s="334">
        <v>51</v>
      </c>
      <c r="O446" s="335">
        <v>31</v>
      </c>
      <c r="P446" s="335">
        <v>16</v>
      </c>
      <c r="Q446" s="389">
        <v>4</v>
      </c>
      <c r="R446" s="430">
        <v>12</v>
      </c>
      <c r="S446" s="339"/>
      <c r="T446" s="362"/>
      <c r="U446" s="337"/>
      <c r="V446" s="338"/>
    </row>
    <row r="447" spans="2:22" ht="13.5">
      <c r="B447" s="1577">
        <v>201509</v>
      </c>
      <c r="C447" s="324" t="s">
        <v>458</v>
      </c>
      <c r="D447" s="325" t="s">
        <v>902</v>
      </c>
      <c r="E447" s="325" t="s">
        <v>1014</v>
      </c>
      <c r="F447" s="460">
        <v>2826.5279999999898</v>
      </c>
      <c r="G447" s="92">
        <v>354.21100000000001</v>
      </c>
      <c r="H447" s="279">
        <v>354.06</v>
      </c>
      <c r="I447" s="154">
        <v>26</v>
      </c>
      <c r="J447" s="576">
        <v>0.39097700000000002</v>
      </c>
      <c r="K447" s="578">
        <v>13.6235</v>
      </c>
      <c r="L447" s="437">
        <v>1</v>
      </c>
      <c r="M447" s="42"/>
      <c r="N447" s="47">
        <v>68</v>
      </c>
      <c r="O447" s="45">
        <v>48</v>
      </c>
      <c r="P447" s="45">
        <v>20</v>
      </c>
      <c r="Q447" s="388">
        <v>0</v>
      </c>
      <c r="R447" s="429">
        <v>9</v>
      </c>
      <c r="S447" s="92">
        <v>1</v>
      </c>
      <c r="T447" s="361">
        <v>7</v>
      </c>
      <c r="U447" s="285">
        <v>6</v>
      </c>
      <c r="V447" s="438">
        <v>0.3</v>
      </c>
    </row>
    <row r="448" spans="2:22" ht="13.5">
      <c r="B448" s="1577">
        <v>201509</v>
      </c>
      <c r="C448" s="326" t="s">
        <v>458</v>
      </c>
      <c r="D448" s="327" t="s">
        <v>642</v>
      </c>
      <c r="E448" s="327" t="s">
        <v>641</v>
      </c>
      <c r="F448" s="459">
        <v>4859.1279999999997</v>
      </c>
      <c r="G448" s="339">
        <v>1023.543</v>
      </c>
      <c r="H448" s="337">
        <v>956.65300000000002</v>
      </c>
      <c r="I448" s="331">
        <v>24</v>
      </c>
      <c r="J448" s="577">
        <v>0.46601900000000002</v>
      </c>
      <c r="K448" s="579">
        <v>18.277553571428999</v>
      </c>
      <c r="L448" s="436">
        <v>2.3333330000000001</v>
      </c>
      <c r="M448" s="42"/>
      <c r="N448" s="334">
        <v>49</v>
      </c>
      <c r="O448" s="335">
        <v>34</v>
      </c>
      <c r="P448" s="335">
        <v>15</v>
      </c>
      <c r="Q448" s="389">
        <v>0</v>
      </c>
      <c r="R448" s="430">
        <v>7</v>
      </c>
      <c r="S448" s="339"/>
      <c r="T448" s="362">
        <v>2</v>
      </c>
      <c r="U448" s="337">
        <v>2</v>
      </c>
      <c r="V448" s="338">
        <v>0.133333333333333</v>
      </c>
    </row>
    <row r="449" spans="2:22" ht="13.5">
      <c r="B449" s="1577">
        <v>201509</v>
      </c>
      <c r="C449" s="324" t="s">
        <v>458</v>
      </c>
      <c r="D449" s="325" t="s">
        <v>91</v>
      </c>
      <c r="E449" s="325" t="s">
        <v>92</v>
      </c>
      <c r="F449" s="460">
        <v>6518.44200000002</v>
      </c>
      <c r="G449" s="92">
        <v>1022.467</v>
      </c>
      <c r="H449" s="279">
        <v>1023.396</v>
      </c>
      <c r="I449" s="154">
        <v>43</v>
      </c>
      <c r="J449" s="576">
        <v>0.42364499999999999</v>
      </c>
      <c r="K449" s="578">
        <v>17.62874137931</v>
      </c>
      <c r="L449" s="437">
        <v>1.3488370000000001</v>
      </c>
      <c r="M449" s="42"/>
      <c r="N449" s="47">
        <v>103</v>
      </c>
      <c r="O449" s="45">
        <v>73</v>
      </c>
      <c r="P449" s="45">
        <v>26</v>
      </c>
      <c r="Q449" s="388">
        <v>4</v>
      </c>
      <c r="R449" s="429">
        <v>12</v>
      </c>
      <c r="S449" s="92"/>
      <c r="T449" s="361">
        <v>9</v>
      </c>
      <c r="U449" s="285">
        <v>6</v>
      </c>
      <c r="V449" s="438">
        <v>0.2</v>
      </c>
    </row>
    <row r="450" spans="2:22" ht="13.5">
      <c r="B450" s="1577">
        <v>201509</v>
      </c>
      <c r="C450" s="326" t="s">
        <v>458</v>
      </c>
      <c r="D450" s="327" t="s">
        <v>187</v>
      </c>
      <c r="E450" s="327" t="s">
        <v>194</v>
      </c>
      <c r="F450" s="459">
        <v>2406.77</v>
      </c>
      <c r="G450" s="339">
        <v>347.13600000000002</v>
      </c>
      <c r="H450" s="337">
        <v>368.892</v>
      </c>
      <c r="I450" s="331">
        <v>24</v>
      </c>
      <c r="J450" s="577">
        <v>0.4</v>
      </c>
      <c r="K450" s="579">
        <v>11.571199999999999</v>
      </c>
      <c r="L450" s="436">
        <v>1.25</v>
      </c>
      <c r="M450" s="42"/>
      <c r="N450" s="334">
        <v>58</v>
      </c>
      <c r="O450" s="335">
        <v>41</v>
      </c>
      <c r="P450" s="335">
        <v>15</v>
      </c>
      <c r="Q450" s="389">
        <v>2</v>
      </c>
      <c r="R450" s="430">
        <v>5</v>
      </c>
      <c r="S450" s="339"/>
      <c r="T450" s="362">
        <v>1</v>
      </c>
      <c r="U450" s="337">
        <v>1</v>
      </c>
      <c r="V450" s="338">
        <v>5.8823529411764698E-2</v>
      </c>
    </row>
    <row r="451" spans="2:22" ht="13.5">
      <c r="B451" s="1577">
        <v>201509</v>
      </c>
      <c r="C451" s="324" t="s">
        <v>458</v>
      </c>
      <c r="D451" s="325" t="s">
        <v>734</v>
      </c>
      <c r="E451" s="325" t="s">
        <v>1766</v>
      </c>
      <c r="F451" s="460">
        <v>7827.1290000000099</v>
      </c>
      <c r="G451" s="92">
        <v>1642.5039999999999</v>
      </c>
      <c r="H451" s="279">
        <v>1616.454</v>
      </c>
      <c r="I451" s="154">
        <v>49</v>
      </c>
      <c r="J451" s="576">
        <v>0.26415100000000002</v>
      </c>
      <c r="K451" s="578">
        <v>21.057743589744</v>
      </c>
      <c r="L451" s="437">
        <v>1.5918369999999999</v>
      </c>
      <c r="M451" s="42"/>
      <c r="N451" s="47">
        <v>175</v>
      </c>
      <c r="O451" s="45">
        <v>132</v>
      </c>
      <c r="P451" s="45">
        <v>39</v>
      </c>
      <c r="Q451" s="388">
        <v>4</v>
      </c>
      <c r="R451" s="429">
        <v>44</v>
      </c>
      <c r="S451" s="92">
        <v>3</v>
      </c>
      <c r="T451" s="361">
        <v>20</v>
      </c>
      <c r="U451" s="285">
        <v>11</v>
      </c>
      <c r="V451" s="438">
        <v>0.25581395348837199</v>
      </c>
    </row>
    <row r="452" spans="2:22" ht="13.5">
      <c r="B452" s="1577">
        <v>201509</v>
      </c>
      <c r="C452" s="326" t="s">
        <v>458</v>
      </c>
      <c r="D452" s="327" t="s">
        <v>735</v>
      </c>
      <c r="E452" s="327" t="s">
        <v>790</v>
      </c>
      <c r="F452" s="459">
        <v>10244.968999999999</v>
      </c>
      <c r="G452" s="339">
        <v>2553.444</v>
      </c>
      <c r="H452" s="337">
        <v>2231.7080000000001</v>
      </c>
      <c r="I452" s="331">
        <v>25</v>
      </c>
      <c r="J452" s="577">
        <v>0.33112599999999998</v>
      </c>
      <c r="K452" s="579">
        <v>50.067529411765001</v>
      </c>
      <c r="L452" s="436">
        <v>2.04</v>
      </c>
      <c r="M452" s="42"/>
      <c r="N452" s="334">
        <v>74</v>
      </c>
      <c r="O452" s="335">
        <v>59</v>
      </c>
      <c r="P452" s="335">
        <v>13</v>
      </c>
      <c r="Q452" s="389">
        <v>2</v>
      </c>
      <c r="R452" s="430">
        <v>8</v>
      </c>
      <c r="S452" s="339"/>
      <c r="T452" s="362">
        <v>4</v>
      </c>
      <c r="U452" s="337">
        <v>1</v>
      </c>
      <c r="V452" s="338">
        <v>6.6666666666666693E-2</v>
      </c>
    </row>
    <row r="453" spans="2:22" ht="13.5">
      <c r="B453" s="1577">
        <v>201509</v>
      </c>
      <c r="C453" s="324" t="s">
        <v>458</v>
      </c>
      <c r="D453" s="325" t="s">
        <v>798</v>
      </c>
      <c r="E453" s="325" t="s">
        <v>1768</v>
      </c>
      <c r="F453" s="460">
        <v>4137.7870000000003</v>
      </c>
      <c r="G453" s="92">
        <v>1072.2660000000001</v>
      </c>
      <c r="H453" s="279">
        <v>1144.758</v>
      </c>
      <c r="I453" s="154">
        <v>23</v>
      </c>
      <c r="J453" s="576">
        <v>0.47916700000000001</v>
      </c>
      <c r="K453" s="578">
        <v>21.024823529412</v>
      </c>
      <c r="L453" s="437">
        <v>2.2173910000000001</v>
      </c>
      <c r="M453" s="42"/>
      <c r="N453" s="47">
        <v>47</v>
      </c>
      <c r="O453" s="45">
        <v>34</v>
      </c>
      <c r="P453" s="45">
        <v>11</v>
      </c>
      <c r="Q453" s="388">
        <v>2</v>
      </c>
      <c r="R453" s="429">
        <v>6</v>
      </c>
      <c r="S453" s="92"/>
      <c r="T453" s="361">
        <v>4</v>
      </c>
      <c r="U453" s="285">
        <v>3</v>
      </c>
      <c r="V453" s="438">
        <v>0.230769230769231</v>
      </c>
    </row>
    <row r="454" spans="2:22" ht="13.5">
      <c r="B454" s="1577">
        <v>201509</v>
      </c>
      <c r="C454" s="326" t="s">
        <v>458</v>
      </c>
      <c r="D454" s="327" t="s">
        <v>949</v>
      </c>
      <c r="E454" s="327" t="s">
        <v>950</v>
      </c>
      <c r="F454" s="459">
        <v>5582.3000000000102</v>
      </c>
      <c r="G454" s="339">
        <v>940.06500000000005</v>
      </c>
      <c r="H454" s="337">
        <v>833.38699999999994</v>
      </c>
      <c r="I454" s="331">
        <v>20</v>
      </c>
      <c r="J454" s="577">
        <v>0.20202000000000001</v>
      </c>
      <c r="K454" s="579">
        <v>16.786874999999998</v>
      </c>
      <c r="L454" s="436">
        <v>2.8</v>
      </c>
      <c r="M454" s="42"/>
      <c r="N454" s="334">
        <v>99</v>
      </c>
      <c r="O454" s="335">
        <v>73</v>
      </c>
      <c r="P454" s="335">
        <v>21</v>
      </c>
      <c r="Q454" s="389">
        <v>5</v>
      </c>
      <c r="R454" s="430">
        <v>12</v>
      </c>
      <c r="S454" s="339"/>
      <c r="T454" s="362">
        <v>12</v>
      </c>
      <c r="U454" s="337">
        <v>8</v>
      </c>
      <c r="V454" s="338">
        <v>0.30769230769230799</v>
      </c>
    </row>
    <row r="455" spans="2:22" ht="13.5">
      <c r="B455" s="1577">
        <v>201509</v>
      </c>
      <c r="C455" s="324" t="s">
        <v>458</v>
      </c>
      <c r="D455" s="325" t="s">
        <v>903</v>
      </c>
      <c r="E455" s="325" t="s">
        <v>904</v>
      </c>
      <c r="F455" s="460">
        <v>6355.61</v>
      </c>
      <c r="G455" s="92">
        <v>956.69500000000005</v>
      </c>
      <c r="H455" s="279">
        <v>881.76400000000001</v>
      </c>
      <c r="I455" s="154">
        <v>38</v>
      </c>
      <c r="J455" s="576">
        <v>0.39583299999999999</v>
      </c>
      <c r="K455" s="578">
        <v>18.758725490195999</v>
      </c>
      <c r="L455" s="437">
        <v>1.3421050000000001</v>
      </c>
      <c r="M455" s="42"/>
      <c r="N455" s="47">
        <v>97</v>
      </c>
      <c r="O455" s="45">
        <v>65</v>
      </c>
      <c r="P455" s="45">
        <v>27</v>
      </c>
      <c r="Q455" s="388">
        <v>5</v>
      </c>
      <c r="R455" s="429">
        <v>11</v>
      </c>
      <c r="S455" s="92">
        <v>2</v>
      </c>
      <c r="T455" s="361">
        <v>11</v>
      </c>
      <c r="U455" s="285">
        <v>8</v>
      </c>
      <c r="V455" s="438">
        <v>0.25</v>
      </c>
    </row>
    <row r="456" spans="2:22" ht="13.5">
      <c r="B456" s="1577">
        <v>201509</v>
      </c>
      <c r="C456" s="326" t="s">
        <v>458</v>
      </c>
      <c r="D456" s="327" t="s">
        <v>1101</v>
      </c>
      <c r="E456" s="327" t="s">
        <v>1162</v>
      </c>
      <c r="F456" s="459">
        <v>1766.21</v>
      </c>
      <c r="G456" s="339">
        <v>156.62700000000001</v>
      </c>
      <c r="H456" s="337">
        <v>197.83500000000001</v>
      </c>
      <c r="I456" s="331">
        <v>10</v>
      </c>
      <c r="J456" s="577">
        <v>0.15625</v>
      </c>
      <c r="K456" s="579">
        <v>14.238818181818001</v>
      </c>
      <c r="L456" s="436">
        <v>1.1000000000000001</v>
      </c>
      <c r="M456" s="42"/>
      <c r="N456" s="334">
        <v>66</v>
      </c>
      <c r="O456" s="335">
        <v>46</v>
      </c>
      <c r="P456" s="335">
        <v>20</v>
      </c>
      <c r="Q456" s="389">
        <v>0</v>
      </c>
      <c r="R456" s="430">
        <v>12</v>
      </c>
      <c r="S456" s="339">
        <v>3</v>
      </c>
      <c r="T456" s="362">
        <v>13</v>
      </c>
      <c r="U456" s="337">
        <v>10</v>
      </c>
      <c r="V456" s="338">
        <v>0.5</v>
      </c>
    </row>
    <row r="457" spans="2:22" ht="13.5">
      <c r="B457" s="1577">
        <v>201509</v>
      </c>
      <c r="C457" s="324" t="s">
        <v>458</v>
      </c>
      <c r="D457" s="325" t="s">
        <v>1102</v>
      </c>
      <c r="E457" s="325" t="s">
        <v>1163</v>
      </c>
      <c r="F457" s="460">
        <v>4295.518</v>
      </c>
      <c r="G457" s="92">
        <v>1173.6289999999999</v>
      </c>
      <c r="H457" s="279">
        <v>1190.604</v>
      </c>
      <c r="I457" s="154">
        <v>28</v>
      </c>
      <c r="J457" s="576">
        <v>0.290155</v>
      </c>
      <c r="K457" s="578">
        <v>18.929500000000001</v>
      </c>
      <c r="L457" s="437">
        <v>2.214286</v>
      </c>
      <c r="M457" s="42"/>
      <c r="N457" s="47">
        <v>89</v>
      </c>
      <c r="O457" s="45">
        <v>71</v>
      </c>
      <c r="P457" s="45">
        <v>18</v>
      </c>
      <c r="Q457" s="388">
        <v>0</v>
      </c>
      <c r="R457" s="429">
        <v>21</v>
      </c>
      <c r="S457" s="92"/>
      <c r="T457" s="361">
        <v>6</v>
      </c>
      <c r="U457" s="285">
        <v>5</v>
      </c>
      <c r="V457" s="438">
        <v>0.27777777777777801</v>
      </c>
    </row>
    <row r="458" spans="2:22" ht="13.5">
      <c r="B458" s="1577">
        <v>201509</v>
      </c>
      <c r="C458" s="326" t="s">
        <v>458</v>
      </c>
      <c r="D458" s="327" t="s">
        <v>628</v>
      </c>
      <c r="E458" s="327" t="s">
        <v>629</v>
      </c>
      <c r="F458" s="459">
        <v>2526.2659999999901</v>
      </c>
      <c r="G458" s="339">
        <v>508.99099999999999</v>
      </c>
      <c r="H458" s="337">
        <v>508.01</v>
      </c>
      <c r="I458" s="331">
        <v>21</v>
      </c>
      <c r="J458" s="577">
        <v>0.45161299999999999</v>
      </c>
      <c r="K458" s="579">
        <v>13.051051282051001</v>
      </c>
      <c r="L458" s="436">
        <v>1.857143</v>
      </c>
      <c r="M458" s="42"/>
      <c r="N458" s="334">
        <v>46</v>
      </c>
      <c r="O458" s="335">
        <v>28</v>
      </c>
      <c r="P458" s="335">
        <v>11</v>
      </c>
      <c r="Q458" s="389">
        <v>7</v>
      </c>
      <c r="R458" s="430">
        <v>7</v>
      </c>
      <c r="S458" s="339"/>
      <c r="T458" s="362">
        <v>6</v>
      </c>
      <c r="U458" s="337">
        <v>3</v>
      </c>
      <c r="V458" s="338">
        <v>0.16666666666666699</v>
      </c>
    </row>
    <row r="459" spans="2:22" ht="13.5">
      <c r="B459" s="1577">
        <v>201509</v>
      </c>
      <c r="C459" s="324" t="s">
        <v>458</v>
      </c>
      <c r="D459" s="325" t="s">
        <v>1565</v>
      </c>
      <c r="E459" s="325" t="s">
        <v>1566</v>
      </c>
      <c r="F459" s="460">
        <v>505.50400000000002</v>
      </c>
      <c r="G459" s="92">
        <v>180.441</v>
      </c>
      <c r="H459" s="279">
        <v>158.12299999999999</v>
      </c>
      <c r="I459" s="154">
        <v>8</v>
      </c>
      <c r="J459" s="576">
        <v>0.26666699999999999</v>
      </c>
      <c r="K459" s="578">
        <v>20.048999999999999</v>
      </c>
      <c r="L459" s="437">
        <v>1.125</v>
      </c>
      <c r="M459" s="42"/>
      <c r="N459" s="47">
        <v>33</v>
      </c>
      <c r="O459" s="45">
        <v>27</v>
      </c>
      <c r="P459" s="45">
        <v>6</v>
      </c>
      <c r="Q459" s="388">
        <v>0</v>
      </c>
      <c r="R459" s="429">
        <v>0</v>
      </c>
      <c r="S459" s="92"/>
      <c r="T459" s="361">
        <v>6</v>
      </c>
      <c r="U459" s="285">
        <v>4</v>
      </c>
      <c r="V459" s="438">
        <v>0.66666666666666696</v>
      </c>
    </row>
    <row r="460" spans="2:22" ht="13.5">
      <c r="B460" s="1577">
        <v>201509</v>
      </c>
      <c r="C460" s="326" t="s">
        <v>458</v>
      </c>
      <c r="D460" s="327" t="s">
        <v>47</v>
      </c>
      <c r="E460" s="327" t="s">
        <v>17</v>
      </c>
      <c r="F460" s="459">
        <v>3378.7239999999902</v>
      </c>
      <c r="G460" s="339">
        <v>454.923</v>
      </c>
      <c r="H460" s="337">
        <v>368.88900000000001</v>
      </c>
      <c r="I460" s="331">
        <v>17</v>
      </c>
      <c r="J460" s="577">
        <v>0.35416700000000001</v>
      </c>
      <c r="K460" s="579">
        <v>18.955124999999999</v>
      </c>
      <c r="L460" s="436">
        <v>1.4117649999999999</v>
      </c>
      <c r="M460" s="42"/>
      <c r="N460" s="334">
        <v>48</v>
      </c>
      <c r="O460" s="335">
        <v>36</v>
      </c>
      <c r="P460" s="335">
        <v>11</v>
      </c>
      <c r="Q460" s="389">
        <v>1</v>
      </c>
      <c r="R460" s="430">
        <v>2</v>
      </c>
      <c r="S460" s="339"/>
      <c r="T460" s="362">
        <v>2</v>
      </c>
      <c r="U460" s="337">
        <v>2</v>
      </c>
      <c r="V460" s="338">
        <v>0.16666666666666699</v>
      </c>
    </row>
    <row r="461" spans="2:22" ht="13.5">
      <c r="B461" s="1577">
        <v>201509</v>
      </c>
      <c r="C461" s="324" t="s">
        <v>458</v>
      </c>
      <c r="D461" s="325" t="s">
        <v>736</v>
      </c>
      <c r="E461" s="325" t="s">
        <v>697</v>
      </c>
      <c r="F461" s="460">
        <v>10009.744000000001</v>
      </c>
      <c r="G461" s="92">
        <v>3172.92</v>
      </c>
      <c r="H461" s="279">
        <v>3138.8620000000001</v>
      </c>
      <c r="I461" s="154">
        <v>42</v>
      </c>
      <c r="J461" s="576">
        <v>0.46067399999999997</v>
      </c>
      <c r="K461" s="578">
        <v>52.881999999999998</v>
      </c>
      <c r="L461" s="437">
        <v>1.428571</v>
      </c>
      <c r="M461" s="42"/>
      <c r="N461" s="47">
        <v>90</v>
      </c>
      <c r="O461" s="45">
        <v>70</v>
      </c>
      <c r="P461" s="45">
        <v>16</v>
      </c>
      <c r="Q461" s="388">
        <v>4</v>
      </c>
      <c r="R461" s="429">
        <v>13</v>
      </c>
      <c r="S461" s="92">
        <v>2</v>
      </c>
      <c r="T461" s="361">
        <v>12</v>
      </c>
      <c r="U461" s="285">
        <v>7</v>
      </c>
      <c r="V461" s="438">
        <v>0.35</v>
      </c>
    </row>
    <row r="462" spans="2:22" ht="13.5">
      <c r="B462" s="1577">
        <v>201509</v>
      </c>
      <c r="C462" s="326" t="s">
        <v>458</v>
      </c>
      <c r="D462" s="327" t="s">
        <v>796</v>
      </c>
      <c r="E462" s="327" t="s">
        <v>797</v>
      </c>
      <c r="F462" s="459">
        <v>5006.6220000000003</v>
      </c>
      <c r="G462" s="339">
        <v>687.94799999999998</v>
      </c>
      <c r="H462" s="337">
        <v>683.06700000000001</v>
      </c>
      <c r="I462" s="331">
        <v>24</v>
      </c>
      <c r="J462" s="577">
        <v>0.34782600000000002</v>
      </c>
      <c r="K462" s="579">
        <v>18.593189189189001</v>
      </c>
      <c r="L462" s="436">
        <v>1.5416669999999999</v>
      </c>
      <c r="M462" s="42"/>
      <c r="N462" s="334">
        <v>67</v>
      </c>
      <c r="O462" s="335">
        <v>45</v>
      </c>
      <c r="P462" s="335">
        <v>21</v>
      </c>
      <c r="Q462" s="389">
        <v>1</v>
      </c>
      <c r="R462" s="430">
        <v>11</v>
      </c>
      <c r="S462" s="339">
        <v>1</v>
      </c>
      <c r="T462" s="362">
        <v>6</v>
      </c>
      <c r="U462" s="337">
        <v>4</v>
      </c>
      <c r="V462" s="338">
        <v>0.18181818181818199</v>
      </c>
    </row>
    <row r="463" spans="2:22" ht="13.5">
      <c r="B463" s="1577">
        <v>201509</v>
      </c>
      <c r="C463" s="324" t="s">
        <v>458</v>
      </c>
      <c r="D463" s="325" t="s">
        <v>1418</v>
      </c>
      <c r="E463" s="325" t="s">
        <v>1771</v>
      </c>
      <c r="F463" s="460">
        <v>1542.6890000000001</v>
      </c>
      <c r="G463" s="92">
        <v>312.91399999999999</v>
      </c>
      <c r="H463" s="279">
        <v>312.91399999999999</v>
      </c>
      <c r="I463" s="154">
        <v>15</v>
      </c>
      <c r="J463" s="576">
        <v>0.35714299999999999</v>
      </c>
      <c r="K463" s="578">
        <v>17.384111111111</v>
      </c>
      <c r="L463" s="437">
        <v>1.2</v>
      </c>
      <c r="M463" s="42"/>
      <c r="N463" s="47">
        <v>39</v>
      </c>
      <c r="O463" s="45">
        <v>25</v>
      </c>
      <c r="P463" s="45">
        <v>11</v>
      </c>
      <c r="Q463" s="388">
        <v>3</v>
      </c>
      <c r="R463" s="429">
        <v>14</v>
      </c>
      <c r="S463" s="92">
        <v>1</v>
      </c>
      <c r="T463" s="361">
        <v>7</v>
      </c>
      <c r="U463" s="285">
        <v>5</v>
      </c>
      <c r="V463" s="438">
        <v>0.35714285714285698</v>
      </c>
    </row>
    <row r="464" spans="2:22" ht="13.5">
      <c r="B464" s="1577">
        <v>201509</v>
      </c>
      <c r="C464" s="326" t="s">
        <v>458</v>
      </c>
      <c r="D464" s="327" t="s">
        <v>1669</v>
      </c>
      <c r="E464" s="327" t="s">
        <v>1670</v>
      </c>
      <c r="F464" s="459">
        <v>370.18099999999998</v>
      </c>
      <c r="G464" s="339">
        <v>223.36</v>
      </c>
      <c r="H464" s="337">
        <v>211.75700000000001</v>
      </c>
      <c r="I464" s="331">
        <v>6</v>
      </c>
      <c r="J464" s="577">
        <v>0.375</v>
      </c>
      <c r="K464" s="579">
        <v>20.305454545455</v>
      </c>
      <c r="L464" s="436">
        <v>1.8333330000000001</v>
      </c>
      <c r="M464" s="42"/>
      <c r="N464" s="334">
        <v>16</v>
      </c>
      <c r="O464" s="335">
        <v>13</v>
      </c>
      <c r="P464" s="335">
        <v>3</v>
      </c>
      <c r="Q464" s="389">
        <v>0</v>
      </c>
      <c r="R464" s="430">
        <v>0</v>
      </c>
      <c r="S464" s="339"/>
      <c r="T464" s="362"/>
      <c r="U464" s="337"/>
      <c r="V464" s="338"/>
    </row>
    <row r="465" spans="2:22" ht="13.5">
      <c r="B465" s="1577">
        <v>201509</v>
      </c>
      <c r="C465" s="324" t="s">
        <v>458</v>
      </c>
      <c r="D465" s="325" t="s">
        <v>630</v>
      </c>
      <c r="E465" s="325" t="s">
        <v>483</v>
      </c>
      <c r="F465" s="460">
        <v>2525.1260000000002</v>
      </c>
      <c r="G465" s="92">
        <v>284.75700000000001</v>
      </c>
      <c r="H465" s="279">
        <v>248.756</v>
      </c>
      <c r="I465" s="154">
        <v>22</v>
      </c>
      <c r="J465" s="576">
        <v>0.32352900000000001</v>
      </c>
      <c r="K465" s="578">
        <v>11.390280000000001</v>
      </c>
      <c r="L465" s="437">
        <v>1.1363639999999999</v>
      </c>
      <c r="M465" s="42"/>
      <c r="N465" s="47">
        <v>67</v>
      </c>
      <c r="O465" s="45">
        <v>51</v>
      </c>
      <c r="P465" s="45">
        <v>11</v>
      </c>
      <c r="Q465" s="388">
        <v>5</v>
      </c>
      <c r="R465" s="429">
        <v>9</v>
      </c>
      <c r="S465" s="92"/>
      <c r="T465" s="361">
        <v>7</v>
      </c>
      <c r="U465" s="285">
        <v>5</v>
      </c>
      <c r="V465" s="438">
        <v>0.3125</v>
      </c>
    </row>
    <row r="466" spans="2:22" ht="13.5">
      <c r="B466" s="1577">
        <v>201509</v>
      </c>
      <c r="C466" s="326" t="s">
        <v>458</v>
      </c>
      <c r="D466" s="327" t="s">
        <v>905</v>
      </c>
      <c r="E466" s="327" t="s">
        <v>906</v>
      </c>
      <c r="F466" s="459">
        <v>5841.2730000000001</v>
      </c>
      <c r="G466" s="339">
        <v>1148.1990000000001</v>
      </c>
      <c r="H466" s="337">
        <v>1154.279</v>
      </c>
      <c r="I466" s="331">
        <v>23</v>
      </c>
      <c r="J466" s="577">
        <v>0.446602</v>
      </c>
      <c r="K466" s="579">
        <v>29.440999999999999</v>
      </c>
      <c r="L466" s="436">
        <v>1.6956519999999999</v>
      </c>
      <c r="M466" s="42"/>
      <c r="N466" s="334">
        <v>51</v>
      </c>
      <c r="O466" s="335">
        <v>35</v>
      </c>
      <c r="P466" s="335">
        <v>11</v>
      </c>
      <c r="Q466" s="389">
        <v>5</v>
      </c>
      <c r="R466" s="430">
        <v>3</v>
      </c>
      <c r="S466" s="339"/>
      <c r="T466" s="362">
        <v>2</v>
      </c>
      <c r="U466" s="337">
        <v>2</v>
      </c>
      <c r="V466" s="338">
        <v>0.125</v>
      </c>
    </row>
    <row r="467" spans="2:22" ht="13.5">
      <c r="B467" s="1577">
        <v>201509</v>
      </c>
      <c r="C467" s="324" t="s">
        <v>458</v>
      </c>
      <c r="D467" s="325" t="s">
        <v>648</v>
      </c>
      <c r="E467" s="325" t="s">
        <v>644</v>
      </c>
      <c r="F467" s="460">
        <v>2645.0629999999901</v>
      </c>
      <c r="G467" s="92">
        <v>330.29899999999998</v>
      </c>
      <c r="H467" s="279">
        <v>286.40100000000001</v>
      </c>
      <c r="I467" s="154">
        <v>15</v>
      </c>
      <c r="J467" s="576">
        <v>0.27027000000000001</v>
      </c>
      <c r="K467" s="578">
        <v>18.349944444443999</v>
      </c>
      <c r="L467" s="437">
        <v>1.2</v>
      </c>
      <c r="M467" s="42"/>
      <c r="N467" s="47">
        <v>54</v>
      </c>
      <c r="O467" s="45">
        <v>39</v>
      </c>
      <c r="P467" s="45">
        <v>13</v>
      </c>
      <c r="Q467" s="388">
        <v>2</v>
      </c>
      <c r="R467" s="429">
        <v>8</v>
      </c>
      <c r="S467" s="92"/>
      <c r="T467" s="361">
        <v>5</v>
      </c>
      <c r="U467" s="285">
        <v>2</v>
      </c>
      <c r="V467" s="438">
        <v>0.133333333333333</v>
      </c>
    </row>
    <row r="468" spans="2:22" ht="13.5">
      <c r="B468" s="1577">
        <v>201509</v>
      </c>
      <c r="C468" s="326" t="s">
        <v>459</v>
      </c>
      <c r="D468" s="327" t="s">
        <v>1100</v>
      </c>
      <c r="E468" s="327" t="s">
        <v>1774</v>
      </c>
      <c r="F468" s="459">
        <v>5755.0650000000396</v>
      </c>
      <c r="G468" s="339">
        <v>938.32299999999998</v>
      </c>
      <c r="H468" s="337">
        <v>931.68700000000001</v>
      </c>
      <c r="I468" s="331">
        <v>68</v>
      </c>
      <c r="J468" s="577">
        <v>0.454849</v>
      </c>
      <c r="K468" s="579">
        <v>11.170511904762</v>
      </c>
      <c r="L468" s="436">
        <v>1.2352939999999999</v>
      </c>
      <c r="M468" s="42"/>
      <c r="N468" s="334">
        <v>159</v>
      </c>
      <c r="O468" s="335">
        <v>124</v>
      </c>
      <c r="P468" s="335">
        <v>28</v>
      </c>
      <c r="Q468" s="389">
        <v>7</v>
      </c>
      <c r="R468" s="430">
        <v>12</v>
      </c>
      <c r="S468" s="339">
        <v>4</v>
      </c>
      <c r="T468" s="362">
        <v>27</v>
      </c>
      <c r="U468" s="337">
        <v>13</v>
      </c>
      <c r="V468" s="338">
        <v>0.371428571428571</v>
      </c>
    </row>
    <row r="469" spans="2:22" ht="13.5">
      <c r="B469" s="1577">
        <v>201509</v>
      </c>
      <c r="C469" s="324" t="s">
        <v>459</v>
      </c>
      <c r="D469" s="325" t="s">
        <v>1419</v>
      </c>
      <c r="E469" s="325" t="s">
        <v>1420</v>
      </c>
      <c r="F469" s="460">
        <v>2634.076</v>
      </c>
      <c r="G469" s="92">
        <v>692.84299999999996</v>
      </c>
      <c r="H469" s="279">
        <v>692.84299999999996</v>
      </c>
      <c r="I469" s="154">
        <v>40</v>
      </c>
      <c r="J469" s="576">
        <v>0.43478299999999998</v>
      </c>
      <c r="K469" s="578">
        <v>12.372196428571</v>
      </c>
      <c r="L469" s="437">
        <v>1.4</v>
      </c>
      <c r="M469" s="42"/>
      <c r="N469" s="47">
        <v>92</v>
      </c>
      <c r="O469" s="45">
        <v>74</v>
      </c>
      <c r="P469" s="45">
        <v>16</v>
      </c>
      <c r="Q469" s="388">
        <v>2</v>
      </c>
      <c r="R469" s="429">
        <v>9</v>
      </c>
      <c r="S469" s="92"/>
      <c r="T469" s="361">
        <v>9</v>
      </c>
      <c r="U469" s="285">
        <v>6</v>
      </c>
      <c r="V469" s="438">
        <v>0.33333333333333298</v>
      </c>
    </row>
    <row r="470" spans="2:22" ht="13.5">
      <c r="B470" s="1577">
        <v>201509</v>
      </c>
      <c r="C470" s="326" t="s">
        <v>459</v>
      </c>
      <c r="D470" s="327" t="s">
        <v>1103</v>
      </c>
      <c r="E470" s="327" t="s">
        <v>1161</v>
      </c>
      <c r="F470" s="459">
        <v>1290.8340000000001</v>
      </c>
      <c r="G470" s="339">
        <v>542.32100000000003</v>
      </c>
      <c r="H470" s="337">
        <v>542.67899999999997</v>
      </c>
      <c r="I470" s="331">
        <v>17</v>
      </c>
      <c r="J470" s="577">
        <v>0.55737700000000001</v>
      </c>
      <c r="K470" s="579">
        <v>23.579173913043</v>
      </c>
      <c r="L470" s="436">
        <v>1.3529409999999999</v>
      </c>
      <c r="M470" s="42"/>
      <c r="N470" s="334">
        <v>32</v>
      </c>
      <c r="O470" s="335">
        <v>25</v>
      </c>
      <c r="P470" s="335">
        <v>7</v>
      </c>
      <c r="Q470" s="389">
        <v>0</v>
      </c>
      <c r="R470" s="430">
        <v>5</v>
      </c>
      <c r="S470" s="339">
        <v>1</v>
      </c>
      <c r="T470" s="362">
        <v>7</v>
      </c>
      <c r="U470" s="337">
        <v>4</v>
      </c>
      <c r="V470" s="338">
        <v>0.57142857142857095</v>
      </c>
    </row>
    <row r="471" spans="2:22" ht="13.5">
      <c r="B471" s="1577">
        <v>201509</v>
      </c>
      <c r="C471" s="324" t="s">
        <v>459</v>
      </c>
      <c r="D471" s="325" t="s">
        <v>661</v>
      </c>
      <c r="E471" s="325" t="s">
        <v>1950</v>
      </c>
      <c r="F471" s="460">
        <v>2101.7429999999999</v>
      </c>
      <c r="G471" s="92">
        <v>271.26799999999997</v>
      </c>
      <c r="H471" s="279">
        <v>262.005</v>
      </c>
      <c r="I471" s="154">
        <v>16</v>
      </c>
      <c r="J471" s="576">
        <v>0.262295</v>
      </c>
      <c r="K471" s="578">
        <v>14.277263157895</v>
      </c>
      <c r="L471" s="437">
        <v>1.1875</v>
      </c>
      <c r="M471" s="42"/>
      <c r="N471" s="47">
        <v>58</v>
      </c>
      <c r="O471" s="45">
        <v>42</v>
      </c>
      <c r="P471" s="45">
        <v>12</v>
      </c>
      <c r="Q471" s="388">
        <v>4</v>
      </c>
      <c r="R471" s="429">
        <v>11</v>
      </c>
      <c r="S471" s="92"/>
      <c r="T471" s="361">
        <v>6</v>
      </c>
      <c r="U471" s="285">
        <v>4</v>
      </c>
      <c r="V471" s="438">
        <v>0.25</v>
      </c>
    </row>
    <row r="472" spans="2:22" ht="13.5">
      <c r="B472" s="1577">
        <v>201509</v>
      </c>
      <c r="C472" s="326" t="s">
        <v>459</v>
      </c>
      <c r="D472" s="327" t="s">
        <v>179</v>
      </c>
      <c r="E472" s="327" t="s">
        <v>191</v>
      </c>
      <c r="F472" s="459">
        <v>9369.2710000000407</v>
      </c>
      <c r="G472" s="339">
        <v>1639.415</v>
      </c>
      <c r="H472" s="337">
        <v>1703.932</v>
      </c>
      <c r="I472" s="331">
        <v>62</v>
      </c>
      <c r="J472" s="577">
        <v>0.46268700000000001</v>
      </c>
      <c r="K472" s="579">
        <v>16.90118556701</v>
      </c>
      <c r="L472" s="436">
        <v>1.564516</v>
      </c>
      <c r="M472" s="42"/>
      <c r="N472" s="334">
        <v>132</v>
      </c>
      <c r="O472" s="335">
        <v>90</v>
      </c>
      <c r="P472" s="335">
        <v>40</v>
      </c>
      <c r="Q472" s="389">
        <v>2</v>
      </c>
      <c r="R472" s="430">
        <v>27</v>
      </c>
      <c r="S472" s="339">
        <v>8</v>
      </c>
      <c r="T472" s="362">
        <v>15</v>
      </c>
      <c r="U472" s="337">
        <v>10</v>
      </c>
      <c r="V472" s="338">
        <v>0.238095238095238</v>
      </c>
    </row>
    <row r="473" spans="2:22" ht="13.5">
      <c r="B473" s="1577">
        <v>201509</v>
      </c>
      <c r="C473" s="324" t="s">
        <v>459</v>
      </c>
      <c r="D473" s="325" t="s">
        <v>659</v>
      </c>
      <c r="E473" s="325" t="s">
        <v>655</v>
      </c>
      <c r="F473" s="460">
        <v>6189.6900000000096</v>
      </c>
      <c r="G473" s="92">
        <v>1068.789</v>
      </c>
      <c r="H473" s="279">
        <v>1012.1559999999999</v>
      </c>
      <c r="I473" s="154">
        <v>38</v>
      </c>
      <c r="J473" s="576">
        <v>0.45508999999999999</v>
      </c>
      <c r="K473" s="578">
        <v>18.115067796609999</v>
      </c>
      <c r="L473" s="437">
        <v>1.552632</v>
      </c>
      <c r="M473" s="42"/>
      <c r="N473" s="47">
        <v>81</v>
      </c>
      <c r="O473" s="45">
        <v>60</v>
      </c>
      <c r="P473" s="45">
        <v>19</v>
      </c>
      <c r="Q473" s="388">
        <v>2</v>
      </c>
      <c r="R473" s="429">
        <v>19</v>
      </c>
      <c r="S473" s="92">
        <v>2</v>
      </c>
      <c r="T473" s="361">
        <v>12</v>
      </c>
      <c r="U473" s="285">
        <v>8</v>
      </c>
      <c r="V473" s="438">
        <v>0.38095238095238099</v>
      </c>
    </row>
    <row r="474" spans="2:22" ht="13.5">
      <c r="B474" s="1577">
        <v>201509</v>
      </c>
      <c r="C474" s="326" t="s">
        <v>459</v>
      </c>
      <c r="D474" s="327" t="s">
        <v>699</v>
      </c>
      <c r="E474" s="327" t="s">
        <v>698</v>
      </c>
      <c r="F474" s="459">
        <v>1947.7829999999999</v>
      </c>
      <c r="G474" s="339">
        <v>299.73599999999999</v>
      </c>
      <c r="H474" s="337">
        <v>299.73599999999999</v>
      </c>
      <c r="I474" s="331">
        <v>19</v>
      </c>
      <c r="J474" s="577">
        <v>0.38383800000000001</v>
      </c>
      <c r="K474" s="579">
        <v>14.273142857143</v>
      </c>
      <c r="L474" s="436">
        <v>1.1052630000000001</v>
      </c>
      <c r="M474" s="42"/>
      <c r="N474" s="334">
        <v>50</v>
      </c>
      <c r="O474" s="335">
        <v>38</v>
      </c>
      <c r="P474" s="335">
        <v>11</v>
      </c>
      <c r="Q474" s="389">
        <v>1</v>
      </c>
      <c r="R474" s="430">
        <v>4</v>
      </c>
      <c r="S474" s="339"/>
      <c r="T474" s="362">
        <v>5</v>
      </c>
      <c r="U474" s="337">
        <v>3</v>
      </c>
      <c r="V474" s="338">
        <v>0.25</v>
      </c>
    </row>
    <row r="475" spans="2:22" ht="13.5">
      <c r="B475" s="1577">
        <v>201509</v>
      </c>
      <c r="C475" s="324" t="s">
        <v>459</v>
      </c>
      <c r="D475" s="325" t="s">
        <v>1015</v>
      </c>
      <c r="E475" s="325" t="s">
        <v>1348</v>
      </c>
      <c r="F475" s="460">
        <v>1539.249</v>
      </c>
      <c r="G475" s="92">
        <v>676.22699999999998</v>
      </c>
      <c r="H475" s="279">
        <v>666.51</v>
      </c>
      <c r="I475" s="154">
        <v>36</v>
      </c>
      <c r="J475" s="576">
        <v>0.47368399999999999</v>
      </c>
      <c r="K475" s="578">
        <v>12.522722222222001</v>
      </c>
      <c r="L475" s="437">
        <v>1.5</v>
      </c>
      <c r="M475" s="42"/>
      <c r="N475" s="47">
        <v>76</v>
      </c>
      <c r="O475" s="45">
        <v>58</v>
      </c>
      <c r="P475" s="45">
        <v>18</v>
      </c>
      <c r="Q475" s="388">
        <v>0</v>
      </c>
      <c r="R475" s="429">
        <v>14</v>
      </c>
      <c r="S475" s="92">
        <v>1</v>
      </c>
      <c r="T475" s="361">
        <v>13</v>
      </c>
      <c r="U475" s="285">
        <v>5</v>
      </c>
      <c r="V475" s="438">
        <v>0.27777777777777801</v>
      </c>
    </row>
    <row r="476" spans="2:22" ht="13.5">
      <c r="B476" s="1577">
        <v>201509</v>
      </c>
      <c r="C476" s="326" t="s">
        <v>459</v>
      </c>
      <c r="D476" s="327" t="s">
        <v>825</v>
      </c>
      <c r="E476" s="327" t="s">
        <v>1773</v>
      </c>
      <c r="F476" s="459">
        <v>2892.4969999999998</v>
      </c>
      <c r="G476" s="339">
        <v>1025.0889999999999</v>
      </c>
      <c r="H476" s="337">
        <v>1016.73</v>
      </c>
      <c r="I476" s="331">
        <v>29</v>
      </c>
      <c r="J476" s="577">
        <v>0.47933900000000002</v>
      </c>
      <c r="K476" s="579">
        <v>22.779755555556001</v>
      </c>
      <c r="L476" s="436">
        <v>1.5517240000000001</v>
      </c>
      <c r="M476" s="42"/>
      <c r="N476" s="334">
        <v>67</v>
      </c>
      <c r="O476" s="335">
        <v>49</v>
      </c>
      <c r="P476" s="335">
        <v>14</v>
      </c>
      <c r="Q476" s="389">
        <v>4</v>
      </c>
      <c r="R476" s="430">
        <v>5</v>
      </c>
      <c r="S476" s="339">
        <v>5</v>
      </c>
      <c r="T476" s="362">
        <v>13</v>
      </c>
      <c r="U476" s="337">
        <v>6</v>
      </c>
      <c r="V476" s="338">
        <v>0.33333333333333298</v>
      </c>
    </row>
    <row r="477" spans="2:22" ht="13.5">
      <c r="B477" s="1577">
        <v>201509</v>
      </c>
      <c r="C477" s="324" t="s">
        <v>459</v>
      </c>
      <c r="D477" s="325" t="s">
        <v>185</v>
      </c>
      <c r="E477" s="325" t="s">
        <v>190</v>
      </c>
      <c r="F477" s="460">
        <v>4027.2649999999999</v>
      </c>
      <c r="G477" s="92">
        <v>1112.395</v>
      </c>
      <c r="H477" s="279">
        <v>1082.645</v>
      </c>
      <c r="I477" s="154">
        <v>43</v>
      </c>
      <c r="J477" s="576">
        <v>0.58108099999999996</v>
      </c>
      <c r="K477" s="578">
        <v>16.602910447761001</v>
      </c>
      <c r="L477" s="437">
        <v>1.5581400000000001</v>
      </c>
      <c r="M477" s="42"/>
      <c r="N477" s="47">
        <v>79</v>
      </c>
      <c r="O477" s="45">
        <v>64</v>
      </c>
      <c r="P477" s="45">
        <v>12</v>
      </c>
      <c r="Q477" s="388">
        <v>3</v>
      </c>
      <c r="R477" s="429">
        <v>6</v>
      </c>
      <c r="S477" s="92">
        <v>2</v>
      </c>
      <c r="T477" s="361">
        <v>14</v>
      </c>
      <c r="U477" s="285">
        <v>6</v>
      </c>
      <c r="V477" s="438">
        <v>0.4</v>
      </c>
    </row>
    <row r="478" spans="2:22" ht="13.5">
      <c r="B478" s="1577">
        <v>201509</v>
      </c>
      <c r="C478" s="326" t="s">
        <v>459</v>
      </c>
      <c r="D478" s="327" t="s">
        <v>660</v>
      </c>
      <c r="E478" s="327" t="s">
        <v>656</v>
      </c>
      <c r="F478" s="459">
        <v>3683.58500000001</v>
      </c>
      <c r="G478" s="339">
        <v>709.31899999999996</v>
      </c>
      <c r="H478" s="337">
        <v>709.31899999999996</v>
      </c>
      <c r="I478" s="331">
        <v>48</v>
      </c>
      <c r="J478" s="577">
        <v>0.40851100000000001</v>
      </c>
      <c r="K478" s="579">
        <v>11.083109374999999</v>
      </c>
      <c r="L478" s="436">
        <v>1.3333330000000001</v>
      </c>
      <c r="M478" s="42"/>
      <c r="N478" s="334">
        <v>123</v>
      </c>
      <c r="O478" s="335">
        <v>103</v>
      </c>
      <c r="P478" s="335">
        <v>19</v>
      </c>
      <c r="Q478" s="389">
        <v>1</v>
      </c>
      <c r="R478" s="430">
        <v>6</v>
      </c>
      <c r="S478" s="339">
        <v>4</v>
      </c>
      <c r="T478" s="362">
        <v>12</v>
      </c>
      <c r="U478" s="337">
        <v>8</v>
      </c>
      <c r="V478" s="338">
        <v>0.4</v>
      </c>
    </row>
    <row r="479" spans="2:22" ht="13.5">
      <c r="B479" s="1577">
        <v>201509</v>
      </c>
      <c r="C479" s="324" t="s">
        <v>459</v>
      </c>
      <c r="D479" s="325" t="s">
        <v>1570</v>
      </c>
      <c r="E479" s="325" t="s">
        <v>1571</v>
      </c>
      <c r="F479" s="460">
        <v>945.91499999999905</v>
      </c>
      <c r="G479" s="92">
        <v>508.94499999999999</v>
      </c>
      <c r="H479" s="279">
        <v>508.94499999999999</v>
      </c>
      <c r="I479" s="154">
        <v>23</v>
      </c>
      <c r="J479" s="576">
        <v>0.35384599999999999</v>
      </c>
      <c r="K479" s="578">
        <v>12.723625</v>
      </c>
      <c r="L479" s="437">
        <v>1.7391300000000001</v>
      </c>
      <c r="M479" s="42"/>
      <c r="N479" s="47">
        <v>77</v>
      </c>
      <c r="O479" s="45">
        <v>52</v>
      </c>
      <c r="P479" s="45">
        <v>24</v>
      </c>
      <c r="Q479" s="388">
        <v>1</v>
      </c>
      <c r="R479" s="429">
        <v>0</v>
      </c>
      <c r="S479" s="92">
        <v>8</v>
      </c>
      <c r="T479" s="361">
        <v>16</v>
      </c>
      <c r="U479" s="285">
        <v>11</v>
      </c>
      <c r="V479" s="438">
        <v>0.44</v>
      </c>
    </row>
    <row r="480" spans="2:22" ht="13.5">
      <c r="B480" s="1577">
        <v>201509</v>
      </c>
      <c r="C480" s="326" t="s">
        <v>459</v>
      </c>
      <c r="D480" s="327" t="s">
        <v>662</v>
      </c>
      <c r="E480" s="327"/>
      <c r="F480" s="459">
        <v>570.25199999999995</v>
      </c>
      <c r="G480" s="339">
        <v>0</v>
      </c>
      <c r="H480" s="337">
        <v>0</v>
      </c>
      <c r="I480" s="331">
        <v>0</v>
      </c>
      <c r="J480" s="577">
        <v>0</v>
      </c>
      <c r="K480" s="579">
        <v>0</v>
      </c>
      <c r="L480" s="436">
        <v>0</v>
      </c>
      <c r="M480" s="42"/>
      <c r="N480" s="334">
        <v>0</v>
      </c>
      <c r="O480" s="335">
        <v>0</v>
      </c>
      <c r="P480" s="335">
        <v>0</v>
      </c>
      <c r="Q480" s="389">
        <v>0</v>
      </c>
      <c r="R480" s="430">
        <v>0</v>
      </c>
      <c r="S480" s="339"/>
      <c r="T480" s="362"/>
      <c r="U480" s="337"/>
      <c r="V480" s="338"/>
    </row>
    <row r="481" spans="2:22" ht="13.5">
      <c r="B481" s="1577">
        <v>201509</v>
      </c>
      <c r="C481" s="324" t="s">
        <v>459</v>
      </c>
      <c r="D481" s="325" t="s">
        <v>799</v>
      </c>
      <c r="E481" s="325" t="s">
        <v>800</v>
      </c>
      <c r="F481" s="460">
        <v>2483.4349999999999</v>
      </c>
      <c r="G481" s="92">
        <v>688.904</v>
      </c>
      <c r="H481" s="279">
        <v>653.05100000000004</v>
      </c>
      <c r="I481" s="154">
        <v>35</v>
      </c>
      <c r="J481" s="576">
        <v>0.59321999999999997</v>
      </c>
      <c r="K481" s="578">
        <v>14.059265306122001</v>
      </c>
      <c r="L481" s="437">
        <v>1.4</v>
      </c>
      <c r="M481" s="42"/>
      <c r="N481" s="47">
        <v>65</v>
      </c>
      <c r="O481" s="45">
        <v>50</v>
      </c>
      <c r="P481" s="45">
        <v>14</v>
      </c>
      <c r="Q481" s="388">
        <v>1</v>
      </c>
      <c r="R481" s="429">
        <v>5</v>
      </c>
      <c r="S481" s="92">
        <v>1</v>
      </c>
      <c r="T481" s="361">
        <v>16</v>
      </c>
      <c r="U481" s="285">
        <v>10</v>
      </c>
      <c r="V481" s="438">
        <v>0.66666666666666696</v>
      </c>
    </row>
    <row r="482" spans="2:22" ht="13.5">
      <c r="B482" s="1577">
        <v>201509</v>
      </c>
      <c r="C482" s="326" t="s">
        <v>459</v>
      </c>
      <c r="D482" s="327" t="s">
        <v>1567</v>
      </c>
      <c r="E482" s="327" t="s">
        <v>1028</v>
      </c>
      <c r="F482" s="459">
        <v>2668.2649999999999</v>
      </c>
      <c r="G482" s="339">
        <v>889.85900000000004</v>
      </c>
      <c r="H482" s="337">
        <v>872.94</v>
      </c>
      <c r="I482" s="331">
        <v>42</v>
      </c>
      <c r="J482" s="577">
        <v>0.53164599999999995</v>
      </c>
      <c r="K482" s="579">
        <v>16.78979245283</v>
      </c>
      <c r="L482" s="436">
        <v>1.2619050000000001</v>
      </c>
      <c r="M482" s="42"/>
      <c r="N482" s="334">
        <v>86</v>
      </c>
      <c r="O482" s="335">
        <v>59</v>
      </c>
      <c r="P482" s="335">
        <v>26</v>
      </c>
      <c r="Q482" s="389">
        <v>1</v>
      </c>
      <c r="R482" s="430">
        <v>10</v>
      </c>
      <c r="S482" s="339">
        <v>5</v>
      </c>
      <c r="T482" s="362">
        <v>19</v>
      </c>
      <c r="U482" s="337">
        <v>12</v>
      </c>
      <c r="V482" s="338">
        <v>0.44444444444444398</v>
      </c>
    </row>
    <row r="483" spans="2:22" ht="13.5">
      <c r="B483" s="1577">
        <v>201509</v>
      </c>
      <c r="C483" s="324" t="s">
        <v>459</v>
      </c>
      <c r="D483" s="325" t="s">
        <v>177</v>
      </c>
      <c r="E483" s="325" t="s">
        <v>189</v>
      </c>
      <c r="F483" s="460">
        <v>6281.4770000000099</v>
      </c>
      <c r="G483" s="92">
        <v>1027.261</v>
      </c>
      <c r="H483" s="279">
        <v>1050.5650000000001</v>
      </c>
      <c r="I483" s="154">
        <v>33</v>
      </c>
      <c r="J483" s="576">
        <v>0.36871500000000001</v>
      </c>
      <c r="K483" s="578">
        <v>17.121016666667</v>
      </c>
      <c r="L483" s="437">
        <v>1.818182</v>
      </c>
      <c r="M483" s="42"/>
      <c r="N483" s="47">
        <v>87</v>
      </c>
      <c r="O483" s="45">
        <v>56</v>
      </c>
      <c r="P483" s="45">
        <v>30</v>
      </c>
      <c r="Q483" s="388">
        <v>1</v>
      </c>
      <c r="R483" s="429">
        <v>16</v>
      </c>
      <c r="S483" s="92">
        <v>1</v>
      </c>
      <c r="T483" s="361">
        <v>10</v>
      </c>
      <c r="U483" s="285">
        <v>8</v>
      </c>
      <c r="V483" s="438">
        <v>0.25806451612903197</v>
      </c>
    </row>
    <row r="484" spans="2:22" ht="13.5">
      <c r="B484" s="1577">
        <v>201509</v>
      </c>
      <c r="C484" s="326" t="s">
        <v>459</v>
      </c>
      <c r="D484" s="327" t="s">
        <v>1568</v>
      </c>
      <c r="E484" s="327" t="s">
        <v>1569</v>
      </c>
      <c r="F484" s="459">
        <v>3449.1959999999999</v>
      </c>
      <c r="G484" s="339">
        <v>1419.557</v>
      </c>
      <c r="H484" s="337">
        <v>1419.557</v>
      </c>
      <c r="I484" s="331">
        <v>71</v>
      </c>
      <c r="J484" s="577">
        <v>0.57723599999999997</v>
      </c>
      <c r="K484" s="579">
        <v>12.030144067797</v>
      </c>
      <c r="L484" s="436">
        <v>1.661972</v>
      </c>
      <c r="M484" s="42"/>
      <c r="N484" s="334">
        <v>139</v>
      </c>
      <c r="O484" s="335">
        <v>93</v>
      </c>
      <c r="P484" s="335">
        <v>45</v>
      </c>
      <c r="Q484" s="389">
        <v>1</v>
      </c>
      <c r="R484" s="430">
        <v>12</v>
      </c>
      <c r="S484" s="339">
        <v>18</v>
      </c>
      <c r="T484" s="362">
        <v>26</v>
      </c>
      <c r="U484" s="337">
        <v>18</v>
      </c>
      <c r="V484" s="338">
        <v>0.39130434782608697</v>
      </c>
    </row>
    <row r="485" spans="2:22" ht="13.5">
      <c r="B485" s="1577">
        <v>201509</v>
      </c>
      <c r="C485" s="324" t="s">
        <v>459</v>
      </c>
      <c r="D485" s="325" t="s">
        <v>176</v>
      </c>
      <c r="E485" s="325" t="s">
        <v>188</v>
      </c>
      <c r="F485" s="460">
        <v>14682.561</v>
      </c>
      <c r="G485" s="92">
        <v>2276.018</v>
      </c>
      <c r="H485" s="279">
        <v>2268.1550000000002</v>
      </c>
      <c r="I485" s="154">
        <v>81</v>
      </c>
      <c r="J485" s="576">
        <v>0.54545500000000002</v>
      </c>
      <c r="K485" s="578">
        <v>21.074240740741001</v>
      </c>
      <c r="L485" s="437">
        <v>1.3333330000000001</v>
      </c>
      <c r="M485" s="42"/>
      <c r="N485" s="47">
        <v>160</v>
      </c>
      <c r="O485" s="45">
        <v>128</v>
      </c>
      <c r="P485" s="45">
        <v>28</v>
      </c>
      <c r="Q485" s="388">
        <v>4</v>
      </c>
      <c r="R485" s="429">
        <v>12</v>
      </c>
      <c r="S485" s="92">
        <v>2</v>
      </c>
      <c r="T485" s="361">
        <v>32</v>
      </c>
      <c r="U485" s="285">
        <v>17</v>
      </c>
      <c r="V485" s="438">
        <v>0.53125</v>
      </c>
    </row>
    <row r="486" spans="2:22" ht="13.5">
      <c r="B486" s="1577">
        <v>201509</v>
      </c>
      <c r="C486" s="326" t="s">
        <v>459</v>
      </c>
      <c r="D486" s="327" t="s">
        <v>1572</v>
      </c>
      <c r="E486" s="327" t="s">
        <v>1573</v>
      </c>
      <c r="F486" s="459">
        <v>972.28399999999999</v>
      </c>
      <c r="G486" s="339">
        <v>481.81599999999997</v>
      </c>
      <c r="H486" s="337">
        <v>413.733</v>
      </c>
      <c r="I486" s="331">
        <v>25</v>
      </c>
      <c r="J486" s="577">
        <v>0.46728999999999998</v>
      </c>
      <c r="K486" s="579">
        <v>14.171058823529</v>
      </c>
      <c r="L486" s="436">
        <v>1.36</v>
      </c>
      <c r="M486" s="42"/>
      <c r="N486" s="334">
        <v>59</v>
      </c>
      <c r="O486" s="335">
        <v>46</v>
      </c>
      <c r="P486" s="335">
        <v>13</v>
      </c>
      <c r="Q486" s="389">
        <v>0</v>
      </c>
      <c r="R486" s="430">
        <v>2</v>
      </c>
      <c r="S486" s="339">
        <v>1</v>
      </c>
      <c r="T486" s="362">
        <v>12</v>
      </c>
      <c r="U486" s="337">
        <v>7</v>
      </c>
      <c r="V486" s="338">
        <v>0.53846153846153799</v>
      </c>
    </row>
    <row r="487" spans="2:22" ht="13.5">
      <c r="B487" s="1577">
        <v>201509</v>
      </c>
      <c r="C487" s="324" t="s">
        <v>459</v>
      </c>
      <c r="D487" s="325" t="s">
        <v>1104</v>
      </c>
      <c r="E487" s="325" t="s">
        <v>1287</v>
      </c>
      <c r="F487" s="460">
        <v>3083.8530000000001</v>
      </c>
      <c r="G487" s="92">
        <v>650.46199999999999</v>
      </c>
      <c r="H487" s="279">
        <v>650.46199999999999</v>
      </c>
      <c r="I487" s="154">
        <v>39</v>
      </c>
      <c r="J487" s="576">
        <v>0.36448599999999998</v>
      </c>
      <c r="K487" s="578">
        <v>11.826581818181999</v>
      </c>
      <c r="L487" s="437">
        <v>1.410256</v>
      </c>
      <c r="M487" s="42"/>
      <c r="N487" s="47">
        <v>110</v>
      </c>
      <c r="O487" s="45">
        <v>86</v>
      </c>
      <c r="P487" s="45">
        <v>20</v>
      </c>
      <c r="Q487" s="388">
        <v>4</v>
      </c>
      <c r="R487" s="429">
        <v>17</v>
      </c>
      <c r="S487" s="92">
        <v>4</v>
      </c>
      <c r="T487" s="361">
        <v>19</v>
      </c>
      <c r="U487" s="285">
        <v>14</v>
      </c>
      <c r="V487" s="438">
        <v>0.58333333333333304</v>
      </c>
    </row>
    <row r="488" spans="2:22" ht="13.5">
      <c r="B488" s="1577">
        <v>201509</v>
      </c>
      <c r="C488" s="326" t="s">
        <v>2048</v>
      </c>
      <c r="D488" s="327" t="s">
        <v>2046</v>
      </c>
      <c r="E488" s="327" t="s">
        <v>2054</v>
      </c>
      <c r="F488" s="459">
        <v>123.383</v>
      </c>
      <c r="G488" s="339">
        <v>153.35599999999999</v>
      </c>
      <c r="H488" s="337">
        <v>123.383</v>
      </c>
      <c r="I488" s="331">
        <v>6</v>
      </c>
      <c r="J488" s="577">
        <v>0.244898</v>
      </c>
      <c r="K488" s="579">
        <v>12.779666666667</v>
      </c>
      <c r="L488" s="436">
        <v>2</v>
      </c>
      <c r="M488" s="42"/>
      <c r="N488" s="334">
        <v>49</v>
      </c>
      <c r="O488" s="335">
        <v>31</v>
      </c>
      <c r="P488" s="335">
        <v>18</v>
      </c>
      <c r="Q488" s="389">
        <v>0</v>
      </c>
      <c r="R488" s="430">
        <v>0</v>
      </c>
      <c r="S488" s="339">
        <v>18</v>
      </c>
      <c r="T488" s="362">
        <v>31</v>
      </c>
      <c r="U488" s="337">
        <v>16</v>
      </c>
      <c r="V488" s="338">
        <v>0.88888888888888895</v>
      </c>
    </row>
    <row r="489" spans="2:22" ht="13.5">
      <c r="B489" s="1703">
        <v>201508</v>
      </c>
      <c r="C489" s="326" t="s">
        <v>458</v>
      </c>
      <c r="D489" s="327" t="s">
        <v>1563</v>
      </c>
      <c r="E489" s="327" t="s">
        <v>1564</v>
      </c>
      <c r="F489" s="459">
        <v>670.24699999999996</v>
      </c>
      <c r="G489" s="339">
        <v>198.54900000000001</v>
      </c>
      <c r="H489" s="337">
        <v>159.41999999999999</v>
      </c>
      <c r="I489" s="331">
        <v>9</v>
      </c>
      <c r="J489" s="577">
        <v>0.33333299999999999</v>
      </c>
      <c r="K489" s="579">
        <v>16.545750000000002</v>
      </c>
      <c r="L489" s="436">
        <v>1.3333330000000001</v>
      </c>
      <c r="M489" s="42"/>
      <c r="N489" s="334">
        <v>28</v>
      </c>
      <c r="O489" s="335">
        <v>19</v>
      </c>
      <c r="P489" s="335">
        <v>8</v>
      </c>
      <c r="Q489" s="389">
        <v>1</v>
      </c>
      <c r="R489" s="430">
        <v>0</v>
      </c>
      <c r="S489" s="339"/>
      <c r="T489" s="362">
        <v>2</v>
      </c>
      <c r="U489" s="337">
        <v>2</v>
      </c>
      <c r="V489" s="338">
        <v>0.22222222222222199</v>
      </c>
    </row>
    <row r="490" spans="2:22" ht="13.5">
      <c r="B490" s="1703">
        <v>201508</v>
      </c>
      <c r="C490" s="324" t="s">
        <v>458</v>
      </c>
      <c r="D490" s="325" t="s">
        <v>1099</v>
      </c>
      <c r="E490" s="325" t="s">
        <v>1286</v>
      </c>
      <c r="F490" s="460">
        <v>4622.9930000000004</v>
      </c>
      <c r="G490" s="92">
        <v>481.38</v>
      </c>
      <c r="H490" s="279">
        <v>491.80599999999998</v>
      </c>
      <c r="I490" s="154">
        <v>26</v>
      </c>
      <c r="J490" s="576">
        <v>0.42623</v>
      </c>
      <c r="K490" s="578">
        <v>15.043125</v>
      </c>
      <c r="L490" s="437">
        <v>1.230769</v>
      </c>
      <c r="M490" s="42"/>
      <c r="N490" s="47">
        <v>62</v>
      </c>
      <c r="O490" s="45">
        <v>47</v>
      </c>
      <c r="P490" s="45">
        <v>13</v>
      </c>
      <c r="Q490" s="388">
        <v>2</v>
      </c>
      <c r="R490" s="429">
        <v>0</v>
      </c>
      <c r="S490" s="92"/>
      <c r="T490" s="361">
        <v>1</v>
      </c>
      <c r="U490" s="285">
        <v>1</v>
      </c>
      <c r="V490" s="438">
        <v>6.6666666666666693E-2</v>
      </c>
    </row>
    <row r="491" spans="2:22" ht="13.5">
      <c r="B491" s="1703">
        <v>201508</v>
      </c>
      <c r="C491" s="326" t="s">
        <v>458</v>
      </c>
      <c r="D491" s="327" t="s">
        <v>900</v>
      </c>
      <c r="E491" s="327" t="s">
        <v>901</v>
      </c>
      <c r="F491" s="459">
        <v>3704.4929999999999</v>
      </c>
      <c r="G491" s="339">
        <v>141.61099999999999</v>
      </c>
      <c r="H491" s="337">
        <v>175.14699999999999</v>
      </c>
      <c r="I491" s="331">
        <v>8</v>
      </c>
      <c r="J491" s="577">
        <v>0.23188400000000001</v>
      </c>
      <c r="K491" s="579">
        <v>14.161099999999999</v>
      </c>
      <c r="L491" s="436">
        <v>1.25</v>
      </c>
      <c r="M491" s="42"/>
      <c r="N491" s="334">
        <v>39</v>
      </c>
      <c r="O491" s="335">
        <v>26</v>
      </c>
      <c r="P491" s="335">
        <v>12</v>
      </c>
      <c r="Q491" s="389">
        <v>1</v>
      </c>
      <c r="R491" s="430">
        <v>0</v>
      </c>
      <c r="S491" s="339">
        <v>4</v>
      </c>
      <c r="T491" s="362">
        <v>5</v>
      </c>
      <c r="U491" s="337">
        <v>4</v>
      </c>
      <c r="V491" s="338">
        <v>0.30769230769230799</v>
      </c>
    </row>
    <row r="492" spans="2:22" ht="13.5">
      <c r="B492" s="1703">
        <v>201508</v>
      </c>
      <c r="C492" s="324" t="s">
        <v>458</v>
      </c>
      <c r="D492" s="325" t="s">
        <v>649</v>
      </c>
      <c r="E492" s="325" t="s">
        <v>645</v>
      </c>
      <c r="F492" s="460">
        <v>3125</v>
      </c>
      <c r="G492" s="92">
        <v>212.51499999999999</v>
      </c>
      <c r="H492" s="279">
        <v>238.501</v>
      </c>
      <c r="I492" s="154">
        <v>11</v>
      </c>
      <c r="J492" s="576">
        <v>0.18032799999999999</v>
      </c>
      <c r="K492" s="578">
        <v>15.179642857143</v>
      </c>
      <c r="L492" s="437">
        <v>1.2727269999999999</v>
      </c>
      <c r="M492" s="42"/>
      <c r="N492" s="47">
        <v>65</v>
      </c>
      <c r="O492" s="45">
        <v>47</v>
      </c>
      <c r="P492" s="45">
        <v>16</v>
      </c>
      <c r="Q492" s="388">
        <v>2</v>
      </c>
      <c r="R492" s="429">
        <v>5</v>
      </c>
      <c r="S492" s="92">
        <v>3</v>
      </c>
      <c r="T492" s="361">
        <v>10</v>
      </c>
      <c r="U492" s="285">
        <v>7</v>
      </c>
      <c r="V492" s="438">
        <v>0.38888888888888901</v>
      </c>
    </row>
    <row r="493" spans="2:22" ht="13.5">
      <c r="B493" s="1703">
        <v>201508</v>
      </c>
      <c r="C493" s="326" t="s">
        <v>458</v>
      </c>
      <c r="D493" s="327" t="s">
        <v>650</v>
      </c>
      <c r="E493" s="327" t="s">
        <v>1777</v>
      </c>
      <c r="F493" s="459">
        <v>1027.098</v>
      </c>
      <c r="G493" s="339">
        <v>125.866</v>
      </c>
      <c r="H493" s="337">
        <v>121.505</v>
      </c>
      <c r="I493" s="331">
        <v>6</v>
      </c>
      <c r="J493" s="577">
        <v>9.375E-2</v>
      </c>
      <c r="K493" s="579">
        <v>12.586600000000001</v>
      </c>
      <c r="L493" s="436">
        <v>1.6666669999999999</v>
      </c>
      <c r="M493" s="42"/>
      <c r="N493" s="334">
        <v>63</v>
      </c>
      <c r="O493" s="335">
        <v>42</v>
      </c>
      <c r="P493" s="335">
        <v>16</v>
      </c>
      <c r="Q493" s="389">
        <v>5</v>
      </c>
      <c r="R493" s="430">
        <v>5</v>
      </c>
      <c r="S493" s="339"/>
      <c r="T493" s="362">
        <v>3</v>
      </c>
      <c r="U493" s="337">
        <v>2</v>
      </c>
      <c r="V493" s="338">
        <v>9.5238095238095205E-2</v>
      </c>
    </row>
    <row r="494" spans="2:22" ht="13.5">
      <c r="B494" s="1703">
        <v>201508</v>
      </c>
      <c r="C494" s="324" t="s">
        <v>458</v>
      </c>
      <c r="D494" s="325" t="s">
        <v>902</v>
      </c>
      <c r="E494" s="325" t="s">
        <v>1014</v>
      </c>
      <c r="F494" s="460">
        <v>2472.4679999999998</v>
      </c>
      <c r="G494" s="92">
        <v>481.74900000000002</v>
      </c>
      <c r="H494" s="279">
        <v>407.11500000000001</v>
      </c>
      <c r="I494" s="154">
        <v>24</v>
      </c>
      <c r="J494" s="576">
        <v>0.36363600000000001</v>
      </c>
      <c r="K494" s="578">
        <v>17.205321428571001</v>
      </c>
      <c r="L494" s="437">
        <v>1.1666669999999999</v>
      </c>
      <c r="M494" s="42"/>
      <c r="N494" s="47">
        <v>69</v>
      </c>
      <c r="O494" s="45">
        <v>49</v>
      </c>
      <c r="P494" s="45">
        <v>20</v>
      </c>
      <c r="Q494" s="388">
        <v>0</v>
      </c>
      <c r="R494" s="429">
        <v>5</v>
      </c>
      <c r="S494" s="92">
        <v>2</v>
      </c>
      <c r="T494" s="361">
        <v>6</v>
      </c>
      <c r="U494" s="285">
        <v>5</v>
      </c>
      <c r="V494" s="438">
        <v>0.25</v>
      </c>
    </row>
    <row r="495" spans="2:22" ht="13.5">
      <c r="B495" s="1703">
        <v>201508</v>
      </c>
      <c r="C495" s="326" t="s">
        <v>458</v>
      </c>
      <c r="D495" s="327" t="s">
        <v>642</v>
      </c>
      <c r="E495" s="327" t="s">
        <v>641</v>
      </c>
      <c r="F495" s="459">
        <v>3902.4749999999999</v>
      </c>
      <c r="G495" s="339">
        <v>449.33699999999999</v>
      </c>
      <c r="H495" s="337">
        <v>436.42700000000002</v>
      </c>
      <c r="I495" s="331">
        <v>13</v>
      </c>
      <c r="J495" s="577">
        <v>0.25</v>
      </c>
      <c r="K495" s="579">
        <v>21.396999999999998</v>
      </c>
      <c r="L495" s="436">
        <v>1.6153850000000001</v>
      </c>
      <c r="M495" s="42"/>
      <c r="N495" s="334">
        <v>54</v>
      </c>
      <c r="O495" s="335">
        <v>38</v>
      </c>
      <c r="P495" s="335">
        <v>16</v>
      </c>
      <c r="Q495" s="389">
        <v>0</v>
      </c>
      <c r="R495" s="430">
        <v>0</v>
      </c>
      <c r="S495" s="339"/>
      <c r="T495" s="362">
        <v>4</v>
      </c>
      <c r="U495" s="337">
        <v>4</v>
      </c>
      <c r="V495" s="338">
        <v>0.25</v>
      </c>
    </row>
    <row r="496" spans="2:22" ht="13.5">
      <c r="B496" s="1703">
        <v>201508</v>
      </c>
      <c r="C496" s="324" t="s">
        <v>458</v>
      </c>
      <c r="D496" s="325" t="s">
        <v>91</v>
      </c>
      <c r="E496" s="325" t="s">
        <v>92</v>
      </c>
      <c r="F496" s="460">
        <v>5495.0460000000103</v>
      </c>
      <c r="G496" s="92">
        <v>659.24599999999998</v>
      </c>
      <c r="H496" s="279">
        <v>683.32500000000005</v>
      </c>
      <c r="I496" s="154">
        <v>31</v>
      </c>
      <c r="J496" s="576">
        <v>0.28985499999999997</v>
      </c>
      <c r="K496" s="578">
        <v>13.454000000000001</v>
      </c>
      <c r="L496" s="437">
        <v>1.5806450000000001</v>
      </c>
      <c r="M496" s="42"/>
      <c r="N496" s="47">
        <v>106</v>
      </c>
      <c r="O496" s="45">
        <v>76</v>
      </c>
      <c r="P496" s="45">
        <v>25</v>
      </c>
      <c r="Q496" s="388">
        <v>5</v>
      </c>
      <c r="R496" s="429">
        <v>11</v>
      </c>
      <c r="S496" s="92"/>
      <c r="T496" s="361">
        <v>10</v>
      </c>
      <c r="U496" s="285">
        <v>7</v>
      </c>
      <c r="V496" s="438">
        <v>0.233333333333333</v>
      </c>
    </row>
    <row r="497" spans="2:22" ht="13.5">
      <c r="B497" s="1703">
        <v>201508</v>
      </c>
      <c r="C497" s="326" t="s">
        <v>458</v>
      </c>
      <c r="D497" s="327" t="s">
        <v>187</v>
      </c>
      <c r="E497" s="327" t="s">
        <v>194</v>
      </c>
      <c r="F497" s="459">
        <v>2037.8779999999999</v>
      </c>
      <c r="G497" s="339">
        <v>269.072</v>
      </c>
      <c r="H497" s="337">
        <v>278.69499999999999</v>
      </c>
      <c r="I497" s="331">
        <v>15</v>
      </c>
      <c r="J497" s="577">
        <v>0.25210100000000002</v>
      </c>
      <c r="K497" s="579">
        <v>13.4536</v>
      </c>
      <c r="L497" s="436">
        <v>1.3333330000000001</v>
      </c>
      <c r="M497" s="42"/>
      <c r="N497" s="334">
        <v>62</v>
      </c>
      <c r="O497" s="335">
        <v>45</v>
      </c>
      <c r="P497" s="335">
        <v>15</v>
      </c>
      <c r="Q497" s="389">
        <v>2</v>
      </c>
      <c r="R497" s="430">
        <v>4</v>
      </c>
      <c r="S497" s="339"/>
      <c r="T497" s="362">
        <v>9</v>
      </c>
      <c r="U497" s="337">
        <v>8</v>
      </c>
      <c r="V497" s="338">
        <v>0.47058823529411797</v>
      </c>
    </row>
    <row r="498" spans="2:22" ht="13.5">
      <c r="B498" s="1703">
        <v>201508</v>
      </c>
      <c r="C498" s="324" t="s">
        <v>458</v>
      </c>
      <c r="D498" s="325" t="s">
        <v>734</v>
      </c>
      <c r="E498" s="325" t="s">
        <v>1766</v>
      </c>
      <c r="F498" s="460">
        <v>6210.6750000000102</v>
      </c>
      <c r="G498" s="92">
        <v>852.71900000000005</v>
      </c>
      <c r="H498" s="279">
        <v>761.11099999999999</v>
      </c>
      <c r="I498" s="154">
        <v>29</v>
      </c>
      <c r="J498" s="576">
        <v>0.149871</v>
      </c>
      <c r="K498" s="578">
        <v>21.864589743589999</v>
      </c>
      <c r="L498" s="437">
        <v>1.3448279999999999</v>
      </c>
      <c r="M498" s="42"/>
      <c r="N498" s="47">
        <v>196</v>
      </c>
      <c r="O498" s="45">
        <v>153</v>
      </c>
      <c r="P498" s="45">
        <v>39</v>
      </c>
      <c r="Q498" s="388">
        <v>4</v>
      </c>
      <c r="R498" s="429">
        <v>18</v>
      </c>
      <c r="S498" s="92">
        <v>1</v>
      </c>
      <c r="T498" s="361">
        <v>21</v>
      </c>
      <c r="U498" s="285">
        <v>13</v>
      </c>
      <c r="V498" s="438">
        <v>0.30232558139534899</v>
      </c>
    </row>
    <row r="499" spans="2:22" ht="13.5">
      <c r="B499" s="1703">
        <v>201508</v>
      </c>
      <c r="C499" s="326" t="s">
        <v>458</v>
      </c>
      <c r="D499" s="327" t="s">
        <v>735</v>
      </c>
      <c r="E499" s="327" t="s">
        <v>790</v>
      </c>
      <c r="F499" s="459">
        <v>8013.2610000000204</v>
      </c>
      <c r="G499" s="339">
        <v>1125.252</v>
      </c>
      <c r="H499" s="337">
        <v>1036.25</v>
      </c>
      <c r="I499" s="331">
        <v>29</v>
      </c>
      <c r="J499" s="577">
        <v>0.38095200000000001</v>
      </c>
      <c r="K499" s="579">
        <v>25.573909090909002</v>
      </c>
      <c r="L499" s="436">
        <v>1.5172410000000001</v>
      </c>
      <c r="M499" s="42"/>
      <c r="N499" s="334">
        <v>77</v>
      </c>
      <c r="O499" s="335">
        <v>62</v>
      </c>
      <c r="P499" s="335">
        <v>13</v>
      </c>
      <c r="Q499" s="389">
        <v>2</v>
      </c>
      <c r="R499" s="430">
        <v>4</v>
      </c>
      <c r="S499" s="339">
        <v>1</v>
      </c>
      <c r="T499" s="362">
        <v>6</v>
      </c>
      <c r="U499" s="337">
        <v>4</v>
      </c>
      <c r="V499" s="338">
        <v>0.266666666666667</v>
      </c>
    </row>
    <row r="500" spans="2:22" ht="13.5">
      <c r="B500" s="1703">
        <v>201508</v>
      </c>
      <c r="C500" s="324" t="s">
        <v>458</v>
      </c>
      <c r="D500" s="325" t="s">
        <v>798</v>
      </c>
      <c r="E500" s="325" t="s">
        <v>1768</v>
      </c>
      <c r="F500" s="460">
        <v>2993.029</v>
      </c>
      <c r="G500" s="92">
        <v>294.59500000000003</v>
      </c>
      <c r="H500" s="279">
        <v>355.82499999999999</v>
      </c>
      <c r="I500" s="154">
        <v>10</v>
      </c>
      <c r="J500" s="576">
        <v>0.215054</v>
      </c>
      <c r="K500" s="578">
        <v>18.412187500000002</v>
      </c>
      <c r="L500" s="437">
        <v>1.6</v>
      </c>
      <c r="M500" s="42"/>
      <c r="N500" s="47">
        <v>49</v>
      </c>
      <c r="O500" s="45">
        <v>36</v>
      </c>
      <c r="P500" s="45">
        <v>11</v>
      </c>
      <c r="Q500" s="388">
        <v>2</v>
      </c>
      <c r="R500" s="429">
        <v>0</v>
      </c>
      <c r="S500" s="92"/>
      <c r="T500" s="361">
        <v>5</v>
      </c>
      <c r="U500" s="285">
        <v>4</v>
      </c>
      <c r="V500" s="438">
        <v>0.30769230769230799</v>
      </c>
    </row>
    <row r="501" spans="2:22" ht="13.5">
      <c r="B501" s="1703">
        <v>201508</v>
      </c>
      <c r="C501" s="326" t="s">
        <v>458</v>
      </c>
      <c r="D501" s="327" t="s">
        <v>949</v>
      </c>
      <c r="E501" s="327" t="s">
        <v>950</v>
      </c>
      <c r="F501" s="459">
        <v>4748.9130000000096</v>
      </c>
      <c r="G501" s="339">
        <v>560.95100000000002</v>
      </c>
      <c r="H501" s="337">
        <v>530.39099999999996</v>
      </c>
      <c r="I501" s="331">
        <v>23</v>
      </c>
      <c r="J501" s="577">
        <v>0.24598900000000001</v>
      </c>
      <c r="K501" s="579">
        <v>15.581972222221999</v>
      </c>
      <c r="L501" s="436">
        <v>1.5652170000000001</v>
      </c>
      <c r="M501" s="42"/>
      <c r="N501" s="334">
        <v>99</v>
      </c>
      <c r="O501" s="335">
        <v>74</v>
      </c>
      <c r="P501" s="335">
        <v>20</v>
      </c>
      <c r="Q501" s="389">
        <v>5</v>
      </c>
      <c r="R501" s="430">
        <v>12</v>
      </c>
      <c r="S501" s="339">
        <v>2</v>
      </c>
      <c r="T501" s="362">
        <v>21</v>
      </c>
      <c r="U501" s="337">
        <v>14</v>
      </c>
      <c r="V501" s="338">
        <v>0.56000000000000005</v>
      </c>
    </row>
    <row r="502" spans="2:22" ht="13.5">
      <c r="B502" s="1703">
        <v>201508</v>
      </c>
      <c r="C502" s="324" t="s">
        <v>458</v>
      </c>
      <c r="D502" s="325" t="s">
        <v>903</v>
      </c>
      <c r="E502" s="325" t="s">
        <v>904</v>
      </c>
      <c r="F502" s="460">
        <v>5473.8459999999995</v>
      </c>
      <c r="G502" s="92">
        <v>994.47</v>
      </c>
      <c r="H502" s="279">
        <v>957.78499999999997</v>
      </c>
      <c r="I502" s="154">
        <v>31</v>
      </c>
      <c r="J502" s="576">
        <v>0.33155099999999998</v>
      </c>
      <c r="K502" s="578">
        <v>18.081272727272999</v>
      </c>
      <c r="L502" s="437">
        <v>1.774194</v>
      </c>
      <c r="M502" s="42"/>
      <c r="N502" s="47">
        <v>95</v>
      </c>
      <c r="O502" s="45">
        <v>66</v>
      </c>
      <c r="P502" s="45">
        <v>26</v>
      </c>
      <c r="Q502" s="388">
        <v>3</v>
      </c>
      <c r="R502" s="429">
        <v>6</v>
      </c>
      <c r="S502" s="92">
        <v>1</v>
      </c>
      <c r="T502" s="361">
        <v>8</v>
      </c>
      <c r="U502" s="285">
        <v>8</v>
      </c>
      <c r="V502" s="438">
        <v>0.27586206896551702</v>
      </c>
    </row>
    <row r="503" spans="2:22" ht="13.5">
      <c r="B503" s="1703">
        <v>201508</v>
      </c>
      <c r="C503" s="326" t="s">
        <v>458</v>
      </c>
      <c r="D503" s="327" t="s">
        <v>1101</v>
      </c>
      <c r="E503" s="327" t="s">
        <v>1162</v>
      </c>
      <c r="F503" s="459">
        <v>1568.375</v>
      </c>
      <c r="G503" s="339">
        <v>155.11199999999999</v>
      </c>
      <c r="H503" s="337">
        <v>153.96100000000001</v>
      </c>
      <c r="I503" s="331">
        <v>13</v>
      </c>
      <c r="J503" s="577">
        <v>0.24761900000000001</v>
      </c>
      <c r="K503" s="579">
        <v>11.931692307692</v>
      </c>
      <c r="L503" s="436">
        <v>1</v>
      </c>
      <c r="M503" s="42"/>
      <c r="N503" s="334">
        <v>62</v>
      </c>
      <c r="O503" s="335">
        <v>43</v>
      </c>
      <c r="P503" s="335">
        <v>19</v>
      </c>
      <c r="Q503" s="389">
        <v>0</v>
      </c>
      <c r="R503" s="430">
        <v>0</v>
      </c>
      <c r="S503" s="339">
        <v>5</v>
      </c>
      <c r="T503" s="362">
        <v>14</v>
      </c>
      <c r="U503" s="337">
        <v>9</v>
      </c>
      <c r="V503" s="338">
        <v>0.47368421052631599</v>
      </c>
    </row>
    <row r="504" spans="2:22" ht="13.5">
      <c r="B504" s="1703">
        <v>201508</v>
      </c>
      <c r="C504" s="324" t="s">
        <v>458</v>
      </c>
      <c r="D504" s="325" t="s">
        <v>1102</v>
      </c>
      <c r="E504" s="325" t="s">
        <v>1163</v>
      </c>
      <c r="F504" s="460">
        <v>3104.9140000000002</v>
      </c>
      <c r="G504" s="92">
        <v>410.30200000000002</v>
      </c>
      <c r="H504" s="279">
        <v>382.608</v>
      </c>
      <c r="I504" s="154">
        <v>24</v>
      </c>
      <c r="J504" s="576">
        <v>0.24870500000000001</v>
      </c>
      <c r="K504" s="578">
        <v>10.797421052632</v>
      </c>
      <c r="L504" s="437">
        <v>1.5833330000000001</v>
      </c>
      <c r="M504" s="42"/>
      <c r="N504" s="47">
        <v>104</v>
      </c>
      <c r="O504" s="45">
        <v>80</v>
      </c>
      <c r="P504" s="45">
        <v>24</v>
      </c>
      <c r="Q504" s="388">
        <v>0</v>
      </c>
      <c r="R504" s="429">
        <v>2</v>
      </c>
      <c r="S504" s="92">
        <v>2</v>
      </c>
      <c r="T504" s="361">
        <v>15</v>
      </c>
      <c r="U504" s="285">
        <v>7</v>
      </c>
      <c r="V504" s="438">
        <v>0.29166666666666702</v>
      </c>
    </row>
    <row r="505" spans="2:22" ht="13.5">
      <c r="B505" s="1703">
        <v>201508</v>
      </c>
      <c r="C505" s="326" t="s">
        <v>458</v>
      </c>
      <c r="D505" s="327" t="s">
        <v>628</v>
      </c>
      <c r="E505" s="327" t="s">
        <v>629</v>
      </c>
      <c r="F505" s="459">
        <v>2018.2560000000001</v>
      </c>
      <c r="G505" s="339">
        <v>182.63900000000001</v>
      </c>
      <c r="H505" s="337">
        <v>182.63900000000001</v>
      </c>
      <c r="I505" s="331">
        <v>9</v>
      </c>
      <c r="J505" s="577">
        <v>0.19148899999999999</v>
      </c>
      <c r="K505" s="579">
        <v>13.045642857142999</v>
      </c>
      <c r="L505" s="436">
        <v>1.5555559999999999</v>
      </c>
      <c r="M505" s="42"/>
      <c r="N505" s="334">
        <v>47</v>
      </c>
      <c r="O505" s="335">
        <v>26</v>
      </c>
      <c r="P505" s="335">
        <v>14</v>
      </c>
      <c r="Q505" s="389">
        <v>7</v>
      </c>
      <c r="R505" s="430">
        <v>3</v>
      </c>
      <c r="S505" s="339"/>
      <c r="T505" s="362">
        <v>3</v>
      </c>
      <c r="U505" s="337">
        <v>3</v>
      </c>
      <c r="V505" s="338">
        <v>0.14285714285714299</v>
      </c>
    </row>
    <row r="506" spans="2:22" ht="13.5">
      <c r="B506" s="1703">
        <v>201508</v>
      </c>
      <c r="C506" s="324" t="s">
        <v>458</v>
      </c>
      <c r="D506" s="325" t="s">
        <v>1565</v>
      </c>
      <c r="E506" s="325" t="s">
        <v>1566</v>
      </c>
      <c r="F506" s="460">
        <v>347.38099999999997</v>
      </c>
      <c r="G506" s="92">
        <v>146.101</v>
      </c>
      <c r="H506" s="279">
        <v>140.74600000000001</v>
      </c>
      <c r="I506" s="154">
        <v>10</v>
      </c>
      <c r="J506" s="576">
        <v>0.45454499999999998</v>
      </c>
      <c r="K506" s="578">
        <v>11.238538461538001</v>
      </c>
      <c r="L506" s="437">
        <v>1.3</v>
      </c>
      <c r="M506" s="42"/>
      <c r="N506" s="47">
        <v>27</v>
      </c>
      <c r="O506" s="45">
        <v>21</v>
      </c>
      <c r="P506" s="45">
        <v>6</v>
      </c>
      <c r="Q506" s="388">
        <v>0</v>
      </c>
      <c r="R506" s="429">
        <v>0</v>
      </c>
      <c r="S506" s="92">
        <v>1</v>
      </c>
      <c r="T506" s="361">
        <v>9</v>
      </c>
      <c r="U506" s="285">
        <v>6</v>
      </c>
      <c r="V506" s="438">
        <v>1</v>
      </c>
    </row>
    <row r="507" spans="2:22" ht="13.5">
      <c r="B507" s="1703">
        <v>201508</v>
      </c>
      <c r="C507" s="326" t="s">
        <v>458</v>
      </c>
      <c r="D507" s="327" t="s">
        <v>47</v>
      </c>
      <c r="E507" s="327" t="s">
        <v>17</v>
      </c>
      <c r="F507" s="459">
        <v>3009.83499999999</v>
      </c>
      <c r="G507" s="339">
        <v>309.14299999999997</v>
      </c>
      <c r="H507" s="337">
        <v>302.274</v>
      </c>
      <c r="I507" s="331">
        <v>15</v>
      </c>
      <c r="J507" s="577">
        <v>0.30612200000000001</v>
      </c>
      <c r="K507" s="579">
        <v>16.270684210525999</v>
      </c>
      <c r="L507" s="436">
        <v>1.266667</v>
      </c>
      <c r="M507" s="42"/>
      <c r="N507" s="334">
        <v>48</v>
      </c>
      <c r="O507" s="335">
        <v>36</v>
      </c>
      <c r="P507" s="335">
        <v>11</v>
      </c>
      <c r="Q507" s="389">
        <v>1</v>
      </c>
      <c r="R507" s="430">
        <v>5</v>
      </c>
      <c r="S507" s="339"/>
      <c r="T507" s="362">
        <v>3</v>
      </c>
      <c r="U507" s="337">
        <v>3</v>
      </c>
      <c r="V507" s="338">
        <v>0.25</v>
      </c>
    </row>
    <row r="508" spans="2:22" ht="13.5">
      <c r="B508" s="1703">
        <v>201508</v>
      </c>
      <c r="C508" s="324" t="s">
        <v>458</v>
      </c>
      <c r="D508" s="325" t="s">
        <v>736</v>
      </c>
      <c r="E508" s="325" t="s">
        <v>697</v>
      </c>
      <c r="F508" s="460">
        <v>6870.8820000000296</v>
      </c>
      <c r="G508" s="92">
        <v>535.63699999999994</v>
      </c>
      <c r="H508" s="279">
        <v>542.61500000000001</v>
      </c>
      <c r="I508" s="154">
        <v>17</v>
      </c>
      <c r="J508" s="576">
        <v>0.17977499999999999</v>
      </c>
      <c r="K508" s="578">
        <v>21.42548</v>
      </c>
      <c r="L508" s="437">
        <v>1.470588</v>
      </c>
      <c r="M508" s="42"/>
      <c r="N508" s="47">
        <v>89</v>
      </c>
      <c r="O508" s="45">
        <v>71</v>
      </c>
      <c r="P508" s="45">
        <v>13</v>
      </c>
      <c r="Q508" s="388">
        <v>5</v>
      </c>
      <c r="R508" s="429">
        <v>8</v>
      </c>
      <c r="S508" s="92"/>
      <c r="T508" s="361">
        <v>6</v>
      </c>
      <c r="U508" s="285">
        <v>6</v>
      </c>
      <c r="V508" s="438">
        <v>0.33333333333333298</v>
      </c>
    </row>
    <row r="509" spans="2:22" ht="13.5">
      <c r="B509" s="1703">
        <v>201508</v>
      </c>
      <c r="C509" s="326" t="s">
        <v>458</v>
      </c>
      <c r="D509" s="327" t="s">
        <v>796</v>
      </c>
      <c r="E509" s="327" t="s">
        <v>797</v>
      </c>
      <c r="F509" s="459">
        <v>4323.5549999999903</v>
      </c>
      <c r="G509" s="339">
        <v>419.51499999999999</v>
      </c>
      <c r="H509" s="337">
        <v>354.68900000000002</v>
      </c>
      <c r="I509" s="331">
        <v>17</v>
      </c>
      <c r="J509" s="577">
        <v>0.24285699999999999</v>
      </c>
      <c r="K509" s="579">
        <v>20.975750000000001</v>
      </c>
      <c r="L509" s="436">
        <v>1.176471</v>
      </c>
      <c r="M509" s="42"/>
      <c r="N509" s="334">
        <v>71</v>
      </c>
      <c r="O509" s="335">
        <v>46</v>
      </c>
      <c r="P509" s="335">
        <v>21</v>
      </c>
      <c r="Q509" s="389">
        <v>4</v>
      </c>
      <c r="R509" s="430">
        <v>11</v>
      </c>
      <c r="S509" s="339">
        <v>2</v>
      </c>
      <c r="T509" s="362">
        <v>11</v>
      </c>
      <c r="U509" s="337">
        <v>9</v>
      </c>
      <c r="V509" s="338">
        <v>0.36</v>
      </c>
    </row>
    <row r="510" spans="2:22" ht="13.5">
      <c r="B510" s="1703">
        <v>201508</v>
      </c>
      <c r="C510" s="324" t="s">
        <v>458</v>
      </c>
      <c r="D510" s="325" t="s">
        <v>1418</v>
      </c>
      <c r="E510" s="325" t="s">
        <v>1771</v>
      </c>
      <c r="F510" s="460">
        <v>1229.7750000000001</v>
      </c>
      <c r="G510" s="92">
        <v>397.13200000000001</v>
      </c>
      <c r="H510" s="279">
        <v>390.73200000000003</v>
      </c>
      <c r="I510" s="154">
        <v>10</v>
      </c>
      <c r="J510" s="576">
        <v>0.235294</v>
      </c>
      <c r="K510" s="578">
        <v>22.062888888888999</v>
      </c>
      <c r="L510" s="437">
        <v>1.8</v>
      </c>
      <c r="M510" s="42"/>
      <c r="N510" s="47">
        <v>45</v>
      </c>
      <c r="O510" s="45">
        <v>32</v>
      </c>
      <c r="P510" s="45">
        <v>10</v>
      </c>
      <c r="Q510" s="388">
        <v>3</v>
      </c>
      <c r="R510" s="429">
        <v>4</v>
      </c>
      <c r="S510" s="92"/>
      <c r="T510" s="361">
        <v>9</v>
      </c>
      <c r="U510" s="285">
        <v>6</v>
      </c>
      <c r="V510" s="438">
        <v>0.46153846153846201</v>
      </c>
    </row>
    <row r="511" spans="2:22" ht="13.5">
      <c r="B511" s="1703">
        <v>201508</v>
      </c>
      <c r="C511" s="326" t="s">
        <v>458</v>
      </c>
      <c r="D511" s="327" t="s">
        <v>1669</v>
      </c>
      <c r="E511" s="327" t="s">
        <v>1670</v>
      </c>
      <c r="F511" s="459">
        <v>158.42400000000001</v>
      </c>
      <c r="G511" s="339">
        <v>35.319000000000003</v>
      </c>
      <c r="H511" s="337">
        <v>35.319000000000003</v>
      </c>
      <c r="I511" s="331">
        <v>2</v>
      </c>
      <c r="J511" s="577">
        <v>0.12903200000000001</v>
      </c>
      <c r="K511" s="579">
        <v>17.659500000000001</v>
      </c>
      <c r="L511" s="436">
        <v>1</v>
      </c>
      <c r="M511" s="42"/>
      <c r="N511" s="334">
        <v>16</v>
      </c>
      <c r="O511" s="335">
        <v>13</v>
      </c>
      <c r="P511" s="335">
        <v>3</v>
      </c>
      <c r="Q511" s="389">
        <v>0</v>
      </c>
      <c r="R511" s="430">
        <v>0</v>
      </c>
      <c r="S511" s="339"/>
      <c r="T511" s="362">
        <v>1</v>
      </c>
      <c r="U511" s="337">
        <v>1</v>
      </c>
      <c r="V511" s="338">
        <v>0.33333333333333298</v>
      </c>
    </row>
    <row r="512" spans="2:22" ht="13.5">
      <c r="B512" s="1703">
        <v>201508</v>
      </c>
      <c r="C512" s="324" t="s">
        <v>458</v>
      </c>
      <c r="D512" s="325" t="s">
        <v>630</v>
      </c>
      <c r="E512" s="325" t="s">
        <v>483</v>
      </c>
      <c r="F512" s="460">
        <v>2276.37</v>
      </c>
      <c r="G512" s="92">
        <v>106.655</v>
      </c>
      <c r="H512" s="279">
        <v>128.12100000000001</v>
      </c>
      <c r="I512" s="154">
        <v>11</v>
      </c>
      <c r="J512" s="576">
        <v>0.151724</v>
      </c>
      <c r="K512" s="578">
        <v>9.6959090909089998</v>
      </c>
      <c r="L512" s="437">
        <v>1</v>
      </c>
      <c r="M512" s="42"/>
      <c r="N512" s="47">
        <v>69</v>
      </c>
      <c r="O512" s="45">
        <v>50</v>
      </c>
      <c r="P512" s="45">
        <v>14</v>
      </c>
      <c r="Q512" s="388">
        <v>5</v>
      </c>
      <c r="R512" s="429">
        <v>14</v>
      </c>
      <c r="S512" s="92"/>
      <c r="T512" s="361">
        <v>7</v>
      </c>
      <c r="U512" s="285">
        <v>6</v>
      </c>
      <c r="V512" s="438">
        <v>0.31578947368421101</v>
      </c>
    </row>
    <row r="513" spans="2:22" ht="13.5">
      <c r="B513" s="1703">
        <v>201508</v>
      </c>
      <c r="C513" s="326" t="s">
        <v>458</v>
      </c>
      <c r="D513" s="327" t="s">
        <v>905</v>
      </c>
      <c r="E513" s="327" t="s">
        <v>906</v>
      </c>
      <c r="F513" s="459">
        <v>4686.9939999999997</v>
      </c>
      <c r="G513" s="339">
        <v>209.23699999999999</v>
      </c>
      <c r="H513" s="337">
        <v>200.11699999999999</v>
      </c>
      <c r="I513" s="331">
        <v>12</v>
      </c>
      <c r="J513" s="577">
        <v>0.23300999999999999</v>
      </c>
      <c r="K513" s="579">
        <v>16.095153846153998</v>
      </c>
      <c r="L513" s="436">
        <v>1.0833330000000001</v>
      </c>
      <c r="M513" s="42"/>
      <c r="N513" s="334">
        <v>52</v>
      </c>
      <c r="O513" s="335">
        <v>37</v>
      </c>
      <c r="P513" s="335">
        <v>11</v>
      </c>
      <c r="Q513" s="389">
        <v>4</v>
      </c>
      <c r="R513" s="430">
        <v>6</v>
      </c>
      <c r="S513" s="339"/>
      <c r="T513" s="362">
        <v>7</v>
      </c>
      <c r="U513" s="337">
        <v>5</v>
      </c>
      <c r="V513" s="338">
        <v>0.33333333333333298</v>
      </c>
    </row>
    <row r="514" spans="2:22" ht="13.5">
      <c r="B514" s="1703">
        <v>201508</v>
      </c>
      <c r="C514" s="324" t="s">
        <v>458</v>
      </c>
      <c r="D514" s="325" t="s">
        <v>648</v>
      </c>
      <c r="E514" s="325" t="s">
        <v>644</v>
      </c>
      <c r="F514" s="460">
        <v>2358.6619999999898</v>
      </c>
      <c r="G514" s="92">
        <v>303.31099999999998</v>
      </c>
      <c r="H514" s="279">
        <v>285.798</v>
      </c>
      <c r="I514" s="154">
        <v>19</v>
      </c>
      <c r="J514" s="576">
        <v>0.34234199999999998</v>
      </c>
      <c r="K514" s="578">
        <v>14.443380952381</v>
      </c>
      <c r="L514" s="437">
        <v>1.1052630000000001</v>
      </c>
      <c r="M514" s="42"/>
      <c r="N514" s="47">
        <v>57</v>
      </c>
      <c r="O514" s="45">
        <v>43</v>
      </c>
      <c r="P514" s="45">
        <v>12</v>
      </c>
      <c r="Q514" s="388">
        <v>2</v>
      </c>
      <c r="R514" s="429">
        <v>5</v>
      </c>
      <c r="S514" s="92"/>
      <c r="T514" s="361">
        <v>8</v>
      </c>
      <c r="U514" s="285">
        <v>7</v>
      </c>
      <c r="V514" s="438">
        <v>0.5</v>
      </c>
    </row>
    <row r="515" spans="2:22" ht="13.5">
      <c r="B515" s="1703">
        <v>201508</v>
      </c>
      <c r="C515" s="326" t="s">
        <v>459</v>
      </c>
      <c r="D515" s="327" t="s">
        <v>1100</v>
      </c>
      <c r="E515" s="327" t="s">
        <v>1774</v>
      </c>
      <c r="F515" s="459">
        <v>4823.3780000000097</v>
      </c>
      <c r="G515" s="339">
        <v>423.04899999999998</v>
      </c>
      <c r="H515" s="337">
        <v>399.55</v>
      </c>
      <c r="I515" s="331">
        <v>34</v>
      </c>
      <c r="J515" s="577">
        <v>0.24727299999999999</v>
      </c>
      <c r="K515" s="579">
        <v>11.751361111111001</v>
      </c>
      <c r="L515" s="436">
        <v>1.058824</v>
      </c>
      <c r="M515" s="42"/>
      <c r="N515" s="334">
        <v>140</v>
      </c>
      <c r="O515" s="335">
        <v>110</v>
      </c>
      <c r="P515" s="335">
        <v>23</v>
      </c>
      <c r="Q515" s="389">
        <v>7</v>
      </c>
      <c r="R515" s="430">
        <v>0</v>
      </c>
      <c r="S515" s="339">
        <v>1</v>
      </c>
      <c r="T515" s="362">
        <v>4</v>
      </c>
      <c r="U515" s="337">
        <v>4</v>
      </c>
      <c r="V515" s="338">
        <v>0.133333333333333</v>
      </c>
    </row>
    <row r="516" spans="2:22" ht="13.5">
      <c r="B516" s="1703">
        <v>201508</v>
      </c>
      <c r="C516" s="324" t="s">
        <v>459</v>
      </c>
      <c r="D516" s="325" t="s">
        <v>1419</v>
      </c>
      <c r="E516" s="325" t="s">
        <v>1420</v>
      </c>
      <c r="F516" s="460">
        <v>1941.2329999999999</v>
      </c>
      <c r="G516" s="92">
        <v>271.14499999999998</v>
      </c>
      <c r="H516" s="279">
        <v>260.86399999999998</v>
      </c>
      <c r="I516" s="154">
        <v>21</v>
      </c>
      <c r="J516" s="576">
        <v>0.235955</v>
      </c>
      <c r="K516" s="578">
        <v>10.845800000000001</v>
      </c>
      <c r="L516" s="437">
        <v>1.1904760000000001</v>
      </c>
      <c r="M516" s="42"/>
      <c r="N516" s="47">
        <v>92</v>
      </c>
      <c r="O516" s="45">
        <v>76</v>
      </c>
      <c r="P516" s="45">
        <v>16</v>
      </c>
      <c r="Q516" s="388">
        <v>0</v>
      </c>
      <c r="R516" s="429">
        <v>13</v>
      </c>
      <c r="S516" s="92">
        <v>1</v>
      </c>
      <c r="T516" s="361">
        <v>18</v>
      </c>
      <c r="U516" s="285">
        <v>12</v>
      </c>
      <c r="V516" s="438">
        <v>0.75</v>
      </c>
    </row>
    <row r="517" spans="2:22" ht="13.5">
      <c r="B517" s="1703">
        <v>201508</v>
      </c>
      <c r="C517" s="326" t="s">
        <v>459</v>
      </c>
      <c r="D517" s="327" t="s">
        <v>1103</v>
      </c>
      <c r="E517" s="327" t="s">
        <v>1161</v>
      </c>
      <c r="F517" s="459">
        <v>748.15499999999997</v>
      </c>
      <c r="G517" s="339">
        <v>117.72</v>
      </c>
      <c r="H517" s="337">
        <v>106.46899999999999</v>
      </c>
      <c r="I517" s="331">
        <v>6</v>
      </c>
      <c r="J517" s="577">
        <v>0.22641500000000001</v>
      </c>
      <c r="K517" s="579">
        <v>11.772</v>
      </c>
      <c r="L517" s="436">
        <v>1.6666669999999999</v>
      </c>
      <c r="M517" s="42"/>
      <c r="N517" s="334">
        <v>29</v>
      </c>
      <c r="O517" s="335">
        <v>22</v>
      </c>
      <c r="P517" s="335">
        <v>7</v>
      </c>
      <c r="Q517" s="389">
        <v>0</v>
      </c>
      <c r="R517" s="430">
        <v>1</v>
      </c>
      <c r="S517" s="339"/>
      <c r="T517" s="362">
        <v>6</v>
      </c>
      <c r="U517" s="337">
        <v>4</v>
      </c>
      <c r="V517" s="338">
        <v>0.57142857142857095</v>
      </c>
    </row>
    <row r="518" spans="2:22" ht="13.5">
      <c r="B518" s="1703">
        <v>201508</v>
      </c>
      <c r="C518" s="324" t="s">
        <v>459</v>
      </c>
      <c r="D518" s="325" t="s">
        <v>661</v>
      </c>
      <c r="E518" s="325" t="s">
        <v>1950</v>
      </c>
      <c r="F518" s="460">
        <v>1839.7380000000001</v>
      </c>
      <c r="G518" s="92">
        <v>243.768</v>
      </c>
      <c r="H518" s="279">
        <v>237.405</v>
      </c>
      <c r="I518" s="154">
        <v>8</v>
      </c>
      <c r="J518" s="576">
        <v>0.119403</v>
      </c>
      <c r="K518" s="578">
        <v>20.314</v>
      </c>
      <c r="L518" s="437">
        <v>1.5</v>
      </c>
      <c r="M518" s="42"/>
      <c r="N518" s="47">
        <v>63</v>
      </c>
      <c r="O518" s="45">
        <v>46</v>
      </c>
      <c r="P518" s="45">
        <v>13</v>
      </c>
      <c r="Q518" s="388">
        <v>4</v>
      </c>
      <c r="R518" s="429">
        <v>12</v>
      </c>
      <c r="S518" s="92"/>
      <c r="T518" s="361">
        <v>4</v>
      </c>
      <c r="U518" s="285">
        <v>4</v>
      </c>
      <c r="V518" s="438">
        <v>0.23529411764705899</v>
      </c>
    </row>
    <row r="519" spans="2:22" ht="13.5">
      <c r="B519" s="1703">
        <v>201508</v>
      </c>
      <c r="C519" s="326" t="s">
        <v>459</v>
      </c>
      <c r="D519" s="327" t="s">
        <v>179</v>
      </c>
      <c r="E519" s="327" t="s">
        <v>191</v>
      </c>
      <c r="F519" s="459">
        <v>7665.33900000002</v>
      </c>
      <c r="G519" s="339">
        <v>779.322</v>
      </c>
      <c r="H519" s="337">
        <v>745.45299999999997</v>
      </c>
      <c r="I519" s="331">
        <v>43</v>
      </c>
      <c r="J519" s="577">
        <v>0.27741900000000003</v>
      </c>
      <c r="K519" s="579">
        <v>14.169490909091</v>
      </c>
      <c r="L519" s="436">
        <v>1.2790699999999999</v>
      </c>
      <c r="M519" s="42"/>
      <c r="N519" s="334">
        <v>136</v>
      </c>
      <c r="O519" s="335">
        <v>99</v>
      </c>
      <c r="P519" s="335">
        <v>35</v>
      </c>
      <c r="Q519" s="389">
        <v>2</v>
      </c>
      <c r="R519" s="430">
        <v>63</v>
      </c>
      <c r="S519" s="339">
        <v>3</v>
      </c>
      <c r="T519" s="362">
        <v>22</v>
      </c>
      <c r="U519" s="337">
        <v>10</v>
      </c>
      <c r="V519" s="338">
        <v>0.27027027027027001</v>
      </c>
    </row>
    <row r="520" spans="2:22" ht="13.5">
      <c r="B520" s="1703">
        <v>201508</v>
      </c>
      <c r="C520" s="324" t="s">
        <v>459</v>
      </c>
      <c r="D520" s="325" t="s">
        <v>659</v>
      </c>
      <c r="E520" s="325" t="s">
        <v>655</v>
      </c>
      <c r="F520" s="460">
        <v>5177.5339999999997</v>
      </c>
      <c r="G520" s="92">
        <v>242.58600000000001</v>
      </c>
      <c r="H520" s="279">
        <v>288.11599999999999</v>
      </c>
      <c r="I520" s="154">
        <v>16</v>
      </c>
      <c r="J520" s="576">
        <v>0.18390799999999999</v>
      </c>
      <c r="K520" s="578">
        <v>16.1724</v>
      </c>
      <c r="L520" s="437">
        <v>0.9375</v>
      </c>
      <c r="M520" s="42"/>
      <c r="N520" s="47">
        <v>86</v>
      </c>
      <c r="O520" s="45">
        <v>67</v>
      </c>
      <c r="P520" s="45">
        <v>17</v>
      </c>
      <c r="Q520" s="388">
        <v>2</v>
      </c>
      <c r="R520" s="429">
        <v>11</v>
      </c>
      <c r="S520" s="92"/>
      <c r="T520" s="361">
        <v>9</v>
      </c>
      <c r="U520" s="285">
        <v>7</v>
      </c>
      <c r="V520" s="438">
        <v>0.36842105263157898</v>
      </c>
    </row>
    <row r="521" spans="2:22" ht="13.5">
      <c r="B521" s="1703">
        <v>201508</v>
      </c>
      <c r="C521" s="326" t="s">
        <v>459</v>
      </c>
      <c r="D521" s="327" t="s">
        <v>699</v>
      </c>
      <c r="E521" s="327" t="s">
        <v>698</v>
      </c>
      <c r="F521" s="459">
        <v>1648.047</v>
      </c>
      <c r="G521" s="339">
        <v>108.471</v>
      </c>
      <c r="H521" s="337">
        <v>112.89100000000001</v>
      </c>
      <c r="I521" s="331">
        <v>8</v>
      </c>
      <c r="J521" s="577">
        <v>0.158416</v>
      </c>
      <c r="K521" s="579">
        <v>13.558875</v>
      </c>
      <c r="L521" s="436">
        <v>1</v>
      </c>
      <c r="M521" s="42"/>
      <c r="N521" s="334">
        <v>49</v>
      </c>
      <c r="O521" s="335">
        <v>37</v>
      </c>
      <c r="P521" s="335">
        <v>11</v>
      </c>
      <c r="Q521" s="389">
        <v>1</v>
      </c>
      <c r="R521" s="430">
        <v>7</v>
      </c>
      <c r="S521" s="339">
        <v>1</v>
      </c>
      <c r="T521" s="362">
        <v>3</v>
      </c>
      <c r="U521" s="337">
        <v>3</v>
      </c>
      <c r="V521" s="338">
        <v>0.25</v>
      </c>
    </row>
    <row r="522" spans="2:22" ht="13.5">
      <c r="B522" s="1703">
        <v>201508</v>
      </c>
      <c r="C522" s="324" t="s">
        <v>459</v>
      </c>
      <c r="D522" s="325" t="s">
        <v>1015</v>
      </c>
      <c r="E522" s="325" t="s">
        <v>1348</v>
      </c>
      <c r="F522" s="460">
        <v>872.73900000000003</v>
      </c>
      <c r="G522" s="92">
        <v>222.364</v>
      </c>
      <c r="H522" s="279">
        <v>218.631</v>
      </c>
      <c r="I522" s="154">
        <v>17</v>
      </c>
      <c r="J522" s="576">
        <v>0.25757600000000003</v>
      </c>
      <c r="K522" s="578">
        <v>11.1182</v>
      </c>
      <c r="L522" s="437">
        <v>1.176471</v>
      </c>
      <c r="M522" s="42"/>
      <c r="N522" s="47">
        <v>76</v>
      </c>
      <c r="O522" s="45">
        <v>58</v>
      </c>
      <c r="P522" s="45">
        <v>18</v>
      </c>
      <c r="Q522" s="388">
        <v>0</v>
      </c>
      <c r="R522" s="429">
        <v>0</v>
      </c>
      <c r="S522" s="92">
        <v>3</v>
      </c>
      <c r="T522" s="361">
        <v>17</v>
      </c>
      <c r="U522" s="285">
        <v>9</v>
      </c>
      <c r="V522" s="438">
        <v>0.5</v>
      </c>
    </row>
    <row r="523" spans="2:22" ht="13.5">
      <c r="B523" s="1703">
        <v>201508</v>
      </c>
      <c r="C523" s="326" t="s">
        <v>459</v>
      </c>
      <c r="D523" s="327" t="s">
        <v>825</v>
      </c>
      <c r="E523" s="327" t="s">
        <v>1773</v>
      </c>
      <c r="F523" s="459">
        <v>1875.7670000000001</v>
      </c>
      <c r="G523" s="339">
        <v>176.67400000000001</v>
      </c>
      <c r="H523" s="337">
        <v>176.67400000000001</v>
      </c>
      <c r="I523" s="331">
        <v>16</v>
      </c>
      <c r="J523" s="577">
        <v>0.30476199999999998</v>
      </c>
      <c r="K523" s="579">
        <v>8.8337000000000003</v>
      </c>
      <c r="L523" s="436">
        <v>1.25</v>
      </c>
      <c r="M523" s="42"/>
      <c r="N523" s="334">
        <v>54</v>
      </c>
      <c r="O523" s="335">
        <v>41</v>
      </c>
      <c r="P523" s="335">
        <v>9</v>
      </c>
      <c r="Q523" s="389">
        <v>4</v>
      </c>
      <c r="R523" s="430">
        <v>4</v>
      </c>
      <c r="S523" s="339">
        <v>2</v>
      </c>
      <c r="T523" s="362">
        <v>5</v>
      </c>
      <c r="U523" s="337">
        <v>3</v>
      </c>
      <c r="V523" s="338">
        <v>0.230769230769231</v>
      </c>
    </row>
    <row r="524" spans="2:22" ht="13.5">
      <c r="B524" s="1703">
        <v>201508</v>
      </c>
      <c r="C524" s="324" t="s">
        <v>459</v>
      </c>
      <c r="D524" s="325" t="s">
        <v>185</v>
      </c>
      <c r="E524" s="325" t="s">
        <v>190</v>
      </c>
      <c r="F524" s="460">
        <v>2944.62</v>
      </c>
      <c r="G524" s="92">
        <v>480.03199999999998</v>
      </c>
      <c r="H524" s="279">
        <v>459.666</v>
      </c>
      <c r="I524" s="154">
        <v>24</v>
      </c>
      <c r="J524" s="576">
        <v>0.375</v>
      </c>
      <c r="K524" s="578">
        <v>15.000999999999999</v>
      </c>
      <c r="L524" s="437">
        <v>1.3333330000000001</v>
      </c>
      <c r="M524" s="42"/>
      <c r="N524" s="47">
        <v>69</v>
      </c>
      <c r="O524" s="45">
        <v>55</v>
      </c>
      <c r="P524" s="45">
        <v>10</v>
      </c>
      <c r="Q524" s="388">
        <v>4</v>
      </c>
      <c r="R524" s="429">
        <v>2</v>
      </c>
      <c r="S524" s="92"/>
      <c r="T524" s="361">
        <v>12</v>
      </c>
      <c r="U524" s="285">
        <v>8</v>
      </c>
      <c r="V524" s="438">
        <v>0.57142857142857095</v>
      </c>
    </row>
    <row r="525" spans="2:22" ht="13.5">
      <c r="B525" s="1703">
        <v>201508</v>
      </c>
      <c r="C525" s="326" t="s">
        <v>459</v>
      </c>
      <c r="D525" s="327" t="s">
        <v>660</v>
      </c>
      <c r="E525" s="327" t="s">
        <v>656</v>
      </c>
      <c r="F525" s="459">
        <v>2974.2660000000001</v>
      </c>
      <c r="G525" s="339">
        <v>226.137</v>
      </c>
      <c r="H525" s="337">
        <v>226.137</v>
      </c>
      <c r="I525" s="331">
        <v>19</v>
      </c>
      <c r="J525" s="577">
        <v>0.18181800000000001</v>
      </c>
      <c r="K525" s="579">
        <v>10.768428571429</v>
      </c>
      <c r="L525" s="436">
        <v>1.1052630000000001</v>
      </c>
      <c r="M525" s="42"/>
      <c r="N525" s="334">
        <v>112</v>
      </c>
      <c r="O525" s="335">
        <v>95</v>
      </c>
      <c r="P525" s="335">
        <v>16</v>
      </c>
      <c r="Q525" s="389">
        <v>1</v>
      </c>
      <c r="R525" s="430">
        <v>3</v>
      </c>
      <c r="S525" s="339"/>
      <c r="T525" s="362">
        <v>18</v>
      </c>
      <c r="U525" s="337">
        <v>7</v>
      </c>
      <c r="V525" s="338">
        <v>0.41176470588235298</v>
      </c>
    </row>
    <row r="526" spans="2:22" ht="13.5">
      <c r="B526" s="1703">
        <v>201508</v>
      </c>
      <c r="C526" s="324" t="s">
        <v>459</v>
      </c>
      <c r="D526" s="325" t="s">
        <v>1570</v>
      </c>
      <c r="E526" s="325" t="s">
        <v>1571</v>
      </c>
      <c r="F526" s="460">
        <v>436.97</v>
      </c>
      <c r="G526" s="92">
        <v>159.32</v>
      </c>
      <c r="H526" s="279">
        <v>159.32</v>
      </c>
      <c r="I526" s="154">
        <v>14</v>
      </c>
      <c r="J526" s="576">
        <v>0.30769200000000002</v>
      </c>
      <c r="K526" s="578">
        <v>13.276666666666999</v>
      </c>
      <c r="L526" s="437">
        <v>0.85714299999999999</v>
      </c>
      <c r="M526" s="42"/>
      <c r="N526" s="47">
        <v>53</v>
      </c>
      <c r="O526" s="45">
        <v>36</v>
      </c>
      <c r="P526" s="45">
        <v>16</v>
      </c>
      <c r="Q526" s="388">
        <v>1</v>
      </c>
      <c r="R526" s="429">
        <v>0</v>
      </c>
      <c r="S526" s="92">
        <v>5</v>
      </c>
      <c r="T526" s="361">
        <v>9</v>
      </c>
      <c r="U526" s="285">
        <v>6</v>
      </c>
      <c r="V526" s="438">
        <v>0.35294117647058798</v>
      </c>
    </row>
    <row r="527" spans="2:22" ht="13.5">
      <c r="B527" s="1703">
        <v>201508</v>
      </c>
      <c r="C527" s="326" t="s">
        <v>459</v>
      </c>
      <c r="D527" s="327" t="s">
        <v>662</v>
      </c>
      <c r="E527" s="327"/>
      <c r="F527" s="459">
        <v>570.25199999999995</v>
      </c>
      <c r="G527" s="339">
        <v>0</v>
      </c>
      <c r="H527" s="337">
        <v>0</v>
      </c>
      <c r="I527" s="331">
        <v>0</v>
      </c>
      <c r="J527" s="577">
        <v>0</v>
      </c>
      <c r="K527" s="579">
        <v>0</v>
      </c>
      <c r="L527" s="436">
        <v>0</v>
      </c>
      <c r="M527" s="42"/>
      <c r="N527" s="334">
        <v>0</v>
      </c>
      <c r="O527" s="335">
        <v>0</v>
      </c>
      <c r="P527" s="335">
        <v>0</v>
      </c>
      <c r="Q527" s="389">
        <v>0</v>
      </c>
      <c r="R527" s="430">
        <v>0</v>
      </c>
      <c r="S527" s="339"/>
      <c r="T527" s="362"/>
      <c r="U527" s="337"/>
      <c r="V527" s="338"/>
    </row>
    <row r="528" spans="2:22" ht="13.5">
      <c r="B528" s="1703">
        <v>201508</v>
      </c>
      <c r="C528" s="324" t="s">
        <v>459</v>
      </c>
      <c r="D528" s="325" t="s">
        <v>799</v>
      </c>
      <c r="E528" s="325" t="s">
        <v>800</v>
      </c>
      <c r="F528" s="460">
        <v>1830.384</v>
      </c>
      <c r="G528" s="92">
        <v>256.55399999999997</v>
      </c>
      <c r="H528" s="279">
        <v>254.125</v>
      </c>
      <c r="I528" s="154">
        <v>17</v>
      </c>
      <c r="J528" s="576">
        <v>0.34</v>
      </c>
      <c r="K528" s="578">
        <v>12.8277</v>
      </c>
      <c r="L528" s="437">
        <v>1.176471</v>
      </c>
      <c r="M528" s="42"/>
      <c r="N528" s="47">
        <v>53</v>
      </c>
      <c r="O528" s="45">
        <v>38</v>
      </c>
      <c r="P528" s="45">
        <v>14</v>
      </c>
      <c r="Q528" s="388">
        <v>1</v>
      </c>
      <c r="R528" s="429">
        <v>4</v>
      </c>
      <c r="S528" s="92">
        <v>3</v>
      </c>
      <c r="T528" s="361">
        <v>7</v>
      </c>
      <c r="U528" s="285">
        <v>4</v>
      </c>
      <c r="V528" s="438">
        <v>0.266666666666667</v>
      </c>
    </row>
    <row r="529" spans="2:22" ht="13.5">
      <c r="B529" s="1703">
        <v>201508</v>
      </c>
      <c r="C529" s="326" t="s">
        <v>459</v>
      </c>
      <c r="D529" s="327" t="s">
        <v>1567</v>
      </c>
      <c r="E529" s="327" t="s">
        <v>1028</v>
      </c>
      <c r="F529" s="459">
        <v>1795.325</v>
      </c>
      <c r="G529" s="339">
        <v>586.03599999999994</v>
      </c>
      <c r="H529" s="337">
        <v>556.24400000000003</v>
      </c>
      <c r="I529" s="331">
        <v>19</v>
      </c>
      <c r="J529" s="577">
        <v>0.29921300000000001</v>
      </c>
      <c r="K529" s="579">
        <v>24.418166666666998</v>
      </c>
      <c r="L529" s="436">
        <v>1.263158</v>
      </c>
      <c r="M529" s="42"/>
      <c r="N529" s="334">
        <v>72</v>
      </c>
      <c r="O529" s="335">
        <v>50</v>
      </c>
      <c r="P529" s="335">
        <v>21</v>
      </c>
      <c r="Q529" s="389">
        <v>1</v>
      </c>
      <c r="R529" s="430">
        <v>1</v>
      </c>
      <c r="S529" s="339">
        <v>7</v>
      </c>
      <c r="T529" s="362">
        <v>11</v>
      </c>
      <c r="U529" s="337">
        <v>7</v>
      </c>
      <c r="V529" s="338">
        <v>0.31818181818181801</v>
      </c>
    </row>
    <row r="530" spans="2:22" ht="13.5">
      <c r="B530" s="1703">
        <v>201508</v>
      </c>
      <c r="C530" s="324" t="s">
        <v>459</v>
      </c>
      <c r="D530" s="325" t="s">
        <v>177</v>
      </c>
      <c r="E530" s="325" t="s">
        <v>189</v>
      </c>
      <c r="F530" s="460">
        <v>5230.9120000000003</v>
      </c>
      <c r="G530" s="92">
        <v>540.82899999999995</v>
      </c>
      <c r="H530" s="279">
        <v>525.03700000000003</v>
      </c>
      <c r="I530" s="154">
        <v>26</v>
      </c>
      <c r="J530" s="576">
        <v>0.29545500000000002</v>
      </c>
      <c r="K530" s="578">
        <v>21.63316</v>
      </c>
      <c r="L530" s="437">
        <v>0.961538</v>
      </c>
      <c r="M530" s="42"/>
      <c r="N530" s="47">
        <v>92</v>
      </c>
      <c r="O530" s="45">
        <v>62</v>
      </c>
      <c r="P530" s="45">
        <v>29</v>
      </c>
      <c r="Q530" s="388">
        <v>1</v>
      </c>
      <c r="R530" s="429">
        <v>8</v>
      </c>
      <c r="S530" s="92">
        <v>3</v>
      </c>
      <c r="T530" s="361">
        <v>13</v>
      </c>
      <c r="U530" s="285">
        <v>8</v>
      </c>
      <c r="V530" s="438">
        <v>0.266666666666667</v>
      </c>
    </row>
    <row r="531" spans="2:22" ht="13.5">
      <c r="B531" s="1703">
        <v>201508</v>
      </c>
      <c r="C531" s="326" t="s">
        <v>459</v>
      </c>
      <c r="D531" s="327" t="s">
        <v>1568</v>
      </c>
      <c r="E531" s="327" t="s">
        <v>1569</v>
      </c>
      <c r="F531" s="459">
        <v>2029.6389999999999</v>
      </c>
      <c r="G531" s="339">
        <v>598.24599999999998</v>
      </c>
      <c r="H531" s="337">
        <v>598.24599999999998</v>
      </c>
      <c r="I531" s="331">
        <v>32</v>
      </c>
      <c r="J531" s="577">
        <v>0.344086</v>
      </c>
      <c r="K531" s="579">
        <v>11.287660377358</v>
      </c>
      <c r="L531" s="436">
        <v>1.65625</v>
      </c>
      <c r="M531" s="42"/>
      <c r="N531" s="334">
        <v>107</v>
      </c>
      <c r="O531" s="335">
        <v>80</v>
      </c>
      <c r="P531" s="335">
        <v>27</v>
      </c>
      <c r="Q531" s="389">
        <v>0</v>
      </c>
      <c r="R531" s="430">
        <v>5</v>
      </c>
      <c r="S531" s="339">
        <v>6</v>
      </c>
      <c r="T531" s="362">
        <v>27</v>
      </c>
      <c r="U531" s="337">
        <v>14</v>
      </c>
      <c r="V531" s="338">
        <v>0.51851851851851805</v>
      </c>
    </row>
    <row r="532" spans="2:22" ht="13.5">
      <c r="B532" s="1703">
        <v>201508</v>
      </c>
      <c r="C532" s="324" t="s">
        <v>459</v>
      </c>
      <c r="D532" s="325" t="s">
        <v>176</v>
      </c>
      <c r="E532" s="325" t="s">
        <v>188</v>
      </c>
      <c r="F532" s="460">
        <v>12414.406000000001</v>
      </c>
      <c r="G532" s="92">
        <v>636.85</v>
      </c>
      <c r="H532" s="279">
        <v>636.85</v>
      </c>
      <c r="I532" s="154">
        <v>53</v>
      </c>
      <c r="J532" s="576">
        <v>0.36551699999999998</v>
      </c>
      <c r="K532" s="578">
        <v>13.844565217391001</v>
      </c>
      <c r="L532" s="437">
        <v>0.86792499999999995</v>
      </c>
      <c r="M532" s="42"/>
      <c r="N532" s="47">
        <v>137</v>
      </c>
      <c r="O532" s="45">
        <v>106</v>
      </c>
      <c r="P532" s="45">
        <v>27</v>
      </c>
      <c r="Q532" s="388">
        <v>4</v>
      </c>
      <c r="R532" s="429">
        <v>34</v>
      </c>
      <c r="S532" s="92">
        <v>4</v>
      </c>
      <c r="T532" s="361">
        <v>14</v>
      </c>
      <c r="U532" s="285">
        <v>10</v>
      </c>
      <c r="V532" s="438">
        <v>0.32258064516128998</v>
      </c>
    </row>
    <row r="533" spans="2:22" ht="13.5">
      <c r="B533" s="1703">
        <v>201508</v>
      </c>
      <c r="C533" s="326" t="s">
        <v>459</v>
      </c>
      <c r="D533" s="327" t="s">
        <v>1572</v>
      </c>
      <c r="E533" s="327" t="s">
        <v>1573</v>
      </c>
      <c r="F533" s="459">
        <v>558.55100000000004</v>
      </c>
      <c r="G533" s="339">
        <v>190.42</v>
      </c>
      <c r="H533" s="337">
        <v>116.271</v>
      </c>
      <c r="I533" s="331">
        <v>9</v>
      </c>
      <c r="J533" s="577">
        <v>0.20224700000000001</v>
      </c>
      <c r="K533" s="579">
        <v>21.157777777778001</v>
      </c>
      <c r="L533" s="436">
        <v>1</v>
      </c>
      <c r="M533" s="42"/>
      <c r="N533" s="334">
        <v>48</v>
      </c>
      <c r="O533" s="335">
        <v>36</v>
      </c>
      <c r="P533" s="335">
        <v>12</v>
      </c>
      <c r="Q533" s="389">
        <v>0</v>
      </c>
      <c r="R533" s="430">
        <v>2</v>
      </c>
      <c r="S533" s="339"/>
      <c r="T533" s="362">
        <v>9</v>
      </c>
      <c r="U533" s="337">
        <v>5</v>
      </c>
      <c r="V533" s="338">
        <v>0.41666666666666702</v>
      </c>
    </row>
    <row r="534" spans="2:22" ht="13.5">
      <c r="B534" s="1703">
        <v>201508</v>
      </c>
      <c r="C534" s="324" t="s">
        <v>459</v>
      </c>
      <c r="D534" s="325" t="s">
        <v>1104</v>
      </c>
      <c r="E534" s="325" t="s">
        <v>1287</v>
      </c>
      <c r="F534" s="460">
        <v>2433.3910000000001</v>
      </c>
      <c r="G534" s="92">
        <v>502.49799999999999</v>
      </c>
      <c r="H534" s="279">
        <v>490.83499999999998</v>
      </c>
      <c r="I534" s="154">
        <v>29</v>
      </c>
      <c r="J534" s="576">
        <v>0.29145700000000002</v>
      </c>
      <c r="K534" s="578">
        <v>12.256048780487999</v>
      </c>
      <c r="L534" s="437">
        <v>1.4137930000000001</v>
      </c>
      <c r="M534" s="42"/>
      <c r="N534" s="47">
        <v>104</v>
      </c>
      <c r="O534" s="45">
        <v>85</v>
      </c>
      <c r="P534" s="45">
        <v>15</v>
      </c>
      <c r="Q534" s="388">
        <v>4</v>
      </c>
      <c r="R534" s="429">
        <v>8</v>
      </c>
      <c r="S534" s="92"/>
      <c r="T534" s="361">
        <v>17</v>
      </c>
      <c r="U534" s="285">
        <v>6</v>
      </c>
      <c r="V534" s="438">
        <v>0.31578947368421101</v>
      </c>
    </row>
    <row r="535" spans="2:22" ht="13.5">
      <c r="B535" s="1569">
        <v>201507</v>
      </c>
      <c r="C535" s="326" t="s">
        <v>458</v>
      </c>
      <c r="D535" s="327" t="s">
        <v>1563</v>
      </c>
      <c r="E535" s="327" t="s">
        <v>1564</v>
      </c>
      <c r="F535" s="459">
        <v>510.827</v>
      </c>
      <c r="G535" s="339">
        <v>157.952</v>
      </c>
      <c r="H535" s="337">
        <v>157.952</v>
      </c>
      <c r="I535" s="331">
        <v>7</v>
      </c>
      <c r="J535" s="577">
        <v>0.29787200000000003</v>
      </c>
      <c r="K535" s="579">
        <v>22.564571430000001</v>
      </c>
      <c r="L535" s="436">
        <v>1</v>
      </c>
      <c r="M535" s="42"/>
      <c r="N535" s="334">
        <v>26</v>
      </c>
      <c r="O535" s="335">
        <v>17</v>
      </c>
      <c r="P535" s="335">
        <v>8</v>
      </c>
      <c r="Q535" s="389">
        <v>1</v>
      </c>
      <c r="R535" s="430">
        <v>0</v>
      </c>
      <c r="S535" s="339">
        <v>1</v>
      </c>
      <c r="T535" s="362">
        <v>4</v>
      </c>
      <c r="U535" s="337">
        <v>4</v>
      </c>
      <c r="V535" s="338">
        <v>0.44444444444444398</v>
      </c>
    </row>
    <row r="536" spans="2:22" ht="13.5">
      <c r="B536" s="1569">
        <v>201507</v>
      </c>
      <c r="C536" s="324" t="s">
        <v>458</v>
      </c>
      <c r="D536" s="325" t="s">
        <v>1099</v>
      </c>
      <c r="E536" s="325" t="s">
        <v>1286</v>
      </c>
      <c r="F536" s="460">
        <v>4131.1869999999999</v>
      </c>
      <c r="G536" s="92">
        <v>1071.037</v>
      </c>
      <c r="H536" s="279">
        <v>934.13400000000001</v>
      </c>
      <c r="I536" s="154">
        <v>23</v>
      </c>
      <c r="J536" s="576">
        <v>0.39655200000000002</v>
      </c>
      <c r="K536" s="578">
        <v>28.94694595</v>
      </c>
      <c r="L536" s="437">
        <v>1.6086959999999999</v>
      </c>
      <c r="M536" s="42"/>
      <c r="N536" s="47">
        <v>61</v>
      </c>
      <c r="O536" s="45">
        <v>46</v>
      </c>
      <c r="P536" s="45">
        <v>13</v>
      </c>
      <c r="Q536" s="388">
        <v>2</v>
      </c>
      <c r="R536" s="429">
        <v>2</v>
      </c>
      <c r="S536" s="92">
        <v>1</v>
      </c>
      <c r="T536" s="361">
        <v>5</v>
      </c>
      <c r="U536" s="285">
        <v>5</v>
      </c>
      <c r="V536" s="438">
        <v>0.33333333333333298</v>
      </c>
    </row>
    <row r="537" spans="2:22" ht="13.5">
      <c r="B537" s="1569">
        <v>201507</v>
      </c>
      <c r="C537" s="326" t="s">
        <v>458</v>
      </c>
      <c r="D537" s="327" t="s">
        <v>900</v>
      </c>
      <c r="E537" s="327" t="s">
        <v>901</v>
      </c>
      <c r="F537" s="459">
        <v>3529.346</v>
      </c>
      <c r="G537" s="339">
        <v>1090.086</v>
      </c>
      <c r="H537" s="337">
        <v>1084.046</v>
      </c>
      <c r="I537" s="331">
        <v>11</v>
      </c>
      <c r="J537" s="577">
        <v>0.35483900000000002</v>
      </c>
      <c r="K537" s="579">
        <v>33.032909089999997</v>
      </c>
      <c r="L537" s="436">
        <v>3</v>
      </c>
      <c r="M537" s="42"/>
      <c r="N537" s="334">
        <v>30</v>
      </c>
      <c r="O537" s="335">
        <v>21</v>
      </c>
      <c r="P537" s="335">
        <v>8</v>
      </c>
      <c r="Q537" s="389">
        <v>1</v>
      </c>
      <c r="R537" s="430">
        <v>5</v>
      </c>
      <c r="S537" s="339"/>
      <c r="T537" s="362">
        <v>3</v>
      </c>
      <c r="U537" s="337">
        <v>2</v>
      </c>
      <c r="V537" s="338">
        <v>0.22222222222222199</v>
      </c>
    </row>
    <row r="538" spans="2:22" ht="13.5">
      <c r="B538" s="1569">
        <v>201507</v>
      </c>
      <c r="C538" s="324" t="s">
        <v>458</v>
      </c>
      <c r="D538" s="325" t="s">
        <v>649</v>
      </c>
      <c r="E538" s="325" t="s">
        <v>645</v>
      </c>
      <c r="F538" s="460">
        <v>2886.4989999999998</v>
      </c>
      <c r="G538" s="92">
        <v>711.71199999999999</v>
      </c>
      <c r="H538" s="279">
        <v>796.29300000000001</v>
      </c>
      <c r="I538" s="154">
        <v>20</v>
      </c>
      <c r="J538" s="576">
        <v>0.36363600000000001</v>
      </c>
      <c r="K538" s="578">
        <v>20.33462857</v>
      </c>
      <c r="L538" s="437">
        <v>1.75</v>
      </c>
      <c r="M538" s="42"/>
      <c r="N538" s="47">
        <v>57</v>
      </c>
      <c r="O538" s="45">
        <v>42</v>
      </c>
      <c r="P538" s="45">
        <v>13</v>
      </c>
      <c r="Q538" s="388">
        <v>2</v>
      </c>
      <c r="R538" s="429">
        <v>6</v>
      </c>
      <c r="S538" s="92">
        <v>2</v>
      </c>
      <c r="T538" s="361">
        <v>8</v>
      </c>
      <c r="U538" s="285">
        <v>5</v>
      </c>
      <c r="V538" s="438">
        <v>0.33333333333333298</v>
      </c>
    </row>
    <row r="539" spans="2:22" ht="13.5">
      <c r="B539" s="1569">
        <v>201507</v>
      </c>
      <c r="C539" s="326" t="s">
        <v>458</v>
      </c>
      <c r="D539" s="327" t="s">
        <v>650</v>
      </c>
      <c r="E539" s="327" t="s">
        <v>1777</v>
      </c>
      <c r="F539" s="459">
        <v>905.59299999999996</v>
      </c>
      <c r="G539" s="339">
        <v>162.52600000000001</v>
      </c>
      <c r="H539" s="337">
        <v>118.04600000000001</v>
      </c>
      <c r="I539" s="331">
        <v>8</v>
      </c>
      <c r="J539" s="577">
        <v>0.128</v>
      </c>
      <c r="K539" s="579">
        <v>16.252600000000001</v>
      </c>
      <c r="L539" s="436">
        <v>1.25</v>
      </c>
      <c r="M539" s="42"/>
      <c r="N539" s="334">
        <v>65</v>
      </c>
      <c r="O539" s="335">
        <v>43</v>
      </c>
      <c r="P539" s="335">
        <v>17</v>
      </c>
      <c r="Q539" s="389">
        <v>5</v>
      </c>
      <c r="R539" s="430">
        <v>1</v>
      </c>
      <c r="S539" s="339">
        <v>1</v>
      </c>
      <c r="T539" s="362">
        <v>5</v>
      </c>
      <c r="U539" s="337">
        <v>3</v>
      </c>
      <c r="V539" s="338">
        <v>0.13636363636363599</v>
      </c>
    </row>
    <row r="540" spans="2:22" ht="13.5">
      <c r="B540" s="1569">
        <v>201507</v>
      </c>
      <c r="C540" s="324" t="s">
        <v>458</v>
      </c>
      <c r="D540" s="325" t="s">
        <v>902</v>
      </c>
      <c r="E540" s="325" t="s">
        <v>1014</v>
      </c>
      <c r="F540" s="460">
        <v>2065.3530000000001</v>
      </c>
      <c r="G540" s="92">
        <v>574.678</v>
      </c>
      <c r="H540" s="279">
        <v>485.49299999999999</v>
      </c>
      <c r="I540" s="154">
        <v>24</v>
      </c>
      <c r="J540" s="576">
        <v>0.36363600000000001</v>
      </c>
      <c r="K540" s="578">
        <v>15.96327778</v>
      </c>
      <c r="L540" s="437">
        <v>1.5</v>
      </c>
      <c r="M540" s="42"/>
      <c r="N540" s="47">
        <v>66</v>
      </c>
      <c r="O540" s="45">
        <v>47</v>
      </c>
      <c r="P540" s="45">
        <v>19</v>
      </c>
      <c r="Q540" s="388">
        <v>0</v>
      </c>
      <c r="R540" s="429">
        <v>16</v>
      </c>
      <c r="S540" s="92">
        <v>1</v>
      </c>
      <c r="T540" s="361">
        <v>14</v>
      </c>
      <c r="U540" s="285">
        <v>9</v>
      </c>
      <c r="V540" s="438">
        <v>0.47368421052631599</v>
      </c>
    </row>
    <row r="541" spans="2:22" ht="13.5">
      <c r="B541" s="1569">
        <v>201507</v>
      </c>
      <c r="C541" s="326" t="s">
        <v>458</v>
      </c>
      <c r="D541" s="327" t="s">
        <v>642</v>
      </c>
      <c r="E541" s="327" t="s">
        <v>641</v>
      </c>
      <c r="F541" s="459">
        <v>3466.0479999999998</v>
      </c>
      <c r="G541" s="339">
        <v>444.33600000000001</v>
      </c>
      <c r="H541" s="337">
        <v>435.64299999999997</v>
      </c>
      <c r="I541" s="331">
        <v>18</v>
      </c>
      <c r="J541" s="577">
        <v>0.38297900000000001</v>
      </c>
      <c r="K541" s="579">
        <v>17.08984615</v>
      </c>
      <c r="L541" s="436">
        <v>1.4444440000000001</v>
      </c>
      <c r="M541" s="42"/>
      <c r="N541" s="334">
        <v>50</v>
      </c>
      <c r="O541" s="335">
        <v>34</v>
      </c>
      <c r="P541" s="335">
        <v>16</v>
      </c>
      <c r="Q541" s="389">
        <v>0</v>
      </c>
      <c r="R541" s="430">
        <v>1</v>
      </c>
      <c r="S541" s="339"/>
      <c r="T541" s="362">
        <v>6</v>
      </c>
      <c r="U541" s="337">
        <v>4</v>
      </c>
      <c r="V541" s="338">
        <v>0.25</v>
      </c>
    </row>
    <row r="542" spans="2:22" ht="13.5">
      <c r="B542" s="1569">
        <v>201507</v>
      </c>
      <c r="C542" s="324" t="s">
        <v>458</v>
      </c>
      <c r="D542" s="325" t="s">
        <v>91</v>
      </c>
      <c r="E542" s="325" t="s">
        <v>92</v>
      </c>
      <c r="F542" s="460">
        <v>4811.7209999999995</v>
      </c>
      <c r="G542" s="92">
        <v>1240.1179999999999</v>
      </c>
      <c r="H542" s="279">
        <v>1235.3699999999999</v>
      </c>
      <c r="I542" s="154">
        <v>40</v>
      </c>
      <c r="J542" s="576">
        <v>0.36199100000000001</v>
      </c>
      <c r="K542" s="578">
        <v>18.789666669999999</v>
      </c>
      <c r="L542" s="437">
        <v>1.65</v>
      </c>
      <c r="M542" s="42"/>
      <c r="N542" s="47">
        <v>107</v>
      </c>
      <c r="O542" s="45">
        <v>78</v>
      </c>
      <c r="P542" s="45">
        <v>26</v>
      </c>
      <c r="Q542" s="388">
        <v>3</v>
      </c>
      <c r="R542" s="429">
        <v>26</v>
      </c>
      <c r="S542" s="92">
        <v>1</v>
      </c>
      <c r="T542" s="361">
        <v>14</v>
      </c>
      <c r="U542" s="285">
        <v>10</v>
      </c>
      <c r="V542" s="438">
        <v>0.34482758620689702</v>
      </c>
    </row>
    <row r="543" spans="2:22" ht="13.5">
      <c r="B543" s="1569">
        <v>201507</v>
      </c>
      <c r="C543" s="326" t="s">
        <v>458</v>
      </c>
      <c r="D543" s="327" t="s">
        <v>187</v>
      </c>
      <c r="E543" s="327" t="s">
        <v>194</v>
      </c>
      <c r="F543" s="459">
        <v>1759.183</v>
      </c>
      <c r="G543" s="339">
        <v>387.63900000000001</v>
      </c>
      <c r="H543" s="337">
        <v>407.8</v>
      </c>
      <c r="I543" s="331">
        <v>28</v>
      </c>
      <c r="J543" s="577">
        <v>0.44444400000000001</v>
      </c>
      <c r="K543" s="579">
        <v>11.40114706</v>
      </c>
      <c r="L543" s="436">
        <v>1.214286</v>
      </c>
      <c r="M543" s="42"/>
      <c r="N543" s="334">
        <v>57</v>
      </c>
      <c r="O543" s="335">
        <v>40</v>
      </c>
      <c r="P543" s="335">
        <v>15</v>
      </c>
      <c r="Q543" s="389">
        <v>2</v>
      </c>
      <c r="R543" s="430">
        <v>18</v>
      </c>
      <c r="S543" s="339"/>
      <c r="T543" s="362">
        <v>5</v>
      </c>
      <c r="U543" s="337">
        <v>4</v>
      </c>
      <c r="V543" s="338">
        <v>0.23529411764705899</v>
      </c>
    </row>
    <row r="544" spans="2:22" ht="13.5">
      <c r="B544" s="1569">
        <v>201507</v>
      </c>
      <c r="C544" s="324" t="s">
        <v>458</v>
      </c>
      <c r="D544" s="325" t="s">
        <v>734</v>
      </c>
      <c r="E544" s="325" t="s">
        <v>1766</v>
      </c>
      <c r="F544" s="460">
        <v>5449.5640000000003</v>
      </c>
      <c r="G544" s="92">
        <v>888.14300000000003</v>
      </c>
      <c r="H544" s="279">
        <v>980.66300000000001</v>
      </c>
      <c r="I544" s="154">
        <v>36</v>
      </c>
      <c r="J544" s="576">
        <v>0.19406999999999999</v>
      </c>
      <c r="K544" s="578">
        <v>21.146261899999999</v>
      </c>
      <c r="L544" s="437">
        <v>1.1666669999999999</v>
      </c>
      <c r="M544" s="42"/>
      <c r="N544" s="47">
        <v>191</v>
      </c>
      <c r="O544" s="45">
        <v>149</v>
      </c>
      <c r="P544" s="45">
        <v>38</v>
      </c>
      <c r="Q544" s="388">
        <v>4</v>
      </c>
      <c r="R544" s="429">
        <v>15</v>
      </c>
      <c r="S544" s="92">
        <v>3</v>
      </c>
      <c r="T544" s="361">
        <v>23</v>
      </c>
      <c r="U544" s="285">
        <v>13</v>
      </c>
      <c r="V544" s="438">
        <v>0.30952380952380998</v>
      </c>
    </row>
    <row r="545" spans="2:22" ht="13.5">
      <c r="B545" s="1569">
        <v>201507</v>
      </c>
      <c r="C545" s="326" t="s">
        <v>458</v>
      </c>
      <c r="D545" s="327" t="s">
        <v>735</v>
      </c>
      <c r="E545" s="327" t="s">
        <v>790</v>
      </c>
      <c r="F545" s="459">
        <v>6977.0110000000104</v>
      </c>
      <c r="G545" s="339">
        <v>1512.5440000000001</v>
      </c>
      <c r="H545" s="337">
        <v>1497.0530000000001</v>
      </c>
      <c r="I545" s="331">
        <v>26</v>
      </c>
      <c r="J545" s="577">
        <v>0.37410100000000002</v>
      </c>
      <c r="K545" s="579">
        <v>32.181787229999998</v>
      </c>
      <c r="L545" s="436">
        <v>1.8076920000000001</v>
      </c>
      <c r="M545" s="42"/>
      <c r="N545" s="334">
        <v>74</v>
      </c>
      <c r="O545" s="335">
        <v>60</v>
      </c>
      <c r="P545" s="335">
        <v>12</v>
      </c>
      <c r="Q545" s="389">
        <v>2</v>
      </c>
      <c r="R545" s="430">
        <v>3</v>
      </c>
      <c r="S545" s="339"/>
      <c r="T545" s="362">
        <v>8</v>
      </c>
      <c r="U545" s="337">
        <v>5</v>
      </c>
      <c r="V545" s="338">
        <v>0.35714285714285698</v>
      </c>
    </row>
    <row r="546" spans="2:22" ht="13.5">
      <c r="B546" s="1569">
        <v>201507</v>
      </c>
      <c r="C546" s="324" t="s">
        <v>458</v>
      </c>
      <c r="D546" s="325" t="s">
        <v>798</v>
      </c>
      <c r="E546" s="325" t="s">
        <v>1768</v>
      </c>
      <c r="F546" s="460">
        <v>2637.2040000000002</v>
      </c>
      <c r="G546" s="92">
        <v>400.75700000000001</v>
      </c>
      <c r="H546" s="279">
        <v>318.19299999999998</v>
      </c>
      <c r="I546" s="154">
        <v>17</v>
      </c>
      <c r="J546" s="576">
        <v>0.42499999999999999</v>
      </c>
      <c r="K546" s="578">
        <v>18.216227270000001</v>
      </c>
      <c r="L546" s="437">
        <v>1.2941180000000001</v>
      </c>
      <c r="M546" s="42"/>
      <c r="N546" s="47">
        <v>44</v>
      </c>
      <c r="O546" s="45">
        <v>31</v>
      </c>
      <c r="P546" s="45">
        <v>11</v>
      </c>
      <c r="Q546" s="388">
        <v>2</v>
      </c>
      <c r="R546" s="429">
        <v>0</v>
      </c>
      <c r="S546" s="92">
        <v>2</v>
      </c>
      <c r="T546" s="361">
        <v>6</v>
      </c>
      <c r="U546" s="285">
        <v>3</v>
      </c>
      <c r="V546" s="438">
        <v>0.230769230769231</v>
      </c>
    </row>
    <row r="547" spans="2:22" ht="13.5">
      <c r="B547" s="1569">
        <v>201507</v>
      </c>
      <c r="C547" s="326" t="s">
        <v>458</v>
      </c>
      <c r="D547" s="327" t="s">
        <v>949</v>
      </c>
      <c r="E547" s="327" t="s">
        <v>950</v>
      </c>
      <c r="F547" s="459">
        <v>4218.5219999999999</v>
      </c>
      <c r="G547" s="339">
        <v>837.16300000000001</v>
      </c>
      <c r="H547" s="337">
        <v>830.58799999999997</v>
      </c>
      <c r="I547" s="331">
        <v>18</v>
      </c>
      <c r="J547" s="577">
        <v>0.21052599999999999</v>
      </c>
      <c r="K547" s="579">
        <v>22.030605260000002</v>
      </c>
      <c r="L547" s="436">
        <v>2.1111110000000002</v>
      </c>
      <c r="M547" s="42"/>
      <c r="N547" s="334">
        <v>88</v>
      </c>
      <c r="O547" s="335">
        <v>66</v>
      </c>
      <c r="P547" s="335">
        <v>18</v>
      </c>
      <c r="Q547" s="389">
        <v>4</v>
      </c>
      <c r="R547" s="430">
        <v>4</v>
      </c>
      <c r="S547" s="339"/>
      <c r="T547" s="362">
        <v>9</v>
      </c>
      <c r="U547" s="337">
        <v>6</v>
      </c>
      <c r="V547" s="338">
        <v>0.27272727272727298</v>
      </c>
    </row>
    <row r="548" spans="2:22" ht="13.5">
      <c r="B548" s="1569">
        <v>201507</v>
      </c>
      <c r="C548" s="324" t="s">
        <v>458</v>
      </c>
      <c r="D548" s="325" t="s">
        <v>903</v>
      </c>
      <c r="E548" s="325" t="s">
        <v>904</v>
      </c>
      <c r="F548" s="460">
        <v>4516.0609999999997</v>
      </c>
      <c r="G548" s="92">
        <v>873.44299999999998</v>
      </c>
      <c r="H548" s="279">
        <v>812.27099999999996</v>
      </c>
      <c r="I548" s="154">
        <v>37</v>
      </c>
      <c r="J548" s="576">
        <v>0.39784900000000001</v>
      </c>
      <c r="K548" s="578">
        <v>16.480056600000001</v>
      </c>
      <c r="L548" s="437">
        <v>1.4324319999999999</v>
      </c>
      <c r="M548" s="42"/>
      <c r="N548" s="47">
        <v>92</v>
      </c>
      <c r="O548" s="45">
        <v>64</v>
      </c>
      <c r="P548" s="45">
        <v>25</v>
      </c>
      <c r="Q548" s="388">
        <v>3</v>
      </c>
      <c r="R548" s="429">
        <v>11</v>
      </c>
      <c r="S548" s="92"/>
      <c r="T548" s="361">
        <v>9</v>
      </c>
      <c r="U548" s="285">
        <v>7</v>
      </c>
      <c r="V548" s="438">
        <v>0.25</v>
      </c>
    </row>
    <row r="549" spans="2:22" ht="13.5">
      <c r="B549" s="1569">
        <v>201507</v>
      </c>
      <c r="C549" s="326" t="s">
        <v>458</v>
      </c>
      <c r="D549" s="327" t="s">
        <v>1101</v>
      </c>
      <c r="E549" s="327" t="s">
        <v>1162</v>
      </c>
      <c r="F549" s="459">
        <v>1414.414</v>
      </c>
      <c r="G549" s="339">
        <v>220.16399999999999</v>
      </c>
      <c r="H549" s="337">
        <v>207.91</v>
      </c>
      <c r="I549" s="331">
        <v>16</v>
      </c>
      <c r="J549" s="577">
        <v>0.40506300000000001</v>
      </c>
      <c r="K549" s="579">
        <v>11.587578949999999</v>
      </c>
      <c r="L549" s="436">
        <v>1.1875</v>
      </c>
      <c r="M549" s="42"/>
      <c r="N549" s="334">
        <v>43</v>
      </c>
      <c r="O549" s="335">
        <v>29</v>
      </c>
      <c r="P549" s="335">
        <v>14</v>
      </c>
      <c r="Q549" s="389">
        <v>0</v>
      </c>
      <c r="R549" s="430">
        <v>2</v>
      </c>
      <c r="S549" s="339">
        <v>2</v>
      </c>
      <c r="T549" s="362">
        <v>7</v>
      </c>
      <c r="U549" s="337">
        <v>4</v>
      </c>
      <c r="V549" s="338">
        <v>0.28571428571428598</v>
      </c>
    </row>
    <row r="550" spans="2:22" ht="13.5">
      <c r="B550" s="1569">
        <v>201507</v>
      </c>
      <c r="C550" s="324" t="s">
        <v>458</v>
      </c>
      <c r="D550" s="325" t="s">
        <v>1102</v>
      </c>
      <c r="E550" s="325" t="s">
        <v>1163</v>
      </c>
      <c r="F550" s="460">
        <v>2722.306</v>
      </c>
      <c r="G550" s="92">
        <v>677.529</v>
      </c>
      <c r="H550" s="279">
        <v>650.87400000000002</v>
      </c>
      <c r="I550" s="154">
        <v>28</v>
      </c>
      <c r="J550" s="576">
        <v>0.33734900000000001</v>
      </c>
      <c r="K550" s="578">
        <v>18.311594589999999</v>
      </c>
      <c r="L550" s="437">
        <v>1.321429</v>
      </c>
      <c r="M550" s="42"/>
      <c r="N550" s="47">
        <v>89</v>
      </c>
      <c r="O550" s="45">
        <v>61</v>
      </c>
      <c r="P550" s="45">
        <v>28</v>
      </c>
      <c r="Q550" s="388">
        <v>0</v>
      </c>
      <c r="R550" s="429">
        <v>7</v>
      </c>
      <c r="S550" s="92">
        <v>2</v>
      </c>
      <c r="T550" s="361">
        <v>17</v>
      </c>
      <c r="U550" s="285">
        <v>10</v>
      </c>
      <c r="V550" s="438">
        <v>0.35714285714285698</v>
      </c>
    </row>
    <row r="551" spans="2:22" ht="13.5">
      <c r="B551" s="1569">
        <v>201507</v>
      </c>
      <c r="C551" s="326" t="s">
        <v>458</v>
      </c>
      <c r="D551" s="327" t="s">
        <v>628</v>
      </c>
      <c r="E551" s="327" t="s">
        <v>629</v>
      </c>
      <c r="F551" s="459">
        <v>1835.617</v>
      </c>
      <c r="G551" s="339">
        <v>373.05099999999999</v>
      </c>
      <c r="H551" s="337">
        <v>379.16500000000002</v>
      </c>
      <c r="I551" s="331">
        <v>12</v>
      </c>
      <c r="J551" s="577">
        <v>0.24</v>
      </c>
      <c r="K551" s="579">
        <v>14.922040000000001</v>
      </c>
      <c r="L551" s="436">
        <v>2.0833330000000001</v>
      </c>
      <c r="M551" s="42"/>
      <c r="N551" s="334">
        <v>47</v>
      </c>
      <c r="O551" s="335">
        <v>26</v>
      </c>
      <c r="P551" s="335">
        <v>14</v>
      </c>
      <c r="Q551" s="389">
        <v>7</v>
      </c>
      <c r="R551" s="430">
        <v>8</v>
      </c>
      <c r="S551" s="339"/>
      <c r="T551" s="362">
        <v>2</v>
      </c>
      <c r="U551" s="337">
        <v>2</v>
      </c>
      <c r="V551" s="338">
        <v>9.5238095238095205E-2</v>
      </c>
    </row>
    <row r="552" spans="2:22" ht="13.5">
      <c r="B552" s="1569">
        <v>201507</v>
      </c>
      <c r="C552" s="324" t="s">
        <v>458</v>
      </c>
      <c r="D552" s="325" t="s">
        <v>1565</v>
      </c>
      <c r="E552" s="325" t="s">
        <v>1566</v>
      </c>
      <c r="F552" s="460">
        <v>206.63499999999999</v>
      </c>
      <c r="G552" s="92">
        <v>176.53100000000001</v>
      </c>
      <c r="H552" s="279">
        <v>181.47399999999999</v>
      </c>
      <c r="I552" s="154">
        <v>11</v>
      </c>
      <c r="J552" s="576">
        <v>0.91666700000000001</v>
      </c>
      <c r="K552" s="578">
        <v>11.0331875</v>
      </c>
      <c r="L552" s="437">
        <v>1.454545</v>
      </c>
      <c r="M552" s="42"/>
      <c r="N552" s="47">
        <v>17</v>
      </c>
      <c r="O552" s="45">
        <v>12</v>
      </c>
      <c r="P552" s="45">
        <v>5</v>
      </c>
      <c r="Q552" s="388">
        <v>0</v>
      </c>
      <c r="R552" s="429">
        <v>0</v>
      </c>
      <c r="S552" s="92">
        <v>3</v>
      </c>
      <c r="T552" s="361">
        <v>7</v>
      </c>
      <c r="U552" s="285">
        <v>3</v>
      </c>
      <c r="V552" s="438">
        <v>0.6</v>
      </c>
    </row>
    <row r="553" spans="2:22" ht="13.5">
      <c r="B553" s="1569">
        <v>201507</v>
      </c>
      <c r="C553" s="326" t="s">
        <v>458</v>
      </c>
      <c r="D553" s="327" t="s">
        <v>47</v>
      </c>
      <c r="E553" s="327" t="s">
        <v>17</v>
      </c>
      <c r="F553" s="459">
        <v>2707.5610000000001</v>
      </c>
      <c r="G553" s="339">
        <v>270.755</v>
      </c>
      <c r="H553" s="337">
        <v>261.35700000000003</v>
      </c>
      <c r="I553" s="331">
        <v>14</v>
      </c>
      <c r="J553" s="577">
        <v>0.27722799999999997</v>
      </c>
      <c r="K553" s="579">
        <v>14.250263159999999</v>
      </c>
      <c r="L553" s="436">
        <v>1.357143</v>
      </c>
      <c r="M553" s="42"/>
      <c r="N553" s="334">
        <v>50</v>
      </c>
      <c r="O553" s="335">
        <v>35</v>
      </c>
      <c r="P553" s="335">
        <v>14</v>
      </c>
      <c r="Q553" s="389">
        <v>1</v>
      </c>
      <c r="R553" s="430">
        <v>5</v>
      </c>
      <c r="S553" s="339"/>
      <c r="T553" s="362">
        <v>4</v>
      </c>
      <c r="U553" s="337">
        <v>3</v>
      </c>
      <c r="V553" s="338">
        <v>0.2</v>
      </c>
    </row>
    <row r="554" spans="2:22" ht="13.5">
      <c r="B554" s="1569">
        <v>201507</v>
      </c>
      <c r="C554" s="324" t="s">
        <v>458</v>
      </c>
      <c r="D554" s="325" t="s">
        <v>736</v>
      </c>
      <c r="E554" s="325" t="s">
        <v>697</v>
      </c>
      <c r="F554" s="460">
        <v>6328.2670000000198</v>
      </c>
      <c r="G554" s="92">
        <v>781.89400000000001</v>
      </c>
      <c r="H554" s="279">
        <v>754.202</v>
      </c>
      <c r="I554" s="154">
        <v>26</v>
      </c>
      <c r="J554" s="576">
        <v>0.26738000000000001</v>
      </c>
      <c r="K554" s="578">
        <v>19.547350000000002</v>
      </c>
      <c r="L554" s="437">
        <v>1.538462</v>
      </c>
      <c r="M554" s="42"/>
      <c r="N554" s="47">
        <v>91</v>
      </c>
      <c r="O554" s="45">
        <v>67</v>
      </c>
      <c r="P554" s="45">
        <v>16</v>
      </c>
      <c r="Q554" s="388">
        <v>8</v>
      </c>
      <c r="R554" s="429">
        <v>18</v>
      </c>
      <c r="S554" s="92">
        <v>1</v>
      </c>
      <c r="T554" s="361">
        <v>10</v>
      </c>
      <c r="U554" s="285">
        <v>9</v>
      </c>
      <c r="V554" s="438">
        <v>0.375</v>
      </c>
    </row>
    <row r="555" spans="2:22" ht="13.5">
      <c r="B555" s="1569">
        <v>201507</v>
      </c>
      <c r="C555" s="326" t="s">
        <v>458</v>
      </c>
      <c r="D555" s="327" t="s">
        <v>796</v>
      </c>
      <c r="E555" s="327" t="s">
        <v>797</v>
      </c>
      <c r="F555" s="459">
        <v>3968.86599999999</v>
      </c>
      <c r="G555" s="339">
        <v>429.435</v>
      </c>
      <c r="H555" s="337">
        <v>431.28199999999998</v>
      </c>
      <c r="I555" s="331">
        <v>16</v>
      </c>
      <c r="J555" s="577">
        <v>0.225352</v>
      </c>
      <c r="K555" s="579">
        <v>17.177399999999999</v>
      </c>
      <c r="L555" s="436">
        <v>1.5625</v>
      </c>
      <c r="M555" s="42"/>
      <c r="N555" s="334">
        <v>69</v>
      </c>
      <c r="O555" s="335">
        <v>43</v>
      </c>
      <c r="P555" s="335">
        <v>22</v>
      </c>
      <c r="Q555" s="389">
        <v>4</v>
      </c>
      <c r="R555" s="430">
        <v>14</v>
      </c>
      <c r="S555" s="339">
        <v>3</v>
      </c>
      <c r="T555" s="362">
        <v>7</v>
      </c>
      <c r="U555" s="337">
        <v>6</v>
      </c>
      <c r="V555" s="338">
        <v>0.230769230769231</v>
      </c>
    </row>
    <row r="556" spans="2:22" ht="13.5">
      <c r="B556" s="1569">
        <v>201507</v>
      </c>
      <c r="C556" s="324" t="s">
        <v>458</v>
      </c>
      <c r="D556" s="325" t="s">
        <v>1418</v>
      </c>
      <c r="E556" s="325" t="s">
        <v>1771</v>
      </c>
      <c r="F556" s="460">
        <v>839.04299999999898</v>
      </c>
      <c r="G556" s="92">
        <v>399.80399999999997</v>
      </c>
      <c r="H556" s="279">
        <v>393.73099999999999</v>
      </c>
      <c r="I556" s="154">
        <v>13</v>
      </c>
      <c r="J556" s="576">
        <v>0.35135100000000002</v>
      </c>
      <c r="K556" s="578">
        <v>18.172909090000001</v>
      </c>
      <c r="L556" s="437">
        <v>1.6923079999999999</v>
      </c>
      <c r="M556" s="42"/>
      <c r="N556" s="47">
        <v>40</v>
      </c>
      <c r="O556" s="45">
        <v>25</v>
      </c>
      <c r="P556" s="45">
        <v>12</v>
      </c>
      <c r="Q556" s="388">
        <v>3</v>
      </c>
      <c r="R556" s="429">
        <v>5</v>
      </c>
      <c r="S556" s="92">
        <v>2</v>
      </c>
      <c r="T556" s="361">
        <v>9</v>
      </c>
      <c r="U556" s="285">
        <v>6</v>
      </c>
      <c r="V556" s="438">
        <v>0.4</v>
      </c>
    </row>
    <row r="557" spans="2:22" ht="13.5">
      <c r="B557" s="1569">
        <v>201507</v>
      </c>
      <c r="C557" s="326" t="s">
        <v>458</v>
      </c>
      <c r="D557" s="327" t="s">
        <v>1669</v>
      </c>
      <c r="E557" s="327" t="s">
        <v>1670</v>
      </c>
      <c r="F557" s="459">
        <v>123.105</v>
      </c>
      <c r="G557" s="339">
        <v>163.53</v>
      </c>
      <c r="H557" s="337">
        <v>107.97199999999999</v>
      </c>
      <c r="I557" s="331">
        <v>5</v>
      </c>
      <c r="J557" s="577">
        <v>0.47619</v>
      </c>
      <c r="K557" s="579">
        <v>27.254999999999999</v>
      </c>
      <c r="L557" s="436">
        <v>1.2</v>
      </c>
      <c r="M557" s="42"/>
      <c r="N557" s="334">
        <v>15</v>
      </c>
      <c r="O557" s="335">
        <v>12</v>
      </c>
      <c r="P557" s="335">
        <v>3</v>
      </c>
      <c r="Q557" s="389">
        <v>0</v>
      </c>
      <c r="R557" s="430">
        <v>0</v>
      </c>
      <c r="S557" s="339"/>
      <c r="T557" s="362">
        <v>9</v>
      </c>
      <c r="U557" s="337">
        <v>3</v>
      </c>
      <c r="V557" s="338">
        <v>1</v>
      </c>
    </row>
    <row r="558" spans="2:22" ht="13.5">
      <c r="B558" s="1569">
        <v>201507</v>
      </c>
      <c r="C558" s="324" t="s">
        <v>458</v>
      </c>
      <c r="D558" s="325" t="s">
        <v>630</v>
      </c>
      <c r="E558" s="325" t="s">
        <v>483</v>
      </c>
      <c r="F558" s="460">
        <v>2148.2489999999998</v>
      </c>
      <c r="G558" s="92">
        <v>328.56200000000001</v>
      </c>
      <c r="H558" s="279">
        <v>318.971</v>
      </c>
      <c r="I558" s="154">
        <v>22</v>
      </c>
      <c r="J558" s="576">
        <v>0.28571400000000002</v>
      </c>
      <c r="K558" s="578">
        <v>14.285304350000001</v>
      </c>
      <c r="L558" s="437">
        <v>1.045455</v>
      </c>
      <c r="M558" s="42"/>
      <c r="N558" s="47">
        <v>76</v>
      </c>
      <c r="O558" s="45">
        <v>56</v>
      </c>
      <c r="P558" s="45">
        <v>15</v>
      </c>
      <c r="Q558" s="388">
        <v>5</v>
      </c>
      <c r="R558" s="429">
        <v>12</v>
      </c>
      <c r="S558" s="92"/>
      <c r="T558" s="361">
        <v>10</v>
      </c>
      <c r="U558" s="285">
        <v>9</v>
      </c>
      <c r="V558" s="438">
        <v>0.45</v>
      </c>
    </row>
    <row r="559" spans="2:22" ht="13.5">
      <c r="B559" s="1569">
        <v>201507</v>
      </c>
      <c r="C559" s="326" t="s">
        <v>458</v>
      </c>
      <c r="D559" s="327" t="s">
        <v>905</v>
      </c>
      <c r="E559" s="327" t="s">
        <v>906</v>
      </c>
      <c r="F559" s="459">
        <v>4486.8770000000004</v>
      </c>
      <c r="G559" s="339">
        <v>2149.9180000000001</v>
      </c>
      <c r="H559" s="337">
        <v>2134.125</v>
      </c>
      <c r="I559" s="331">
        <v>23</v>
      </c>
      <c r="J559" s="577">
        <v>0.41071400000000002</v>
      </c>
      <c r="K559" s="579">
        <v>51.18852381</v>
      </c>
      <c r="L559" s="436">
        <v>1.826087</v>
      </c>
      <c r="M559" s="42"/>
      <c r="N559" s="334">
        <v>51</v>
      </c>
      <c r="O559" s="335">
        <v>35</v>
      </c>
      <c r="P559" s="335">
        <v>12</v>
      </c>
      <c r="Q559" s="389">
        <v>4</v>
      </c>
      <c r="R559" s="430">
        <v>12</v>
      </c>
      <c r="S559" s="339"/>
      <c r="T559" s="362">
        <v>2</v>
      </c>
      <c r="U559" s="337">
        <v>2</v>
      </c>
      <c r="V559" s="338">
        <v>0.125</v>
      </c>
    </row>
    <row r="560" spans="2:22" ht="13.5">
      <c r="B560" s="1569">
        <v>201507</v>
      </c>
      <c r="C560" s="324" t="s">
        <v>458</v>
      </c>
      <c r="D560" s="325" t="s">
        <v>648</v>
      </c>
      <c r="E560" s="325" t="s">
        <v>644</v>
      </c>
      <c r="F560" s="460">
        <v>2072.864</v>
      </c>
      <c r="G560" s="92">
        <v>279.23899999999998</v>
      </c>
      <c r="H560" s="279">
        <v>265.24900000000002</v>
      </c>
      <c r="I560" s="154">
        <v>18</v>
      </c>
      <c r="J560" s="576">
        <v>0.30769200000000002</v>
      </c>
      <c r="K560" s="578">
        <v>12.692681820000001</v>
      </c>
      <c r="L560" s="437">
        <v>1.2222219999999999</v>
      </c>
      <c r="M560" s="42"/>
      <c r="N560" s="47">
        <v>54</v>
      </c>
      <c r="O560" s="45">
        <v>40</v>
      </c>
      <c r="P560" s="45">
        <v>12</v>
      </c>
      <c r="Q560" s="388">
        <v>2</v>
      </c>
      <c r="R560" s="429">
        <v>12</v>
      </c>
      <c r="S560" s="92"/>
      <c r="T560" s="361">
        <v>3</v>
      </c>
      <c r="U560" s="285">
        <v>3</v>
      </c>
      <c r="V560" s="438">
        <v>0.214285714285714</v>
      </c>
    </row>
    <row r="561" spans="2:22" ht="13.5">
      <c r="B561" s="1569">
        <v>201507</v>
      </c>
      <c r="C561" s="326" t="s">
        <v>459</v>
      </c>
      <c r="D561" s="327" t="s">
        <v>1100</v>
      </c>
      <c r="E561" s="327" t="s">
        <v>1774</v>
      </c>
      <c r="F561" s="459">
        <v>4423.8280000000104</v>
      </c>
      <c r="G561" s="339">
        <v>1256.518</v>
      </c>
      <c r="H561" s="337">
        <v>1244.0440000000001</v>
      </c>
      <c r="I561" s="331">
        <v>66</v>
      </c>
      <c r="J561" s="577">
        <v>0.54320999999999997</v>
      </c>
      <c r="K561" s="579">
        <v>11.9668381</v>
      </c>
      <c r="L561" s="436">
        <v>1.5909089999999999</v>
      </c>
      <c r="M561" s="42"/>
      <c r="N561" s="334">
        <v>135</v>
      </c>
      <c r="O561" s="335">
        <v>102</v>
      </c>
      <c r="P561" s="335">
        <v>25</v>
      </c>
      <c r="Q561" s="389">
        <v>8</v>
      </c>
      <c r="R561" s="430">
        <v>12</v>
      </c>
      <c r="S561" s="339">
        <v>4</v>
      </c>
      <c r="T561" s="362">
        <v>35</v>
      </c>
      <c r="U561" s="337">
        <v>18</v>
      </c>
      <c r="V561" s="338">
        <v>0.54545454545454497</v>
      </c>
    </row>
    <row r="562" spans="2:22" ht="13.5">
      <c r="B562" s="1569">
        <v>201507</v>
      </c>
      <c r="C562" s="324" t="s">
        <v>459</v>
      </c>
      <c r="D562" s="325" t="s">
        <v>1419</v>
      </c>
      <c r="E562" s="325" t="s">
        <v>1420</v>
      </c>
      <c r="F562" s="460">
        <v>1680.3689999999999</v>
      </c>
      <c r="G562" s="92">
        <v>581.72799999999995</v>
      </c>
      <c r="H562" s="279">
        <v>592.87099999999998</v>
      </c>
      <c r="I562" s="154">
        <v>30</v>
      </c>
      <c r="J562" s="576">
        <v>0.34883700000000001</v>
      </c>
      <c r="K562" s="578">
        <v>11.63456</v>
      </c>
      <c r="L562" s="437">
        <v>1.6666669999999999</v>
      </c>
      <c r="M562" s="42"/>
      <c r="N562" s="47">
        <v>86</v>
      </c>
      <c r="O562" s="45">
        <v>70</v>
      </c>
      <c r="P562" s="45">
        <v>16</v>
      </c>
      <c r="Q562" s="388">
        <v>0</v>
      </c>
      <c r="R562" s="429">
        <v>6</v>
      </c>
      <c r="S562" s="92"/>
      <c r="T562" s="361">
        <v>6</v>
      </c>
      <c r="U562" s="285">
        <v>4</v>
      </c>
      <c r="V562" s="438">
        <v>0.25</v>
      </c>
    </row>
    <row r="563" spans="2:22" ht="13.5">
      <c r="B563" s="1569">
        <v>201507</v>
      </c>
      <c r="C563" s="326" t="s">
        <v>459</v>
      </c>
      <c r="D563" s="327" t="s">
        <v>1103</v>
      </c>
      <c r="E563" s="327" t="s">
        <v>1161</v>
      </c>
      <c r="F563" s="459">
        <v>641.68600000000004</v>
      </c>
      <c r="G563" s="339">
        <v>239.29300000000001</v>
      </c>
      <c r="H563" s="337">
        <v>239.29300000000001</v>
      </c>
      <c r="I563" s="331">
        <v>11</v>
      </c>
      <c r="J563" s="577">
        <v>0.45833299999999999</v>
      </c>
      <c r="K563" s="579">
        <v>11.964650000000001</v>
      </c>
      <c r="L563" s="436">
        <v>1.818182</v>
      </c>
      <c r="M563" s="42"/>
      <c r="N563" s="334">
        <v>24</v>
      </c>
      <c r="O563" s="335">
        <v>16</v>
      </c>
      <c r="P563" s="335">
        <v>8</v>
      </c>
      <c r="Q563" s="389">
        <v>0</v>
      </c>
      <c r="R563" s="430">
        <v>2</v>
      </c>
      <c r="S563" s="339"/>
      <c r="T563" s="362">
        <v>2</v>
      </c>
      <c r="U563" s="337">
        <v>1</v>
      </c>
      <c r="V563" s="338">
        <v>0.125</v>
      </c>
    </row>
    <row r="564" spans="2:22" ht="13.5">
      <c r="B564" s="1569">
        <v>201507</v>
      </c>
      <c r="C564" s="324" t="s">
        <v>459</v>
      </c>
      <c r="D564" s="325" t="s">
        <v>661</v>
      </c>
      <c r="E564" s="325" t="s">
        <v>1950</v>
      </c>
      <c r="F564" s="460">
        <v>1602.3330000000001</v>
      </c>
      <c r="G564" s="92">
        <v>211.084</v>
      </c>
      <c r="H564" s="279">
        <v>113.529</v>
      </c>
      <c r="I564" s="154">
        <v>6</v>
      </c>
      <c r="J564" s="576">
        <v>8.5106000000000001E-2</v>
      </c>
      <c r="K564" s="578">
        <v>30.154857140000001</v>
      </c>
      <c r="L564" s="437">
        <v>1.1666669999999999</v>
      </c>
      <c r="M564" s="42"/>
      <c r="N564" s="47">
        <v>71</v>
      </c>
      <c r="O564" s="45">
        <v>48</v>
      </c>
      <c r="P564" s="45">
        <v>19</v>
      </c>
      <c r="Q564" s="388">
        <v>4</v>
      </c>
      <c r="R564" s="429">
        <v>11</v>
      </c>
      <c r="S564" s="92">
        <v>4</v>
      </c>
      <c r="T564" s="361">
        <v>8</v>
      </c>
      <c r="U564" s="285">
        <v>8</v>
      </c>
      <c r="V564" s="438">
        <v>0.34782608695652201</v>
      </c>
    </row>
    <row r="565" spans="2:22" ht="13.5">
      <c r="B565" s="1569">
        <v>201507</v>
      </c>
      <c r="C565" s="326" t="s">
        <v>459</v>
      </c>
      <c r="D565" s="327" t="s">
        <v>179</v>
      </c>
      <c r="E565" s="327" t="s">
        <v>191</v>
      </c>
      <c r="F565" s="459">
        <v>6919.8860000000204</v>
      </c>
      <c r="G565" s="339">
        <v>831.72699999999998</v>
      </c>
      <c r="H565" s="337">
        <v>730.60299999999995</v>
      </c>
      <c r="I565" s="331">
        <v>32</v>
      </c>
      <c r="J565" s="577">
        <v>0.16580300000000001</v>
      </c>
      <c r="K565" s="579">
        <v>23.763628570000002</v>
      </c>
      <c r="L565" s="436">
        <v>1.09375</v>
      </c>
      <c r="M565" s="42"/>
      <c r="N565" s="334">
        <v>174</v>
      </c>
      <c r="O565" s="335">
        <v>121</v>
      </c>
      <c r="P565" s="335">
        <v>51</v>
      </c>
      <c r="Q565" s="389">
        <v>2</v>
      </c>
      <c r="R565" s="430">
        <v>53</v>
      </c>
      <c r="S565" s="339">
        <v>5</v>
      </c>
      <c r="T565" s="362">
        <v>10</v>
      </c>
      <c r="U565" s="337">
        <v>9</v>
      </c>
      <c r="V565" s="338">
        <v>0.169811320754717</v>
      </c>
    </row>
    <row r="566" spans="2:22" ht="13.5">
      <c r="B566" s="1569">
        <v>201507</v>
      </c>
      <c r="C566" s="324" t="s">
        <v>459</v>
      </c>
      <c r="D566" s="325" t="s">
        <v>659</v>
      </c>
      <c r="E566" s="325" t="s">
        <v>655</v>
      </c>
      <c r="F566" s="460">
        <v>4889.4179999999997</v>
      </c>
      <c r="G566" s="92">
        <v>1501.9349999999999</v>
      </c>
      <c r="H566" s="279">
        <v>1444.856</v>
      </c>
      <c r="I566" s="154">
        <v>38</v>
      </c>
      <c r="J566" s="576">
        <v>0.40860200000000002</v>
      </c>
      <c r="K566" s="578">
        <v>21.76717391</v>
      </c>
      <c r="L566" s="437">
        <v>1.8157890000000001</v>
      </c>
      <c r="M566" s="42"/>
      <c r="N566" s="47">
        <v>88</v>
      </c>
      <c r="O566" s="45">
        <v>65</v>
      </c>
      <c r="P566" s="45">
        <v>18</v>
      </c>
      <c r="Q566" s="388">
        <v>5</v>
      </c>
      <c r="R566" s="429">
        <v>22</v>
      </c>
      <c r="S566" s="92">
        <v>1</v>
      </c>
      <c r="T566" s="361">
        <v>11</v>
      </c>
      <c r="U566" s="285">
        <v>7</v>
      </c>
      <c r="V566" s="438">
        <v>0.30434782608695699</v>
      </c>
    </row>
    <row r="567" spans="2:22" ht="13.5">
      <c r="B567" s="1569">
        <v>201507</v>
      </c>
      <c r="C567" s="326" t="s">
        <v>459</v>
      </c>
      <c r="D567" s="327" t="s">
        <v>699</v>
      </c>
      <c r="E567" s="327" t="s">
        <v>698</v>
      </c>
      <c r="F567" s="459">
        <v>1535.1559999999999</v>
      </c>
      <c r="G567" s="339">
        <v>337.05200000000002</v>
      </c>
      <c r="H567" s="337">
        <v>339.416</v>
      </c>
      <c r="I567" s="331">
        <v>21</v>
      </c>
      <c r="J567" s="577">
        <v>0.47191</v>
      </c>
      <c r="K567" s="579">
        <v>13.48208</v>
      </c>
      <c r="L567" s="436">
        <v>1.1904760000000001</v>
      </c>
      <c r="M567" s="42"/>
      <c r="N567" s="334">
        <v>40</v>
      </c>
      <c r="O567" s="335">
        <v>28</v>
      </c>
      <c r="P567" s="335">
        <v>10</v>
      </c>
      <c r="Q567" s="389">
        <v>2</v>
      </c>
      <c r="R567" s="430">
        <v>15</v>
      </c>
      <c r="S567" s="339"/>
      <c r="T567" s="362">
        <v>6</v>
      </c>
      <c r="U567" s="337">
        <v>4</v>
      </c>
      <c r="V567" s="338">
        <v>0.33333333333333298</v>
      </c>
    </row>
    <row r="568" spans="2:22" ht="13.5">
      <c r="B568" s="1569">
        <v>201507</v>
      </c>
      <c r="C568" s="324" t="s">
        <v>459</v>
      </c>
      <c r="D568" s="325" t="s">
        <v>1015</v>
      </c>
      <c r="E568" s="325" t="s">
        <v>1348</v>
      </c>
      <c r="F568" s="460">
        <v>654.10799999999995</v>
      </c>
      <c r="G568" s="92">
        <v>190.75899999999999</v>
      </c>
      <c r="H568" s="279">
        <v>190.75899999999999</v>
      </c>
      <c r="I568" s="154">
        <v>14</v>
      </c>
      <c r="J568" s="576">
        <v>0.28000000000000003</v>
      </c>
      <c r="K568" s="578">
        <v>11.22111765</v>
      </c>
      <c r="L568" s="437">
        <v>1.214286</v>
      </c>
      <c r="M568" s="42"/>
      <c r="N568" s="47">
        <v>56</v>
      </c>
      <c r="O568" s="45">
        <v>41</v>
      </c>
      <c r="P568" s="45">
        <v>15</v>
      </c>
      <c r="Q568" s="388">
        <v>0</v>
      </c>
      <c r="R568" s="429">
        <v>10</v>
      </c>
      <c r="S568" s="92">
        <v>4</v>
      </c>
      <c r="T568" s="361">
        <v>18</v>
      </c>
      <c r="U568" s="285">
        <v>8</v>
      </c>
      <c r="V568" s="438">
        <v>0.53333333333333299</v>
      </c>
    </row>
    <row r="569" spans="2:22" ht="13.5">
      <c r="B569" s="1569">
        <v>201507</v>
      </c>
      <c r="C569" s="326" t="s">
        <v>459</v>
      </c>
      <c r="D569" s="327" t="s">
        <v>825</v>
      </c>
      <c r="E569" s="327" t="s">
        <v>1773</v>
      </c>
      <c r="F569" s="459">
        <v>1699.0930000000001</v>
      </c>
      <c r="G569" s="339">
        <v>283.28100000000001</v>
      </c>
      <c r="H569" s="337">
        <v>276.67899999999997</v>
      </c>
      <c r="I569" s="331">
        <v>22</v>
      </c>
      <c r="J569" s="577">
        <v>0.38260899999999998</v>
      </c>
      <c r="K569" s="579">
        <v>10.89542308</v>
      </c>
      <c r="L569" s="436">
        <v>1.181818</v>
      </c>
      <c r="M569" s="42"/>
      <c r="N569" s="334">
        <v>57</v>
      </c>
      <c r="O569" s="335">
        <v>44</v>
      </c>
      <c r="P569" s="335">
        <v>9</v>
      </c>
      <c r="Q569" s="389">
        <v>4</v>
      </c>
      <c r="R569" s="430">
        <v>8</v>
      </c>
      <c r="S569" s="339"/>
      <c r="T569" s="362">
        <v>7</v>
      </c>
      <c r="U569" s="337">
        <v>5</v>
      </c>
      <c r="V569" s="338">
        <v>0.38461538461538503</v>
      </c>
    </row>
    <row r="570" spans="2:22" ht="13.5">
      <c r="B570" s="1569">
        <v>201507</v>
      </c>
      <c r="C570" s="324" t="s">
        <v>459</v>
      </c>
      <c r="D570" s="325" t="s">
        <v>185</v>
      </c>
      <c r="E570" s="325" t="s">
        <v>190</v>
      </c>
      <c r="F570" s="460">
        <v>2484.9540000000002</v>
      </c>
      <c r="G570" s="92">
        <v>604.11400000000003</v>
      </c>
      <c r="H570" s="279">
        <v>604.11400000000003</v>
      </c>
      <c r="I570" s="154">
        <v>22</v>
      </c>
      <c r="J570" s="576">
        <v>0.40366999999999997</v>
      </c>
      <c r="K570" s="578">
        <v>16.780944439999999</v>
      </c>
      <c r="L570" s="437">
        <v>1.6363639999999999</v>
      </c>
      <c r="M570" s="42"/>
      <c r="N570" s="47">
        <v>59</v>
      </c>
      <c r="O570" s="45">
        <v>44</v>
      </c>
      <c r="P570" s="45">
        <v>11</v>
      </c>
      <c r="Q570" s="388">
        <v>4</v>
      </c>
      <c r="R570" s="429">
        <v>9</v>
      </c>
      <c r="S570" s="92">
        <v>3</v>
      </c>
      <c r="T570" s="361">
        <v>15</v>
      </c>
      <c r="U570" s="285">
        <v>8</v>
      </c>
      <c r="V570" s="438">
        <v>0.53333333333333299</v>
      </c>
    </row>
    <row r="571" spans="2:22" ht="13.5">
      <c r="B571" s="1569">
        <v>201507</v>
      </c>
      <c r="C571" s="326" t="s">
        <v>459</v>
      </c>
      <c r="D571" s="327" t="s">
        <v>660</v>
      </c>
      <c r="E571" s="327" t="s">
        <v>656</v>
      </c>
      <c r="F571" s="459">
        <v>2748.1289999999999</v>
      </c>
      <c r="G571" s="339">
        <v>283.77699999999999</v>
      </c>
      <c r="H571" s="337">
        <v>286.88200000000001</v>
      </c>
      <c r="I571" s="331">
        <v>22</v>
      </c>
      <c r="J571" s="577">
        <v>0.20853099999999999</v>
      </c>
      <c r="K571" s="579">
        <v>10.51025926</v>
      </c>
      <c r="L571" s="436">
        <v>1.2272730000000001</v>
      </c>
      <c r="M571" s="42"/>
      <c r="N571" s="334">
        <v>97</v>
      </c>
      <c r="O571" s="335">
        <v>79</v>
      </c>
      <c r="P571" s="335">
        <v>17</v>
      </c>
      <c r="Q571" s="389">
        <v>1</v>
      </c>
      <c r="R571" s="430">
        <v>30</v>
      </c>
      <c r="S571" s="339"/>
      <c r="T571" s="362">
        <v>13</v>
      </c>
      <c r="U571" s="337">
        <v>7</v>
      </c>
      <c r="V571" s="338">
        <v>0.38888888888888901</v>
      </c>
    </row>
    <row r="572" spans="2:22" ht="13.5">
      <c r="B572" s="1569">
        <v>201507</v>
      </c>
      <c r="C572" s="324" t="s">
        <v>459</v>
      </c>
      <c r="D572" s="325" t="s">
        <v>737</v>
      </c>
      <c r="E572" s="325"/>
      <c r="F572" s="460">
        <v>1355.6610000000001</v>
      </c>
      <c r="G572" s="92">
        <v>21.527999999999999</v>
      </c>
      <c r="H572" s="279">
        <v>21.763000000000002</v>
      </c>
      <c r="I572" s="154">
        <v>2</v>
      </c>
      <c r="J572" s="576">
        <v>0.125</v>
      </c>
      <c r="K572" s="578">
        <v>10.763999999999999</v>
      </c>
      <c r="L572" s="437">
        <v>1</v>
      </c>
      <c r="M572" s="42"/>
      <c r="N572" s="47">
        <v>12</v>
      </c>
      <c r="O572" s="45">
        <v>9</v>
      </c>
      <c r="P572" s="45">
        <v>3</v>
      </c>
      <c r="Q572" s="388">
        <v>0</v>
      </c>
      <c r="R572" s="429">
        <v>8</v>
      </c>
      <c r="S572" s="92"/>
      <c r="T572" s="361"/>
      <c r="U572" s="285"/>
      <c r="V572" s="438"/>
    </row>
    <row r="573" spans="2:22" ht="13.5">
      <c r="B573" s="1569">
        <v>201507</v>
      </c>
      <c r="C573" s="326" t="s">
        <v>459</v>
      </c>
      <c r="D573" s="327" t="s">
        <v>1570</v>
      </c>
      <c r="E573" s="327" t="s">
        <v>1571</v>
      </c>
      <c r="F573" s="459">
        <v>277.64999999999998</v>
      </c>
      <c r="G573" s="339">
        <v>203.78200000000001</v>
      </c>
      <c r="H573" s="337">
        <v>203.78200000000001</v>
      </c>
      <c r="I573" s="331">
        <v>10</v>
      </c>
      <c r="J573" s="577">
        <v>0.41666700000000001</v>
      </c>
      <c r="K573" s="579">
        <v>11.98717647</v>
      </c>
      <c r="L573" s="436">
        <v>1.7</v>
      </c>
      <c r="M573" s="42"/>
      <c r="N573" s="334">
        <v>32</v>
      </c>
      <c r="O573" s="335">
        <v>23</v>
      </c>
      <c r="P573" s="335">
        <v>9</v>
      </c>
      <c r="Q573" s="389">
        <v>0</v>
      </c>
      <c r="R573" s="430">
        <v>0</v>
      </c>
      <c r="S573" s="339">
        <v>1</v>
      </c>
      <c r="T573" s="362">
        <v>15</v>
      </c>
      <c r="U573" s="337">
        <v>6</v>
      </c>
      <c r="V573" s="338">
        <v>0.66666666666666696</v>
      </c>
    </row>
    <row r="574" spans="2:22" ht="13.5">
      <c r="B574" s="1569">
        <v>201507</v>
      </c>
      <c r="C574" s="324" t="s">
        <v>459</v>
      </c>
      <c r="D574" s="325" t="s">
        <v>662</v>
      </c>
      <c r="E574" s="325"/>
      <c r="F574" s="460">
        <v>570.25199999999995</v>
      </c>
      <c r="G574" s="92">
        <v>0</v>
      </c>
      <c r="H574" s="279">
        <v>0</v>
      </c>
      <c r="I574" s="154">
        <v>0</v>
      </c>
      <c r="J574" s="576">
        <v>0</v>
      </c>
      <c r="K574" s="578">
        <v>0</v>
      </c>
      <c r="L574" s="437">
        <v>0</v>
      </c>
      <c r="M574" s="42"/>
      <c r="N574" s="47">
        <v>0</v>
      </c>
      <c r="O574" s="45">
        <v>0</v>
      </c>
      <c r="P574" s="45">
        <v>0</v>
      </c>
      <c r="Q574" s="388">
        <v>0</v>
      </c>
      <c r="R574" s="429">
        <v>1</v>
      </c>
      <c r="S574" s="92"/>
      <c r="T574" s="361"/>
      <c r="U574" s="285"/>
      <c r="V574" s="438"/>
    </row>
    <row r="575" spans="2:22" ht="13.5">
      <c r="B575" s="1569">
        <v>201507</v>
      </c>
      <c r="C575" s="326" t="s">
        <v>459</v>
      </c>
      <c r="D575" s="327" t="s">
        <v>799</v>
      </c>
      <c r="E575" s="327" t="s">
        <v>800</v>
      </c>
      <c r="F575" s="459">
        <v>1576.259</v>
      </c>
      <c r="G575" s="339">
        <v>418.49299999999999</v>
      </c>
      <c r="H575" s="337">
        <v>425.42899999999997</v>
      </c>
      <c r="I575" s="331">
        <v>22</v>
      </c>
      <c r="J575" s="577">
        <v>0.46808499999999997</v>
      </c>
      <c r="K575" s="579">
        <v>13.07790625</v>
      </c>
      <c r="L575" s="436">
        <v>1.454545</v>
      </c>
      <c r="M575" s="42"/>
      <c r="N575" s="334">
        <v>47</v>
      </c>
      <c r="O575" s="335">
        <v>34</v>
      </c>
      <c r="P575" s="335">
        <v>12</v>
      </c>
      <c r="Q575" s="389">
        <v>1</v>
      </c>
      <c r="R575" s="430">
        <v>8</v>
      </c>
      <c r="S575" s="339"/>
      <c r="T575" s="362">
        <v>8</v>
      </c>
      <c r="U575" s="337">
        <v>6</v>
      </c>
      <c r="V575" s="338">
        <v>0.46153846153846201</v>
      </c>
    </row>
    <row r="576" spans="2:22" ht="13.5">
      <c r="B576" s="1569">
        <v>201507</v>
      </c>
      <c r="C576" s="324" t="s">
        <v>459</v>
      </c>
      <c r="D576" s="325" t="s">
        <v>1567</v>
      </c>
      <c r="E576" s="325" t="s">
        <v>1028</v>
      </c>
      <c r="F576" s="460">
        <v>1239.0809999999999</v>
      </c>
      <c r="G576" s="92">
        <v>545.78700000000003</v>
      </c>
      <c r="H576" s="279">
        <v>558.19899999999996</v>
      </c>
      <c r="I576" s="154">
        <v>25</v>
      </c>
      <c r="J576" s="576">
        <v>0.50505100000000003</v>
      </c>
      <c r="K576" s="578">
        <v>16.052558820000002</v>
      </c>
      <c r="L576" s="437">
        <v>1.36</v>
      </c>
      <c r="M576" s="42"/>
      <c r="N576" s="47">
        <v>55</v>
      </c>
      <c r="O576" s="45">
        <v>40</v>
      </c>
      <c r="P576" s="45">
        <v>14</v>
      </c>
      <c r="Q576" s="388">
        <v>1</v>
      </c>
      <c r="R576" s="429">
        <v>3</v>
      </c>
      <c r="S576" s="92"/>
      <c r="T576" s="361">
        <v>13</v>
      </c>
      <c r="U576" s="285">
        <v>6</v>
      </c>
      <c r="V576" s="438">
        <v>0.4</v>
      </c>
    </row>
    <row r="577" spans="2:22" ht="13.5">
      <c r="B577" s="1569">
        <v>201507</v>
      </c>
      <c r="C577" s="326" t="s">
        <v>459</v>
      </c>
      <c r="D577" s="327" t="s">
        <v>177</v>
      </c>
      <c r="E577" s="327" t="s">
        <v>189</v>
      </c>
      <c r="F577" s="459">
        <v>4705.875</v>
      </c>
      <c r="G577" s="339">
        <v>441.98700000000002</v>
      </c>
      <c r="H577" s="337">
        <v>439.62400000000002</v>
      </c>
      <c r="I577" s="331">
        <v>26</v>
      </c>
      <c r="J577" s="577">
        <v>0.30057800000000001</v>
      </c>
      <c r="K577" s="579">
        <v>16.999500000000001</v>
      </c>
      <c r="L577" s="436">
        <v>1</v>
      </c>
      <c r="M577" s="42"/>
      <c r="N577" s="334">
        <v>84</v>
      </c>
      <c r="O577" s="335">
        <v>53</v>
      </c>
      <c r="P577" s="335">
        <v>29</v>
      </c>
      <c r="Q577" s="389">
        <v>2</v>
      </c>
      <c r="R577" s="430">
        <v>22</v>
      </c>
      <c r="S577" s="339">
        <v>4</v>
      </c>
      <c r="T577" s="362">
        <v>12</v>
      </c>
      <c r="U577" s="337">
        <v>8</v>
      </c>
      <c r="V577" s="338">
        <v>0.25806451612903197</v>
      </c>
    </row>
    <row r="578" spans="2:22" ht="13.5">
      <c r="B578" s="1569">
        <v>201507</v>
      </c>
      <c r="C578" s="324" t="s">
        <v>459</v>
      </c>
      <c r="D578" s="325" t="s">
        <v>1568</v>
      </c>
      <c r="E578" s="325" t="s">
        <v>1569</v>
      </c>
      <c r="F578" s="460">
        <v>1431.393</v>
      </c>
      <c r="G578" s="92">
        <v>656.47699999999998</v>
      </c>
      <c r="H578" s="279">
        <v>656.47699999999998</v>
      </c>
      <c r="I578" s="154">
        <v>33</v>
      </c>
      <c r="J578" s="576">
        <v>0.46478900000000001</v>
      </c>
      <c r="K578" s="578">
        <v>11.126728809999999</v>
      </c>
      <c r="L578" s="437">
        <v>1.787879</v>
      </c>
      <c r="M578" s="42"/>
      <c r="N578" s="47">
        <v>79</v>
      </c>
      <c r="O578" s="45">
        <v>56</v>
      </c>
      <c r="P578" s="45">
        <v>23</v>
      </c>
      <c r="Q578" s="388">
        <v>0</v>
      </c>
      <c r="R578" s="429">
        <v>4</v>
      </c>
      <c r="S578" s="92">
        <v>6</v>
      </c>
      <c r="T578" s="361">
        <v>14</v>
      </c>
      <c r="U578" s="285">
        <v>8</v>
      </c>
      <c r="V578" s="438">
        <v>0.34782608695652201</v>
      </c>
    </row>
    <row r="579" spans="2:22" ht="13.5">
      <c r="B579" s="1569">
        <v>201507</v>
      </c>
      <c r="C579" s="326" t="s">
        <v>459</v>
      </c>
      <c r="D579" s="327" t="s">
        <v>176</v>
      </c>
      <c r="E579" s="327" t="s">
        <v>188</v>
      </c>
      <c r="F579" s="459">
        <v>11777.556</v>
      </c>
      <c r="G579" s="339">
        <v>3140.192</v>
      </c>
      <c r="H579" s="337">
        <v>3118.7869999999998</v>
      </c>
      <c r="I579" s="331">
        <v>56</v>
      </c>
      <c r="J579" s="577">
        <v>0.34891</v>
      </c>
      <c r="K579" s="579">
        <v>37.3832381</v>
      </c>
      <c r="L579" s="436">
        <v>1.5</v>
      </c>
      <c r="M579" s="42"/>
      <c r="N579" s="334">
        <v>153</v>
      </c>
      <c r="O579" s="335">
        <v>123</v>
      </c>
      <c r="P579" s="335">
        <v>25</v>
      </c>
      <c r="Q579" s="389">
        <v>5</v>
      </c>
      <c r="R579" s="430">
        <v>40</v>
      </c>
      <c r="S579" s="339"/>
      <c r="T579" s="362">
        <v>25</v>
      </c>
      <c r="U579" s="337">
        <v>16</v>
      </c>
      <c r="V579" s="338">
        <v>0.53333333333333299</v>
      </c>
    </row>
    <row r="580" spans="2:22" ht="13.5">
      <c r="B580" s="1569">
        <v>201507</v>
      </c>
      <c r="C580" s="324" t="s">
        <v>459</v>
      </c>
      <c r="D580" s="325" t="s">
        <v>1572</v>
      </c>
      <c r="E580" s="325" t="s">
        <v>1573</v>
      </c>
      <c r="F580" s="460">
        <v>442.28</v>
      </c>
      <c r="G580" s="92">
        <v>368.93099999999998</v>
      </c>
      <c r="H580" s="279">
        <v>309.286</v>
      </c>
      <c r="I580" s="154">
        <v>18</v>
      </c>
      <c r="J580" s="576">
        <v>0.51428600000000002</v>
      </c>
      <c r="K580" s="578">
        <v>16.04047826</v>
      </c>
      <c r="L580" s="437">
        <v>1.2777780000000001</v>
      </c>
      <c r="M580" s="42"/>
      <c r="N580" s="47">
        <v>41</v>
      </c>
      <c r="O580" s="45">
        <v>29</v>
      </c>
      <c r="P580" s="45">
        <v>12</v>
      </c>
      <c r="Q580" s="388">
        <v>0</v>
      </c>
      <c r="R580" s="429">
        <v>1</v>
      </c>
      <c r="S580" s="92">
        <v>3</v>
      </c>
      <c r="T580" s="361">
        <v>10</v>
      </c>
      <c r="U580" s="285">
        <v>6</v>
      </c>
      <c r="V580" s="438">
        <v>0.5</v>
      </c>
    </row>
    <row r="581" spans="2:22" ht="13.5">
      <c r="B581" s="1569">
        <v>201507</v>
      </c>
      <c r="C581" s="326" t="s">
        <v>459</v>
      </c>
      <c r="D581" s="327" t="s">
        <v>1104</v>
      </c>
      <c r="E581" s="327" t="s">
        <v>1287</v>
      </c>
      <c r="F581" s="459">
        <v>1942.556</v>
      </c>
      <c r="G581" s="339">
        <v>498.90600000000001</v>
      </c>
      <c r="H581" s="337">
        <v>498.90600000000001</v>
      </c>
      <c r="I581" s="331">
        <v>26</v>
      </c>
      <c r="J581" s="577">
        <v>0.27225100000000002</v>
      </c>
      <c r="K581" s="579">
        <v>13.858499999999999</v>
      </c>
      <c r="L581" s="436">
        <v>1.3846149999999999</v>
      </c>
      <c r="M581" s="42"/>
      <c r="N581" s="334">
        <v>95</v>
      </c>
      <c r="O581" s="335">
        <v>76</v>
      </c>
      <c r="P581" s="335">
        <v>15</v>
      </c>
      <c r="Q581" s="389">
        <v>4</v>
      </c>
      <c r="R581" s="430">
        <v>14</v>
      </c>
      <c r="S581" s="339">
        <v>1</v>
      </c>
      <c r="T581" s="362">
        <v>12</v>
      </c>
      <c r="U581" s="337">
        <v>7</v>
      </c>
      <c r="V581" s="338">
        <v>0.36842105263157898</v>
      </c>
    </row>
    <row r="582" spans="2:22" ht="13.5">
      <c r="B582" s="1577">
        <v>201506</v>
      </c>
      <c r="C582" s="324" t="s">
        <v>458</v>
      </c>
      <c r="D582" s="325" t="s">
        <v>1563</v>
      </c>
      <c r="E582" s="1674" t="s">
        <v>1564</v>
      </c>
      <c r="F582" s="460">
        <v>352.875</v>
      </c>
      <c r="G582" s="92">
        <v>138.053</v>
      </c>
      <c r="H582" s="279">
        <v>138.053</v>
      </c>
      <c r="I582" s="154">
        <v>7</v>
      </c>
      <c r="J582" s="576">
        <v>0.4375</v>
      </c>
      <c r="K582" s="578">
        <v>17.256625</v>
      </c>
      <c r="L582" s="437">
        <v>1.142857</v>
      </c>
      <c r="M582" s="42"/>
      <c r="N582" s="47">
        <v>21</v>
      </c>
      <c r="O582" s="45">
        <v>13</v>
      </c>
      <c r="P582" s="45">
        <v>7</v>
      </c>
      <c r="Q582" s="388">
        <v>1</v>
      </c>
      <c r="R582" s="429">
        <v>0</v>
      </c>
      <c r="S582" s="92">
        <v>3</v>
      </c>
      <c r="T582" s="361">
        <v>7</v>
      </c>
      <c r="U582" s="285">
        <v>5</v>
      </c>
      <c r="V582" s="438">
        <v>0.625</v>
      </c>
    </row>
    <row r="583" spans="2:22" ht="13.5">
      <c r="B583" s="1577">
        <v>201506</v>
      </c>
      <c r="C583" s="326" t="s">
        <v>458</v>
      </c>
      <c r="D583" s="327" t="s">
        <v>1099</v>
      </c>
      <c r="E583" s="1675" t="str">
        <f t="shared" ref="E583:E630" si="0">VLOOKUP(D583,$D$631:$E$676,2,0)</f>
        <v>LƯƠNG HỮU PHÚC</v>
      </c>
      <c r="F583" s="459">
        <v>3197.0529999999999</v>
      </c>
      <c r="G583" s="339">
        <v>574.04200000000003</v>
      </c>
      <c r="H583" s="337">
        <v>608.83399999999995</v>
      </c>
      <c r="I583" s="331">
        <v>24</v>
      </c>
      <c r="J583" s="577">
        <v>0.44036700000000001</v>
      </c>
      <c r="K583" s="579">
        <v>17.938812500000001</v>
      </c>
      <c r="L583" s="436">
        <v>1.3333330000000001</v>
      </c>
      <c r="M583" s="42"/>
      <c r="N583" s="334">
        <v>57</v>
      </c>
      <c r="O583" s="335">
        <v>43</v>
      </c>
      <c r="P583" s="335">
        <v>12</v>
      </c>
      <c r="Q583" s="389">
        <v>2</v>
      </c>
      <c r="R583" s="430">
        <v>4</v>
      </c>
      <c r="S583" s="339"/>
      <c r="T583" s="362">
        <v>7</v>
      </c>
      <c r="U583" s="337">
        <v>5</v>
      </c>
      <c r="V583" s="338">
        <v>0.35714285714285698</v>
      </c>
    </row>
    <row r="584" spans="2:22" ht="13.5">
      <c r="B584" s="1577">
        <v>201506</v>
      </c>
      <c r="C584" s="324" t="s">
        <v>458</v>
      </c>
      <c r="D584" s="325" t="s">
        <v>900</v>
      </c>
      <c r="E584" s="1674" t="str">
        <f t="shared" si="0"/>
        <v>HOÀNG NGUYỆT HẰNG</v>
      </c>
      <c r="F584" s="460">
        <v>2445.3000000000002</v>
      </c>
      <c r="G584" s="92">
        <v>627.274</v>
      </c>
      <c r="H584" s="279">
        <v>498.82900000000001</v>
      </c>
      <c r="I584" s="154">
        <v>12</v>
      </c>
      <c r="J584" s="576">
        <v>0.44444400000000001</v>
      </c>
      <c r="K584" s="578">
        <v>27.272782608696001</v>
      </c>
      <c r="L584" s="437">
        <v>1.9166669999999999</v>
      </c>
      <c r="M584" s="42"/>
      <c r="N584" s="47">
        <v>32</v>
      </c>
      <c r="O584" s="45">
        <v>23</v>
      </c>
      <c r="P584" s="45">
        <v>8</v>
      </c>
      <c r="Q584" s="388">
        <v>1</v>
      </c>
      <c r="R584" s="429">
        <v>0</v>
      </c>
      <c r="S584" s="92">
        <v>2</v>
      </c>
      <c r="T584" s="361">
        <v>9</v>
      </c>
      <c r="U584" s="285">
        <v>6</v>
      </c>
      <c r="V584" s="438">
        <v>0.66666666666666696</v>
      </c>
    </row>
    <row r="585" spans="2:22" ht="13.5">
      <c r="B585" s="1577">
        <v>201506</v>
      </c>
      <c r="C585" s="326" t="s">
        <v>458</v>
      </c>
      <c r="D585" s="327" t="s">
        <v>649</v>
      </c>
      <c r="E585" s="1675" t="str">
        <f t="shared" si="0"/>
        <v>PHẠM THÀNH TRÍ</v>
      </c>
      <c r="F585" s="459">
        <v>2090.2060000000001</v>
      </c>
      <c r="G585" s="339">
        <v>858.51099999999997</v>
      </c>
      <c r="H585" s="337">
        <v>877.88</v>
      </c>
      <c r="I585" s="331">
        <v>20</v>
      </c>
      <c r="J585" s="577">
        <v>0.35714299999999999</v>
      </c>
      <c r="K585" s="579">
        <v>22.013102564103001</v>
      </c>
      <c r="L585" s="436">
        <v>1.95</v>
      </c>
      <c r="M585" s="42"/>
      <c r="N585" s="334">
        <v>53</v>
      </c>
      <c r="O585" s="335">
        <v>37</v>
      </c>
      <c r="P585" s="335">
        <v>14</v>
      </c>
      <c r="Q585" s="389">
        <v>2</v>
      </c>
      <c r="R585" s="430">
        <v>10</v>
      </c>
      <c r="S585" s="339"/>
      <c r="T585" s="362">
        <v>4</v>
      </c>
      <c r="U585" s="337">
        <v>4</v>
      </c>
      <c r="V585" s="338">
        <v>0.25</v>
      </c>
    </row>
    <row r="586" spans="2:22" ht="13.5">
      <c r="B586" s="1577">
        <v>201506</v>
      </c>
      <c r="C586" s="324" t="s">
        <v>458</v>
      </c>
      <c r="D586" s="325" t="s">
        <v>650</v>
      </c>
      <c r="E586" s="1674" t="s">
        <v>1777</v>
      </c>
      <c r="F586" s="460">
        <v>787.54700000000003</v>
      </c>
      <c r="G586" s="92">
        <v>341.685</v>
      </c>
      <c r="H586" s="279">
        <v>248.09700000000001</v>
      </c>
      <c r="I586" s="154">
        <v>36</v>
      </c>
      <c r="J586" s="576">
        <v>0.67289699999999997</v>
      </c>
      <c r="K586" s="578">
        <v>10.354090909090999</v>
      </c>
      <c r="L586" s="437">
        <v>0.91666700000000001</v>
      </c>
      <c r="M586" s="42"/>
      <c r="N586" s="47">
        <v>60</v>
      </c>
      <c r="O586" s="45">
        <v>39</v>
      </c>
      <c r="P586" s="45">
        <v>16</v>
      </c>
      <c r="Q586" s="388">
        <v>5</v>
      </c>
      <c r="R586" s="429">
        <v>4</v>
      </c>
      <c r="S586" s="92">
        <v>4</v>
      </c>
      <c r="T586" s="361">
        <v>13</v>
      </c>
      <c r="U586" s="285">
        <v>6</v>
      </c>
      <c r="V586" s="438">
        <v>0.28571428571428598</v>
      </c>
    </row>
    <row r="587" spans="2:22" ht="13.5">
      <c r="B587" s="1577">
        <v>201506</v>
      </c>
      <c r="C587" s="326" t="s">
        <v>458</v>
      </c>
      <c r="D587" s="327" t="s">
        <v>902</v>
      </c>
      <c r="E587" s="1675" t="str">
        <f t="shared" si="0"/>
        <v>TRƯƠNG THỊ THU TRÂM</v>
      </c>
      <c r="F587" s="459">
        <v>1579.86</v>
      </c>
      <c r="G587" s="339">
        <v>354.14600000000002</v>
      </c>
      <c r="H587" s="337">
        <v>327.81799999999998</v>
      </c>
      <c r="I587" s="331">
        <v>17</v>
      </c>
      <c r="J587" s="577">
        <v>0.25954199999999999</v>
      </c>
      <c r="K587" s="579">
        <v>16.864095238095</v>
      </c>
      <c r="L587" s="436">
        <v>1.2352939999999999</v>
      </c>
      <c r="M587" s="42"/>
      <c r="N587" s="334">
        <v>67</v>
      </c>
      <c r="O587" s="335">
        <v>49</v>
      </c>
      <c r="P587" s="335">
        <v>18</v>
      </c>
      <c r="Q587" s="389">
        <v>0</v>
      </c>
      <c r="R587" s="430">
        <v>6</v>
      </c>
      <c r="S587" s="339">
        <v>1</v>
      </c>
      <c r="T587" s="362">
        <v>9</v>
      </c>
      <c r="U587" s="337">
        <v>7</v>
      </c>
      <c r="V587" s="338">
        <v>0.38888888888888901</v>
      </c>
    </row>
    <row r="588" spans="2:22" ht="13.5">
      <c r="B588" s="1577">
        <v>201506</v>
      </c>
      <c r="C588" s="324" t="s">
        <v>458</v>
      </c>
      <c r="D588" s="325" t="s">
        <v>642</v>
      </c>
      <c r="E588" s="1674" t="str">
        <f t="shared" si="0"/>
        <v>LÊ THỊ HỒNG LĨNH</v>
      </c>
      <c r="F588" s="460">
        <v>3030.4050000000002</v>
      </c>
      <c r="G588" s="92">
        <v>1184.115</v>
      </c>
      <c r="H588" s="279">
        <v>1107.576</v>
      </c>
      <c r="I588" s="154">
        <v>18</v>
      </c>
      <c r="J588" s="576">
        <v>0.37113400000000002</v>
      </c>
      <c r="K588" s="578">
        <v>23.682300000000001</v>
      </c>
      <c r="L588" s="437">
        <v>2.7777780000000001</v>
      </c>
      <c r="M588" s="42"/>
      <c r="N588" s="47">
        <v>44</v>
      </c>
      <c r="O588" s="45">
        <v>27</v>
      </c>
      <c r="P588" s="45">
        <v>17</v>
      </c>
      <c r="Q588" s="388">
        <v>0</v>
      </c>
      <c r="R588" s="429">
        <v>14</v>
      </c>
      <c r="S588" s="92"/>
      <c r="T588" s="361">
        <v>5</v>
      </c>
      <c r="U588" s="285">
        <v>4</v>
      </c>
      <c r="V588" s="438">
        <v>0.23529411764705899</v>
      </c>
    </row>
    <row r="589" spans="2:22" ht="13.5">
      <c r="B589" s="1577">
        <v>201506</v>
      </c>
      <c r="C589" s="326" t="s">
        <v>458</v>
      </c>
      <c r="D589" s="327" t="s">
        <v>91</v>
      </c>
      <c r="E589" s="1675" t="str">
        <f t="shared" si="0"/>
        <v>NGUYỄN THỊ LAN ANH</v>
      </c>
      <c r="F589" s="459">
        <v>3576.3510000000001</v>
      </c>
      <c r="G589" s="339">
        <v>1193.971</v>
      </c>
      <c r="H589" s="337">
        <v>1170.3920000000001</v>
      </c>
      <c r="I589" s="331">
        <v>30</v>
      </c>
      <c r="J589" s="577">
        <v>0.36363600000000001</v>
      </c>
      <c r="K589" s="579">
        <v>25.403638297872</v>
      </c>
      <c r="L589" s="436">
        <v>1.566667</v>
      </c>
      <c r="M589" s="42"/>
      <c r="N589" s="334">
        <v>86</v>
      </c>
      <c r="O589" s="335">
        <v>65</v>
      </c>
      <c r="P589" s="335">
        <v>18</v>
      </c>
      <c r="Q589" s="389">
        <v>3</v>
      </c>
      <c r="R589" s="430">
        <v>9</v>
      </c>
      <c r="S589" s="339"/>
      <c r="T589" s="362">
        <v>13</v>
      </c>
      <c r="U589" s="337">
        <v>8</v>
      </c>
      <c r="V589" s="338">
        <v>0.38095238095238099</v>
      </c>
    </row>
    <row r="590" spans="2:22" ht="13.5">
      <c r="B590" s="1577">
        <v>201506</v>
      </c>
      <c r="C590" s="324" t="s">
        <v>458</v>
      </c>
      <c r="D590" s="325" t="s">
        <v>187</v>
      </c>
      <c r="E590" s="1674" t="str">
        <f t="shared" si="0"/>
        <v>NGUYỄN HỮU NGHIỆM</v>
      </c>
      <c r="F590" s="460">
        <v>1351.383</v>
      </c>
      <c r="G590" s="92">
        <v>264.85199999999998</v>
      </c>
      <c r="H590" s="279">
        <v>274.745</v>
      </c>
      <c r="I590" s="154">
        <v>14</v>
      </c>
      <c r="J590" s="576">
        <v>0.224</v>
      </c>
      <c r="K590" s="578">
        <v>17.6568</v>
      </c>
      <c r="L590" s="437">
        <v>1.071429</v>
      </c>
      <c r="M590" s="42"/>
      <c r="N590" s="47">
        <v>69</v>
      </c>
      <c r="O590" s="45">
        <v>52</v>
      </c>
      <c r="P590" s="45">
        <v>15</v>
      </c>
      <c r="Q590" s="388">
        <v>2</v>
      </c>
      <c r="R590" s="429">
        <v>2</v>
      </c>
      <c r="S590" s="92"/>
      <c r="T590" s="361">
        <v>15</v>
      </c>
      <c r="U590" s="285">
        <v>12</v>
      </c>
      <c r="V590" s="438">
        <v>0.70588235294117696</v>
      </c>
    </row>
    <row r="591" spans="2:22" ht="13.5">
      <c r="B591" s="1577">
        <v>201506</v>
      </c>
      <c r="C591" s="326" t="s">
        <v>458</v>
      </c>
      <c r="D591" s="327" t="s">
        <v>734</v>
      </c>
      <c r="E591" s="1675" t="s">
        <v>1766</v>
      </c>
      <c r="F591" s="459">
        <v>4468.9009999999998</v>
      </c>
      <c r="G591" s="339">
        <v>1529.4090000000001</v>
      </c>
      <c r="H591" s="337">
        <v>1396.925</v>
      </c>
      <c r="I591" s="331">
        <v>26</v>
      </c>
      <c r="J591" s="577">
        <v>0.17508399999999999</v>
      </c>
      <c r="K591" s="579">
        <v>33.986866666666998</v>
      </c>
      <c r="L591" s="436">
        <v>1.730769</v>
      </c>
      <c r="M591" s="42"/>
      <c r="N591" s="334">
        <v>140</v>
      </c>
      <c r="O591" s="335">
        <v>107</v>
      </c>
      <c r="P591" s="335">
        <v>31</v>
      </c>
      <c r="Q591" s="389">
        <v>2</v>
      </c>
      <c r="R591" s="430">
        <v>37</v>
      </c>
      <c r="S591" s="339">
        <v>2</v>
      </c>
      <c r="T591" s="362">
        <v>16</v>
      </c>
      <c r="U591" s="337">
        <v>9</v>
      </c>
      <c r="V591" s="338">
        <v>0.27272727272727298</v>
      </c>
    </row>
    <row r="592" spans="2:22" ht="13.5">
      <c r="B592" s="1577">
        <v>201506</v>
      </c>
      <c r="C592" s="324" t="s">
        <v>458</v>
      </c>
      <c r="D592" s="325" t="s">
        <v>735</v>
      </c>
      <c r="E592" s="1674" t="str">
        <f t="shared" si="0"/>
        <v>HỒNG KHÁNH HƯNG - MDRT HCM</v>
      </c>
      <c r="F592" s="460">
        <v>5479.9579999999996</v>
      </c>
      <c r="G592" s="92">
        <v>1250.075</v>
      </c>
      <c r="H592" s="279">
        <v>1300.6969999999999</v>
      </c>
      <c r="I592" s="154">
        <v>30</v>
      </c>
      <c r="J592" s="576">
        <v>0.461538</v>
      </c>
      <c r="K592" s="578">
        <v>27.779444444444</v>
      </c>
      <c r="L592" s="437">
        <v>1.5</v>
      </c>
      <c r="M592" s="42"/>
      <c r="N592" s="47">
        <v>69</v>
      </c>
      <c r="O592" s="45">
        <v>55</v>
      </c>
      <c r="P592" s="45">
        <v>12</v>
      </c>
      <c r="Q592" s="388">
        <v>2</v>
      </c>
      <c r="R592" s="429">
        <v>2</v>
      </c>
      <c r="S592" s="92">
        <v>1</v>
      </c>
      <c r="T592" s="361">
        <v>7</v>
      </c>
      <c r="U592" s="285">
        <v>5</v>
      </c>
      <c r="V592" s="438">
        <v>0.35714285714285698</v>
      </c>
    </row>
    <row r="593" spans="2:22" ht="13.5">
      <c r="B593" s="1577">
        <v>201506</v>
      </c>
      <c r="C593" s="326" t="s">
        <v>458</v>
      </c>
      <c r="D593" s="327" t="s">
        <v>798</v>
      </c>
      <c r="E593" s="1675" t="s">
        <v>1768</v>
      </c>
      <c r="F593" s="459">
        <v>2319.011</v>
      </c>
      <c r="G593" s="339">
        <v>541.21299999999997</v>
      </c>
      <c r="H593" s="337">
        <v>507.05099999999999</v>
      </c>
      <c r="I593" s="331">
        <v>18</v>
      </c>
      <c r="J593" s="577">
        <v>0.48648599999999997</v>
      </c>
      <c r="K593" s="579">
        <v>17.458483870967999</v>
      </c>
      <c r="L593" s="436">
        <v>1.7222219999999999</v>
      </c>
      <c r="M593" s="42"/>
      <c r="N593" s="334">
        <v>36</v>
      </c>
      <c r="O593" s="335">
        <v>25</v>
      </c>
      <c r="P593" s="335">
        <v>9</v>
      </c>
      <c r="Q593" s="389">
        <v>2</v>
      </c>
      <c r="R593" s="430">
        <v>6</v>
      </c>
      <c r="S593" s="339"/>
      <c r="T593" s="362">
        <v>4</v>
      </c>
      <c r="U593" s="337">
        <v>3</v>
      </c>
      <c r="V593" s="338">
        <v>0.27272727272727298</v>
      </c>
    </row>
    <row r="594" spans="2:22" ht="13.5">
      <c r="B594" s="1577">
        <v>201506</v>
      </c>
      <c r="C594" s="324" t="s">
        <v>458</v>
      </c>
      <c r="D594" s="325" t="s">
        <v>949</v>
      </c>
      <c r="E594" s="1674" t="str">
        <f t="shared" si="0"/>
        <v>HỒNG KHÁNH HƯNG - MDRT VT</v>
      </c>
      <c r="F594" s="460">
        <v>3387.9340000000002</v>
      </c>
      <c r="G594" s="92">
        <v>1217.9480000000001</v>
      </c>
      <c r="H594" s="279">
        <v>1096.94</v>
      </c>
      <c r="I594" s="154">
        <v>34</v>
      </c>
      <c r="J594" s="576">
        <v>0.41717799999999999</v>
      </c>
      <c r="K594" s="578">
        <v>17.651420289855</v>
      </c>
      <c r="L594" s="437">
        <v>2.0294120000000002</v>
      </c>
      <c r="M594" s="42"/>
      <c r="N594" s="47">
        <v>83</v>
      </c>
      <c r="O594" s="45">
        <v>57</v>
      </c>
      <c r="P594" s="45">
        <v>18</v>
      </c>
      <c r="Q594" s="388">
        <v>8</v>
      </c>
      <c r="R594" s="429">
        <v>2</v>
      </c>
      <c r="S594" s="92"/>
      <c r="T594" s="361">
        <v>5</v>
      </c>
      <c r="U594" s="285">
        <v>4</v>
      </c>
      <c r="V594" s="438">
        <v>0.15384615384615399</v>
      </c>
    </row>
    <row r="595" spans="2:22" ht="13.5">
      <c r="B595" s="1577">
        <v>201506</v>
      </c>
      <c r="C595" s="326" t="s">
        <v>458</v>
      </c>
      <c r="D595" s="327" t="s">
        <v>903</v>
      </c>
      <c r="E595" s="1675" t="str">
        <f t="shared" si="0"/>
        <v>TRẦN THỊ THÚY HẰNG</v>
      </c>
      <c r="F595" s="459">
        <v>3703.78999999999</v>
      </c>
      <c r="G595" s="339">
        <v>752.56700000000001</v>
      </c>
      <c r="H595" s="337">
        <v>733.024</v>
      </c>
      <c r="I595" s="331">
        <v>30</v>
      </c>
      <c r="J595" s="577">
        <v>0.324324</v>
      </c>
      <c r="K595" s="579">
        <v>16.012063829786999</v>
      </c>
      <c r="L595" s="436">
        <v>1.566667</v>
      </c>
      <c r="M595" s="42"/>
      <c r="N595" s="334">
        <v>94</v>
      </c>
      <c r="O595" s="335">
        <v>65</v>
      </c>
      <c r="P595" s="335">
        <v>25</v>
      </c>
      <c r="Q595" s="389">
        <v>4</v>
      </c>
      <c r="R595" s="430">
        <v>9</v>
      </c>
      <c r="S595" s="339">
        <v>2</v>
      </c>
      <c r="T595" s="362">
        <v>10</v>
      </c>
      <c r="U595" s="337">
        <v>8</v>
      </c>
      <c r="V595" s="338">
        <v>0.27586206896551702</v>
      </c>
    </row>
    <row r="596" spans="2:22" ht="13.5">
      <c r="B596" s="1577">
        <v>201506</v>
      </c>
      <c r="C596" s="324" t="s">
        <v>458</v>
      </c>
      <c r="D596" s="325" t="s">
        <v>1101</v>
      </c>
      <c r="E596" s="1674" t="str">
        <f t="shared" si="0"/>
        <v>NGUYỄN TRẦN QUỐC TOẢN</v>
      </c>
      <c r="F596" s="460">
        <v>1206.5039999999999</v>
      </c>
      <c r="G596" s="92">
        <v>390.78300000000002</v>
      </c>
      <c r="H596" s="279">
        <v>360.88200000000001</v>
      </c>
      <c r="I596" s="154">
        <v>15</v>
      </c>
      <c r="J596" s="576">
        <v>0.34883700000000001</v>
      </c>
      <c r="K596" s="578">
        <v>20.567526315788999</v>
      </c>
      <c r="L596" s="437">
        <v>1.266667</v>
      </c>
      <c r="M596" s="42"/>
      <c r="N596" s="47">
        <v>36</v>
      </c>
      <c r="O596" s="45">
        <v>22</v>
      </c>
      <c r="P596" s="45">
        <v>14</v>
      </c>
      <c r="Q596" s="388">
        <v>0</v>
      </c>
      <c r="R596" s="429">
        <v>20</v>
      </c>
      <c r="S596" s="92">
        <v>2</v>
      </c>
      <c r="T596" s="361">
        <v>4</v>
      </c>
      <c r="U596" s="285">
        <v>3</v>
      </c>
      <c r="V596" s="438">
        <v>0.214285714285714</v>
      </c>
    </row>
    <row r="597" spans="2:22" ht="13.5">
      <c r="B597" s="1577">
        <v>201506</v>
      </c>
      <c r="C597" s="326" t="s">
        <v>458</v>
      </c>
      <c r="D597" s="327" t="s">
        <v>1102</v>
      </c>
      <c r="E597" s="1675" t="str">
        <f t="shared" si="0"/>
        <v>NGUYỄN HỮU HIỀN</v>
      </c>
      <c r="F597" s="459">
        <v>2071.4319999999998</v>
      </c>
      <c r="G597" s="339">
        <v>856.73199999999997</v>
      </c>
      <c r="H597" s="337">
        <v>833.07399999999996</v>
      </c>
      <c r="I597" s="331">
        <v>25</v>
      </c>
      <c r="J597" s="577">
        <v>0.390625</v>
      </c>
      <c r="K597" s="579">
        <v>26.772874999999999</v>
      </c>
      <c r="L597" s="436">
        <v>1.28</v>
      </c>
      <c r="M597" s="42"/>
      <c r="N597" s="334">
        <v>77</v>
      </c>
      <c r="O597" s="335">
        <v>50</v>
      </c>
      <c r="P597" s="335">
        <v>26</v>
      </c>
      <c r="Q597" s="389">
        <v>1</v>
      </c>
      <c r="R597" s="430">
        <v>9</v>
      </c>
      <c r="S597" s="339">
        <v>12</v>
      </c>
      <c r="T597" s="362">
        <v>23</v>
      </c>
      <c r="U597" s="337">
        <v>12</v>
      </c>
      <c r="V597" s="338">
        <v>0.44444444444444398</v>
      </c>
    </row>
    <row r="598" spans="2:22" ht="13.5">
      <c r="B598" s="1577">
        <v>201506</v>
      </c>
      <c r="C598" s="324" t="s">
        <v>458</v>
      </c>
      <c r="D598" s="325" t="s">
        <v>628</v>
      </c>
      <c r="E598" s="1674" t="str">
        <f t="shared" si="0"/>
        <v>NGUYỄN THỊ KIM HỒNG</v>
      </c>
      <c r="F598" s="460">
        <v>1456.452</v>
      </c>
      <c r="G598" s="92">
        <v>305.29199999999997</v>
      </c>
      <c r="H598" s="279">
        <v>317.20800000000003</v>
      </c>
      <c r="I598" s="154">
        <v>14</v>
      </c>
      <c r="J598" s="576">
        <v>0.243478</v>
      </c>
      <c r="K598" s="578">
        <v>14.537714285713999</v>
      </c>
      <c r="L598" s="437">
        <v>1.5</v>
      </c>
      <c r="M598" s="42"/>
      <c r="N598" s="47">
        <v>53</v>
      </c>
      <c r="O598" s="45">
        <v>32</v>
      </c>
      <c r="P598" s="45">
        <v>14</v>
      </c>
      <c r="Q598" s="388">
        <v>7</v>
      </c>
      <c r="R598" s="429">
        <v>14</v>
      </c>
      <c r="S598" s="92"/>
      <c r="T598" s="361">
        <v>5</v>
      </c>
      <c r="U598" s="285">
        <v>4</v>
      </c>
      <c r="V598" s="438">
        <v>0.19047619047618999</v>
      </c>
    </row>
    <row r="599" spans="2:22" ht="13.5">
      <c r="B599" s="1577">
        <v>201506</v>
      </c>
      <c r="C599" s="326" t="s">
        <v>458</v>
      </c>
      <c r="D599" s="327" t="s">
        <v>1565</v>
      </c>
      <c r="E599" s="1676" t="s">
        <v>1566</v>
      </c>
      <c r="F599" s="459">
        <v>25.161000000000001</v>
      </c>
      <c r="G599" s="339">
        <v>30.103999999999999</v>
      </c>
      <c r="H599" s="337">
        <v>25.161000000000001</v>
      </c>
      <c r="I599" s="331">
        <v>2</v>
      </c>
      <c r="J599" s="577">
        <v>0.57142899999999996</v>
      </c>
      <c r="K599" s="579">
        <v>15.052</v>
      </c>
      <c r="L599" s="436">
        <v>1</v>
      </c>
      <c r="M599" s="42"/>
      <c r="N599" s="334">
        <v>7</v>
      </c>
      <c r="O599" s="335">
        <v>5</v>
      </c>
      <c r="P599" s="335">
        <v>2</v>
      </c>
      <c r="Q599" s="389">
        <v>0</v>
      </c>
      <c r="R599" s="430">
        <v>0</v>
      </c>
      <c r="S599" s="339">
        <v>2</v>
      </c>
      <c r="T599" s="362">
        <v>5</v>
      </c>
      <c r="U599" s="337">
        <v>2</v>
      </c>
      <c r="V599" s="338">
        <v>1</v>
      </c>
    </row>
    <row r="600" spans="2:22" ht="13.5">
      <c r="B600" s="1577">
        <v>201506</v>
      </c>
      <c r="C600" s="324" t="s">
        <v>458</v>
      </c>
      <c r="D600" s="325" t="s">
        <v>557</v>
      </c>
      <c r="E600" s="1674" t="s">
        <v>1770</v>
      </c>
      <c r="F600" s="460">
        <v>1264.1510000000001</v>
      </c>
      <c r="G600" s="92">
        <v>382.25700000000001</v>
      </c>
      <c r="H600" s="279">
        <v>305.452</v>
      </c>
      <c r="I600" s="154">
        <v>23</v>
      </c>
      <c r="J600" s="576">
        <v>0.328571</v>
      </c>
      <c r="K600" s="578">
        <v>14.702192307692</v>
      </c>
      <c r="L600" s="437">
        <v>1.1304350000000001</v>
      </c>
      <c r="M600" s="42"/>
      <c r="N600" s="47">
        <v>72</v>
      </c>
      <c r="O600" s="45">
        <v>58</v>
      </c>
      <c r="P600" s="45">
        <v>10</v>
      </c>
      <c r="Q600" s="388">
        <v>4</v>
      </c>
      <c r="R600" s="429">
        <v>7</v>
      </c>
      <c r="S600" s="92"/>
      <c r="T600" s="361">
        <v>11</v>
      </c>
      <c r="U600" s="285">
        <v>7</v>
      </c>
      <c r="V600" s="438">
        <v>0.5</v>
      </c>
    </row>
    <row r="601" spans="2:22" ht="13.5">
      <c r="B601" s="1577">
        <v>201506</v>
      </c>
      <c r="C601" s="326" t="s">
        <v>458</v>
      </c>
      <c r="D601" s="327" t="s">
        <v>47</v>
      </c>
      <c r="E601" s="1675" t="str">
        <f t="shared" si="0"/>
        <v>NGUYỄN THU HẰNG</v>
      </c>
      <c r="F601" s="459">
        <v>2446.2040000000002</v>
      </c>
      <c r="G601" s="339">
        <v>438.22500000000002</v>
      </c>
      <c r="H601" s="337">
        <v>421.18200000000002</v>
      </c>
      <c r="I601" s="331">
        <v>15</v>
      </c>
      <c r="J601" s="577">
        <v>0.28301900000000002</v>
      </c>
      <c r="K601" s="579">
        <v>19.919318181817999</v>
      </c>
      <c r="L601" s="436">
        <v>1.4666669999999999</v>
      </c>
      <c r="M601" s="42"/>
      <c r="N601" s="334">
        <v>51</v>
      </c>
      <c r="O601" s="335">
        <v>36</v>
      </c>
      <c r="P601" s="335">
        <v>14</v>
      </c>
      <c r="Q601" s="389">
        <v>1</v>
      </c>
      <c r="R601" s="430">
        <v>7</v>
      </c>
      <c r="S601" s="339"/>
      <c r="T601" s="362">
        <v>4</v>
      </c>
      <c r="U601" s="337">
        <v>3</v>
      </c>
      <c r="V601" s="338">
        <v>0.2</v>
      </c>
    </row>
    <row r="602" spans="2:22" ht="13.5">
      <c r="B602" s="1577">
        <v>201506</v>
      </c>
      <c r="C602" s="324" t="s">
        <v>458</v>
      </c>
      <c r="D602" s="325" t="s">
        <v>736</v>
      </c>
      <c r="E602" s="1674" t="str">
        <f t="shared" si="0"/>
        <v>NGUYỄN THỊ PHƯƠNG TRINH</v>
      </c>
      <c r="F602" s="460">
        <v>5574.0650000000096</v>
      </c>
      <c r="G602" s="92">
        <v>3516.4760000000001</v>
      </c>
      <c r="H602" s="279">
        <v>3550.8890000000001</v>
      </c>
      <c r="I602" s="154">
        <v>37</v>
      </c>
      <c r="J602" s="576">
        <v>0.36815900000000001</v>
      </c>
      <c r="K602" s="578">
        <v>71.764816326531005</v>
      </c>
      <c r="L602" s="437">
        <v>1.3243240000000001</v>
      </c>
      <c r="M602" s="42"/>
      <c r="N602" s="47">
        <v>98</v>
      </c>
      <c r="O602" s="45">
        <v>75</v>
      </c>
      <c r="P602" s="45">
        <v>15</v>
      </c>
      <c r="Q602" s="388">
        <v>8</v>
      </c>
      <c r="R602" s="429">
        <v>16</v>
      </c>
      <c r="S602" s="92"/>
      <c r="T602" s="361">
        <v>9</v>
      </c>
      <c r="U602" s="285">
        <v>7</v>
      </c>
      <c r="V602" s="438">
        <v>0.30434782608695699</v>
      </c>
    </row>
    <row r="603" spans="2:22" ht="13.5">
      <c r="B603" s="1577">
        <v>201506</v>
      </c>
      <c r="C603" s="326" t="s">
        <v>458</v>
      </c>
      <c r="D603" s="327" t="s">
        <v>647</v>
      </c>
      <c r="E603" s="1675" t="str">
        <f t="shared" si="0"/>
        <v>VÕ MẠNH KHA</v>
      </c>
      <c r="F603" s="459">
        <v>841.63700000000097</v>
      </c>
      <c r="G603" s="339">
        <v>20.024000000000001</v>
      </c>
      <c r="H603" s="337">
        <v>20.024000000000001</v>
      </c>
      <c r="I603" s="331">
        <v>0</v>
      </c>
      <c r="J603" s="577">
        <v>0</v>
      </c>
      <c r="K603" s="579">
        <v>20.024000000000001</v>
      </c>
      <c r="L603" s="436">
        <v>0</v>
      </c>
      <c r="M603" s="42"/>
      <c r="N603" s="334">
        <v>1</v>
      </c>
      <c r="O603" s="335">
        <v>0</v>
      </c>
      <c r="P603" s="335">
        <v>1</v>
      </c>
      <c r="Q603" s="389">
        <v>0</v>
      </c>
      <c r="R603" s="430">
        <v>1</v>
      </c>
      <c r="S603" s="339"/>
      <c r="T603" s="362"/>
      <c r="U603" s="337"/>
      <c r="V603" s="338"/>
    </row>
    <row r="604" spans="2:22" ht="13.5">
      <c r="B604" s="1577">
        <v>201506</v>
      </c>
      <c r="C604" s="324" t="s">
        <v>458</v>
      </c>
      <c r="D604" s="325" t="s">
        <v>796</v>
      </c>
      <c r="E604" s="1674" t="str">
        <f t="shared" si="0"/>
        <v>ĐỖ THỊ THANH THÚY</v>
      </c>
      <c r="F604" s="460">
        <v>3537.5839999999898</v>
      </c>
      <c r="G604" s="92">
        <v>737.49400000000003</v>
      </c>
      <c r="H604" s="279">
        <v>646.98299999999995</v>
      </c>
      <c r="I604" s="154">
        <v>31</v>
      </c>
      <c r="J604" s="576">
        <v>0.36257299999999998</v>
      </c>
      <c r="K604" s="578">
        <v>19.407736842104999</v>
      </c>
      <c r="L604" s="437">
        <v>1.225806</v>
      </c>
      <c r="M604" s="42"/>
      <c r="N604" s="47">
        <v>73</v>
      </c>
      <c r="O604" s="45">
        <v>46</v>
      </c>
      <c r="P604" s="45">
        <v>22</v>
      </c>
      <c r="Q604" s="388">
        <v>5</v>
      </c>
      <c r="R604" s="429">
        <v>36</v>
      </c>
      <c r="S604" s="92">
        <v>3</v>
      </c>
      <c r="T604" s="361">
        <v>8</v>
      </c>
      <c r="U604" s="285">
        <v>5</v>
      </c>
      <c r="V604" s="438">
        <v>0.18518518518518501</v>
      </c>
    </row>
    <row r="605" spans="2:22" ht="13.5">
      <c r="B605" s="1577">
        <v>201506</v>
      </c>
      <c r="C605" s="326" t="s">
        <v>458</v>
      </c>
      <c r="D605" s="327" t="s">
        <v>1418</v>
      </c>
      <c r="E605" s="1675" t="s">
        <v>1771</v>
      </c>
      <c r="F605" s="459">
        <v>445.31200000000001</v>
      </c>
      <c r="G605" s="339">
        <v>377.49200000000002</v>
      </c>
      <c r="H605" s="337">
        <v>315.61500000000001</v>
      </c>
      <c r="I605" s="331">
        <v>12</v>
      </c>
      <c r="J605" s="577">
        <v>0.38709700000000002</v>
      </c>
      <c r="K605" s="579">
        <v>17.158727272726999</v>
      </c>
      <c r="L605" s="436">
        <v>1.8333330000000001</v>
      </c>
      <c r="M605" s="42"/>
      <c r="N605" s="334">
        <v>34</v>
      </c>
      <c r="O605" s="335">
        <v>21</v>
      </c>
      <c r="P605" s="335">
        <v>10</v>
      </c>
      <c r="Q605" s="389">
        <v>3</v>
      </c>
      <c r="R605" s="430">
        <v>1</v>
      </c>
      <c r="S605" s="339">
        <v>1</v>
      </c>
      <c r="T605" s="362">
        <v>6</v>
      </c>
      <c r="U605" s="337">
        <v>6</v>
      </c>
      <c r="V605" s="338">
        <v>0.46153846153846201</v>
      </c>
    </row>
    <row r="606" spans="2:22" ht="13.5">
      <c r="B606" s="1577">
        <v>201506</v>
      </c>
      <c r="C606" s="324" t="s">
        <v>458</v>
      </c>
      <c r="D606" s="325" t="s">
        <v>1669</v>
      </c>
      <c r="E606" s="1676" t="s">
        <v>1670</v>
      </c>
      <c r="F606" s="460">
        <v>15.132999999999999</v>
      </c>
      <c r="G606" s="92">
        <v>15.132999999999999</v>
      </c>
      <c r="H606" s="279">
        <v>15.132999999999999</v>
      </c>
      <c r="I606" s="154">
        <v>1</v>
      </c>
      <c r="J606" s="576">
        <v>0.33333299999999999</v>
      </c>
      <c r="K606" s="578">
        <v>15.132999999999999</v>
      </c>
      <c r="L606" s="437">
        <v>1</v>
      </c>
      <c r="M606" s="42"/>
      <c r="N606" s="47">
        <v>6</v>
      </c>
      <c r="O606" s="45">
        <v>3</v>
      </c>
      <c r="P606" s="45">
        <v>3</v>
      </c>
      <c r="Q606" s="388">
        <v>0</v>
      </c>
      <c r="R606" s="429">
        <v>0</v>
      </c>
      <c r="S606" s="92">
        <v>3</v>
      </c>
      <c r="T606" s="361">
        <v>3</v>
      </c>
      <c r="U606" s="285">
        <v>2</v>
      </c>
      <c r="V606" s="438">
        <v>0.66666666666666696</v>
      </c>
    </row>
    <row r="607" spans="2:22" ht="13.5">
      <c r="B607" s="1577">
        <v>201506</v>
      </c>
      <c r="C607" s="326" t="s">
        <v>458</v>
      </c>
      <c r="D607" s="327" t="s">
        <v>630</v>
      </c>
      <c r="E607" s="1675" t="str">
        <f t="shared" si="0"/>
        <v>NGUYỄN VĂN HẠNH</v>
      </c>
      <c r="F607" s="459">
        <v>1829.278</v>
      </c>
      <c r="G607" s="339">
        <v>337.26600000000002</v>
      </c>
      <c r="H607" s="337">
        <v>334.42399999999998</v>
      </c>
      <c r="I607" s="331">
        <v>24</v>
      </c>
      <c r="J607" s="577">
        <v>0.305732</v>
      </c>
      <c r="K607" s="579">
        <v>12.045214285714</v>
      </c>
      <c r="L607" s="436">
        <v>1.1666669999999999</v>
      </c>
      <c r="M607" s="42"/>
      <c r="N607" s="334">
        <v>78</v>
      </c>
      <c r="O607" s="335">
        <v>58</v>
      </c>
      <c r="P607" s="335">
        <v>15</v>
      </c>
      <c r="Q607" s="389">
        <v>5</v>
      </c>
      <c r="R607" s="430">
        <v>10</v>
      </c>
      <c r="S607" s="339"/>
      <c r="T607" s="362">
        <v>9</v>
      </c>
      <c r="U607" s="337">
        <v>6</v>
      </c>
      <c r="V607" s="338">
        <v>0.3</v>
      </c>
    </row>
    <row r="608" spans="2:22" ht="13.5">
      <c r="B608" s="1577">
        <v>201506</v>
      </c>
      <c r="C608" s="324" t="s">
        <v>458</v>
      </c>
      <c r="D608" s="325" t="s">
        <v>905</v>
      </c>
      <c r="E608" s="1674" t="str">
        <f t="shared" si="0"/>
        <v>PHẠM THỊ THANH TRÚC</v>
      </c>
      <c r="F608" s="460">
        <v>2352.752</v>
      </c>
      <c r="G608" s="92">
        <v>211.95599999999999</v>
      </c>
      <c r="H608" s="279">
        <v>192.91900000000001</v>
      </c>
      <c r="I608" s="154">
        <v>14</v>
      </c>
      <c r="J608" s="576">
        <v>0.235294</v>
      </c>
      <c r="K608" s="578">
        <v>13.247249999999999</v>
      </c>
      <c r="L608" s="437">
        <v>1.142857</v>
      </c>
      <c r="M608" s="42"/>
      <c r="N608" s="47">
        <v>61</v>
      </c>
      <c r="O608" s="45">
        <v>45</v>
      </c>
      <c r="P608" s="45">
        <v>12</v>
      </c>
      <c r="Q608" s="388">
        <v>4</v>
      </c>
      <c r="R608" s="429">
        <v>0</v>
      </c>
      <c r="S608" s="92"/>
      <c r="T608" s="361">
        <v>3</v>
      </c>
      <c r="U608" s="285">
        <v>3</v>
      </c>
      <c r="V608" s="438">
        <v>0.1875</v>
      </c>
    </row>
    <row r="609" spans="2:22" ht="13.5">
      <c r="B609" s="1577">
        <v>201506</v>
      </c>
      <c r="C609" s="326" t="s">
        <v>458</v>
      </c>
      <c r="D609" s="327" t="s">
        <v>648</v>
      </c>
      <c r="E609" s="1675" t="str">
        <f t="shared" si="0"/>
        <v>NGUYỄN QUÝ NHÂN</v>
      </c>
      <c r="F609" s="459">
        <v>1807.615</v>
      </c>
      <c r="G609" s="339">
        <v>405.37099999999998</v>
      </c>
      <c r="H609" s="337">
        <v>380.51400000000001</v>
      </c>
      <c r="I609" s="331">
        <v>16</v>
      </c>
      <c r="J609" s="577">
        <v>0.25806499999999999</v>
      </c>
      <c r="K609" s="579">
        <v>16.890458333333001</v>
      </c>
      <c r="L609" s="436">
        <v>1.5</v>
      </c>
      <c r="M609" s="42"/>
      <c r="N609" s="334">
        <v>63</v>
      </c>
      <c r="O609" s="335">
        <v>47</v>
      </c>
      <c r="P609" s="335">
        <v>14</v>
      </c>
      <c r="Q609" s="389">
        <v>2</v>
      </c>
      <c r="R609" s="430">
        <v>4</v>
      </c>
      <c r="S609" s="339"/>
      <c r="T609" s="362">
        <v>6</v>
      </c>
      <c r="U609" s="337">
        <v>3</v>
      </c>
      <c r="V609" s="338">
        <v>0.1875</v>
      </c>
    </row>
    <row r="610" spans="2:22" ht="13.5">
      <c r="B610" s="1577">
        <v>201506</v>
      </c>
      <c r="C610" s="324" t="s">
        <v>459</v>
      </c>
      <c r="D610" s="325" t="s">
        <v>1100</v>
      </c>
      <c r="E610" s="1674" t="s">
        <v>1774</v>
      </c>
      <c r="F610" s="460">
        <v>3179.7840000000001</v>
      </c>
      <c r="G610" s="92">
        <v>606.303</v>
      </c>
      <c r="H610" s="279">
        <v>580.20399999999995</v>
      </c>
      <c r="I610" s="154">
        <v>46</v>
      </c>
      <c r="J610" s="576">
        <v>0.38983099999999998</v>
      </c>
      <c r="K610" s="578">
        <v>13.1805</v>
      </c>
      <c r="L610" s="437">
        <v>1</v>
      </c>
      <c r="M610" s="42"/>
      <c r="N610" s="47">
        <v>108</v>
      </c>
      <c r="O610" s="45">
        <v>84</v>
      </c>
      <c r="P610" s="45">
        <v>20</v>
      </c>
      <c r="Q610" s="388">
        <v>4</v>
      </c>
      <c r="R610" s="429">
        <v>30</v>
      </c>
      <c r="S610" s="92"/>
      <c r="T610" s="361">
        <v>10</v>
      </c>
      <c r="U610" s="285">
        <v>7</v>
      </c>
      <c r="V610" s="438">
        <v>0.29166666666666702</v>
      </c>
    </row>
    <row r="611" spans="2:22" ht="13.5">
      <c r="B611" s="1577">
        <v>201506</v>
      </c>
      <c r="C611" s="326" t="s">
        <v>459</v>
      </c>
      <c r="D611" s="327" t="s">
        <v>1419</v>
      </c>
      <c r="E611" s="1675" t="str">
        <f t="shared" si="0"/>
        <v>ĐỖ THỊ MƠ</v>
      </c>
      <c r="F611" s="459">
        <v>1087.498</v>
      </c>
      <c r="G611" s="339">
        <v>460.22800000000001</v>
      </c>
      <c r="H611" s="337">
        <v>449.08499999999998</v>
      </c>
      <c r="I611" s="331">
        <v>26</v>
      </c>
      <c r="J611" s="577">
        <v>0.348993</v>
      </c>
      <c r="K611" s="579">
        <v>11.225073170731999</v>
      </c>
      <c r="L611" s="436">
        <v>1.5769230000000001</v>
      </c>
      <c r="M611" s="42"/>
      <c r="N611" s="334">
        <v>86</v>
      </c>
      <c r="O611" s="335">
        <v>69</v>
      </c>
      <c r="P611" s="335">
        <v>17</v>
      </c>
      <c r="Q611" s="389">
        <v>0</v>
      </c>
      <c r="R611" s="430">
        <v>2</v>
      </c>
      <c r="S611" s="339">
        <v>2</v>
      </c>
      <c r="T611" s="362">
        <v>23</v>
      </c>
      <c r="U611" s="337">
        <v>10</v>
      </c>
      <c r="V611" s="338">
        <v>0.58823529411764697</v>
      </c>
    </row>
    <row r="612" spans="2:22" ht="13.5">
      <c r="B612" s="1577">
        <v>201506</v>
      </c>
      <c r="C612" s="324" t="s">
        <v>459</v>
      </c>
      <c r="D612" s="325" t="s">
        <v>1103</v>
      </c>
      <c r="E612" s="1674" t="str">
        <f t="shared" si="0"/>
        <v>NGUYỄN THỊ HỒNG</v>
      </c>
      <c r="F612" s="460">
        <v>402.39299999999997</v>
      </c>
      <c r="G612" s="92">
        <v>271.54500000000002</v>
      </c>
      <c r="H612" s="279">
        <v>271.54500000000002</v>
      </c>
      <c r="I612" s="154">
        <v>8</v>
      </c>
      <c r="J612" s="576">
        <v>0.44444400000000001</v>
      </c>
      <c r="K612" s="578">
        <v>24.685909090909</v>
      </c>
      <c r="L612" s="437">
        <v>1.375</v>
      </c>
      <c r="M612" s="42"/>
      <c r="N612" s="47">
        <v>24</v>
      </c>
      <c r="O612" s="45">
        <v>16</v>
      </c>
      <c r="P612" s="45">
        <v>8</v>
      </c>
      <c r="Q612" s="388">
        <v>0</v>
      </c>
      <c r="R612" s="429">
        <v>0</v>
      </c>
      <c r="S612" s="92">
        <v>3</v>
      </c>
      <c r="T612" s="361">
        <v>9</v>
      </c>
      <c r="U612" s="285">
        <v>2</v>
      </c>
      <c r="V612" s="438">
        <v>0.25</v>
      </c>
    </row>
    <row r="613" spans="2:22" ht="13.5">
      <c r="B613" s="1577">
        <v>201506</v>
      </c>
      <c r="C613" s="326" t="s">
        <v>459</v>
      </c>
      <c r="D613" s="327" t="s">
        <v>661</v>
      </c>
      <c r="E613" s="325" t="s">
        <v>1950</v>
      </c>
      <c r="F613" s="459">
        <v>1488.8040000000001</v>
      </c>
      <c r="G613" s="339">
        <v>86.183999999999997</v>
      </c>
      <c r="H613" s="337">
        <v>90.182000000000002</v>
      </c>
      <c r="I613" s="331">
        <v>3</v>
      </c>
      <c r="J613" s="577">
        <v>6.8966E-2</v>
      </c>
      <c r="K613" s="579">
        <v>86.183999999999997</v>
      </c>
      <c r="L613" s="436">
        <v>0.33333299999999999</v>
      </c>
      <c r="M613" s="42"/>
      <c r="N613" s="334">
        <v>44</v>
      </c>
      <c r="O613" s="335">
        <v>32</v>
      </c>
      <c r="P613" s="335">
        <v>8</v>
      </c>
      <c r="Q613" s="389">
        <v>4</v>
      </c>
      <c r="R613" s="430">
        <v>0</v>
      </c>
      <c r="S613" s="339"/>
      <c r="T613" s="362">
        <v>1</v>
      </c>
      <c r="U613" s="337">
        <v>1</v>
      </c>
      <c r="V613" s="338">
        <v>8.3333333333333301E-2</v>
      </c>
    </row>
    <row r="614" spans="2:22" ht="13.5">
      <c r="B614" s="1577">
        <v>201506</v>
      </c>
      <c r="C614" s="324" t="s">
        <v>459</v>
      </c>
      <c r="D614" s="325" t="s">
        <v>179</v>
      </c>
      <c r="E614" s="1674" t="str">
        <f t="shared" si="0"/>
        <v>LÊ THANH HUYỀN</v>
      </c>
      <c r="F614" s="460">
        <v>6189.2830000000104</v>
      </c>
      <c r="G614" s="92">
        <v>1124.8309999999999</v>
      </c>
      <c r="H614" s="279">
        <v>988.48599999999999</v>
      </c>
      <c r="I614" s="154">
        <v>64</v>
      </c>
      <c r="J614" s="576">
        <v>0.29767399999999999</v>
      </c>
      <c r="K614" s="578">
        <v>14.060387499999999</v>
      </c>
      <c r="L614" s="437">
        <v>1.25</v>
      </c>
      <c r="M614" s="42"/>
      <c r="N614" s="47">
        <v>212</v>
      </c>
      <c r="O614" s="45">
        <v>157</v>
      </c>
      <c r="P614" s="45">
        <v>54</v>
      </c>
      <c r="Q614" s="388">
        <v>1</v>
      </c>
      <c r="R614" s="429">
        <v>23</v>
      </c>
      <c r="S614" s="92">
        <v>3</v>
      </c>
      <c r="T614" s="361">
        <v>14</v>
      </c>
      <c r="U614" s="285">
        <v>10</v>
      </c>
      <c r="V614" s="438">
        <v>0.18181818181818199</v>
      </c>
    </row>
    <row r="615" spans="2:22" ht="13.5">
      <c r="B615" s="1577">
        <v>201506</v>
      </c>
      <c r="C615" s="326" t="s">
        <v>459</v>
      </c>
      <c r="D615" s="327" t="s">
        <v>659</v>
      </c>
      <c r="E615" s="1675" t="str">
        <f t="shared" si="0"/>
        <v>NGUYỄN THỊ ĐÀO</v>
      </c>
      <c r="F615" s="459">
        <v>3444.5619999999999</v>
      </c>
      <c r="G615" s="339">
        <v>620.25099999999998</v>
      </c>
      <c r="H615" s="337">
        <v>619.19200000000001</v>
      </c>
      <c r="I615" s="331">
        <v>31</v>
      </c>
      <c r="J615" s="577">
        <v>0.30392200000000003</v>
      </c>
      <c r="K615" s="579">
        <v>15.128073170732</v>
      </c>
      <c r="L615" s="436">
        <v>1.322581</v>
      </c>
      <c r="M615" s="42"/>
      <c r="N615" s="334">
        <v>98</v>
      </c>
      <c r="O615" s="335">
        <v>71</v>
      </c>
      <c r="P615" s="335">
        <v>18</v>
      </c>
      <c r="Q615" s="389">
        <v>9</v>
      </c>
      <c r="R615" s="430">
        <v>25</v>
      </c>
      <c r="S615" s="339"/>
      <c r="T615" s="362">
        <v>17</v>
      </c>
      <c r="U615" s="337">
        <v>12</v>
      </c>
      <c r="V615" s="338">
        <v>0.44444444444444398</v>
      </c>
    </row>
    <row r="616" spans="2:22" ht="13.5">
      <c r="B616" s="1577">
        <v>201506</v>
      </c>
      <c r="C616" s="324" t="s">
        <v>459</v>
      </c>
      <c r="D616" s="325" t="s">
        <v>699</v>
      </c>
      <c r="E616" s="1674" t="str">
        <f t="shared" si="0"/>
        <v>NGUYỄN THỊ NGỌC LAN</v>
      </c>
      <c r="F616" s="460">
        <v>1195.74</v>
      </c>
      <c r="G616" s="92">
        <v>184.37</v>
      </c>
      <c r="H616" s="279">
        <v>191.19300000000001</v>
      </c>
      <c r="I616" s="154">
        <v>15</v>
      </c>
      <c r="J616" s="576">
        <v>0.29411799999999999</v>
      </c>
      <c r="K616" s="578">
        <v>12.291333333333</v>
      </c>
      <c r="L616" s="437">
        <v>1</v>
      </c>
      <c r="M616" s="42"/>
      <c r="N616" s="47">
        <v>49</v>
      </c>
      <c r="O616" s="45">
        <v>35</v>
      </c>
      <c r="P616" s="45">
        <v>13</v>
      </c>
      <c r="Q616" s="388">
        <v>1</v>
      </c>
      <c r="R616" s="429">
        <v>11</v>
      </c>
      <c r="S616" s="92">
        <v>1</v>
      </c>
      <c r="T616" s="361">
        <v>6</v>
      </c>
      <c r="U616" s="285">
        <v>5</v>
      </c>
      <c r="V616" s="438">
        <v>0.35714285714285698</v>
      </c>
    </row>
    <row r="617" spans="2:22" ht="13.5">
      <c r="B617" s="1577">
        <v>201506</v>
      </c>
      <c r="C617" s="326" t="s">
        <v>459</v>
      </c>
      <c r="D617" s="327" t="s">
        <v>1015</v>
      </c>
      <c r="E617" s="1675" t="str">
        <f t="shared" si="0"/>
        <v>VŨ THỊ LỆ HẰNG</v>
      </c>
      <c r="F617" s="459">
        <v>463.34899999999999</v>
      </c>
      <c r="G617" s="339">
        <v>108.51</v>
      </c>
      <c r="H617" s="337">
        <v>108.51</v>
      </c>
      <c r="I617" s="331">
        <v>10</v>
      </c>
      <c r="J617" s="577">
        <v>0.20833299999999999</v>
      </c>
      <c r="K617" s="579">
        <v>9.8645454545450004</v>
      </c>
      <c r="L617" s="436">
        <v>1.1000000000000001</v>
      </c>
      <c r="M617" s="42"/>
      <c r="N617" s="334">
        <v>44</v>
      </c>
      <c r="O617" s="335">
        <v>32</v>
      </c>
      <c r="P617" s="335">
        <v>11</v>
      </c>
      <c r="Q617" s="389">
        <v>1</v>
      </c>
      <c r="R617" s="430">
        <v>18</v>
      </c>
      <c r="S617" s="339">
        <v>2</v>
      </c>
      <c r="T617" s="362">
        <v>8</v>
      </c>
      <c r="U617" s="337">
        <v>6</v>
      </c>
      <c r="V617" s="338">
        <v>0.5</v>
      </c>
    </row>
    <row r="618" spans="2:22" ht="13.5">
      <c r="B618" s="1577">
        <v>201506</v>
      </c>
      <c r="C618" s="324" t="s">
        <v>459</v>
      </c>
      <c r="D618" s="325" t="s">
        <v>825</v>
      </c>
      <c r="E618" s="1674" t="s">
        <v>1773</v>
      </c>
      <c r="F618" s="460">
        <v>1422.414</v>
      </c>
      <c r="G618" s="92">
        <v>291.33499999999998</v>
      </c>
      <c r="H618" s="279">
        <v>284.80500000000001</v>
      </c>
      <c r="I618" s="154">
        <v>18</v>
      </c>
      <c r="J618" s="576">
        <v>0.29268300000000003</v>
      </c>
      <c r="K618" s="578">
        <v>10.790185185185001</v>
      </c>
      <c r="L618" s="437">
        <v>1.5</v>
      </c>
      <c r="M618" s="42"/>
      <c r="N618" s="47">
        <v>58</v>
      </c>
      <c r="O618" s="45">
        <v>45</v>
      </c>
      <c r="P618" s="45">
        <v>9</v>
      </c>
      <c r="Q618" s="388">
        <v>4</v>
      </c>
      <c r="R618" s="429">
        <v>17</v>
      </c>
      <c r="S618" s="92">
        <v>1</v>
      </c>
      <c r="T618" s="361">
        <v>9</v>
      </c>
      <c r="U618" s="285">
        <v>6</v>
      </c>
      <c r="V618" s="438">
        <v>0.46153846153846201</v>
      </c>
    </row>
    <row r="619" spans="2:22" ht="13.5">
      <c r="B619" s="1577">
        <v>201506</v>
      </c>
      <c r="C619" s="326" t="s">
        <v>459</v>
      </c>
      <c r="D619" s="327" t="s">
        <v>185</v>
      </c>
      <c r="E619" s="1675" t="str">
        <f t="shared" si="0"/>
        <v>NGUYỄN THỊ BÌNH</v>
      </c>
      <c r="F619" s="459">
        <v>1880.84</v>
      </c>
      <c r="G619" s="339">
        <v>629.274</v>
      </c>
      <c r="H619" s="337">
        <v>601.822</v>
      </c>
      <c r="I619" s="331">
        <v>18</v>
      </c>
      <c r="J619" s="577">
        <v>0.36363600000000001</v>
      </c>
      <c r="K619" s="579">
        <v>20.299161290322999</v>
      </c>
      <c r="L619" s="436">
        <v>1.7222219999999999</v>
      </c>
      <c r="M619" s="42"/>
      <c r="N619" s="334">
        <v>50</v>
      </c>
      <c r="O619" s="335">
        <v>38</v>
      </c>
      <c r="P619" s="335">
        <v>8</v>
      </c>
      <c r="Q619" s="389">
        <v>4</v>
      </c>
      <c r="R619" s="430">
        <v>3</v>
      </c>
      <c r="S619" s="339"/>
      <c r="T619" s="362">
        <v>4</v>
      </c>
      <c r="U619" s="337">
        <v>3</v>
      </c>
      <c r="V619" s="338">
        <v>0.25</v>
      </c>
    </row>
    <row r="620" spans="2:22" ht="13.5">
      <c r="B620" s="1577">
        <v>201506</v>
      </c>
      <c r="C620" s="324" t="s">
        <v>459</v>
      </c>
      <c r="D620" s="325" t="s">
        <v>660</v>
      </c>
      <c r="E620" s="1674" t="str">
        <f t="shared" si="0"/>
        <v>CHU THỊ ÁI THƯƠNG</v>
      </c>
      <c r="F620" s="460">
        <v>2461.2469999999998</v>
      </c>
      <c r="G620" s="92">
        <v>481.94499999999999</v>
      </c>
      <c r="H620" s="279">
        <v>488.48399999999998</v>
      </c>
      <c r="I620" s="154">
        <v>26</v>
      </c>
      <c r="J620" s="576">
        <v>0.213115</v>
      </c>
      <c r="K620" s="578">
        <v>13.387361111111</v>
      </c>
      <c r="L620" s="437">
        <v>1.3846149999999999</v>
      </c>
      <c r="M620" s="42"/>
      <c r="N620" s="47">
        <v>113</v>
      </c>
      <c r="O620" s="45">
        <v>92</v>
      </c>
      <c r="P620" s="45">
        <v>18</v>
      </c>
      <c r="Q620" s="388">
        <v>3</v>
      </c>
      <c r="R620" s="429">
        <v>30</v>
      </c>
      <c r="S620" s="92">
        <v>1</v>
      </c>
      <c r="T620" s="361">
        <v>11</v>
      </c>
      <c r="U620" s="285">
        <v>6</v>
      </c>
      <c r="V620" s="438">
        <v>0.28571428571428598</v>
      </c>
    </row>
    <row r="621" spans="2:22" ht="13.5">
      <c r="B621" s="1577">
        <v>201506</v>
      </c>
      <c r="C621" s="326" t="s">
        <v>459</v>
      </c>
      <c r="D621" s="327" t="s">
        <v>737</v>
      </c>
      <c r="E621" s="1675"/>
      <c r="F621" s="459">
        <v>1333.8979999999999</v>
      </c>
      <c r="G621" s="339">
        <v>60.914999999999999</v>
      </c>
      <c r="H621" s="337">
        <v>82.057000000000002</v>
      </c>
      <c r="I621" s="331">
        <v>5</v>
      </c>
      <c r="J621" s="577">
        <v>0.196078</v>
      </c>
      <c r="K621" s="579">
        <v>20.305</v>
      </c>
      <c r="L621" s="436">
        <v>0.6</v>
      </c>
      <c r="M621" s="42"/>
      <c r="N621" s="334">
        <v>20</v>
      </c>
      <c r="O621" s="335">
        <v>12</v>
      </c>
      <c r="P621" s="335">
        <v>7</v>
      </c>
      <c r="Q621" s="389">
        <v>1</v>
      </c>
      <c r="R621" s="430">
        <v>15</v>
      </c>
      <c r="S621" s="339">
        <v>1</v>
      </c>
      <c r="T621" s="362">
        <v>3</v>
      </c>
      <c r="U621" s="337">
        <v>1</v>
      </c>
      <c r="V621" s="338">
        <v>0.125</v>
      </c>
    </row>
    <row r="622" spans="2:22" ht="13.5">
      <c r="B622" s="1577">
        <v>201506</v>
      </c>
      <c r="C622" s="324" t="s">
        <v>459</v>
      </c>
      <c r="D622" s="325" t="s">
        <v>1570</v>
      </c>
      <c r="E622" s="1676" t="s">
        <v>1571</v>
      </c>
      <c r="F622" s="460">
        <v>73.867999999999995</v>
      </c>
      <c r="G622" s="92">
        <v>73.867999999999995</v>
      </c>
      <c r="H622" s="279">
        <v>73.867999999999995</v>
      </c>
      <c r="I622" s="154">
        <v>5</v>
      </c>
      <c r="J622" s="576">
        <v>0.625</v>
      </c>
      <c r="K622" s="578">
        <v>12.311333333333</v>
      </c>
      <c r="L622" s="437">
        <v>1.2</v>
      </c>
      <c r="M622" s="42"/>
      <c r="N622" s="47">
        <v>16</v>
      </c>
      <c r="O622" s="45">
        <v>8</v>
      </c>
      <c r="P622" s="45">
        <v>8</v>
      </c>
      <c r="Q622" s="388">
        <v>0</v>
      </c>
      <c r="R622" s="429">
        <v>0</v>
      </c>
      <c r="S622" s="92">
        <v>8</v>
      </c>
      <c r="T622" s="361">
        <v>8</v>
      </c>
      <c r="U622" s="285">
        <v>5</v>
      </c>
      <c r="V622" s="438">
        <v>0.625</v>
      </c>
    </row>
    <row r="623" spans="2:22" ht="13.5">
      <c r="B623" s="1577">
        <v>201506</v>
      </c>
      <c r="C623" s="326" t="s">
        <v>459</v>
      </c>
      <c r="D623" s="327" t="s">
        <v>662</v>
      </c>
      <c r="E623" s="1675"/>
      <c r="F623" s="459">
        <v>570.25199999999995</v>
      </c>
      <c r="G623" s="339">
        <v>-14.337999999999999</v>
      </c>
      <c r="H623" s="337">
        <v>-14.337999999999999</v>
      </c>
      <c r="I623" s="331">
        <v>2</v>
      </c>
      <c r="J623" s="577">
        <v>7.6923000000000005E-2</v>
      </c>
      <c r="K623" s="579">
        <v>2.8675999999999999</v>
      </c>
      <c r="L623" s="436">
        <v>-2.5</v>
      </c>
      <c r="M623" s="42"/>
      <c r="N623" s="334">
        <v>27</v>
      </c>
      <c r="O623" s="335">
        <v>16</v>
      </c>
      <c r="P623" s="335">
        <v>10</v>
      </c>
      <c r="Q623" s="389">
        <v>1</v>
      </c>
      <c r="R623" s="430">
        <v>0</v>
      </c>
      <c r="S623" s="339"/>
      <c r="T623" s="362">
        <v>2</v>
      </c>
      <c r="U623" s="337">
        <v>2</v>
      </c>
      <c r="V623" s="338">
        <v>0.18181818181818199</v>
      </c>
    </row>
    <row r="624" spans="2:22" ht="13.5">
      <c r="B624" s="1577">
        <v>201506</v>
      </c>
      <c r="C624" s="324" t="s">
        <v>459</v>
      </c>
      <c r="D624" s="325" t="s">
        <v>799</v>
      </c>
      <c r="E624" s="1674" t="str">
        <f t="shared" si="0"/>
        <v>NGUYỄN THỊ KIM CHUNG</v>
      </c>
      <c r="F624" s="460">
        <v>1150.83</v>
      </c>
      <c r="G624" s="92">
        <v>330.97199999999998</v>
      </c>
      <c r="H624" s="279">
        <v>333.30900000000003</v>
      </c>
      <c r="I624" s="154">
        <v>15</v>
      </c>
      <c r="J624" s="576">
        <v>0.34090900000000002</v>
      </c>
      <c r="K624" s="578">
        <v>13.7905</v>
      </c>
      <c r="L624" s="437">
        <v>1.6</v>
      </c>
      <c r="M624" s="42"/>
      <c r="N624" s="47">
        <v>47</v>
      </c>
      <c r="O624" s="45">
        <v>33</v>
      </c>
      <c r="P624" s="45">
        <v>13</v>
      </c>
      <c r="Q624" s="388">
        <v>1</v>
      </c>
      <c r="R624" s="429">
        <v>2</v>
      </c>
      <c r="S624" s="92">
        <v>1</v>
      </c>
      <c r="T624" s="361">
        <v>7</v>
      </c>
      <c r="U624" s="285">
        <v>4</v>
      </c>
      <c r="V624" s="438">
        <v>0.28571428571428598</v>
      </c>
    </row>
    <row r="625" spans="2:22" ht="13.5">
      <c r="B625" s="1577">
        <v>201506</v>
      </c>
      <c r="C625" s="326" t="s">
        <v>459</v>
      </c>
      <c r="D625" s="327" t="s">
        <v>1567</v>
      </c>
      <c r="E625" s="1675" t="s">
        <v>1028</v>
      </c>
      <c r="F625" s="459">
        <v>680.88199999999995</v>
      </c>
      <c r="G625" s="339">
        <v>350.75099999999998</v>
      </c>
      <c r="H625" s="337">
        <v>338.78800000000001</v>
      </c>
      <c r="I625" s="331">
        <v>19</v>
      </c>
      <c r="J625" s="577">
        <v>0.493506</v>
      </c>
      <c r="K625" s="579">
        <v>14.03004</v>
      </c>
      <c r="L625" s="436">
        <v>1.3157890000000001</v>
      </c>
      <c r="M625" s="42"/>
      <c r="N625" s="334">
        <v>44</v>
      </c>
      <c r="O625" s="335">
        <v>29</v>
      </c>
      <c r="P625" s="335">
        <v>14</v>
      </c>
      <c r="Q625" s="389">
        <v>1</v>
      </c>
      <c r="R625" s="430">
        <v>1</v>
      </c>
      <c r="S625" s="339">
        <v>4</v>
      </c>
      <c r="T625" s="362">
        <v>8</v>
      </c>
      <c r="U625" s="337">
        <v>6</v>
      </c>
      <c r="V625" s="338">
        <v>0.4</v>
      </c>
    </row>
    <row r="626" spans="2:22" ht="13.5">
      <c r="B626" s="1577">
        <v>201506</v>
      </c>
      <c r="C626" s="324" t="s">
        <v>459</v>
      </c>
      <c r="D626" s="325" t="s">
        <v>177</v>
      </c>
      <c r="E626" s="1674" t="str">
        <f t="shared" si="0"/>
        <v>MAI QUỐC HUY</v>
      </c>
      <c r="F626" s="460">
        <v>4266.2510000000002</v>
      </c>
      <c r="G626" s="92">
        <v>397.28399999999999</v>
      </c>
      <c r="H626" s="279">
        <v>366.00900000000001</v>
      </c>
      <c r="I626" s="154">
        <v>20</v>
      </c>
      <c r="J626" s="576">
        <v>0.23255799999999999</v>
      </c>
      <c r="K626" s="578">
        <v>18.058363636364</v>
      </c>
      <c r="L626" s="437">
        <v>1.1000000000000001</v>
      </c>
      <c r="M626" s="42"/>
      <c r="N626" s="47">
        <v>89</v>
      </c>
      <c r="O626" s="45">
        <v>60</v>
      </c>
      <c r="P626" s="45">
        <v>27</v>
      </c>
      <c r="Q626" s="388">
        <v>2</v>
      </c>
      <c r="R626" s="429">
        <v>14</v>
      </c>
      <c r="S626" s="92">
        <v>4</v>
      </c>
      <c r="T626" s="361">
        <v>16</v>
      </c>
      <c r="U626" s="285">
        <v>8</v>
      </c>
      <c r="V626" s="438">
        <v>0.27586206896551702</v>
      </c>
    </row>
    <row r="627" spans="2:22" ht="13.5">
      <c r="B627" s="1577">
        <v>201506</v>
      </c>
      <c r="C627" s="326" t="s">
        <v>459</v>
      </c>
      <c r="D627" s="327" t="s">
        <v>1568</v>
      </c>
      <c r="E627" s="1675" t="s">
        <v>1569</v>
      </c>
      <c r="F627" s="459">
        <v>774.91600000000005</v>
      </c>
      <c r="G627" s="339">
        <v>456.87400000000002</v>
      </c>
      <c r="H627" s="337">
        <v>456.87400000000002</v>
      </c>
      <c r="I627" s="331">
        <v>27</v>
      </c>
      <c r="J627" s="577">
        <v>0.45378200000000002</v>
      </c>
      <c r="K627" s="579">
        <v>11.143268292683</v>
      </c>
      <c r="L627" s="436">
        <v>1.518519</v>
      </c>
      <c r="M627" s="42"/>
      <c r="N627" s="334">
        <v>63</v>
      </c>
      <c r="O627" s="335">
        <v>46</v>
      </c>
      <c r="P627" s="335">
        <v>17</v>
      </c>
      <c r="Q627" s="389">
        <v>0</v>
      </c>
      <c r="R627" s="430">
        <v>4</v>
      </c>
      <c r="S627" s="339">
        <v>2</v>
      </c>
      <c r="T627" s="362">
        <v>9</v>
      </c>
      <c r="U627" s="337">
        <v>7</v>
      </c>
      <c r="V627" s="338">
        <v>0.41176470588235298</v>
      </c>
    </row>
    <row r="628" spans="2:22" ht="13.5">
      <c r="B628" s="1577">
        <v>201506</v>
      </c>
      <c r="C628" s="324" t="s">
        <v>459</v>
      </c>
      <c r="D628" s="325" t="s">
        <v>176</v>
      </c>
      <c r="E628" s="1674" t="str">
        <f t="shared" si="0"/>
        <v>NGUYỄN VĂN CÔNG</v>
      </c>
      <c r="F628" s="460">
        <v>8658.7690000000002</v>
      </c>
      <c r="G628" s="92">
        <v>1440.67</v>
      </c>
      <c r="H628" s="279">
        <v>1432.557</v>
      </c>
      <c r="I628" s="154">
        <v>60</v>
      </c>
      <c r="J628" s="576">
        <v>0.36036000000000001</v>
      </c>
      <c r="K628" s="578">
        <v>17.569146341463</v>
      </c>
      <c r="L628" s="437">
        <v>1.3666670000000001</v>
      </c>
      <c r="M628" s="42"/>
      <c r="N628" s="47">
        <v>168</v>
      </c>
      <c r="O628" s="45">
        <v>134</v>
      </c>
      <c r="P628" s="45">
        <v>27</v>
      </c>
      <c r="Q628" s="388">
        <v>7</v>
      </c>
      <c r="R628" s="429">
        <v>18</v>
      </c>
      <c r="S628" s="92">
        <v>1</v>
      </c>
      <c r="T628" s="361">
        <v>20</v>
      </c>
      <c r="U628" s="285">
        <v>12</v>
      </c>
      <c r="V628" s="438">
        <v>0.35294117647058798</v>
      </c>
    </row>
    <row r="629" spans="2:22" ht="13.5">
      <c r="B629" s="1577">
        <v>201506</v>
      </c>
      <c r="C629" s="326" t="s">
        <v>459</v>
      </c>
      <c r="D629" s="327" t="s">
        <v>1572</v>
      </c>
      <c r="E629" s="1675" t="s">
        <v>1573</v>
      </c>
      <c r="F629" s="459">
        <v>132.994</v>
      </c>
      <c r="G629" s="339">
        <v>92.450999999999993</v>
      </c>
      <c r="H629" s="337">
        <v>82.531000000000006</v>
      </c>
      <c r="I629" s="331">
        <v>8</v>
      </c>
      <c r="J629" s="577">
        <v>0.4</v>
      </c>
      <c r="K629" s="579">
        <v>13.207285714286</v>
      </c>
      <c r="L629" s="436">
        <v>0.875</v>
      </c>
      <c r="M629" s="42"/>
      <c r="N629" s="334">
        <v>29</v>
      </c>
      <c r="O629" s="335">
        <v>19</v>
      </c>
      <c r="P629" s="335">
        <v>10</v>
      </c>
      <c r="Q629" s="389">
        <v>0</v>
      </c>
      <c r="R629" s="430">
        <v>0</v>
      </c>
      <c r="S629" s="339">
        <v>6</v>
      </c>
      <c r="T629" s="362">
        <v>12</v>
      </c>
      <c r="U629" s="337">
        <v>7</v>
      </c>
      <c r="V629" s="338">
        <v>0.7</v>
      </c>
    </row>
    <row r="630" spans="2:22" ht="13.5">
      <c r="B630" s="1577">
        <v>201506</v>
      </c>
      <c r="C630" s="324" t="s">
        <v>459</v>
      </c>
      <c r="D630" s="325" t="s">
        <v>1104</v>
      </c>
      <c r="E630" s="1674" t="str">
        <f t="shared" si="0"/>
        <v>LÊ THỊ THƠI</v>
      </c>
      <c r="F630" s="460">
        <v>1443.65</v>
      </c>
      <c r="G630" s="92">
        <v>399.11799999999999</v>
      </c>
      <c r="H630" s="279">
        <v>399.11799999999999</v>
      </c>
      <c r="I630" s="154">
        <v>27</v>
      </c>
      <c r="J630" s="576">
        <v>0.28421099999999999</v>
      </c>
      <c r="K630" s="578">
        <v>12.094484848484999</v>
      </c>
      <c r="L630" s="437">
        <v>1.2222219999999999</v>
      </c>
      <c r="M630" s="42"/>
      <c r="N630" s="47">
        <v>96</v>
      </c>
      <c r="O630" s="45">
        <v>77</v>
      </c>
      <c r="P630" s="45">
        <v>14</v>
      </c>
      <c r="Q630" s="388">
        <v>5</v>
      </c>
      <c r="R630" s="429">
        <v>10</v>
      </c>
      <c r="S630" s="92"/>
      <c r="T630" s="361">
        <v>12</v>
      </c>
      <c r="U630" s="285">
        <v>10</v>
      </c>
      <c r="V630" s="438">
        <v>0.52631578947368396</v>
      </c>
    </row>
    <row r="631" spans="2:22" ht="13.5">
      <c r="B631" s="1577">
        <v>201505</v>
      </c>
      <c r="C631" s="324" t="s">
        <v>458</v>
      </c>
      <c r="D631" s="325" t="s">
        <v>1563</v>
      </c>
      <c r="E631" s="1676" t="s">
        <v>1564</v>
      </c>
      <c r="F631" s="460">
        <v>214.822</v>
      </c>
      <c r="G631" s="92">
        <v>248.512</v>
      </c>
      <c r="H631" s="279">
        <v>214.822</v>
      </c>
      <c r="I631" s="154">
        <v>5</v>
      </c>
      <c r="J631" s="576">
        <v>0.58823499999999995</v>
      </c>
      <c r="K631" s="578">
        <v>31.064</v>
      </c>
      <c r="L631" s="437">
        <v>1.6</v>
      </c>
      <c r="M631" s="42" t="s">
        <v>227</v>
      </c>
      <c r="N631" s="47">
        <v>11</v>
      </c>
      <c r="O631" s="45">
        <v>6</v>
      </c>
      <c r="P631" s="45">
        <v>5</v>
      </c>
      <c r="Q631" s="388">
        <v>0</v>
      </c>
      <c r="R631" s="429">
        <v>0</v>
      </c>
      <c r="S631" s="92">
        <v>2</v>
      </c>
      <c r="T631" s="361">
        <v>3</v>
      </c>
      <c r="U631" s="285">
        <v>3</v>
      </c>
      <c r="V631" s="438">
        <v>0.6</v>
      </c>
    </row>
    <row r="632" spans="2:22" ht="13.5">
      <c r="B632" s="1577">
        <v>201505</v>
      </c>
      <c r="C632" s="326" t="s">
        <v>458</v>
      </c>
      <c r="D632" s="327" t="s">
        <v>1099</v>
      </c>
      <c r="E632" s="1675" t="str">
        <f t="shared" ref="E632:E676" si="1">VLOOKUP(D632,$D$677:$E$719,2,0)</f>
        <v>LƯƠNG HỮU PHÚC</v>
      </c>
      <c r="F632" s="459">
        <v>2588.2189999999991</v>
      </c>
      <c r="G632" s="339">
        <v>638.31799999999998</v>
      </c>
      <c r="H632" s="337">
        <v>956.79700000000003</v>
      </c>
      <c r="I632" s="331">
        <v>27</v>
      </c>
      <c r="J632" s="577">
        <v>0.47787600000000002</v>
      </c>
      <c r="K632" s="579">
        <v>19.342969696970002</v>
      </c>
      <c r="L632" s="436">
        <v>1.2222219999999999</v>
      </c>
      <c r="M632" s="42" t="s">
        <v>227</v>
      </c>
      <c r="N632" s="334">
        <v>54</v>
      </c>
      <c r="O632" s="335">
        <v>38</v>
      </c>
      <c r="P632" s="335">
        <v>14</v>
      </c>
      <c r="Q632" s="389">
        <v>2</v>
      </c>
      <c r="R632" s="430">
        <v>8</v>
      </c>
      <c r="S632" s="339"/>
      <c r="T632" s="362">
        <v>1</v>
      </c>
      <c r="U632" s="337">
        <v>1</v>
      </c>
      <c r="V632" s="338">
        <v>6.25E-2</v>
      </c>
    </row>
    <row r="633" spans="2:22" ht="13.5">
      <c r="B633" s="1577">
        <v>201505</v>
      </c>
      <c r="C633" s="324" t="s">
        <v>458</v>
      </c>
      <c r="D633" s="325" t="s">
        <v>900</v>
      </c>
      <c r="E633" s="1674" t="str">
        <f t="shared" si="1"/>
        <v>HOÀNG NGUYỆT HẰNG</v>
      </c>
      <c r="F633" s="460">
        <v>1946.4710000000009</v>
      </c>
      <c r="G633" s="92">
        <v>175.58099999999999</v>
      </c>
      <c r="H633" s="279">
        <v>175.58099999999999</v>
      </c>
      <c r="I633" s="154">
        <v>8</v>
      </c>
      <c r="J633" s="576">
        <v>0.33333299999999999</v>
      </c>
      <c r="K633" s="578">
        <v>14.63175</v>
      </c>
      <c r="L633" s="437">
        <v>1.5</v>
      </c>
      <c r="M633" s="42" t="s">
        <v>227</v>
      </c>
      <c r="N633" s="47">
        <v>21</v>
      </c>
      <c r="O633" s="45">
        <v>13</v>
      </c>
      <c r="P633" s="45">
        <v>7</v>
      </c>
      <c r="Q633" s="388">
        <v>1</v>
      </c>
      <c r="R633" s="429">
        <v>8</v>
      </c>
      <c r="S633" s="92"/>
      <c r="T633" s="361">
        <v>1</v>
      </c>
      <c r="U633" s="285">
        <v>1</v>
      </c>
      <c r="V633" s="438">
        <v>0.125</v>
      </c>
    </row>
    <row r="634" spans="2:22" ht="13.5">
      <c r="B634" s="1577">
        <v>201505</v>
      </c>
      <c r="C634" s="326" t="s">
        <v>458</v>
      </c>
      <c r="D634" s="327" t="s">
        <v>649</v>
      </c>
      <c r="E634" s="1675" t="str">
        <f t="shared" si="1"/>
        <v>PHẠM THÀNH TRÍ</v>
      </c>
      <c r="F634" s="459">
        <v>1212.3259999999993</v>
      </c>
      <c r="G634" s="339">
        <v>442.69299999999998</v>
      </c>
      <c r="H634" s="337">
        <v>426.875</v>
      </c>
      <c r="I634" s="331">
        <v>20</v>
      </c>
      <c r="J634" s="577">
        <v>0.31496099999999999</v>
      </c>
      <c r="K634" s="579">
        <v>17.026653846154002</v>
      </c>
      <c r="L634" s="436">
        <v>1.3</v>
      </c>
      <c r="M634" s="42" t="s">
        <v>227</v>
      </c>
      <c r="N634" s="334">
        <v>59</v>
      </c>
      <c r="O634" s="335">
        <v>38</v>
      </c>
      <c r="P634" s="335">
        <v>17</v>
      </c>
      <c r="Q634" s="389">
        <v>4</v>
      </c>
      <c r="R634" s="430">
        <v>25</v>
      </c>
      <c r="S634" s="339">
        <v>4</v>
      </c>
      <c r="T634" s="362">
        <v>12</v>
      </c>
      <c r="U634" s="337">
        <v>6</v>
      </c>
      <c r="V634" s="338">
        <v>0.2857142857142857</v>
      </c>
    </row>
    <row r="635" spans="2:22" ht="13.5">
      <c r="B635" s="1577">
        <v>201505</v>
      </c>
      <c r="C635" s="324" t="s">
        <v>458</v>
      </c>
      <c r="D635" s="325" t="s">
        <v>650</v>
      </c>
      <c r="E635" s="1674" t="s">
        <v>1777</v>
      </c>
      <c r="F635" s="460">
        <v>539.45000000000016</v>
      </c>
      <c r="G635" s="92">
        <v>167.40600000000001</v>
      </c>
      <c r="H635" s="279">
        <v>155.898</v>
      </c>
      <c r="I635" s="154">
        <v>17</v>
      </c>
      <c r="J635" s="576">
        <v>0.346939</v>
      </c>
      <c r="K635" s="578">
        <v>9.8474117647060009</v>
      </c>
      <c r="L635" s="437">
        <v>1</v>
      </c>
      <c r="M635" s="42" t="s">
        <v>227</v>
      </c>
      <c r="N635" s="47">
        <v>47</v>
      </c>
      <c r="O635" s="45">
        <v>28</v>
      </c>
      <c r="P635" s="45">
        <v>14</v>
      </c>
      <c r="Q635" s="388">
        <v>5</v>
      </c>
      <c r="R635" s="429">
        <v>7</v>
      </c>
      <c r="S635" s="92"/>
      <c r="T635" s="361">
        <v>3</v>
      </c>
      <c r="U635" s="285">
        <v>2</v>
      </c>
      <c r="V635" s="438">
        <v>0.10526315789473684</v>
      </c>
    </row>
    <row r="636" spans="2:22" ht="13.5">
      <c r="B636" s="1577">
        <v>201505</v>
      </c>
      <c r="C636" s="326" t="s">
        <v>458</v>
      </c>
      <c r="D636" s="327" t="s">
        <v>902</v>
      </c>
      <c r="E636" s="1675" t="str">
        <f t="shared" si="1"/>
        <v>TRƯƠNG THỊ THU TRÂM</v>
      </c>
      <c r="F636" s="459">
        <v>1252.0419999999999</v>
      </c>
      <c r="G636" s="339">
        <v>321.49900000000002</v>
      </c>
      <c r="H636" s="337">
        <v>296.45800000000003</v>
      </c>
      <c r="I636" s="331">
        <v>19</v>
      </c>
      <c r="J636" s="577">
        <v>0.319328</v>
      </c>
      <c r="K636" s="579">
        <v>14.613590909091</v>
      </c>
      <c r="L636" s="436">
        <v>1.1578949999999999</v>
      </c>
      <c r="M636" s="42" t="s">
        <v>227</v>
      </c>
      <c r="N636" s="334">
        <v>63</v>
      </c>
      <c r="O636" s="335">
        <v>45</v>
      </c>
      <c r="P636" s="335">
        <v>17</v>
      </c>
      <c r="Q636" s="389">
        <v>1</v>
      </c>
      <c r="R636" s="430">
        <v>5</v>
      </c>
      <c r="S636" s="339">
        <v>3</v>
      </c>
      <c r="T636" s="362">
        <v>9</v>
      </c>
      <c r="U636" s="337">
        <v>6</v>
      </c>
      <c r="V636" s="338">
        <v>0.33333333333333331</v>
      </c>
    </row>
    <row r="637" spans="2:22" ht="13.5">
      <c r="B637" s="1577">
        <v>201505</v>
      </c>
      <c r="C637" s="324" t="s">
        <v>458</v>
      </c>
      <c r="D637" s="325" t="s">
        <v>642</v>
      </c>
      <c r="E637" s="1674" t="str">
        <f t="shared" si="1"/>
        <v>LÊ THỊ HỒNG LĨNH</v>
      </c>
      <c r="F637" s="460">
        <v>1922.8289999999977</v>
      </c>
      <c r="G637" s="92">
        <v>542.77300000000002</v>
      </c>
      <c r="H637" s="279">
        <v>540.10299999999995</v>
      </c>
      <c r="I637" s="154">
        <v>20</v>
      </c>
      <c r="J637" s="576">
        <v>0.373832</v>
      </c>
      <c r="K637" s="578">
        <v>18.716310344827999</v>
      </c>
      <c r="L637" s="437">
        <v>1.45</v>
      </c>
      <c r="M637" s="42" t="s">
        <v>227</v>
      </c>
      <c r="N637" s="47">
        <v>53</v>
      </c>
      <c r="O637" s="45">
        <v>35</v>
      </c>
      <c r="P637" s="45">
        <v>18</v>
      </c>
      <c r="Q637" s="388">
        <v>0</v>
      </c>
      <c r="R637" s="429">
        <v>9</v>
      </c>
      <c r="S637" s="92"/>
      <c r="T637" s="361">
        <v>8</v>
      </c>
      <c r="U637" s="285">
        <v>6</v>
      </c>
      <c r="V637" s="438">
        <v>0.33333333333333331</v>
      </c>
    </row>
    <row r="638" spans="2:22" ht="13.5">
      <c r="B638" s="1577">
        <v>201505</v>
      </c>
      <c r="C638" s="326" t="s">
        <v>458</v>
      </c>
      <c r="D638" s="327" t="s">
        <v>91</v>
      </c>
      <c r="E638" s="1675" t="str">
        <f t="shared" si="1"/>
        <v>NGUYỄN THỊ LAN ANH</v>
      </c>
      <c r="F638" s="459">
        <v>2405.9589999999971</v>
      </c>
      <c r="G638" s="339">
        <v>683.66700000000003</v>
      </c>
      <c r="H638" s="337">
        <v>618.702</v>
      </c>
      <c r="I638" s="331">
        <v>28</v>
      </c>
      <c r="J638" s="577">
        <v>0.32748500000000003</v>
      </c>
      <c r="K638" s="579">
        <v>20.107852941176002</v>
      </c>
      <c r="L638" s="436">
        <v>1.214286</v>
      </c>
      <c r="M638" s="42" t="s">
        <v>227</v>
      </c>
      <c r="N638" s="334">
        <v>81</v>
      </c>
      <c r="O638" s="335">
        <v>59</v>
      </c>
      <c r="P638" s="335">
        <v>19</v>
      </c>
      <c r="Q638" s="389">
        <v>3</v>
      </c>
      <c r="R638" s="430">
        <v>17</v>
      </c>
      <c r="S638" s="339">
        <v>1</v>
      </c>
      <c r="T638" s="362">
        <v>6</v>
      </c>
      <c r="U638" s="337">
        <v>5</v>
      </c>
      <c r="V638" s="338">
        <v>0.22727272727272727</v>
      </c>
    </row>
    <row r="639" spans="2:22" ht="13.5">
      <c r="B639" s="1577">
        <v>201505</v>
      </c>
      <c r="C639" s="324" t="s">
        <v>458</v>
      </c>
      <c r="D639" s="325" t="s">
        <v>187</v>
      </c>
      <c r="E639" s="1674" t="str">
        <f t="shared" si="1"/>
        <v>NGUYỄN HỮU NGHIỆM</v>
      </c>
      <c r="F639" s="460">
        <v>1076.6379999999999</v>
      </c>
      <c r="G639" s="92">
        <v>222.26900000000001</v>
      </c>
      <c r="H639" s="279">
        <v>262.01600000000002</v>
      </c>
      <c r="I639" s="154">
        <v>12</v>
      </c>
      <c r="J639" s="576">
        <v>0.22018299999999999</v>
      </c>
      <c r="K639" s="578">
        <v>17.097615384615001</v>
      </c>
      <c r="L639" s="437">
        <v>1.0833330000000001</v>
      </c>
      <c r="M639" s="42" t="s">
        <v>227</v>
      </c>
      <c r="N639" s="47">
        <v>56</v>
      </c>
      <c r="O639" s="45">
        <v>36</v>
      </c>
      <c r="P639" s="45">
        <v>18</v>
      </c>
      <c r="Q639" s="388">
        <v>2</v>
      </c>
      <c r="R639" s="429">
        <v>13</v>
      </c>
      <c r="S639" s="92">
        <v>5</v>
      </c>
      <c r="T639" s="361">
        <v>11</v>
      </c>
      <c r="U639" s="285">
        <v>9</v>
      </c>
      <c r="V639" s="438">
        <v>0.45</v>
      </c>
    </row>
    <row r="640" spans="2:22" ht="13.5">
      <c r="B640" s="1577">
        <v>201505</v>
      </c>
      <c r="C640" s="326" t="s">
        <v>458</v>
      </c>
      <c r="D640" s="327" t="s">
        <v>734</v>
      </c>
      <c r="E640" s="1675" t="s">
        <v>1766</v>
      </c>
      <c r="F640" s="459">
        <v>3071.9759999999983</v>
      </c>
      <c r="G640" s="339">
        <v>525.94200000000001</v>
      </c>
      <c r="H640" s="337">
        <v>638.79600000000005</v>
      </c>
      <c r="I640" s="331">
        <v>14</v>
      </c>
      <c r="J640" s="577">
        <v>9.0615000000000001E-2</v>
      </c>
      <c r="K640" s="579">
        <v>26.2971</v>
      </c>
      <c r="L640" s="436">
        <v>1.428571</v>
      </c>
      <c r="M640" s="42" t="s">
        <v>227</v>
      </c>
      <c r="N640" s="334">
        <v>157</v>
      </c>
      <c r="O640" s="335">
        <v>127</v>
      </c>
      <c r="P640" s="335">
        <v>30</v>
      </c>
      <c r="Q640" s="389">
        <v>0</v>
      </c>
      <c r="R640" s="430">
        <v>12</v>
      </c>
      <c r="S640" s="339">
        <v>4</v>
      </c>
      <c r="T640" s="362">
        <v>13</v>
      </c>
      <c r="U640" s="337">
        <v>9</v>
      </c>
      <c r="V640" s="338">
        <v>0.3</v>
      </c>
    </row>
    <row r="641" spans="2:22" ht="13.5">
      <c r="B641" s="1577">
        <v>201505</v>
      </c>
      <c r="C641" s="324" t="s">
        <v>458</v>
      </c>
      <c r="D641" s="325" t="s">
        <v>735</v>
      </c>
      <c r="E641" s="1674" t="str">
        <f t="shared" si="1"/>
        <v>HỒNG KHÁNH HƯNG - MDRT HCM</v>
      </c>
      <c r="F641" s="460">
        <v>4179.2609999999959</v>
      </c>
      <c r="G641" s="92">
        <v>1604.423</v>
      </c>
      <c r="H641" s="279">
        <v>1486.787</v>
      </c>
      <c r="I641" s="154">
        <v>30</v>
      </c>
      <c r="J641" s="576">
        <v>0.483871</v>
      </c>
      <c r="K641" s="578">
        <v>29.711537037037001</v>
      </c>
      <c r="L641" s="437">
        <v>1.8</v>
      </c>
      <c r="M641" s="42" t="s">
        <v>227</v>
      </c>
      <c r="N641" s="47">
        <v>63</v>
      </c>
      <c r="O641" s="45">
        <v>51</v>
      </c>
      <c r="P641" s="45">
        <v>11</v>
      </c>
      <c r="Q641" s="388">
        <v>1</v>
      </c>
      <c r="R641" s="429">
        <v>10</v>
      </c>
      <c r="S641" s="92">
        <v>2</v>
      </c>
      <c r="T641" s="361">
        <v>10</v>
      </c>
      <c r="U641" s="285">
        <v>4</v>
      </c>
      <c r="V641" s="438">
        <v>0.33333333333333331</v>
      </c>
    </row>
    <row r="642" spans="2:22" ht="13.5">
      <c r="B642" s="1577">
        <v>201505</v>
      </c>
      <c r="C642" s="326" t="s">
        <v>458</v>
      </c>
      <c r="D642" s="327" t="s">
        <v>798</v>
      </c>
      <c r="E642" s="1675" t="s">
        <v>1768</v>
      </c>
      <c r="F642" s="459">
        <v>1811.9599999999998</v>
      </c>
      <c r="G642" s="339">
        <v>492.50299999999999</v>
      </c>
      <c r="H642" s="337">
        <v>439.726</v>
      </c>
      <c r="I642" s="331">
        <v>12</v>
      </c>
      <c r="J642" s="577">
        <v>0.324324</v>
      </c>
      <c r="K642" s="579">
        <v>21.413173913043</v>
      </c>
      <c r="L642" s="436">
        <v>1.9166669999999999</v>
      </c>
      <c r="M642" s="42" t="s">
        <v>227</v>
      </c>
      <c r="N642" s="334">
        <v>38</v>
      </c>
      <c r="O642" s="335">
        <v>25</v>
      </c>
      <c r="P642" s="335">
        <v>11</v>
      </c>
      <c r="Q642" s="389">
        <v>2</v>
      </c>
      <c r="R642" s="430">
        <v>1</v>
      </c>
      <c r="S642" s="339"/>
      <c r="T642" s="362">
        <v>3</v>
      </c>
      <c r="U642" s="337">
        <v>2</v>
      </c>
      <c r="V642" s="338">
        <v>0.15384615384615385</v>
      </c>
    </row>
    <row r="643" spans="2:22" ht="13.5">
      <c r="B643" s="1577">
        <v>201505</v>
      </c>
      <c r="C643" s="324" t="s">
        <v>458</v>
      </c>
      <c r="D643" s="325" t="s">
        <v>949</v>
      </c>
      <c r="E643" s="1674" t="str">
        <f t="shared" si="1"/>
        <v>HỒNG KHÁNH HƯNG - MDRT VT</v>
      </c>
      <c r="F643" s="460">
        <v>2290.993999999997</v>
      </c>
      <c r="G643" s="92">
        <v>829.69899999999996</v>
      </c>
      <c r="H643" s="279">
        <v>745.17200000000003</v>
      </c>
      <c r="I643" s="154">
        <v>27</v>
      </c>
      <c r="J643" s="576">
        <v>0.32142900000000002</v>
      </c>
      <c r="K643" s="578">
        <v>14.816053571428998</v>
      </c>
      <c r="L643" s="437">
        <v>2.074074</v>
      </c>
      <c r="M643" s="42" t="s">
        <v>227</v>
      </c>
      <c r="N643" s="47">
        <v>80</v>
      </c>
      <c r="O643" s="45">
        <v>54</v>
      </c>
      <c r="P643" s="45">
        <v>18</v>
      </c>
      <c r="Q643" s="388">
        <v>8</v>
      </c>
      <c r="R643" s="429">
        <v>22</v>
      </c>
      <c r="S643" s="92">
        <v>1</v>
      </c>
      <c r="T643" s="361">
        <v>13</v>
      </c>
      <c r="U643" s="285">
        <v>8</v>
      </c>
      <c r="V643" s="438">
        <v>0.30769230769230771</v>
      </c>
    </row>
    <row r="644" spans="2:22" ht="13.5">
      <c r="B644" s="1577">
        <v>201505</v>
      </c>
      <c r="C644" s="326" t="s">
        <v>458</v>
      </c>
      <c r="D644" s="327" t="s">
        <v>903</v>
      </c>
      <c r="E644" s="1675" t="str">
        <f t="shared" si="1"/>
        <v>TRẦN THỊ THÚY HẰNG</v>
      </c>
      <c r="F644" s="459">
        <v>2970.7659999999942</v>
      </c>
      <c r="G644" s="339">
        <v>622.88800000000003</v>
      </c>
      <c r="H644" s="337">
        <v>598.84799999999996</v>
      </c>
      <c r="I644" s="331">
        <v>27</v>
      </c>
      <c r="J644" s="577">
        <v>0.29834300000000002</v>
      </c>
      <c r="K644" s="579">
        <v>16.391789473684</v>
      </c>
      <c r="L644" s="436">
        <v>1.4074070000000001</v>
      </c>
      <c r="M644" s="42" t="s">
        <v>227</v>
      </c>
      <c r="N644" s="334">
        <v>91</v>
      </c>
      <c r="O644" s="335">
        <v>63</v>
      </c>
      <c r="P644" s="335">
        <v>25</v>
      </c>
      <c r="Q644" s="389">
        <v>3</v>
      </c>
      <c r="R644" s="430">
        <v>9</v>
      </c>
      <c r="S644" s="339">
        <v>2</v>
      </c>
      <c r="T644" s="362">
        <v>8</v>
      </c>
      <c r="U644" s="337">
        <v>7</v>
      </c>
      <c r="V644" s="338">
        <v>0.25</v>
      </c>
    </row>
    <row r="645" spans="2:22" ht="13.5">
      <c r="B645" s="1577">
        <v>201505</v>
      </c>
      <c r="C645" s="324" t="s">
        <v>458</v>
      </c>
      <c r="D645" s="325" t="s">
        <v>1101</v>
      </c>
      <c r="E645" s="1674" t="str">
        <f t="shared" si="1"/>
        <v>NGUYỄN TRẦN QUỐC TOẢN</v>
      </c>
      <c r="F645" s="460">
        <v>845.6219999999995</v>
      </c>
      <c r="G645" s="92">
        <v>234.07</v>
      </c>
      <c r="H645" s="279">
        <v>219</v>
      </c>
      <c r="I645" s="154">
        <v>9</v>
      </c>
      <c r="J645" s="576">
        <v>0.16666700000000001</v>
      </c>
      <c r="K645" s="578">
        <v>16.719285714285999</v>
      </c>
      <c r="L645" s="437">
        <v>1.5555559999999999</v>
      </c>
      <c r="M645" s="42" t="s">
        <v>227</v>
      </c>
      <c r="N645" s="47">
        <v>50</v>
      </c>
      <c r="O645" s="45">
        <v>34</v>
      </c>
      <c r="P645" s="45">
        <v>16</v>
      </c>
      <c r="Q645" s="388">
        <v>0</v>
      </c>
      <c r="R645" s="429">
        <v>17</v>
      </c>
      <c r="S645" s="92">
        <v>2</v>
      </c>
      <c r="T645" s="361">
        <v>7</v>
      </c>
      <c r="U645" s="285">
        <v>5</v>
      </c>
      <c r="V645" s="438">
        <v>0.3125</v>
      </c>
    </row>
    <row r="646" spans="2:22" ht="13.5">
      <c r="B646" s="1577">
        <v>201505</v>
      </c>
      <c r="C646" s="326" t="s">
        <v>458</v>
      </c>
      <c r="D646" s="327" t="s">
        <v>1102</v>
      </c>
      <c r="E646" s="1675" t="str">
        <f t="shared" si="1"/>
        <v>NGUYỄN HỮU HIỀN</v>
      </c>
      <c r="F646" s="459">
        <v>1238.3579999999995</v>
      </c>
      <c r="G646" s="339">
        <v>267.70499999999998</v>
      </c>
      <c r="H646" s="337">
        <v>267.44200000000001</v>
      </c>
      <c r="I646" s="331">
        <v>14</v>
      </c>
      <c r="J646" s="577">
        <v>0.27450999999999998</v>
      </c>
      <c r="K646" s="579">
        <v>11.639347826087</v>
      </c>
      <c r="L646" s="436">
        <v>1.642857</v>
      </c>
      <c r="M646" s="42" t="s">
        <v>227</v>
      </c>
      <c r="N646" s="334">
        <v>51</v>
      </c>
      <c r="O646" s="335">
        <v>35</v>
      </c>
      <c r="P646" s="335">
        <v>15</v>
      </c>
      <c r="Q646" s="389">
        <v>1</v>
      </c>
      <c r="R646" s="430">
        <v>8</v>
      </c>
      <c r="S646" s="339"/>
      <c r="T646" s="362">
        <v>8</v>
      </c>
      <c r="U646" s="337">
        <v>7</v>
      </c>
      <c r="V646" s="338">
        <v>0.4375</v>
      </c>
    </row>
    <row r="647" spans="2:22" ht="13.5">
      <c r="B647" s="1577">
        <v>201505</v>
      </c>
      <c r="C647" s="324" t="s">
        <v>458</v>
      </c>
      <c r="D647" s="325" t="s">
        <v>628</v>
      </c>
      <c r="E647" s="1674" t="str">
        <f t="shared" si="1"/>
        <v>NGUYỄN THỊ KIM HỒNG</v>
      </c>
      <c r="F647" s="460">
        <v>1139.2439999999979</v>
      </c>
      <c r="G647" s="92">
        <v>288.97899999999998</v>
      </c>
      <c r="H647" s="279">
        <v>284.13200000000001</v>
      </c>
      <c r="I647" s="154">
        <v>16</v>
      </c>
      <c r="J647" s="576">
        <v>0.25396800000000003</v>
      </c>
      <c r="K647" s="578">
        <v>12.040791666666999</v>
      </c>
      <c r="L647" s="437">
        <v>1.5</v>
      </c>
      <c r="M647" s="42" t="s">
        <v>227</v>
      </c>
      <c r="N647" s="47">
        <v>62</v>
      </c>
      <c r="O647" s="45">
        <v>37</v>
      </c>
      <c r="P647" s="45">
        <v>19</v>
      </c>
      <c r="Q647" s="388">
        <v>6</v>
      </c>
      <c r="R647" s="429">
        <v>7</v>
      </c>
      <c r="S647" s="92"/>
      <c r="T647" s="361">
        <v>5</v>
      </c>
      <c r="U647" s="285">
        <v>3</v>
      </c>
      <c r="V647" s="438">
        <v>0.12</v>
      </c>
    </row>
    <row r="648" spans="2:22" ht="13.5">
      <c r="B648" s="1577">
        <v>201505</v>
      </c>
      <c r="C648" s="326" t="s">
        <v>458</v>
      </c>
      <c r="D648" s="327" t="s">
        <v>557</v>
      </c>
      <c r="E648" s="1675" t="s">
        <v>1770</v>
      </c>
      <c r="F648" s="459">
        <v>958.69899999999984</v>
      </c>
      <c r="G648" s="339">
        <v>297.33199999999999</v>
      </c>
      <c r="H648" s="337">
        <v>290.12599999999998</v>
      </c>
      <c r="I648" s="331">
        <v>24</v>
      </c>
      <c r="J648" s="577">
        <v>0.30463600000000002</v>
      </c>
      <c r="K648" s="579">
        <v>10.619</v>
      </c>
      <c r="L648" s="436">
        <v>1.1666669999999999</v>
      </c>
      <c r="M648" s="42" t="s">
        <v>227</v>
      </c>
      <c r="N648" s="334">
        <v>68</v>
      </c>
      <c r="O648" s="335">
        <v>53</v>
      </c>
      <c r="P648" s="335">
        <v>11</v>
      </c>
      <c r="Q648" s="389">
        <v>4</v>
      </c>
      <c r="R648" s="430">
        <v>22</v>
      </c>
      <c r="S648" s="339"/>
      <c r="T648" s="362">
        <v>7</v>
      </c>
      <c r="U648" s="337">
        <v>5</v>
      </c>
      <c r="V648" s="338">
        <v>0.33333333333333331</v>
      </c>
    </row>
    <row r="649" spans="2:22" ht="13.5">
      <c r="B649" s="1577">
        <v>201505</v>
      </c>
      <c r="C649" s="324" t="s">
        <v>458</v>
      </c>
      <c r="D649" s="325" t="s">
        <v>47</v>
      </c>
      <c r="E649" s="1674" t="str">
        <f t="shared" si="1"/>
        <v>NGUYỄN THU HẰNG</v>
      </c>
      <c r="F649" s="460">
        <v>2025.0219999999986</v>
      </c>
      <c r="G649" s="92">
        <v>562.65099999999995</v>
      </c>
      <c r="H649" s="279">
        <v>545.601</v>
      </c>
      <c r="I649" s="154">
        <v>20</v>
      </c>
      <c r="J649" s="576">
        <v>0.33613399999999999</v>
      </c>
      <c r="K649" s="578">
        <v>20.094678571429</v>
      </c>
      <c r="L649" s="437">
        <v>1.4</v>
      </c>
      <c r="M649" s="42" t="s">
        <v>227</v>
      </c>
      <c r="N649" s="47">
        <v>54</v>
      </c>
      <c r="O649" s="45">
        <v>38</v>
      </c>
      <c r="P649" s="45">
        <v>15</v>
      </c>
      <c r="Q649" s="388">
        <v>1</v>
      </c>
      <c r="R649" s="429">
        <v>13</v>
      </c>
      <c r="S649" s="92">
        <v>1</v>
      </c>
      <c r="T649" s="361">
        <v>1</v>
      </c>
      <c r="U649" s="285">
        <v>1</v>
      </c>
      <c r="V649" s="438">
        <v>6.25E-2</v>
      </c>
    </row>
    <row r="650" spans="2:22" ht="13.5">
      <c r="B650" s="1577">
        <v>201505</v>
      </c>
      <c r="C650" s="326" t="s">
        <v>458</v>
      </c>
      <c r="D650" s="327" t="s">
        <v>736</v>
      </c>
      <c r="E650" s="1675" t="str">
        <f t="shared" si="1"/>
        <v>NGUYỄN THỊ PHƯƠNG TRINH</v>
      </c>
      <c r="F650" s="459">
        <v>2023.1759999999961</v>
      </c>
      <c r="G650" s="339">
        <v>434.69099999999997</v>
      </c>
      <c r="H650" s="337">
        <v>425.95</v>
      </c>
      <c r="I650" s="331">
        <v>27</v>
      </c>
      <c r="J650" s="577">
        <v>0.256158</v>
      </c>
      <c r="K650" s="579">
        <v>13.172454545454999</v>
      </c>
      <c r="L650" s="436">
        <v>1.2222219999999999</v>
      </c>
      <c r="M650" s="42" t="s">
        <v>227</v>
      </c>
      <c r="N650" s="334">
        <v>105</v>
      </c>
      <c r="O650" s="335">
        <v>82</v>
      </c>
      <c r="P650" s="335">
        <v>14</v>
      </c>
      <c r="Q650" s="389">
        <v>9</v>
      </c>
      <c r="R650" s="430">
        <v>15</v>
      </c>
      <c r="S650" s="339">
        <v>1</v>
      </c>
      <c r="T650" s="362">
        <v>19</v>
      </c>
      <c r="U650" s="337">
        <v>9</v>
      </c>
      <c r="V650" s="338">
        <v>0.39130434782608697</v>
      </c>
    </row>
    <row r="651" spans="2:22" ht="13.5">
      <c r="B651" s="1577">
        <v>201505</v>
      </c>
      <c r="C651" s="324" t="s">
        <v>458</v>
      </c>
      <c r="D651" s="325" t="s">
        <v>647</v>
      </c>
      <c r="E651" s="1674" t="str">
        <f t="shared" si="1"/>
        <v>VÕ MẠNH KHA</v>
      </c>
      <c r="F651" s="460">
        <v>821.61300000000051</v>
      </c>
      <c r="G651" s="92">
        <v>220.63399999999999</v>
      </c>
      <c r="H651" s="279">
        <v>214.19499999999999</v>
      </c>
      <c r="I651" s="154">
        <v>7</v>
      </c>
      <c r="J651" s="576">
        <v>0.117647</v>
      </c>
      <c r="K651" s="578">
        <v>27.579249999999998</v>
      </c>
      <c r="L651" s="437">
        <v>1.142857</v>
      </c>
      <c r="M651" s="42" t="s">
        <v>227</v>
      </c>
      <c r="N651" s="47">
        <v>57</v>
      </c>
      <c r="O651" s="45">
        <v>38</v>
      </c>
      <c r="P651" s="45">
        <v>13</v>
      </c>
      <c r="Q651" s="388">
        <v>6</v>
      </c>
      <c r="R651" s="429">
        <v>6</v>
      </c>
      <c r="S651" s="92"/>
      <c r="T651" s="361">
        <v>1</v>
      </c>
      <c r="U651" s="285">
        <v>1</v>
      </c>
      <c r="V651" s="438">
        <v>5.2631578947368418E-2</v>
      </c>
    </row>
    <row r="652" spans="2:22" ht="13.5">
      <c r="B652" s="1577">
        <v>201505</v>
      </c>
      <c r="C652" s="326" t="s">
        <v>458</v>
      </c>
      <c r="D652" s="327" t="s">
        <v>796</v>
      </c>
      <c r="E652" s="1675" t="str">
        <f t="shared" si="1"/>
        <v>ĐỖ THỊ THANH THÚY</v>
      </c>
      <c r="F652" s="459">
        <v>2890.6009999999956</v>
      </c>
      <c r="G652" s="339">
        <v>548.25699999999995</v>
      </c>
      <c r="H652" s="337">
        <v>438.08</v>
      </c>
      <c r="I652" s="331">
        <v>18</v>
      </c>
      <c r="J652" s="577">
        <v>0.305085</v>
      </c>
      <c r="K652" s="579">
        <v>23.837260869565</v>
      </c>
      <c r="L652" s="436">
        <v>1.2777780000000001</v>
      </c>
      <c r="M652" s="42" t="s">
        <v>227</v>
      </c>
      <c r="N652" s="334">
        <v>61</v>
      </c>
      <c r="O652" s="335">
        <v>45</v>
      </c>
      <c r="P652" s="335">
        <v>13</v>
      </c>
      <c r="Q652" s="389">
        <v>3</v>
      </c>
      <c r="R652" s="430">
        <v>5</v>
      </c>
      <c r="S652" s="339"/>
      <c r="T652" s="362">
        <v>9</v>
      </c>
      <c r="U652" s="337">
        <v>6</v>
      </c>
      <c r="V652" s="338">
        <v>0.375</v>
      </c>
    </row>
    <row r="653" spans="2:22" ht="13.5">
      <c r="B653" s="1577">
        <v>201505</v>
      </c>
      <c r="C653" s="324" t="s">
        <v>458</v>
      </c>
      <c r="D653" s="325" t="s">
        <v>1418</v>
      </c>
      <c r="E653" s="1674" t="s">
        <v>1771</v>
      </c>
      <c r="F653" s="460">
        <v>129.69699999999997</v>
      </c>
      <c r="G653" s="92">
        <v>93.625</v>
      </c>
      <c r="H653" s="279">
        <v>93.625</v>
      </c>
      <c r="I653" s="154">
        <v>8</v>
      </c>
      <c r="J653" s="576">
        <v>0.43243199999999998</v>
      </c>
      <c r="K653" s="578">
        <v>11.703125</v>
      </c>
      <c r="L653" s="437">
        <v>1</v>
      </c>
      <c r="M653" s="42" t="s">
        <v>227</v>
      </c>
      <c r="N653" s="47">
        <v>28</v>
      </c>
      <c r="O653" s="45">
        <v>16</v>
      </c>
      <c r="P653" s="45">
        <v>9</v>
      </c>
      <c r="Q653" s="388">
        <v>3</v>
      </c>
      <c r="R653" s="429">
        <v>0</v>
      </c>
      <c r="S653" s="92">
        <v>7</v>
      </c>
      <c r="T653" s="361">
        <v>12</v>
      </c>
      <c r="U653" s="285">
        <v>7</v>
      </c>
      <c r="V653" s="438">
        <v>0.58333333333333337</v>
      </c>
    </row>
    <row r="654" spans="2:22" ht="13.5">
      <c r="B654" s="1577">
        <v>201505</v>
      </c>
      <c r="C654" s="326" t="s">
        <v>458</v>
      </c>
      <c r="D654" s="327" t="s">
        <v>630</v>
      </c>
      <c r="E654" s="1675" t="str">
        <f t="shared" si="1"/>
        <v>NGUYỄN VĂN HẠNH</v>
      </c>
      <c r="F654" s="459">
        <v>1494.8539999999996</v>
      </c>
      <c r="G654" s="339">
        <v>353.18</v>
      </c>
      <c r="H654" s="337">
        <v>264.58499999999998</v>
      </c>
      <c r="I654" s="331">
        <v>22</v>
      </c>
      <c r="J654" s="577">
        <v>0.258824</v>
      </c>
      <c r="K654" s="579">
        <v>12.178620689655</v>
      </c>
      <c r="L654" s="436">
        <v>1.318182</v>
      </c>
      <c r="M654" s="42" t="s">
        <v>227</v>
      </c>
      <c r="N654" s="334">
        <v>79</v>
      </c>
      <c r="O654" s="335">
        <v>56</v>
      </c>
      <c r="P654" s="335">
        <v>16</v>
      </c>
      <c r="Q654" s="389">
        <v>7</v>
      </c>
      <c r="R654" s="430">
        <v>16</v>
      </c>
      <c r="S654" s="339"/>
      <c r="T654" s="362">
        <v>4</v>
      </c>
      <c r="U654" s="337">
        <v>4</v>
      </c>
      <c r="V654" s="338">
        <v>0.17391304347826086</v>
      </c>
    </row>
    <row r="655" spans="2:22" ht="13.5">
      <c r="B655" s="1577">
        <v>201505</v>
      </c>
      <c r="C655" s="324" t="s">
        <v>458</v>
      </c>
      <c r="D655" s="325" t="s">
        <v>905</v>
      </c>
      <c r="E655" s="1674" t="str">
        <f t="shared" si="1"/>
        <v>PHẠM THỊ THANH TRÚC</v>
      </c>
      <c r="F655" s="460">
        <v>2159.8329999999992</v>
      </c>
      <c r="G655" s="92">
        <v>249.44300000000001</v>
      </c>
      <c r="H655" s="279">
        <v>209.93700000000001</v>
      </c>
      <c r="I655" s="154">
        <v>15</v>
      </c>
      <c r="J655" s="576">
        <v>0.36585400000000001</v>
      </c>
      <c r="K655" s="578">
        <v>11.878238095238</v>
      </c>
      <c r="L655" s="437">
        <v>1.4</v>
      </c>
      <c r="M655" s="42" t="s">
        <v>227</v>
      </c>
      <c r="N655" s="47">
        <v>40</v>
      </c>
      <c r="O655" s="45">
        <v>31</v>
      </c>
      <c r="P655" s="45">
        <v>7</v>
      </c>
      <c r="Q655" s="388">
        <v>2</v>
      </c>
      <c r="R655" s="429">
        <v>4</v>
      </c>
      <c r="S655" s="92"/>
      <c r="T655" s="361">
        <v>2</v>
      </c>
      <c r="U655" s="285">
        <v>2</v>
      </c>
      <c r="V655" s="438">
        <v>0.22222222222222221</v>
      </c>
    </row>
    <row r="656" spans="2:22" ht="13.5">
      <c r="B656" s="1577">
        <v>201505</v>
      </c>
      <c r="C656" s="326" t="s">
        <v>458</v>
      </c>
      <c r="D656" s="327" t="s">
        <v>648</v>
      </c>
      <c r="E656" s="1675" t="str">
        <f t="shared" si="1"/>
        <v>NGUYỄN QUÝ NHÂN</v>
      </c>
      <c r="F656" s="459">
        <v>1427.1009999999962</v>
      </c>
      <c r="G656" s="339">
        <v>288.83600000000001</v>
      </c>
      <c r="H656" s="337">
        <v>291.04000000000002</v>
      </c>
      <c r="I656" s="331">
        <v>22</v>
      </c>
      <c r="J656" s="577">
        <v>0.37606800000000001</v>
      </c>
      <c r="K656" s="579">
        <v>14.441800000000001</v>
      </c>
      <c r="L656" s="436">
        <v>0.90909099999999998</v>
      </c>
      <c r="M656" s="42" t="s">
        <v>227</v>
      </c>
      <c r="N656" s="334">
        <v>61</v>
      </c>
      <c r="O656" s="335">
        <v>42</v>
      </c>
      <c r="P656" s="335">
        <v>17</v>
      </c>
      <c r="Q656" s="389">
        <v>2</v>
      </c>
      <c r="R656" s="430">
        <v>7</v>
      </c>
      <c r="S656" s="339">
        <v>1</v>
      </c>
      <c r="T656" s="362">
        <v>11</v>
      </c>
      <c r="U656" s="337">
        <v>7</v>
      </c>
      <c r="V656" s="338">
        <v>0.36842105263157893</v>
      </c>
    </row>
    <row r="657" spans="2:22" ht="13.5">
      <c r="B657" s="1577">
        <v>201505</v>
      </c>
      <c r="C657" s="324" t="s">
        <v>459</v>
      </c>
      <c r="D657" s="325" t="s">
        <v>1100</v>
      </c>
      <c r="E657" s="1674" t="s">
        <v>1774</v>
      </c>
      <c r="F657" s="460">
        <v>2599.5799999999986</v>
      </c>
      <c r="G657" s="92">
        <v>457.423</v>
      </c>
      <c r="H657" s="279">
        <v>462.80399999999997</v>
      </c>
      <c r="I657" s="154">
        <v>21</v>
      </c>
      <c r="J657" s="576">
        <v>0.15849099999999999</v>
      </c>
      <c r="K657" s="578">
        <v>13.861303030302999</v>
      </c>
      <c r="L657" s="437">
        <v>1.571429</v>
      </c>
      <c r="M657" s="42" t="s">
        <v>227</v>
      </c>
      <c r="N657" s="47">
        <v>128</v>
      </c>
      <c r="O657" s="45">
        <v>98</v>
      </c>
      <c r="P657" s="45">
        <v>25</v>
      </c>
      <c r="Q657" s="388">
        <v>5</v>
      </c>
      <c r="R657" s="429">
        <v>48</v>
      </c>
      <c r="S657" s="92">
        <v>5</v>
      </c>
      <c r="T657" s="361">
        <v>34</v>
      </c>
      <c r="U657" s="285">
        <v>19</v>
      </c>
      <c r="V657" s="438">
        <v>0.6333333333333333</v>
      </c>
    </row>
    <row r="658" spans="2:22" ht="13.5">
      <c r="B658" s="1577">
        <v>201505</v>
      </c>
      <c r="C658" s="326" t="s">
        <v>459</v>
      </c>
      <c r="D658" s="327" t="s">
        <v>1419</v>
      </c>
      <c r="E658" s="1675" t="str">
        <f t="shared" si="1"/>
        <v>ĐỖ THỊ MƠ</v>
      </c>
      <c r="F658" s="459">
        <v>638.4129999999999</v>
      </c>
      <c r="G658" s="339">
        <v>444.49700000000001</v>
      </c>
      <c r="H658" s="337">
        <v>444.49700000000001</v>
      </c>
      <c r="I658" s="331">
        <v>22</v>
      </c>
      <c r="J658" s="577">
        <v>0.37606800000000001</v>
      </c>
      <c r="K658" s="579">
        <v>10.583261904762001</v>
      </c>
      <c r="L658" s="436">
        <v>1.9090910000000001</v>
      </c>
      <c r="M658" s="42" t="s">
        <v>227</v>
      </c>
      <c r="N658" s="334">
        <v>63</v>
      </c>
      <c r="O658" s="335">
        <v>48</v>
      </c>
      <c r="P658" s="335">
        <v>15</v>
      </c>
      <c r="Q658" s="389">
        <v>0</v>
      </c>
      <c r="R658" s="430">
        <v>0</v>
      </c>
      <c r="S658" s="339">
        <v>2</v>
      </c>
      <c r="T658" s="362">
        <v>7</v>
      </c>
      <c r="U658" s="337">
        <v>6</v>
      </c>
      <c r="V658" s="338">
        <v>0.4</v>
      </c>
    </row>
    <row r="659" spans="2:22" ht="13.5">
      <c r="B659" s="1577">
        <v>201505</v>
      </c>
      <c r="C659" s="324" t="s">
        <v>459</v>
      </c>
      <c r="D659" s="325" t="s">
        <v>1103</v>
      </c>
      <c r="E659" s="1674" t="str">
        <f t="shared" si="1"/>
        <v>NGUYỄN THỊ HỒNG</v>
      </c>
      <c r="F659" s="460">
        <v>130.84800000000001</v>
      </c>
      <c r="G659" s="92">
        <v>92.700999999999993</v>
      </c>
      <c r="H659" s="279">
        <v>92.700999999999993</v>
      </c>
      <c r="I659" s="154">
        <v>8</v>
      </c>
      <c r="J659" s="576">
        <v>0.72727299999999995</v>
      </c>
      <c r="K659" s="578">
        <v>11.587624999999999</v>
      </c>
      <c r="L659" s="437">
        <v>1</v>
      </c>
      <c r="M659" s="42" t="s">
        <v>227</v>
      </c>
      <c r="N659" s="47">
        <v>12</v>
      </c>
      <c r="O659" s="45">
        <v>7</v>
      </c>
      <c r="P659" s="45">
        <v>5</v>
      </c>
      <c r="Q659" s="388">
        <v>0</v>
      </c>
      <c r="R659" s="429">
        <v>3</v>
      </c>
      <c r="S659" s="92">
        <v>2</v>
      </c>
      <c r="T659" s="361">
        <v>3</v>
      </c>
      <c r="U659" s="285">
        <v>2</v>
      </c>
      <c r="V659" s="438">
        <v>0.4</v>
      </c>
    </row>
    <row r="660" spans="2:22" ht="13.5">
      <c r="B660" s="1577">
        <v>201505</v>
      </c>
      <c r="C660" s="326" t="s">
        <v>459</v>
      </c>
      <c r="D660" s="327" t="s">
        <v>661</v>
      </c>
      <c r="E660" s="325" t="s">
        <v>1950</v>
      </c>
      <c r="F660" s="459">
        <v>1398.6219999999996</v>
      </c>
      <c r="G660" s="339">
        <v>211.64</v>
      </c>
      <c r="H660" s="337">
        <v>222.791</v>
      </c>
      <c r="I660" s="331">
        <v>14</v>
      </c>
      <c r="J660" s="577">
        <v>0.31818200000000002</v>
      </c>
      <c r="K660" s="579">
        <v>11.757777777777999</v>
      </c>
      <c r="L660" s="436">
        <v>1.285714</v>
      </c>
      <c r="M660" s="42" t="s">
        <v>227</v>
      </c>
      <c r="N660" s="334">
        <v>43</v>
      </c>
      <c r="O660" s="335">
        <v>31</v>
      </c>
      <c r="P660" s="335">
        <v>8</v>
      </c>
      <c r="Q660" s="389">
        <v>4</v>
      </c>
      <c r="R660" s="430">
        <v>10</v>
      </c>
      <c r="S660" s="339"/>
      <c r="T660" s="362">
        <v>8</v>
      </c>
      <c r="U660" s="337">
        <v>6</v>
      </c>
      <c r="V660" s="338">
        <v>0.5</v>
      </c>
    </row>
    <row r="661" spans="2:22" ht="13.5">
      <c r="B661" s="1577">
        <v>201505</v>
      </c>
      <c r="C661" s="324" t="s">
        <v>459</v>
      </c>
      <c r="D661" s="325" t="s">
        <v>179</v>
      </c>
      <c r="E661" s="1674" t="str">
        <f t="shared" si="1"/>
        <v>LÊ THANH HUYỀN</v>
      </c>
      <c r="F661" s="460">
        <v>5200.7970000000059</v>
      </c>
      <c r="G661" s="92">
        <v>957.71600000000001</v>
      </c>
      <c r="H661" s="279">
        <v>930.51800000000003</v>
      </c>
      <c r="I661" s="154">
        <v>45</v>
      </c>
      <c r="J661" s="576">
        <v>0.196078</v>
      </c>
      <c r="K661" s="578">
        <v>17.735481481480999</v>
      </c>
      <c r="L661" s="437">
        <v>1.2</v>
      </c>
      <c r="M661" s="42" t="s">
        <v>227</v>
      </c>
      <c r="N661" s="47">
        <v>218</v>
      </c>
      <c r="O661" s="45">
        <v>146</v>
      </c>
      <c r="P661" s="45">
        <v>67</v>
      </c>
      <c r="Q661" s="388">
        <v>5</v>
      </c>
      <c r="R661" s="429">
        <v>50</v>
      </c>
      <c r="S661" s="92">
        <v>4</v>
      </c>
      <c r="T661" s="361">
        <v>23</v>
      </c>
      <c r="U661" s="285">
        <v>18</v>
      </c>
      <c r="V661" s="438">
        <v>0.25</v>
      </c>
    </row>
    <row r="662" spans="2:22" ht="13.5">
      <c r="B662" s="1577">
        <v>201505</v>
      </c>
      <c r="C662" s="326" t="s">
        <v>459</v>
      </c>
      <c r="D662" s="327" t="s">
        <v>659</v>
      </c>
      <c r="E662" s="1675" t="str">
        <f t="shared" si="1"/>
        <v>NGUYỄN THỊ ĐÀO</v>
      </c>
      <c r="F662" s="459">
        <v>2825.3700000000017</v>
      </c>
      <c r="G662" s="339">
        <v>463.65</v>
      </c>
      <c r="H662" s="337">
        <v>469.07499999999999</v>
      </c>
      <c r="I662" s="331">
        <v>30</v>
      </c>
      <c r="J662" s="577">
        <v>0.29126200000000002</v>
      </c>
      <c r="K662" s="579">
        <v>12.879166666666999</v>
      </c>
      <c r="L662" s="436">
        <v>1.2</v>
      </c>
      <c r="M662" s="42" t="s">
        <v>227</v>
      </c>
      <c r="N662" s="334">
        <v>106</v>
      </c>
      <c r="O662" s="335">
        <v>75</v>
      </c>
      <c r="P662" s="335">
        <v>19</v>
      </c>
      <c r="Q662" s="389">
        <v>12</v>
      </c>
      <c r="R662" s="430">
        <v>18</v>
      </c>
      <c r="S662" s="339">
        <v>2</v>
      </c>
      <c r="T662" s="362">
        <v>22</v>
      </c>
      <c r="U662" s="337">
        <v>12</v>
      </c>
      <c r="V662" s="338">
        <v>0.38709677419354838</v>
      </c>
    </row>
    <row r="663" spans="2:22" ht="13.5">
      <c r="B663" s="1577">
        <v>201505</v>
      </c>
      <c r="C663" s="324" t="s">
        <v>459</v>
      </c>
      <c r="D663" s="325" t="s">
        <v>699</v>
      </c>
      <c r="E663" s="1674" t="str">
        <f t="shared" si="1"/>
        <v>NGUYỄN THỊ NGỌC LAN</v>
      </c>
      <c r="F663" s="460">
        <v>1004.5469999999999</v>
      </c>
      <c r="G663" s="92">
        <v>206.18100000000001</v>
      </c>
      <c r="H663" s="279">
        <v>187.017</v>
      </c>
      <c r="I663" s="154">
        <v>14</v>
      </c>
      <c r="J663" s="576">
        <v>0.245614</v>
      </c>
      <c r="K663" s="578">
        <v>12.886312500000001</v>
      </c>
      <c r="L663" s="437">
        <v>1.142857</v>
      </c>
      <c r="M663" s="42" t="s">
        <v>227</v>
      </c>
      <c r="N663" s="47">
        <v>53</v>
      </c>
      <c r="O663" s="45">
        <v>37</v>
      </c>
      <c r="P663" s="45">
        <v>14</v>
      </c>
      <c r="Q663" s="388">
        <v>2</v>
      </c>
      <c r="R663" s="429">
        <v>16</v>
      </c>
      <c r="S663" s="92">
        <v>2</v>
      </c>
      <c r="T663" s="361">
        <v>6</v>
      </c>
      <c r="U663" s="285">
        <v>5</v>
      </c>
      <c r="V663" s="438">
        <v>0.3125</v>
      </c>
    </row>
    <row r="664" spans="2:22" ht="13.5">
      <c r="B664" s="1577">
        <v>201505</v>
      </c>
      <c r="C664" s="326" t="s">
        <v>459</v>
      </c>
      <c r="D664" s="327" t="s">
        <v>1015</v>
      </c>
      <c r="E664" s="1675" t="str">
        <f t="shared" si="1"/>
        <v>VŨ THỊ LỆ HẰNG</v>
      </c>
      <c r="F664" s="459">
        <v>354.83899999999994</v>
      </c>
      <c r="G664" s="339">
        <v>170.381</v>
      </c>
      <c r="H664" s="337">
        <v>170.381</v>
      </c>
      <c r="I664" s="331">
        <v>15</v>
      </c>
      <c r="J664" s="577">
        <v>0.32967000000000002</v>
      </c>
      <c r="K664" s="579">
        <v>10.022411764706</v>
      </c>
      <c r="L664" s="436">
        <v>1.1333329999999999</v>
      </c>
      <c r="M664" s="42" t="s">
        <v>227</v>
      </c>
      <c r="N664" s="334">
        <v>52</v>
      </c>
      <c r="O664" s="335">
        <v>40</v>
      </c>
      <c r="P664" s="335">
        <v>11</v>
      </c>
      <c r="Q664" s="389">
        <v>1</v>
      </c>
      <c r="R664" s="430">
        <v>4</v>
      </c>
      <c r="S664" s="339">
        <v>3</v>
      </c>
      <c r="T664" s="362">
        <v>14</v>
      </c>
      <c r="U664" s="337">
        <v>7</v>
      </c>
      <c r="V664" s="338">
        <v>0.58333333333333337</v>
      </c>
    </row>
    <row r="665" spans="2:22" ht="13.5">
      <c r="B665" s="1577">
        <v>201505</v>
      </c>
      <c r="C665" s="324" t="s">
        <v>459</v>
      </c>
      <c r="D665" s="325" t="s">
        <v>825</v>
      </c>
      <c r="E665" s="1674" t="s">
        <v>1773</v>
      </c>
      <c r="F665" s="460">
        <v>1137.6089999999997</v>
      </c>
      <c r="G665" s="92">
        <v>196.78399999999999</v>
      </c>
      <c r="H665" s="279">
        <v>196.78399999999999</v>
      </c>
      <c r="I665" s="154">
        <v>20</v>
      </c>
      <c r="J665" s="576">
        <v>0.25974000000000003</v>
      </c>
      <c r="K665" s="578">
        <v>9.8391999999999999</v>
      </c>
      <c r="L665" s="437">
        <v>1</v>
      </c>
      <c r="M665" s="42" t="s">
        <v>227</v>
      </c>
      <c r="N665" s="47">
        <v>65</v>
      </c>
      <c r="O665" s="45">
        <v>50</v>
      </c>
      <c r="P665" s="45">
        <v>11</v>
      </c>
      <c r="Q665" s="388">
        <v>4</v>
      </c>
      <c r="R665" s="429">
        <v>30</v>
      </c>
      <c r="S665" s="92"/>
      <c r="T665" s="361">
        <v>6</v>
      </c>
      <c r="U665" s="285">
        <v>3</v>
      </c>
      <c r="V665" s="438">
        <v>0.2</v>
      </c>
    </row>
    <row r="666" spans="2:22" ht="13.5">
      <c r="B666" s="1577">
        <v>201505</v>
      </c>
      <c r="C666" s="326" t="s">
        <v>459</v>
      </c>
      <c r="D666" s="327" t="s">
        <v>185</v>
      </c>
      <c r="E666" s="1675" t="str">
        <f t="shared" si="1"/>
        <v>NGUYỄN THỊ BÌNH</v>
      </c>
      <c r="F666" s="459">
        <v>1279.0179999999982</v>
      </c>
      <c r="G666" s="339">
        <v>231.643</v>
      </c>
      <c r="H666" s="337">
        <v>222.32</v>
      </c>
      <c r="I666" s="331">
        <v>16</v>
      </c>
      <c r="J666" s="577">
        <v>0.316832</v>
      </c>
      <c r="K666" s="579">
        <v>15.442866666666999</v>
      </c>
      <c r="L666" s="436">
        <v>0.9375</v>
      </c>
      <c r="M666" s="42" t="s">
        <v>227</v>
      </c>
      <c r="N666" s="334">
        <v>49</v>
      </c>
      <c r="O666" s="335">
        <v>36</v>
      </c>
      <c r="P666" s="335">
        <v>8</v>
      </c>
      <c r="Q666" s="389">
        <v>5</v>
      </c>
      <c r="R666" s="430">
        <v>8</v>
      </c>
      <c r="S666" s="339"/>
      <c r="T666" s="362">
        <v>5</v>
      </c>
      <c r="U666" s="337">
        <v>4</v>
      </c>
      <c r="V666" s="338">
        <v>0.30769230769230771</v>
      </c>
    </row>
    <row r="667" spans="2:22" ht="13.5">
      <c r="B667" s="1577">
        <v>201505</v>
      </c>
      <c r="C667" s="324" t="s">
        <v>459</v>
      </c>
      <c r="D667" s="325" t="s">
        <v>660</v>
      </c>
      <c r="E667" s="1674" t="str">
        <f t="shared" si="1"/>
        <v>CHU THỊ ÁI THƯƠNG</v>
      </c>
      <c r="F667" s="460">
        <v>1972.7629999999983</v>
      </c>
      <c r="G667" s="92">
        <v>384.58699999999999</v>
      </c>
      <c r="H667" s="279">
        <v>390.35</v>
      </c>
      <c r="I667" s="154">
        <v>25</v>
      </c>
      <c r="J667" s="576">
        <v>0.18587400000000001</v>
      </c>
      <c r="K667" s="578">
        <v>10.394243243243</v>
      </c>
      <c r="L667" s="437">
        <v>1.48</v>
      </c>
      <c r="M667" s="42" t="s">
        <v>227</v>
      </c>
      <c r="N667" s="47">
        <v>131</v>
      </c>
      <c r="O667" s="45">
        <v>107</v>
      </c>
      <c r="P667" s="45">
        <v>21</v>
      </c>
      <c r="Q667" s="388">
        <v>3</v>
      </c>
      <c r="R667" s="429">
        <v>19</v>
      </c>
      <c r="S667" s="92"/>
      <c r="T667" s="361">
        <v>12</v>
      </c>
      <c r="U667" s="285">
        <v>6</v>
      </c>
      <c r="V667" s="438">
        <v>0.25</v>
      </c>
    </row>
    <row r="668" spans="2:22" ht="13.5">
      <c r="B668" s="1577">
        <v>201505</v>
      </c>
      <c r="C668" s="326" t="s">
        <v>459</v>
      </c>
      <c r="D668" s="327" t="s">
        <v>737</v>
      </c>
      <c r="E668" s="1675"/>
      <c r="F668" s="459">
        <v>1251.8409999999994</v>
      </c>
      <c r="G668" s="339">
        <v>155.89599999999999</v>
      </c>
      <c r="H668" s="337">
        <v>155.89599999999999</v>
      </c>
      <c r="I668" s="331">
        <v>10</v>
      </c>
      <c r="J668" s="577">
        <v>0.30769200000000002</v>
      </c>
      <c r="K668" s="579">
        <v>14.172363636364</v>
      </c>
      <c r="L668" s="436">
        <v>1.1000000000000001</v>
      </c>
      <c r="M668" s="42" t="s">
        <v>227</v>
      </c>
      <c r="N668" s="334">
        <v>31</v>
      </c>
      <c r="O668" s="335">
        <v>22</v>
      </c>
      <c r="P668" s="335">
        <v>7</v>
      </c>
      <c r="Q668" s="389">
        <v>2</v>
      </c>
      <c r="R668" s="430">
        <v>6</v>
      </c>
      <c r="S668" s="339"/>
      <c r="T668" s="362">
        <v>3</v>
      </c>
      <c r="U668" s="337">
        <v>2</v>
      </c>
      <c r="V668" s="338">
        <v>0.22222222222222221</v>
      </c>
    </row>
    <row r="669" spans="2:22" ht="13.5">
      <c r="B669" s="1577">
        <v>201505</v>
      </c>
      <c r="C669" s="324" t="s">
        <v>459</v>
      </c>
      <c r="D669" s="325" t="s">
        <v>662</v>
      </c>
      <c r="E669" s="1674"/>
      <c r="F669" s="460">
        <v>584.59</v>
      </c>
      <c r="G669" s="92">
        <v>167.429</v>
      </c>
      <c r="H669" s="279">
        <v>174.434</v>
      </c>
      <c r="I669" s="154">
        <v>13</v>
      </c>
      <c r="J669" s="576">
        <v>0.33766200000000002</v>
      </c>
      <c r="K669" s="578">
        <v>11.161933333333</v>
      </c>
      <c r="L669" s="437">
        <v>1.1538459999999999</v>
      </c>
      <c r="M669" s="42" t="s">
        <v>227</v>
      </c>
      <c r="N669" s="47">
        <v>25</v>
      </c>
      <c r="O669" s="45">
        <v>14</v>
      </c>
      <c r="P669" s="45">
        <v>10</v>
      </c>
      <c r="Q669" s="388">
        <v>1</v>
      </c>
      <c r="R669" s="429">
        <v>30</v>
      </c>
      <c r="S669" s="92"/>
      <c r="T669" s="361">
        <v>3</v>
      </c>
      <c r="U669" s="285">
        <v>2</v>
      </c>
      <c r="V669" s="438">
        <v>0.18181818181818182</v>
      </c>
    </row>
    <row r="670" spans="2:22" ht="13.5">
      <c r="B670" s="1577">
        <v>201505</v>
      </c>
      <c r="C670" s="326" t="s">
        <v>459</v>
      </c>
      <c r="D670" s="327" t="s">
        <v>799</v>
      </c>
      <c r="E670" s="1675" t="str">
        <f t="shared" si="1"/>
        <v>NGUYỄN THỊ KIM CHUNG</v>
      </c>
      <c r="F670" s="459">
        <v>817.52099999999962</v>
      </c>
      <c r="G670" s="339">
        <v>197.74100000000001</v>
      </c>
      <c r="H670" s="337">
        <v>191.124</v>
      </c>
      <c r="I670" s="331">
        <v>16</v>
      </c>
      <c r="J670" s="577">
        <v>0.31068000000000001</v>
      </c>
      <c r="K670" s="579">
        <v>10.407421052631999</v>
      </c>
      <c r="L670" s="436">
        <v>1.1875</v>
      </c>
      <c r="M670" s="42" t="s">
        <v>227</v>
      </c>
      <c r="N670" s="334">
        <v>51</v>
      </c>
      <c r="O670" s="335">
        <v>33</v>
      </c>
      <c r="P670" s="335">
        <v>17</v>
      </c>
      <c r="Q670" s="389">
        <v>1</v>
      </c>
      <c r="R670" s="430">
        <v>10</v>
      </c>
      <c r="S670" s="339"/>
      <c r="T670" s="362">
        <v>9</v>
      </c>
      <c r="U670" s="337">
        <v>5</v>
      </c>
      <c r="V670" s="338">
        <v>0.27777777777777779</v>
      </c>
    </row>
    <row r="671" spans="2:22" ht="13.5">
      <c r="B671" s="1577">
        <v>201505</v>
      </c>
      <c r="C671" s="324" t="s">
        <v>459</v>
      </c>
      <c r="D671" s="325" t="s">
        <v>1567</v>
      </c>
      <c r="E671" s="1676" t="s">
        <v>1028</v>
      </c>
      <c r="F671" s="460">
        <v>342.09399999999999</v>
      </c>
      <c r="G671" s="92">
        <v>342.09399999999999</v>
      </c>
      <c r="H671" s="279">
        <v>342.09399999999999</v>
      </c>
      <c r="I671" s="154">
        <v>13</v>
      </c>
      <c r="J671" s="576">
        <v>0.55319099999999999</v>
      </c>
      <c r="K671" s="578">
        <v>22.806266666667</v>
      </c>
      <c r="L671" s="437">
        <v>1.1538459999999999</v>
      </c>
      <c r="M671" s="42" t="s">
        <v>227</v>
      </c>
      <c r="N671" s="47">
        <v>33</v>
      </c>
      <c r="O671" s="45">
        <v>22</v>
      </c>
      <c r="P671" s="45">
        <v>10</v>
      </c>
      <c r="Q671" s="388">
        <v>1</v>
      </c>
      <c r="R671" s="429">
        <v>3</v>
      </c>
      <c r="S671" s="92">
        <v>8</v>
      </c>
      <c r="T671" s="361">
        <v>14</v>
      </c>
      <c r="U671" s="285">
        <v>5</v>
      </c>
      <c r="V671" s="438">
        <v>0.45454545454545453</v>
      </c>
    </row>
    <row r="672" spans="2:22" ht="13.5">
      <c r="B672" s="1577">
        <v>201505</v>
      </c>
      <c r="C672" s="326" t="s">
        <v>459</v>
      </c>
      <c r="D672" s="327" t="s">
        <v>177</v>
      </c>
      <c r="E672" s="1674" t="str">
        <f t="shared" si="1"/>
        <v>MAI QUỐC HUY</v>
      </c>
      <c r="F672" s="459">
        <v>3900.2419999999984</v>
      </c>
      <c r="G672" s="339">
        <v>895.71699999999998</v>
      </c>
      <c r="H672" s="337">
        <v>900.39300000000003</v>
      </c>
      <c r="I672" s="331">
        <v>28</v>
      </c>
      <c r="J672" s="577">
        <v>0.36129</v>
      </c>
      <c r="K672" s="579">
        <v>20.357204545455001</v>
      </c>
      <c r="L672" s="436">
        <v>1.571429</v>
      </c>
      <c r="M672" s="42" t="s">
        <v>227</v>
      </c>
      <c r="N672" s="334">
        <v>83</v>
      </c>
      <c r="O672" s="335">
        <v>55</v>
      </c>
      <c r="P672" s="335">
        <v>26</v>
      </c>
      <c r="Q672" s="389">
        <v>2</v>
      </c>
      <c r="R672" s="430">
        <v>5</v>
      </c>
      <c r="S672" s="339">
        <v>4</v>
      </c>
      <c r="T672" s="362">
        <v>12</v>
      </c>
      <c r="U672" s="337">
        <v>9</v>
      </c>
      <c r="V672" s="338">
        <v>0.32142857142857145</v>
      </c>
    </row>
    <row r="673" spans="2:22" ht="13.5">
      <c r="B673" s="1577">
        <v>201505</v>
      </c>
      <c r="C673" s="324" t="s">
        <v>459</v>
      </c>
      <c r="D673" s="325" t="s">
        <v>1568</v>
      </c>
      <c r="E673" s="1676" t="s">
        <v>1569</v>
      </c>
      <c r="F673" s="460">
        <v>318.04200000000009</v>
      </c>
      <c r="G673" s="92">
        <v>318.04199999999997</v>
      </c>
      <c r="H673" s="279">
        <v>318.04199999999997</v>
      </c>
      <c r="I673" s="154">
        <v>25</v>
      </c>
      <c r="J673" s="576">
        <v>0.44642900000000002</v>
      </c>
      <c r="K673" s="578">
        <v>10.966965517240999</v>
      </c>
      <c r="L673" s="437">
        <v>1.1599999999999999</v>
      </c>
      <c r="M673" s="42" t="s">
        <v>227</v>
      </c>
      <c r="N673" s="47">
        <v>56</v>
      </c>
      <c r="O673" s="45">
        <v>39</v>
      </c>
      <c r="P673" s="45">
        <v>17</v>
      </c>
      <c r="Q673" s="388">
        <v>0</v>
      </c>
      <c r="R673" s="429">
        <v>9</v>
      </c>
      <c r="S673" s="92"/>
      <c r="T673" s="361">
        <v>9</v>
      </c>
      <c r="U673" s="285">
        <v>5</v>
      </c>
      <c r="V673" s="438">
        <v>0.29411764705882354</v>
      </c>
    </row>
    <row r="674" spans="2:22" ht="13.5">
      <c r="B674" s="1577">
        <v>201505</v>
      </c>
      <c r="C674" s="326" t="s">
        <v>459</v>
      </c>
      <c r="D674" s="327" t="s">
        <v>176</v>
      </c>
      <c r="E674" s="1674" t="str">
        <f t="shared" si="1"/>
        <v>NGUYỄN VĂN CÔNG</v>
      </c>
      <c r="F674" s="459">
        <v>7226.2119999999977</v>
      </c>
      <c r="G674" s="339">
        <v>959.39800000000002</v>
      </c>
      <c r="H674" s="337">
        <v>959.39800000000002</v>
      </c>
      <c r="I674" s="331">
        <v>53</v>
      </c>
      <c r="J674" s="577">
        <v>0.31268400000000002</v>
      </c>
      <c r="K674" s="579">
        <v>16.541344827586002</v>
      </c>
      <c r="L674" s="436">
        <v>1.0943400000000001</v>
      </c>
      <c r="M674" s="42" t="s">
        <v>227</v>
      </c>
      <c r="N674" s="334">
        <v>165</v>
      </c>
      <c r="O674" s="335">
        <v>127</v>
      </c>
      <c r="P674" s="335">
        <v>30</v>
      </c>
      <c r="Q674" s="389">
        <v>8</v>
      </c>
      <c r="R674" s="430">
        <v>21</v>
      </c>
      <c r="S674" s="339"/>
      <c r="T674" s="362">
        <v>12</v>
      </c>
      <c r="U674" s="337">
        <v>10</v>
      </c>
      <c r="V674" s="338">
        <v>0.26315789473684209</v>
      </c>
    </row>
    <row r="675" spans="2:22" ht="13.5">
      <c r="B675" s="1577">
        <v>201505</v>
      </c>
      <c r="C675" s="324" t="s">
        <v>459</v>
      </c>
      <c r="D675" s="325" t="s">
        <v>1572</v>
      </c>
      <c r="E675" s="1676" t="s">
        <v>1573</v>
      </c>
      <c r="F675" s="460">
        <v>50.463000000000001</v>
      </c>
      <c r="G675" s="92">
        <v>50.463000000000001</v>
      </c>
      <c r="H675" s="279">
        <v>50.463000000000001</v>
      </c>
      <c r="I675" s="154">
        <v>1</v>
      </c>
      <c r="J675" s="576">
        <v>2</v>
      </c>
      <c r="K675" s="578">
        <v>25.2315</v>
      </c>
      <c r="L675" s="437">
        <v>2</v>
      </c>
      <c r="M675" s="42" t="s">
        <v>227</v>
      </c>
      <c r="N675" s="47">
        <v>1</v>
      </c>
      <c r="O675" s="45">
        <v>0</v>
      </c>
      <c r="P675" s="45">
        <v>1</v>
      </c>
      <c r="Q675" s="388">
        <v>0</v>
      </c>
      <c r="R675" s="429">
        <v>0</v>
      </c>
      <c r="S675" s="92">
        <v>1</v>
      </c>
      <c r="T675" s="361"/>
      <c r="U675" s="285"/>
      <c r="V675" s="438"/>
    </row>
    <row r="676" spans="2:22" ht="13.5">
      <c r="B676" s="1577">
        <v>201505</v>
      </c>
      <c r="C676" s="326" t="s">
        <v>459</v>
      </c>
      <c r="D676" s="327" t="s">
        <v>1104</v>
      </c>
      <c r="E676" s="1674" t="str">
        <f t="shared" si="1"/>
        <v>LÊ THỊ THƠI</v>
      </c>
      <c r="F676" s="459">
        <v>1044.5319999999999</v>
      </c>
      <c r="G676" s="339">
        <v>324.69600000000003</v>
      </c>
      <c r="H676" s="337">
        <v>324.69600000000003</v>
      </c>
      <c r="I676" s="331">
        <v>26</v>
      </c>
      <c r="J676" s="577">
        <v>0.29050300000000001</v>
      </c>
      <c r="K676" s="579">
        <v>10.8232</v>
      </c>
      <c r="L676" s="436">
        <v>1.1538459999999999</v>
      </c>
      <c r="M676" s="42" t="s">
        <v>227</v>
      </c>
      <c r="N676" s="334">
        <v>94</v>
      </c>
      <c r="O676" s="335">
        <v>74</v>
      </c>
      <c r="P676" s="335">
        <v>14</v>
      </c>
      <c r="Q676" s="389">
        <v>6</v>
      </c>
      <c r="R676" s="430">
        <v>7</v>
      </c>
      <c r="S676" s="339">
        <v>1</v>
      </c>
      <c r="T676" s="362">
        <v>15</v>
      </c>
      <c r="U676" s="337">
        <v>8</v>
      </c>
      <c r="V676" s="338">
        <v>0.4</v>
      </c>
    </row>
    <row r="677" spans="2:22" ht="13.5">
      <c r="B677" s="1577">
        <v>201504</v>
      </c>
      <c r="C677" s="324" t="s">
        <v>458</v>
      </c>
      <c r="D677" s="325" t="s">
        <v>1563</v>
      </c>
      <c r="E677" s="1676" t="s">
        <v>1564</v>
      </c>
      <c r="F677" s="460">
        <v>17.309000000000001</v>
      </c>
      <c r="G677" s="92">
        <v>17.309000000000001</v>
      </c>
      <c r="H677" s="279">
        <v>17.309000000000001</v>
      </c>
      <c r="I677" s="154">
        <v>1</v>
      </c>
      <c r="J677" s="576">
        <v>0.33333299999999999</v>
      </c>
      <c r="K677" s="578">
        <v>17.309000000000001</v>
      </c>
      <c r="L677" s="437">
        <v>1</v>
      </c>
      <c r="M677" s="42"/>
      <c r="N677" s="47">
        <v>6</v>
      </c>
      <c r="O677" s="45">
        <v>3</v>
      </c>
      <c r="P677" s="45">
        <v>3</v>
      </c>
      <c r="Q677" s="388">
        <v>0</v>
      </c>
      <c r="R677" s="429">
        <v>0</v>
      </c>
      <c r="S677" s="92">
        <v>3</v>
      </c>
      <c r="T677" s="361">
        <v>3</v>
      </c>
      <c r="U677" s="285">
        <v>2</v>
      </c>
      <c r="V677" s="438">
        <v>0.66666666666666696</v>
      </c>
    </row>
    <row r="678" spans="2:22" ht="13.5">
      <c r="B678" s="1577">
        <v>201504</v>
      </c>
      <c r="C678" s="326" t="s">
        <v>458</v>
      </c>
      <c r="D678" s="327" t="s">
        <v>1099</v>
      </c>
      <c r="E678" s="1675" t="str">
        <f t="shared" ref="E678:E719" si="2">VLOOKUP(D678,$D$720:$E$759,2,0)</f>
        <v>LƯƠNG HỮU PHÚC</v>
      </c>
      <c r="F678" s="459">
        <v>1631.422</v>
      </c>
      <c r="G678" s="339">
        <v>1046.2750000000001</v>
      </c>
      <c r="H678" s="337">
        <v>897.33399999999995</v>
      </c>
      <c r="I678" s="331">
        <v>17</v>
      </c>
      <c r="J678" s="577">
        <v>0.31481500000000001</v>
      </c>
      <c r="K678" s="579">
        <v>23.778977272727001</v>
      </c>
      <c r="L678" s="436">
        <v>2.5882350000000001</v>
      </c>
      <c r="M678" s="42"/>
      <c r="N678" s="334">
        <v>61</v>
      </c>
      <c r="O678" s="335">
        <v>44</v>
      </c>
      <c r="P678" s="335">
        <v>14</v>
      </c>
      <c r="Q678" s="389">
        <v>3</v>
      </c>
      <c r="R678" s="430">
        <v>2</v>
      </c>
      <c r="S678" s="339">
        <v>4</v>
      </c>
      <c r="T678" s="362">
        <v>10</v>
      </c>
      <c r="U678" s="337">
        <v>5</v>
      </c>
      <c r="V678" s="338">
        <v>0.29411764705882398</v>
      </c>
    </row>
    <row r="679" spans="2:22" ht="13.5">
      <c r="B679" s="1577">
        <v>201504</v>
      </c>
      <c r="C679" s="324" t="s">
        <v>458</v>
      </c>
      <c r="D679" s="325" t="s">
        <v>900</v>
      </c>
      <c r="E679" s="1674" t="str">
        <f t="shared" si="2"/>
        <v>HOÀNG NGUYỆT HẰNG</v>
      </c>
      <c r="F679" s="460">
        <v>1770.89</v>
      </c>
      <c r="G679" s="92">
        <v>543.12800000000004</v>
      </c>
      <c r="H679" s="279">
        <v>418.78699999999998</v>
      </c>
      <c r="I679" s="154">
        <v>8</v>
      </c>
      <c r="J679" s="576">
        <v>0.28070200000000001</v>
      </c>
      <c r="K679" s="578">
        <v>30.173777777778</v>
      </c>
      <c r="L679" s="437">
        <v>2.25</v>
      </c>
      <c r="M679" s="42"/>
      <c r="N679" s="47">
        <v>27</v>
      </c>
      <c r="O679" s="45">
        <v>18</v>
      </c>
      <c r="P679" s="45">
        <v>8</v>
      </c>
      <c r="Q679" s="388">
        <v>1</v>
      </c>
      <c r="R679" s="429">
        <v>6</v>
      </c>
      <c r="S679" s="92"/>
      <c r="T679" s="361">
        <v>3</v>
      </c>
      <c r="U679" s="285">
        <v>3</v>
      </c>
      <c r="V679" s="438">
        <v>0.33333333333333298</v>
      </c>
    </row>
    <row r="680" spans="2:22" ht="13.5">
      <c r="B680" s="1577">
        <v>201504</v>
      </c>
      <c r="C680" s="326" t="s">
        <v>458</v>
      </c>
      <c r="D680" s="327" t="s">
        <v>649</v>
      </c>
      <c r="E680" s="1675" t="str">
        <f t="shared" si="2"/>
        <v>PHẠM THÀNH TRÍ</v>
      </c>
      <c r="F680" s="459">
        <v>785.45100000000002</v>
      </c>
      <c r="G680" s="339">
        <v>244.411</v>
      </c>
      <c r="H680" s="337">
        <v>297.02600000000001</v>
      </c>
      <c r="I680" s="331">
        <v>12</v>
      </c>
      <c r="J680" s="577">
        <v>0.17777799999999999</v>
      </c>
      <c r="K680" s="579">
        <v>18.800846153845999</v>
      </c>
      <c r="L680" s="436">
        <v>1.0833330000000001</v>
      </c>
      <c r="M680" s="42"/>
      <c r="N680" s="334">
        <v>68</v>
      </c>
      <c r="O680" s="335">
        <v>51</v>
      </c>
      <c r="P680" s="335">
        <v>13</v>
      </c>
      <c r="Q680" s="389">
        <v>4</v>
      </c>
      <c r="R680" s="430">
        <v>3</v>
      </c>
      <c r="S680" s="339"/>
      <c r="T680" s="362">
        <v>4</v>
      </c>
      <c r="U680" s="337">
        <v>3</v>
      </c>
      <c r="V680" s="338">
        <v>0.17647058823529399</v>
      </c>
    </row>
    <row r="681" spans="2:22" ht="13.5">
      <c r="B681" s="1577">
        <v>201504</v>
      </c>
      <c r="C681" s="324" t="s">
        <v>458</v>
      </c>
      <c r="D681" s="325" t="s">
        <v>650</v>
      </c>
      <c r="E681" s="1674" t="s">
        <v>1777</v>
      </c>
      <c r="F681" s="460">
        <v>383.55200000000002</v>
      </c>
      <c r="G681" s="92">
        <v>172.24700000000001</v>
      </c>
      <c r="H681" s="279">
        <v>152.59899999999999</v>
      </c>
      <c r="I681" s="154">
        <v>12</v>
      </c>
      <c r="J681" s="576">
        <v>0.23300999999999999</v>
      </c>
      <c r="K681" s="578">
        <v>12.303357142856999</v>
      </c>
      <c r="L681" s="437">
        <v>1.1666669999999999</v>
      </c>
      <c r="M681" s="42"/>
      <c r="N681" s="47">
        <v>51</v>
      </c>
      <c r="O681" s="45">
        <v>31</v>
      </c>
      <c r="P681" s="45">
        <v>15</v>
      </c>
      <c r="Q681" s="388">
        <v>5</v>
      </c>
      <c r="R681" s="429">
        <v>5</v>
      </c>
      <c r="S681" s="92">
        <v>1</v>
      </c>
      <c r="T681" s="361">
        <v>3</v>
      </c>
      <c r="U681" s="285">
        <v>2</v>
      </c>
      <c r="V681" s="438">
        <v>0.1</v>
      </c>
    </row>
    <row r="682" spans="2:22" ht="13.5">
      <c r="B682" s="1577">
        <v>201504</v>
      </c>
      <c r="C682" s="326" t="s">
        <v>458</v>
      </c>
      <c r="D682" s="327" t="s">
        <v>902</v>
      </c>
      <c r="E682" s="1675" t="str">
        <f t="shared" si="2"/>
        <v>TRƯƠNG THỊ THU TRÂM</v>
      </c>
      <c r="F682" s="459">
        <v>955.58399999999995</v>
      </c>
      <c r="G682" s="339">
        <v>283.26900000000001</v>
      </c>
      <c r="H682" s="337">
        <v>250.78200000000001</v>
      </c>
      <c r="I682" s="331">
        <v>16</v>
      </c>
      <c r="J682" s="577">
        <v>0.31372499999999998</v>
      </c>
      <c r="K682" s="579">
        <v>13.489000000000001</v>
      </c>
      <c r="L682" s="436">
        <v>1.3125</v>
      </c>
      <c r="M682" s="42"/>
      <c r="N682" s="334">
        <v>56</v>
      </c>
      <c r="O682" s="335">
        <v>40</v>
      </c>
      <c r="P682" s="335">
        <v>14</v>
      </c>
      <c r="Q682" s="389">
        <v>2</v>
      </c>
      <c r="R682" s="430">
        <v>0</v>
      </c>
      <c r="S682" s="339">
        <v>2</v>
      </c>
      <c r="T682" s="362">
        <v>8</v>
      </c>
      <c r="U682" s="337">
        <v>5</v>
      </c>
      <c r="V682" s="338">
        <v>0.3125</v>
      </c>
    </row>
    <row r="683" spans="2:22" ht="13.5">
      <c r="B683" s="1577">
        <v>201504</v>
      </c>
      <c r="C683" s="324" t="s">
        <v>458</v>
      </c>
      <c r="D683" s="325" t="s">
        <v>642</v>
      </c>
      <c r="E683" s="1674" t="str">
        <f t="shared" si="2"/>
        <v>LÊ THỊ HỒNG LĨNH</v>
      </c>
      <c r="F683" s="460">
        <v>1382.7260000000001</v>
      </c>
      <c r="G683" s="92">
        <v>805.553</v>
      </c>
      <c r="H683" s="279">
        <v>752.79200000000003</v>
      </c>
      <c r="I683" s="154">
        <v>10</v>
      </c>
      <c r="J683" s="576">
        <v>0.21052599999999999</v>
      </c>
      <c r="K683" s="578">
        <v>33.564708333333002</v>
      </c>
      <c r="L683" s="437">
        <v>2.4</v>
      </c>
      <c r="M683" s="42"/>
      <c r="N683" s="47">
        <v>54</v>
      </c>
      <c r="O683" s="45">
        <v>35</v>
      </c>
      <c r="P683" s="45">
        <v>19</v>
      </c>
      <c r="Q683" s="388">
        <v>0</v>
      </c>
      <c r="R683" s="429">
        <v>8</v>
      </c>
      <c r="S683" s="92">
        <v>8</v>
      </c>
      <c r="T683" s="361">
        <v>13</v>
      </c>
      <c r="U683" s="285">
        <v>8</v>
      </c>
      <c r="V683" s="438">
        <v>0.42105263157894701</v>
      </c>
    </row>
    <row r="684" spans="2:22" ht="13.5">
      <c r="B684" s="1577">
        <v>201504</v>
      </c>
      <c r="C684" s="326" t="s">
        <v>458</v>
      </c>
      <c r="D684" s="327" t="s">
        <v>91</v>
      </c>
      <c r="E684" s="1675" t="str">
        <f t="shared" si="2"/>
        <v>NGUYỄN THỊ LAN ANH</v>
      </c>
      <c r="F684" s="459">
        <v>1787.2570000000001</v>
      </c>
      <c r="G684" s="339">
        <v>490.69499999999999</v>
      </c>
      <c r="H684" s="337">
        <v>488.31099999999998</v>
      </c>
      <c r="I684" s="331">
        <v>22</v>
      </c>
      <c r="J684" s="577">
        <v>0.222222</v>
      </c>
      <c r="K684" s="579">
        <v>16.3565</v>
      </c>
      <c r="L684" s="436">
        <v>1.3636360000000001</v>
      </c>
      <c r="M684" s="42"/>
      <c r="N684" s="334">
        <v>91</v>
      </c>
      <c r="O684" s="335">
        <v>69</v>
      </c>
      <c r="P684" s="335">
        <v>19</v>
      </c>
      <c r="Q684" s="389">
        <v>3</v>
      </c>
      <c r="R684" s="430">
        <v>26</v>
      </c>
      <c r="S684" s="339"/>
      <c r="T684" s="362">
        <v>10</v>
      </c>
      <c r="U684" s="337">
        <v>8</v>
      </c>
      <c r="V684" s="338">
        <v>0.36363636363636398</v>
      </c>
    </row>
    <row r="685" spans="2:22" ht="13.5">
      <c r="B685" s="1577">
        <v>201504</v>
      </c>
      <c r="C685" s="324" t="s">
        <v>458</v>
      </c>
      <c r="D685" s="325" t="s">
        <v>187</v>
      </c>
      <c r="E685" s="1674" t="str">
        <f t="shared" si="2"/>
        <v>NGUYỄN HỮU NGHIỆM</v>
      </c>
      <c r="F685" s="460">
        <v>814.62199999999996</v>
      </c>
      <c r="G685" s="92">
        <v>339.02499999999998</v>
      </c>
      <c r="H685" s="279">
        <v>345.07400000000001</v>
      </c>
      <c r="I685" s="154">
        <v>12</v>
      </c>
      <c r="J685" s="576">
        <v>0.242424</v>
      </c>
      <c r="K685" s="578">
        <v>18.834722222221998</v>
      </c>
      <c r="L685" s="437">
        <v>1.5</v>
      </c>
      <c r="M685" s="42"/>
      <c r="N685" s="47">
        <v>53</v>
      </c>
      <c r="O685" s="45">
        <v>38</v>
      </c>
      <c r="P685" s="45">
        <v>13</v>
      </c>
      <c r="Q685" s="388">
        <v>2</v>
      </c>
      <c r="R685" s="429">
        <v>6</v>
      </c>
      <c r="S685" s="92">
        <v>4</v>
      </c>
      <c r="T685" s="361">
        <v>9</v>
      </c>
      <c r="U685" s="285">
        <v>4</v>
      </c>
      <c r="V685" s="438">
        <v>0.266666666666667</v>
      </c>
    </row>
    <row r="686" spans="2:22" ht="13.5">
      <c r="B686" s="1577">
        <v>201504</v>
      </c>
      <c r="C686" s="326" t="s">
        <v>458</v>
      </c>
      <c r="D686" s="327" t="s">
        <v>734</v>
      </c>
      <c r="E686" s="1675" t="s">
        <v>1766</v>
      </c>
      <c r="F686" s="459">
        <v>2433.1799999999998</v>
      </c>
      <c r="G686" s="339">
        <v>1128.5160000000001</v>
      </c>
      <c r="H686" s="337">
        <v>987.28599999999994</v>
      </c>
      <c r="I686" s="331">
        <v>26</v>
      </c>
      <c r="J686" s="577">
        <v>0.18181800000000001</v>
      </c>
      <c r="K686" s="579">
        <v>30.500432432432</v>
      </c>
      <c r="L686" s="436">
        <v>1.4230769999999999</v>
      </c>
      <c r="M686" s="42"/>
      <c r="N686" s="334">
        <v>152</v>
      </c>
      <c r="O686" s="335">
        <v>124</v>
      </c>
      <c r="P686" s="335">
        <v>27</v>
      </c>
      <c r="Q686" s="389">
        <v>1</v>
      </c>
      <c r="R686" s="430">
        <v>5</v>
      </c>
      <c r="S686" s="339">
        <v>5</v>
      </c>
      <c r="T686" s="362">
        <v>29</v>
      </c>
      <c r="U686" s="337">
        <v>14</v>
      </c>
      <c r="V686" s="338">
        <v>0.5</v>
      </c>
    </row>
    <row r="687" spans="2:22" ht="13.5">
      <c r="B687" s="1577">
        <v>201504</v>
      </c>
      <c r="C687" s="324" t="s">
        <v>458</v>
      </c>
      <c r="D687" s="325" t="s">
        <v>735</v>
      </c>
      <c r="E687" s="1674" t="str">
        <f t="shared" si="2"/>
        <v>HỒNG KHÁNH HƯNG - MDRT HCM</v>
      </c>
      <c r="F687" s="460">
        <v>2692.4740000000002</v>
      </c>
      <c r="G687" s="92">
        <v>1268.9739999999999</v>
      </c>
      <c r="H687" s="279">
        <v>1199.7049999999999</v>
      </c>
      <c r="I687" s="154">
        <v>17</v>
      </c>
      <c r="J687" s="576">
        <v>0.30630600000000002</v>
      </c>
      <c r="K687" s="578">
        <v>31.724350000000001</v>
      </c>
      <c r="L687" s="437">
        <v>2.3529409999999999</v>
      </c>
      <c r="M687" s="42"/>
      <c r="N687" s="47">
        <v>61</v>
      </c>
      <c r="O687" s="45">
        <v>51</v>
      </c>
      <c r="P687" s="45">
        <v>9</v>
      </c>
      <c r="Q687" s="388">
        <v>1</v>
      </c>
      <c r="R687" s="429">
        <v>1</v>
      </c>
      <c r="S687" s="92">
        <v>2</v>
      </c>
      <c r="T687" s="361">
        <v>10</v>
      </c>
      <c r="U687" s="285">
        <v>8</v>
      </c>
      <c r="V687" s="438">
        <v>0.8</v>
      </c>
    </row>
    <row r="688" spans="2:22" ht="13.5">
      <c r="B688" s="1577">
        <v>201504</v>
      </c>
      <c r="C688" s="326" t="s">
        <v>458</v>
      </c>
      <c r="D688" s="327" t="s">
        <v>798</v>
      </c>
      <c r="E688" s="1675" t="s">
        <v>1768</v>
      </c>
      <c r="F688" s="459">
        <v>1372.2339999999999</v>
      </c>
      <c r="G688" s="339">
        <v>878.20399999999995</v>
      </c>
      <c r="H688" s="337">
        <v>611.70399999999995</v>
      </c>
      <c r="I688" s="331">
        <v>11</v>
      </c>
      <c r="J688" s="577">
        <v>0.33333299999999999</v>
      </c>
      <c r="K688" s="579">
        <v>24.394555555556</v>
      </c>
      <c r="L688" s="436">
        <v>3.2727270000000002</v>
      </c>
      <c r="M688" s="42"/>
      <c r="N688" s="334">
        <v>36</v>
      </c>
      <c r="O688" s="335">
        <v>23</v>
      </c>
      <c r="P688" s="335">
        <v>11</v>
      </c>
      <c r="Q688" s="389">
        <v>2</v>
      </c>
      <c r="R688" s="430">
        <v>0</v>
      </c>
      <c r="S688" s="339">
        <v>1</v>
      </c>
      <c r="T688" s="362">
        <v>5</v>
      </c>
      <c r="U688" s="337">
        <v>3</v>
      </c>
      <c r="V688" s="338">
        <v>0.230769230769231</v>
      </c>
    </row>
    <row r="689" spans="2:22" ht="13.5">
      <c r="B689" s="1577">
        <v>201504</v>
      </c>
      <c r="C689" s="324" t="s">
        <v>458</v>
      </c>
      <c r="D689" s="325" t="s">
        <v>949</v>
      </c>
      <c r="E689" s="1674" t="str">
        <f t="shared" si="2"/>
        <v>HỒNG KHÁNH HƯNG - MDRT VT</v>
      </c>
      <c r="F689" s="460">
        <v>1545.8219999999999</v>
      </c>
      <c r="G689" s="92">
        <v>875.92</v>
      </c>
      <c r="H689" s="279">
        <v>771.91800000000001</v>
      </c>
      <c r="I689" s="154">
        <v>22</v>
      </c>
      <c r="J689" s="576">
        <v>0.27672999999999998</v>
      </c>
      <c r="K689" s="578">
        <v>15.925818181818</v>
      </c>
      <c r="L689" s="437">
        <v>2.5</v>
      </c>
      <c r="M689" s="42"/>
      <c r="N689" s="47">
        <v>88</v>
      </c>
      <c r="O689" s="45">
        <v>55</v>
      </c>
      <c r="P689" s="45">
        <v>18</v>
      </c>
      <c r="Q689" s="388">
        <v>15</v>
      </c>
      <c r="R689" s="429">
        <v>4</v>
      </c>
      <c r="S689" s="92">
        <v>4</v>
      </c>
      <c r="T689" s="361">
        <v>17</v>
      </c>
      <c r="U689" s="285">
        <v>14</v>
      </c>
      <c r="V689" s="438">
        <v>0.42424242424242398</v>
      </c>
    </row>
    <row r="690" spans="2:22" ht="13.5">
      <c r="B690" s="1577">
        <v>201504</v>
      </c>
      <c r="C690" s="326" t="s">
        <v>458</v>
      </c>
      <c r="D690" s="327" t="s">
        <v>903</v>
      </c>
      <c r="E690" s="1675" t="str">
        <f t="shared" si="2"/>
        <v>TRẦN THỊ THÚY HẰNG</v>
      </c>
      <c r="F690" s="459">
        <v>2371.9180000000001</v>
      </c>
      <c r="G690" s="339">
        <v>1112.8979999999999</v>
      </c>
      <c r="H690" s="337">
        <v>1066.53</v>
      </c>
      <c r="I690" s="331">
        <v>33</v>
      </c>
      <c r="J690" s="577">
        <v>0.43421100000000001</v>
      </c>
      <c r="K690" s="579">
        <v>20.234509090909</v>
      </c>
      <c r="L690" s="436">
        <v>1.6666669999999999</v>
      </c>
      <c r="M690" s="42"/>
      <c r="N690" s="334">
        <v>90</v>
      </c>
      <c r="O690" s="335">
        <v>63</v>
      </c>
      <c r="P690" s="335">
        <v>24</v>
      </c>
      <c r="Q690" s="389">
        <v>3</v>
      </c>
      <c r="R690" s="430">
        <v>1</v>
      </c>
      <c r="S690" s="339">
        <v>7</v>
      </c>
      <c r="T690" s="362">
        <v>22</v>
      </c>
      <c r="U690" s="337">
        <v>14</v>
      </c>
      <c r="V690" s="338">
        <v>0.51851851851851805</v>
      </c>
    </row>
    <row r="691" spans="2:22" ht="13.5">
      <c r="B691" s="1577">
        <v>201504</v>
      </c>
      <c r="C691" s="324" t="s">
        <v>458</v>
      </c>
      <c r="D691" s="325" t="s">
        <v>1101</v>
      </c>
      <c r="E691" s="1674" t="str">
        <f t="shared" si="2"/>
        <v>NGUYỄN TRẦN QUỐC TOẢN</v>
      </c>
      <c r="F691" s="460">
        <v>626.62199999999996</v>
      </c>
      <c r="G691" s="92">
        <v>146.744</v>
      </c>
      <c r="H691" s="279">
        <v>121.849</v>
      </c>
      <c r="I691" s="154">
        <v>9</v>
      </c>
      <c r="J691" s="576">
        <v>0.19780200000000001</v>
      </c>
      <c r="K691" s="578">
        <v>13.340363636364</v>
      </c>
      <c r="L691" s="437">
        <v>1.2222219999999999</v>
      </c>
      <c r="M691" s="42"/>
      <c r="N691" s="47">
        <v>58</v>
      </c>
      <c r="O691" s="45">
        <v>42</v>
      </c>
      <c r="P691" s="45">
        <v>16</v>
      </c>
      <c r="Q691" s="388">
        <v>0</v>
      </c>
      <c r="R691" s="429">
        <v>0</v>
      </c>
      <c r="S691" s="92">
        <v>7</v>
      </c>
      <c r="T691" s="361">
        <v>18</v>
      </c>
      <c r="U691" s="285">
        <v>8</v>
      </c>
      <c r="V691" s="438">
        <v>0.5</v>
      </c>
    </row>
    <row r="692" spans="2:22" ht="13.5">
      <c r="B692" s="1577">
        <v>201504</v>
      </c>
      <c r="C692" s="326" t="s">
        <v>458</v>
      </c>
      <c r="D692" s="327" t="s">
        <v>1102</v>
      </c>
      <c r="E692" s="1675" t="str">
        <f t="shared" si="2"/>
        <v>NGUYỄN HỮU HIỀN</v>
      </c>
      <c r="F692" s="459">
        <v>970.91600000000005</v>
      </c>
      <c r="G692" s="339">
        <v>577.98800000000006</v>
      </c>
      <c r="H692" s="337">
        <v>532.76400000000001</v>
      </c>
      <c r="I692" s="331">
        <v>12</v>
      </c>
      <c r="J692" s="577">
        <v>0.27906999999999998</v>
      </c>
      <c r="K692" s="579">
        <v>26.272181818181998</v>
      </c>
      <c r="L692" s="436">
        <v>1.8333330000000001</v>
      </c>
      <c r="M692" s="42"/>
      <c r="N692" s="334">
        <v>51</v>
      </c>
      <c r="O692" s="335">
        <v>35</v>
      </c>
      <c r="P692" s="335">
        <v>15</v>
      </c>
      <c r="Q692" s="389">
        <v>1</v>
      </c>
      <c r="R692" s="430">
        <v>0</v>
      </c>
      <c r="S692" s="339">
        <v>5</v>
      </c>
      <c r="T692" s="362">
        <v>11</v>
      </c>
      <c r="U692" s="337">
        <v>7</v>
      </c>
      <c r="V692" s="338">
        <v>0.4375</v>
      </c>
    </row>
    <row r="693" spans="2:22" ht="13.5">
      <c r="B693" s="1577">
        <v>201504</v>
      </c>
      <c r="C693" s="324" t="s">
        <v>458</v>
      </c>
      <c r="D693" s="325" t="s">
        <v>628</v>
      </c>
      <c r="E693" s="1674" t="str">
        <f t="shared" si="2"/>
        <v>NGUYỄN THỊ KIM HỒNG</v>
      </c>
      <c r="F693" s="460">
        <v>855.11199999999894</v>
      </c>
      <c r="G693" s="92">
        <v>272.20299999999997</v>
      </c>
      <c r="H693" s="279">
        <v>252.03100000000001</v>
      </c>
      <c r="I693" s="154">
        <v>14</v>
      </c>
      <c r="J693" s="576">
        <v>0.21538499999999999</v>
      </c>
      <c r="K693" s="578">
        <v>14.326473684211001</v>
      </c>
      <c r="L693" s="437">
        <v>1.357143</v>
      </c>
      <c r="M693" s="42"/>
      <c r="N693" s="47">
        <v>64</v>
      </c>
      <c r="O693" s="45">
        <v>42</v>
      </c>
      <c r="P693" s="45">
        <v>19</v>
      </c>
      <c r="Q693" s="388">
        <v>3</v>
      </c>
      <c r="R693" s="429">
        <v>10</v>
      </c>
      <c r="S693" s="92">
        <v>1</v>
      </c>
      <c r="T693" s="361">
        <v>7</v>
      </c>
      <c r="U693" s="285">
        <v>5</v>
      </c>
      <c r="V693" s="438">
        <v>0.22727272727272699</v>
      </c>
    </row>
    <row r="694" spans="2:22" ht="13.5">
      <c r="B694" s="1577">
        <v>201504</v>
      </c>
      <c r="C694" s="326" t="s">
        <v>458</v>
      </c>
      <c r="D694" s="327" t="s">
        <v>557</v>
      </c>
      <c r="E694" s="1675" t="s">
        <v>1770</v>
      </c>
      <c r="F694" s="459">
        <v>668.57299999999998</v>
      </c>
      <c r="G694" s="339">
        <v>201.048</v>
      </c>
      <c r="H694" s="337">
        <v>201.91900000000001</v>
      </c>
      <c r="I694" s="331">
        <v>14</v>
      </c>
      <c r="J694" s="577">
        <v>0.16867499999999999</v>
      </c>
      <c r="K694" s="579">
        <v>11.826352941175999</v>
      </c>
      <c r="L694" s="436">
        <v>1.214286</v>
      </c>
      <c r="M694" s="42"/>
      <c r="N694" s="334">
        <v>83</v>
      </c>
      <c r="O694" s="335">
        <v>68</v>
      </c>
      <c r="P694" s="335">
        <v>12</v>
      </c>
      <c r="Q694" s="389">
        <v>3</v>
      </c>
      <c r="R694" s="430">
        <v>5</v>
      </c>
      <c r="S694" s="339"/>
      <c r="T694" s="362">
        <v>5</v>
      </c>
      <c r="U694" s="337">
        <v>4</v>
      </c>
      <c r="V694" s="338">
        <v>0.266666666666667</v>
      </c>
    </row>
    <row r="695" spans="2:22" ht="13.5">
      <c r="B695" s="1577">
        <v>201504</v>
      </c>
      <c r="C695" s="324" t="s">
        <v>458</v>
      </c>
      <c r="D695" s="325" t="s">
        <v>47</v>
      </c>
      <c r="E695" s="1674" t="str">
        <f t="shared" si="2"/>
        <v>NGUYỄN THU HẰNG</v>
      </c>
      <c r="F695" s="460">
        <v>1479.421</v>
      </c>
      <c r="G695" s="92">
        <v>580.71500000000003</v>
      </c>
      <c r="H695" s="279">
        <v>646.53200000000004</v>
      </c>
      <c r="I695" s="154">
        <v>12</v>
      </c>
      <c r="J695" s="576">
        <v>0.17391300000000001</v>
      </c>
      <c r="K695" s="578">
        <v>34.159705882353002</v>
      </c>
      <c r="L695" s="437">
        <v>1.4166669999999999</v>
      </c>
      <c r="M695" s="42"/>
      <c r="N695" s="47">
        <v>65</v>
      </c>
      <c r="O695" s="45">
        <v>51</v>
      </c>
      <c r="P695" s="45">
        <v>14</v>
      </c>
      <c r="Q695" s="388">
        <v>0</v>
      </c>
      <c r="R695" s="429">
        <v>16</v>
      </c>
      <c r="S695" s="92"/>
      <c r="T695" s="361">
        <v>8</v>
      </c>
      <c r="U695" s="285">
        <v>5</v>
      </c>
      <c r="V695" s="438">
        <v>0.35714285714285698</v>
      </c>
    </row>
    <row r="696" spans="2:22" ht="13.5">
      <c r="B696" s="1577">
        <v>201504</v>
      </c>
      <c r="C696" s="326" t="s">
        <v>458</v>
      </c>
      <c r="D696" s="327" t="s">
        <v>736</v>
      </c>
      <c r="E696" s="1675" t="str">
        <f t="shared" si="2"/>
        <v>NGUYỄN THỊ PHƯƠNG TRINH</v>
      </c>
      <c r="F696" s="459">
        <v>1597.2260000000001</v>
      </c>
      <c r="G696" s="339">
        <v>457.68</v>
      </c>
      <c r="H696" s="337">
        <v>509.98700000000002</v>
      </c>
      <c r="I696" s="331">
        <v>21</v>
      </c>
      <c r="J696" s="577">
        <v>0.21649499999999999</v>
      </c>
      <c r="K696" s="579">
        <v>17.603076923077001</v>
      </c>
      <c r="L696" s="436">
        <v>1.2380949999999999</v>
      </c>
      <c r="M696" s="42"/>
      <c r="N696" s="334">
        <v>100</v>
      </c>
      <c r="O696" s="335">
        <v>80</v>
      </c>
      <c r="P696" s="335">
        <v>13</v>
      </c>
      <c r="Q696" s="389">
        <v>7</v>
      </c>
      <c r="R696" s="430">
        <v>16</v>
      </c>
      <c r="S696" s="339">
        <v>3</v>
      </c>
      <c r="T696" s="362">
        <v>17</v>
      </c>
      <c r="U696" s="337">
        <v>9</v>
      </c>
      <c r="V696" s="338">
        <v>0.45</v>
      </c>
    </row>
    <row r="697" spans="2:22" ht="13.5">
      <c r="B697" s="1577">
        <v>201504</v>
      </c>
      <c r="C697" s="324" t="s">
        <v>458</v>
      </c>
      <c r="D697" s="325" t="s">
        <v>647</v>
      </c>
      <c r="E697" s="1674" t="str">
        <f t="shared" si="2"/>
        <v>VÕ MẠNH KHA</v>
      </c>
      <c r="F697" s="460">
        <v>607.41800000000001</v>
      </c>
      <c r="G697" s="92">
        <v>157.62100000000001</v>
      </c>
      <c r="H697" s="279">
        <v>144.59700000000001</v>
      </c>
      <c r="I697" s="154">
        <v>9</v>
      </c>
      <c r="J697" s="576">
        <v>0.15254200000000001</v>
      </c>
      <c r="K697" s="578">
        <v>13.135083333333</v>
      </c>
      <c r="L697" s="437">
        <v>1.3333330000000001</v>
      </c>
      <c r="M697" s="42"/>
      <c r="N697" s="47">
        <v>62</v>
      </c>
      <c r="O697" s="45">
        <v>43</v>
      </c>
      <c r="P697" s="45">
        <v>13</v>
      </c>
      <c r="Q697" s="388">
        <v>6</v>
      </c>
      <c r="R697" s="429">
        <v>0</v>
      </c>
      <c r="S697" s="92"/>
      <c r="T697" s="361">
        <v>6</v>
      </c>
      <c r="U697" s="285">
        <v>5</v>
      </c>
      <c r="V697" s="438">
        <v>0.26315789473684198</v>
      </c>
    </row>
    <row r="698" spans="2:22" ht="13.5">
      <c r="B698" s="1577">
        <v>201504</v>
      </c>
      <c r="C698" s="326" t="s">
        <v>458</v>
      </c>
      <c r="D698" s="327" t="s">
        <v>796</v>
      </c>
      <c r="E698" s="1675" t="str">
        <f t="shared" si="2"/>
        <v>ĐỖ THỊ THANH THÚY</v>
      </c>
      <c r="F698" s="459">
        <v>2452.5210000000002</v>
      </c>
      <c r="G698" s="339">
        <v>1002.033</v>
      </c>
      <c r="H698" s="337">
        <v>1015.316</v>
      </c>
      <c r="I698" s="331">
        <v>21</v>
      </c>
      <c r="J698" s="577">
        <v>0.33871000000000001</v>
      </c>
      <c r="K698" s="579">
        <v>28.629514285713999</v>
      </c>
      <c r="L698" s="436">
        <v>1.6666669999999999</v>
      </c>
      <c r="M698" s="42"/>
      <c r="N698" s="334">
        <v>57</v>
      </c>
      <c r="O698" s="335">
        <v>43</v>
      </c>
      <c r="P698" s="335">
        <v>14</v>
      </c>
      <c r="Q698" s="389">
        <v>0</v>
      </c>
      <c r="R698" s="430">
        <v>18</v>
      </c>
      <c r="S698" s="339">
        <v>1</v>
      </c>
      <c r="T698" s="362">
        <v>7</v>
      </c>
      <c r="U698" s="337">
        <v>5</v>
      </c>
      <c r="V698" s="338">
        <v>0.35714285714285698</v>
      </c>
    </row>
    <row r="699" spans="2:22" ht="13.5">
      <c r="B699" s="1577">
        <v>201504</v>
      </c>
      <c r="C699" s="324" t="s">
        <v>458</v>
      </c>
      <c r="D699" s="325" t="s">
        <v>1418</v>
      </c>
      <c r="E699" s="1674" t="s">
        <v>1771</v>
      </c>
      <c r="F699" s="460">
        <v>36.072000000000003</v>
      </c>
      <c r="G699" s="92">
        <v>36.072000000000003</v>
      </c>
      <c r="H699" s="279">
        <v>36.072000000000003</v>
      </c>
      <c r="I699" s="154">
        <v>2</v>
      </c>
      <c r="J699" s="576">
        <v>0.44444400000000001</v>
      </c>
      <c r="K699" s="578">
        <v>12.023999999999999</v>
      </c>
      <c r="L699" s="437">
        <v>1.5</v>
      </c>
      <c r="M699" s="42"/>
      <c r="N699" s="47">
        <v>9</v>
      </c>
      <c r="O699" s="45">
        <v>4</v>
      </c>
      <c r="P699" s="45">
        <v>5</v>
      </c>
      <c r="Q699" s="388">
        <v>0</v>
      </c>
      <c r="R699" s="429">
        <v>0</v>
      </c>
      <c r="S699" s="92">
        <v>5</v>
      </c>
      <c r="T699" s="361">
        <v>4</v>
      </c>
      <c r="U699" s="285">
        <v>4</v>
      </c>
      <c r="V699" s="438">
        <v>0.8</v>
      </c>
    </row>
    <row r="700" spans="2:22" ht="13.5">
      <c r="B700" s="1577">
        <v>201504</v>
      </c>
      <c r="C700" s="326" t="s">
        <v>458</v>
      </c>
      <c r="D700" s="327" t="s">
        <v>630</v>
      </c>
      <c r="E700" s="1675" t="str">
        <f t="shared" si="2"/>
        <v>NGUYỄN VĂN HẠNH</v>
      </c>
      <c r="F700" s="459">
        <v>1230.269</v>
      </c>
      <c r="G700" s="339">
        <v>467.63400000000001</v>
      </c>
      <c r="H700" s="337">
        <v>397.17599999999999</v>
      </c>
      <c r="I700" s="331">
        <v>30</v>
      </c>
      <c r="J700" s="577">
        <v>0.324324</v>
      </c>
      <c r="K700" s="579">
        <v>12.989833333332999</v>
      </c>
      <c r="L700" s="436">
        <v>1.2</v>
      </c>
      <c r="M700" s="42"/>
      <c r="N700" s="334">
        <v>91</v>
      </c>
      <c r="O700" s="335">
        <v>68</v>
      </c>
      <c r="P700" s="335">
        <v>16</v>
      </c>
      <c r="Q700" s="389">
        <v>7</v>
      </c>
      <c r="R700" s="430">
        <v>11</v>
      </c>
      <c r="S700" s="339">
        <v>1</v>
      </c>
      <c r="T700" s="362">
        <v>7</v>
      </c>
      <c r="U700" s="337">
        <v>6</v>
      </c>
      <c r="V700" s="338">
        <v>0.26086956521739102</v>
      </c>
    </row>
    <row r="701" spans="2:22" ht="13.5">
      <c r="B701" s="1577">
        <v>201504</v>
      </c>
      <c r="C701" s="324" t="s">
        <v>458</v>
      </c>
      <c r="D701" s="325" t="s">
        <v>905</v>
      </c>
      <c r="E701" s="1674" t="str">
        <f t="shared" si="2"/>
        <v>PHẠM THỊ THANH TRÚC</v>
      </c>
      <c r="F701" s="460">
        <v>1949.896</v>
      </c>
      <c r="G701" s="92">
        <v>272.12</v>
      </c>
      <c r="H701" s="279">
        <v>287.54700000000003</v>
      </c>
      <c r="I701" s="154">
        <v>11</v>
      </c>
      <c r="J701" s="576">
        <v>0.27160499999999999</v>
      </c>
      <c r="K701" s="578">
        <v>20.932307692308001</v>
      </c>
      <c r="L701" s="437">
        <v>1.181818</v>
      </c>
      <c r="M701" s="42"/>
      <c r="N701" s="47">
        <v>42</v>
      </c>
      <c r="O701" s="45">
        <v>34</v>
      </c>
      <c r="P701" s="45">
        <v>8</v>
      </c>
      <c r="Q701" s="388">
        <v>0</v>
      </c>
      <c r="R701" s="429">
        <v>5</v>
      </c>
      <c r="S701" s="92"/>
      <c r="T701" s="361">
        <v>8</v>
      </c>
      <c r="U701" s="285">
        <v>4</v>
      </c>
      <c r="V701" s="438">
        <v>0.5</v>
      </c>
    </row>
    <row r="702" spans="2:22" ht="13.5">
      <c r="B702" s="1577">
        <v>201504</v>
      </c>
      <c r="C702" s="326" t="s">
        <v>458</v>
      </c>
      <c r="D702" s="327" t="s">
        <v>648</v>
      </c>
      <c r="E702" s="1675" t="str">
        <f t="shared" si="2"/>
        <v>NGUYỄN QUÝ NHÂN</v>
      </c>
      <c r="F702" s="459">
        <v>1136.0609999999999</v>
      </c>
      <c r="G702" s="339">
        <v>638.89</v>
      </c>
      <c r="H702" s="337">
        <v>607.65899999999999</v>
      </c>
      <c r="I702" s="331">
        <v>27</v>
      </c>
      <c r="J702" s="577">
        <v>0.46551700000000001</v>
      </c>
      <c r="K702" s="579">
        <v>15.582682926828999</v>
      </c>
      <c r="L702" s="436">
        <v>1.518519</v>
      </c>
      <c r="M702" s="42"/>
      <c r="N702" s="334">
        <v>56</v>
      </c>
      <c r="O702" s="335">
        <v>38</v>
      </c>
      <c r="P702" s="335">
        <v>16</v>
      </c>
      <c r="Q702" s="389">
        <v>2</v>
      </c>
      <c r="R702" s="430">
        <v>8</v>
      </c>
      <c r="S702" s="339">
        <v>1</v>
      </c>
      <c r="T702" s="362">
        <v>3</v>
      </c>
      <c r="U702" s="337">
        <v>3</v>
      </c>
      <c r="V702" s="338">
        <v>0.16666666666666699</v>
      </c>
    </row>
    <row r="703" spans="2:22" ht="13.5">
      <c r="B703" s="1577">
        <v>201504</v>
      </c>
      <c r="C703" s="324" t="s">
        <v>459</v>
      </c>
      <c r="D703" s="325" t="s">
        <v>1100</v>
      </c>
      <c r="E703" s="1674" t="s">
        <v>1774</v>
      </c>
      <c r="F703" s="460">
        <v>2136.7759999999998</v>
      </c>
      <c r="G703" s="92">
        <v>545.80100000000004</v>
      </c>
      <c r="H703" s="279">
        <v>540.41999999999996</v>
      </c>
      <c r="I703" s="154">
        <v>34</v>
      </c>
      <c r="J703" s="576">
        <v>0.25</v>
      </c>
      <c r="K703" s="578">
        <v>13.312219512195</v>
      </c>
      <c r="L703" s="437">
        <v>1.2058819999999999</v>
      </c>
      <c r="M703" s="42"/>
      <c r="N703" s="47">
        <v>137</v>
      </c>
      <c r="O703" s="45">
        <v>110</v>
      </c>
      <c r="P703" s="45">
        <v>22</v>
      </c>
      <c r="Q703" s="388">
        <v>5</v>
      </c>
      <c r="R703" s="429">
        <v>16</v>
      </c>
      <c r="S703" s="92">
        <v>2</v>
      </c>
      <c r="T703" s="361">
        <v>16</v>
      </c>
      <c r="U703" s="285">
        <v>11</v>
      </c>
      <c r="V703" s="438">
        <v>0.407407407407407</v>
      </c>
    </row>
    <row r="704" spans="2:22" ht="13.5">
      <c r="B704" s="1577">
        <v>201504</v>
      </c>
      <c r="C704" s="326" t="s">
        <v>459</v>
      </c>
      <c r="D704" s="327" t="s">
        <v>1419</v>
      </c>
      <c r="E704" s="1675" t="s">
        <v>1420</v>
      </c>
      <c r="F704" s="459">
        <v>193.916</v>
      </c>
      <c r="G704" s="339">
        <v>193.916</v>
      </c>
      <c r="H704" s="337">
        <v>193.916</v>
      </c>
      <c r="I704" s="331">
        <v>13</v>
      </c>
      <c r="J704" s="577">
        <v>0.48148099999999999</v>
      </c>
      <c r="K704" s="579">
        <v>10.773111111111</v>
      </c>
      <c r="L704" s="436">
        <v>1.3846149999999999</v>
      </c>
      <c r="M704" s="42"/>
      <c r="N704" s="334">
        <v>54</v>
      </c>
      <c r="O704" s="335">
        <v>41</v>
      </c>
      <c r="P704" s="335">
        <v>13</v>
      </c>
      <c r="Q704" s="389">
        <v>0</v>
      </c>
      <c r="R704" s="430">
        <v>0</v>
      </c>
      <c r="S704" s="339">
        <v>13</v>
      </c>
      <c r="T704" s="362">
        <v>41</v>
      </c>
      <c r="U704" s="337">
        <v>13</v>
      </c>
      <c r="V704" s="338">
        <v>1</v>
      </c>
    </row>
    <row r="705" spans="2:22" ht="13.5">
      <c r="B705" s="1577">
        <v>201504</v>
      </c>
      <c r="C705" s="324" t="s">
        <v>459</v>
      </c>
      <c r="D705" s="325" t="s">
        <v>1103</v>
      </c>
      <c r="E705" s="1674" t="str">
        <f t="shared" si="2"/>
        <v>NGUYỄN THỊ HỒNG</v>
      </c>
      <c r="F705" s="460">
        <v>38.146999999999998</v>
      </c>
      <c r="G705" s="92">
        <v>38.146999999999998</v>
      </c>
      <c r="H705" s="279">
        <v>38.146999999999998</v>
      </c>
      <c r="I705" s="154">
        <v>3</v>
      </c>
      <c r="J705" s="576">
        <v>0.352941</v>
      </c>
      <c r="K705" s="578">
        <v>9.5367499999999996</v>
      </c>
      <c r="L705" s="437">
        <v>1.3333330000000001</v>
      </c>
      <c r="M705" s="42"/>
      <c r="N705" s="47">
        <v>10</v>
      </c>
      <c r="O705" s="45">
        <v>7</v>
      </c>
      <c r="P705" s="45">
        <v>3</v>
      </c>
      <c r="Q705" s="388">
        <v>0</v>
      </c>
      <c r="R705" s="429">
        <v>0</v>
      </c>
      <c r="S705" s="92"/>
      <c r="T705" s="361">
        <v>2</v>
      </c>
      <c r="U705" s="285">
        <v>1</v>
      </c>
      <c r="V705" s="438">
        <v>0.33333333333333298</v>
      </c>
    </row>
    <row r="706" spans="2:22" ht="13.5">
      <c r="B706" s="1577">
        <v>201504</v>
      </c>
      <c r="C706" s="326" t="s">
        <v>459</v>
      </c>
      <c r="D706" s="327" t="s">
        <v>661</v>
      </c>
      <c r="E706" s="325" t="s">
        <v>1950</v>
      </c>
      <c r="F706" s="459">
        <v>1175.8309999999999</v>
      </c>
      <c r="G706" s="339">
        <v>355.61200000000002</v>
      </c>
      <c r="H706" s="337">
        <v>321.47500000000002</v>
      </c>
      <c r="I706" s="331">
        <v>6</v>
      </c>
      <c r="J706" s="577">
        <v>0.13333300000000001</v>
      </c>
      <c r="K706" s="579">
        <v>25.400857142856999</v>
      </c>
      <c r="L706" s="436">
        <v>2.3333330000000001</v>
      </c>
      <c r="M706" s="42"/>
      <c r="N706" s="334">
        <v>45</v>
      </c>
      <c r="O706" s="335">
        <v>32</v>
      </c>
      <c r="P706" s="335">
        <v>8</v>
      </c>
      <c r="Q706" s="389">
        <v>5</v>
      </c>
      <c r="R706" s="430">
        <v>3</v>
      </c>
      <c r="S706" s="339">
        <v>1</v>
      </c>
      <c r="T706" s="362">
        <v>1</v>
      </c>
      <c r="U706" s="337">
        <v>1</v>
      </c>
      <c r="V706" s="338">
        <v>7.69230769230769E-2</v>
      </c>
    </row>
    <row r="707" spans="2:22" ht="13.5">
      <c r="B707" s="1577">
        <v>201504</v>
      </c>
      <c r="C707" s="324" t="s">
        <v>459</v>
      </c>
      <c r="D707" s="325" t="s">
        <v>179</v>
      </c>
      <c r="E707" s="1674" t="str">
        <f t="shared" si="2"/>
        <v>LÊ THANH HUYỀN</v>
      </c>
      <c r="F707" s="460">
        <v>4270.2790000000005</v>
      </c>
      <c r="G707" s="92">
        <v>957.34199999999998</v>
      </c>
      <c r="H707" s="279">
        <v>899.404</v>
      </c>
      <c r="I707" s="154">
        <v>45</v>
      </c>
      <c r="J707" s="576">
        <v>0.19736799999999999</v>
      </c>
      <c r="K707" s="578">
        <v>18.063056603774001</v>
      </c>
      <c r="L707" s="437">
        <v>1.177778</v>
      </c>
      <c r="M707" s="42"/>
      <c r="N707" s="47">
        <v>241</v>
      </c>
      <c r="O707" s="45">
        <v>169</v>
      </c>
      <c r="P707" s="45">
        <v>67</v>
      </c>
      <c r="Q707" s="388">
        <v>5</v>
      </c>
      <c r="R707" s="429">
        <v>9</v>
      </c>
      <c r="S707" s="92">
        <v>6</v>
      </c>
      <c r="T707" s="361">
        <v>28</v>
      </c>
      <c r="U707" s="285">
        <v>16</v>
      </c>
      <c r="V707" s="438">
        <v>0.22222222222222199</v>
      </c>
    </row>
    <row r="708" spans="2:22" ht="13.5">
      <c r="B708" s="1577">
        <v>201504</v>
      </c>
      <c r="C708" s="326" t="s">
        <v>459</v>
      </c>
      <c r="D708" s="327" t="s">
        <v>659</v>
      </c>
      <c r="E708" s="1675" t="str">
        <f t="shared" si="2"/>
        <v>NGUYỄN THỊ ĐÀO</v>
      </c>
      <c r="F708" s="459">
        <v>2356.2950000000001</v>
      </c>
      <c r="G708" s="339">
        <v>1424.4659999999999</v>
      </c>
      <c r="H708" s="337">
        <v>1352.268</v>
      </c>
      <c r="I708" s="331">
        <v>31</v>
      </c>
      <c r="J708" s="577">
        <v>0.32124399999999997</v>
      </c>
      <c r="K708" s="579">
        <v>26.876716981131999</v>
      </c>
      <c r="L708" s="436">
        <v>1.7096769999999999</v>
      </c>
      <c r="M708" s="42"/>
      <c r="N708" s="334">
        <v>100</v>
      </c>
      <c r="O708" s="335">
        <v>70</v>
      </c>
      <c r="P708" s="335">
        <v>18</v>
      </c>
      <c r="Q708" s="389">
        <v>12</v>
      </c>
      <c r="R708" s="430">
        <v>16</v>
      </c>
      <c r="S708" s="339">
        <v>3</v>
      </c>
      <c r="T708" s="362">
        <v>20</v>
      </c>
      <c r="U708" s="337">
        <v>11</v>
      </c>
      <c r="V708" s="338">
        <v>0.36666666666666697</v>
      </c>
    </row>
    <row r="709" spans="2:22" ht="13.5">
      <c r="B709" s="1577">
        <v>201504</v>
      </c>
      <c r="C709" s="324" t="s">
        <v>459</v>
      </c>
      <c r="D709" s="325" t="s">
        <v>699</v>
      </c>
      <c r="E709" s="1674" t="str">
        <f t="shared" si="2"/>
        <v>NGUYỄN THỊ NGỌC LAN</v>
      </c>
      <c r="F709" s="460">
        <v>817.53</v>
      </c>
      <c r="G709" s="92">
        <v>447.73599999999999</v>
      </c>
      <c r="H709" s="279">
        <v>428.23200000000003</v>
      </c>
      <c r="I709" s="154">
        <v>11</v>
      </c>
      <c r="J709" s="576">
        <v>0.17599999999999999</v>
      </c>
      <c r="K709" s="578">
        <v>26.337411764706001</v>
      </c>
      <c r="L709" s="437">
        <v>1.545455</v>
      </c>
      <c r="M709" s="42"/>
      <c r="N709" s="47">
        <v>61</v>
      </c>
      <c r="O709" s="45">
        <v>45</v>
      </c>
      <c r="P709" s="45">
        <v>13</v>
      </c>
      <c r="Q709" s="388">
        <v>3</v>
      </c>
      <c r="R709" s="429">
        <v>12</v>
      </c>
      <c r="S709" s="92"/>
      <c r="T709" s="361">
        <v>9</v>
      </c>
      <c r="U709" s="285">
        <v>6</v>
      </c>
      <c r="V709" s="438">
        <v>0.375</v>
      </c>
    </row>
    <row r="710" spans="2:22" ht="13.5">
      <c r="B710" s="1577">
        <v>201504</v>
      </c>
      <c r="C710" s="326" t="s">
        <v>459</v>
      </c>
      <c r="D710" s="327" t="s">
        <v>1015</v>
      </c>
      <c r="E710" s="1675" t="str">
        <f t="shared" si="2"/>
        <v>VŨ THỊ LỆ HẰNG</v>
      </c>
      <c r="F710" s="459">
        <v>184.458</v>
      </c>
      <c r="G710" s="339">
        <v>83.224000000000004</v>
      </c>
      <c r="H710" s="337">
        <v>83.224000000000004</v>
      </c>
      <c r="I710" s="331">
        <v>5</v>
      </c>
      <c r="J710" s="577">
        <v>0.147059</v>
      </c>
      <c r="K710" s="579">
        <v>13.870666666667001</v>
      </c>
      <c r="L710" s="436">
        <v>1.2</v>
      </c>
      <c r="M710" s="42"/>
      <c r="N710" s="334">
        <v>39</v>
      </c>
      <c r="O710" s="335">
        <v>30</v>
      </c>
      <c r="P710" s="335">
        <v>8</v>
      </c>
      <c r="Q710" s="389">
        <v>1</v>
      </c>
      <c r="R710" s="430">
        <v>0</v>
      </c>
      <c r="S710" s="339">
        <v>1</v>
      </c>
      <c r="T710" s="362">
        <v>9</v>
      </c>
      <c r="U710" s="337">
        <v>4</v>
      </c>
      <c r="V710" s="338">
        <v>0.44444444444444398</v>
      </c>
    </row>
    <row r="711" spans="2:22" ht="13.5">
      <c r="B711" s="1577">
        <v>201504</v>
      </c>
      <c r="C711" s="324" t="s">
        <v>459</v>
      </c>
      <c r="D711" s="325" t="s">
        <v>825</v>
      </c>
      <c r="E711" s="1674" t="s">
        <v>1773</v>
      </c>
      <c r="F711" s="460">
        <v>940.82500000000005</v>
      </c>
      <c r="G711" s="92">
        <v>198.95500000000001</v>
      </c>
      <c r="H711" s="279">
        <v>205.12200000000001</v>
      </c>
      <c r="I711" s="154">
        <v>14</v>
      </c>
      <c r="J711" s="576">
        <v>0.152174</v>
      </c>
      <c r="K711" s="578">
        <v>11.053055555556</v>
      </c>
      <c r="L711" s="437">
        <v>1.285714</v>
      </c>
      <c r="M711" s="42"/>
      <c r="N711" s="47">
        <v>89</v>
      </c>
      <c r="O711" s="45">
        <v>71</v>
      </c>
      <c r="P711" s="45">
        <v>15</v>
      </c>
      <c r="Q711" s="388">
        <v>3</v>
      </c>
      <c r="R711" s="429">
        <v>14</v>
      </c>
      <c r="S711" s="92"/>
      <c r="T711" s="361">
        <v>8</v>
      </c>
      <c r="U711" s="285">
        <v>5</v>
      </c>
      <c r="V711" s="438">
        <v>0.27777777777777801</v>
      </c>
    </row>
    <row r="712" spans="2:22" ht="13.5">
      <c r="B712" s="1577">
        <v>201504</v>
      </c>
      <c r="C712" s="326" t="s">
        <v>459</v>
      </c>
      <c r="D712" s="327" t="s">
        <v>185</v>
      </c>
      <c r="E712" s="1675" t="str">
        <f t="shared" si="2"/>
        <v>NGUYỄN THỊ BÌNH</v>
      </c>
      <c r="F712" s="459">
        <v>1056.6980000000001</v>
      </c>
      <c r="G712" s="339">
        <v>144.60900000000001</v>
      </c>
      <c r="H712" s="337">
        <v>134.977</v>
      </c>
      <c r="I712" s="331">
        <v>9</v>
      </c>
      <c r="J712" s="577">
        <v>0.17821799999999999</v>
      </c>
      <c r="K712" s="579">
        <v>13.146272727273001</v>
      </c>
      <c r="L712" s="436">
        <v>1.2222219999999999</v>
      </c>
      <c r="M712" s="42"/>
      <c r="N712" s="334">
        <v>52</v>
      </c>
      <c r="O712" s="335">
        <v>39</v>
      </c>
      <c r="P712" s="335">
        <v>7</v>
      </c>
      <c r="Q712" s="389">
        <v>6</v>
      </c>
      <c r="R712" s="430">
        <v>1</v>
      </c>
      <c r="S712" s="339"/>
      <c r="T712" s="362">
        <v>4</v>
      </c>
      <c r="U712" s="337">
        <v>4</v>
      </c>
      <c r="V712" s="338">
        <v>0.30769230769230799</v>
      </c>
    </row>
    <row r="713" spans="2:22" ht="13.5">
      <c r="B713" s="1577">
        <v>201504</v>
      </c>
      <c r="C713" s="324" t="s">
        <v>459</v>
      </c>
      <c r="D713" s="325" t="s">
        <v>660</v>
      </c>
      <c r="E713" s="1674" t="str">
        <f t="shared" si="2"/>
        <v>CHU THỊ ÁI THƯƠNG</v>
      </c>
      <c r="F713" s="460">
        <v>1582.413</v>
      </c>
      <c r="G713" s="92">
        <v>342.87700000000001</v>
      </c>
      <c r="H713" s="279">
        <v>362.233</v>
      </c>
      <c r="I713" s="154">
        <v>24</v>
      </c>
      <c r="J713" s="576">
        <v>0.17910400000000001</v>
      </c>
      <c r="K713" s="578">
        <v>12.699148148148</v>
      </c>
      <c r="L713" s="437">
        <v>1.125</v>
      </c>
      <c r="M713" s="42"/>
      <c r="N713" s="47">
        <v>136</v>
      </c>
      <c r="O713" s="45">
        <v>111</v>
      </c>
      <c r="P713" s="45">
        <v>19</v>
      </c>
      <c r="Q713" s="388">
        <v>6</v>
      </c>
      <c r="R713" s="429">
        <v>0</v>
      </c>
      <c r="S713" s="92"/>
      <c r="T713" s="361">
        <v>4</v>
      </c>
      <c r="U713" s="285">
        <v>4</v>
      </c>
      <c r="V713" s="438">
        <v>0.16</v>
      </c>
    </row>
    <row r="714" spans="2:22" ht="13.5">
      <c r="B714" s="1577">
        <v>201504</v>
      </c>
      <c r="C714" s="326" t="s">
        <v>459</v>
      </c>
      <c r="D714" s="327" t="s">
        <v>737</v>
      </c>
      <c r="E714" s="1675"/>
      <c r="F714" s="459">
        <v>1095.9449999999999</v>
      </c>
      <c r="G714" s="339">
        <v>202.773</v>
      </c>
      <c r="H714" s="337">
        <v>202.773</v>
      </c>
      <c r="I714" s="331">
        <v>8</v>
      </c>
      <c r="J714" s="577">
        <v>0.228571</v>
      </c>
      <c r="K714" s="579">
        <v>13.5182</v>
      </c>
      <c r="L714" s="436">
        <v>1.875</v>
      </c>
      <c r="M714" s="42"/>
      <c r="N714" s="334">
        <v>34</v>
      </c>
      <c r="O714" s="335">
        <v>25</v>
      </c>
      <c r="P714" s="335">
        <v>7</v>
      </c>
      <c r="Q714" s="389">
        <v>2</v>
      </c>
      <c r="R714" s="430">
        <v>2</v>
      </c>
      <c r="S714" s="339"/>
      <c r="T714" s="362"/>
      <c r="U714" s="337"/>
      <c r="V714" s="338"/>
    </row>
    <row r="715" spans="2:22" ht="13.5">
      <c r="B715" s="1577">
        <v>201504</v>
      </c>
      <c r="C715" s="324" t="s">
        <v>459</v>
      </c>
      <c r="D715" s="325" t="s">
        <v>662</v>
      </c>
      <c r="E715" s="1674"/>
      <c r="F715" s="460">
        <v>410.15600000000001</v>
      </c>
      <c r="G715" s="92">
        <v>29.402000000000001</v>
      </c>
      <c r="H715" s="279">
        <v>29.402000000000001</v>
      </c>
      <c r="I715" s="154">
        <v>3</v>
      </c>
      <c r="J715" s="576">
        <v>5.9406E-2</v>
      </c>
      <c r="K715" s="578">
        <v>9.8006666666670004</v>
      </c>
      <c r="L715" s="437">
        <v>1</v>
      </c>
      <c r="M715" s="42"/>
      <c r="N715" s="47">
        <v>52</v>
      </c>
      <c r="O715" s="45">
        <v>41</v>
      </c>
      <c r="P715" s="45">
        <v>10</v>
      </c>
      <c r="Q715" s="388">
        <v>1</v>
      </c>
      <c r="R715" s="429">
        <v>0</v>
      </c>
      <c r="S715" s="92"/>
      <c r="T715" s="361">
        <v>3</v>
      </c>
      <c r="U715" s="285">
        <v>2</v>
      </c>
      <c r="V715" s="438">
        <v>0.18181818181818199</v>
      </c>
    </row>
    <row r="716" spans="2:22" ht="13.5">
      <c r="B716" s="1577">
        <v>201504</v>
      </c>
      <c r="C716" s="326" t="s">
        <v>459</v>
      </c>
      <c r="D716" s="327" t="s">
        <v>799</v>
      </c>
      <c r="E716" s="1675" t="str">
        <f t="shared" si="2"/>
        <v>NGUYỄN THỊ KIM CHUNG</v>
      </c>
      <c r="F716" s="459">
        <v>626.39699999999903</v>
      </c>
      <c r="G716" s="339">
        <v>188.27500000000001</v>
      </c>
      <c r="H716" s="337">
        <v>177.666</v>
      </c>
      <c r="I716" s="331">
        <v>12</v>
      </c>
      <c r="J716" s="577">
        <v>0.235294</v>
      </c>
      <c r="K716" s="579">
        <v>11.074999999999999</v>
      </c>
      <c r="L716" s="436">
        <v>1.4166669999999999</v>
      </c>
      <c r="M716" s="42"/>
      <c r="N716" s="334">
        <v>52</v>
      </c>
      <c r="O716" s="335">
        <v>33</v>
      </c>
      <c r="P716" s="335">
        <v>18</v>
      </c>
      <c r="Q716" s="389">
        <v>1</v>
      </c>
      <c r="R716" s="430">
        <v>7</v>
      </c>
      <c r="S716" s="339">
        <v>3</v>
      </c>
      <c r="T716" s="362">
        <v>6</v>
      </c>
      <c r="U716" s="337">
        <v>4</v>
      </c>
      <c r="V716" s="338">
        <v>0.21052631578947401</v>
      </c>
    </row>
    <row r="717" spans="2:22" ht="13.5">
      <c r="B717" s="1577">
        <v>201504</v>
      </c>
      <c r="C717" s="324" t="s">
        <v>459</v>
      </c>
      <c r="D717" s="325" t="s">
        <v>177</v>
      </c>
      <c r="E717" s="1674" t="str">
        <f t="shared" si="2"/>
        <v>MAI QUỐC HUY</v>
      </c>
      <c r="F717" s="460">
        <v>2999.8490000000002</v>
      </c>
      <c r="G717" s="92">
        <v>1326.404</v>
      </c>
      <c r="H717" s="279">
        <v>1308.2149999999999</v>
      </c>
      <c r="I717" s="154">
        <v>48</v>
      </c>
      <c r="J717" s="576">
        <v>0.37944699999999998</v>
      </c>
      <c r="K717" s="578">
        <v>20.406215384614999</v>
      </c>
      <c r="L717" s="437">
        <v>1.3541669999999999</v>
      </c>
      <c r="M717" s="42"/>
      <c r="N717" s="47">
        <v>142</v>
      </c>
      <c r="O717" s="45">
        <v>97</v>
      </c>
      <c r="P717" s="45">
        <v>43</v>
      </c>
      <c r="Q717" s="388">
        <v>2</v>
      </c>
      <c r="R717" s="429">
        <v>15</v>
      </c>
      <c r="S717" s="92">
        <v>14</v>
      </c>
      <c r="T717" s="361">
        <v>32</v>
      </c>
      <c r="U717" s="285">
        <v>20</v>
      </c>
      <c r="V717" s="438">
        <v>0.44444444444444398</v>
      </c>
    </row>
    <row r="718" spans="2:22" ht="13.5">
      <c r="B718" s="1577">
        <v>201504</v>
      </c>
      <c r="C718" s="326" t="s">
        <v>459</v>
      </c>
      <c r="D718" s="327" t="s">
        <v>176</v>
      </c>
      <c r="E718" s="1675" t="str">
        <f t="shared" si="2"/>
        <v>NGUYỄN VĂN CÔNG</v>
      </c>
      <c r="F718" s="459">
        <v>6266.8140000000003</v>
      </c>
      <c r="G718" s="339">
        <v>3049.8890000000001</v>
      </c>
      <c r="H718" s="337">
        <v>3049.8890000000001</v>
      </c>
      <c r="I718" s="331">
        <v>59</v>
      </c>
      <c r="J718" s="577">
        <v>0.34402300000000002</v>
      </c>
      <c r="K718" s="579">
        <v>28.772537735848999</v>
      </c>
      <c r="L718" s="436">
        <v>1.79661</v>
      </c>
      <c r="M718" s="42"/>
      <c r="N718" s="334">
        <v>174</v>
      </c>
      <c r="O718" s="335">
        <v>140</v>
      </c>
      <c r="P718" s="335">
        <v>29</v>
      </c>
      <c r="Q718" s="389">
        <v>5</v>
      </c>
      <c r="R718" s="430">
        <v>20</v>
      </c>
      <c r="S718" s="339">
        <v>2</v>
      </c>
      <c r="T718" s="362">
        <v>22</v>
      </c>
      <c r="U718" s="337">
        <v>12</v>
      </c>
      <c r="V718" s="338">
        <v>0.35294117647058798</v>
      </c>
    </row>
    <row r="719" spans="2:22" ht="13.5">
      <c r="B719" s="1577">
        <v>201504</v>
      </c>
      <c r="C719" s="324" t="s">
        <v>459</v>
      </c>
      <c r="D719" s="325" t="s">
        <v>1104</v>
      </c>
      <c r="E719" s="1674" t="str">
        <f t="shared" si="2"/>
        <v>LÊ THỊ THƠI</v>
      </c>
      <c r="F719" s="460">
        <v>719.83600000000001</v>
      </c>
      <c r="G719" s="92">
        <v>291.86599999999999</v>
      </c>
      <c r="H719" s="279">
        <v>291.86599999999999</v>
      </c>
      <c r="I719" s="154">
        <v>19</v>
      </c>
      <c r="J719" s="576">
        <v>0.26950400000000002</v>
      </c>
      <c r="K719" s="578">
        <v>12.161083333333</v>
      </c>
      <c r="L719" s="437">
        <v>1.263158</v>
      </c>
      <c r="M719" s="42"/>
      <c r="N719" s="47">
        <v>85</v>
      </c>
      <c r="O719" s="45">
        <v>66</v>
      </c>
      <c r="P719" s="45">
        <v>13</v>
      </c>
      <c r="Q719" s="388">
        <v>6</v>
      </c>
      <c r="R719" s="429">
        <v>0</v>
      </c>
      <c r="S719" s="92">
        <v>4</v>
      </c>
      <c r="T719" s="361">
        <v>25</v>
      </c>
      <c r="U719" s="285">
        <v>15</v>
      </c>
      <c r="V719" s="438">
        <v>0.78947368421052599</v>
      </c>
    </row>
    <row r="720" spans="2:22" ht="13.5">
      <c r="B720" s="1577">
        <v>201503</v>
      </c>
      <c r="C720" s="326" t="s">
        <v>458</v>
      </c>
      <c r="D720" s="327" t="s">
        <v>1099</v>
      </c>
      <c r="E720" s="1675" t="str">
        <f t="shared" ref="E720:E743" si="3">VLOOKUP(D720,$D$760:$E$798,2,0)</f>
        <v>LƯƠNG HỮU PHÚC</v>
      </c>
      <c r="F720" s="459">
        <v>734.08799999999997</v>
      </c>
      <c r="G720" s="339">
        <v>842.47699999999998</v>
      </c>
      <c r="H720" s="337">
        <v>524.50400000000002</v>
      </c>
      <c r="I720" s="331">
        <v>15</v>
      </c>
      <c r="J720" s="577">
        <v>0.33707865168539303</v>
      </c>
      <c r="K720" s="579">
        <v>24.070771428571401</v>
      </c>
      <c r="L720" s="436">
        <v>2.3333333333333299</v>
      </c>
      <c r="M720" s="42"/>
      <c r="N720" s="334">
        <v>49</v>
      </c>
      <c r="O720" s="335">
        <v>36</v>
      </c>
      <c r="P720" s="335">
        <v>12</v>
      </c>
      <c r="Q720" s="389">
        <v>1</v>
      </c>
      <c r="R720" s="430">
        <v>0</v>
      </c>
      <c r="S720" s="339"/>
      <c r="T720" s="362">
        <v>8</v>
      </c>
      <c r="U720" s="337">
        <v>5</v>
      </c>
      <c r="V720" s="338">
        <v>0.38461538461538503</v>
      </c>
    </row>
    <row r="721" spans="2:22" ht="13.5">
      <c r="B721" s="1577">
        <v>201503</v>
      </c>
      <c r="C721" s="324" t="s">
        <v>458</v>
      </c>
      <c r="D721" s="325" t="s">
        <v>900</v>
      </c>
      <c r="E721" s="1674" t="str">
        <f t="shared" si="3"/>
        <v>HOÀNG NGUYỆT HẰNG</v>
      </c>
      <c r="F721" s="460">
        <v>1352.1030000000001</v>
      </c>
      <c r="G721" s="92">
        <v>495.12400000000002</v>
      </c>
      <c r="H721" s="279">
        <v>495.12400000000002</v>
      </c>
      <c r="I721" s="154">
        <v>7</v>
      </c>
      <c r="J721" s="576">
        <v>0.24561403508771901</v>
      </c>
      <c r="K721" s="578">
        <v>20.6301666666667</v>
      </c>
      <c r="L721" s="437">
        <v>3.4285714285714302</v>
      </c>
      <c r="M721" s="42"/>
      <c r="N721" s="47">
        <v>30</v>
      </c>
      <c r="O721" s="45">
        <v>21</v>
      </c>
      <c r="P721" s="45">
        <v>8</v>
      </c>
      <c r="Q721" s="388">
        <v>1</v>
      </c>
      <c r="R721" s="429">
        <v>0</v>
      </c>
      <c r="S721" s="92"/>
      <c r="T721" s="361">
        <v>3</v>
      </c>
      <c r="U721" s="285">
        <v>2</v>
      </c>
      <c r="V721" s="438">
        <v>0.22222222222222199</v>
      </c>
    </row>
    <row r="722" spans="2:22" ht="13.5">
      <c r="B722" s="1577">
        <v>201503</v>
      </c>
      <c r="C722" s="326" t="s">
        <v>458</v>
      </c>
      <c r="D722" s="327" t="s">
        <v>649</v>
      </c>
      <c r="E722" s="1675" t="str">
        <f t="shared" si="3"/>
        <v>PHẠM THÀNH TRÍ</v>
      </c>
      <c r="F722" s="459">
        <v>488.42500000000001</v>
      </c>
      <c r="G722" s="339">
        <v>263.41800000000001</v>
      </c>
      <c r="H722" s="337">
        <v>292.17700000000002</v>
      </c>
      <c r="I722" s="331">
        <v>6</v>
      </c>
      <c r="J722" s="577">
        <v>8.7591240875912399E-2</v>
      </c>
      <c r="K722" s="579">
        <v>21.951499999999999</v>
      </c>
      <c r="L722" s="436">
        <v>2</v>
      </c>
      <c r="M722" s="42"/>
      <c r="N722" s="334">
        <v>67</v>
      </c>
      <c r="O722" s="335">
        <v>50</v>
      </c>
      <c r="P722" s="335">
        <v>13</v>
      </c>
      <c r="Q722" s="389">
        <v>4</v>
      </c>
      <c r="R722" s="430">
        <v>9</v>
      </c>
      <c r="S722" s="339">
        <v>2</v>
      </c>
      <c r="T722" s="362">
        <v>4</v>
      </c>
      <c r="U722" s="337">
        <v>3</v>
      </c>
      <c r="V722" s="338">
        <v>0.17647058823529399</v>
      </c>
    </row>
    <row r="723" spans="2:22" ht="13.5">
      <c r="B723" s="1577">
        <v>201503</v>
      </c>
      <c r="C723" s="324" t="s">
        <v>458</v>
      </c>
      <c r="D723" s="325" t="s">
        <v>650</v>
      </c>
      <c r="E723" s="1674" t="s">
        <v>1777</v>
      </c>
      <c r="F723" s="460">
        <v>230.953</v>
      </c>
      <c r="G723" s="92">
        <v>70.212000000000003</v>
      </c>
      <c r="H723" s="279">
        <v>75.278000000000006</v>
      </c>
      <c r="I723" s="154">
        <v>9</v>
      </c>
      <c r="J723" s="576">
        <v>0.17142857142857101</v>
      </c>
      <c r="K723" s="578">
        <v>7.8013333333333303</v>
      </c>
      <c r="L723" s="437">
        <v>1</v>
      </c>
      <c r="M723" s="42"/>
      <c r="N723" s="47">
        <v>52</v>
      </c>
      <c r="O723" s="45">
        <v>33</v>
      </c>
      <c r="P723" s="45">
        <v>14</v>
      </c>
      <c r="Q723" s="388">
        <v>5</v>
      </c>
      <c r="R723" s="429">
        <v>7</v>
      </c>
      <c r="S723" s="92">
        <v>2</v>
      </c>
      <c r="T723" s="361">
        <v>4</v>
      </c>
      <c r="U723" s="285">
        <v>3</v>
      </c>
      <c r="V723" s="438">
        <v>0.157894736842105</v>
      </c>
    </row>
    <row r="724" spans="2:22" ht="13.5">
      <c r="B724" s="1577">
        <v>201503</v>
      </c>
      <c r="C724" s="326" t="s">
        <v>458</v>
      </c>
      <c r="D724" s="327" t="s">
        <v>902</v>
      </c>
      <c r="E724" s="1675" t="str">
        <f t="shared" si="3"/>
        <v>TRƯƠNG THỊ THU TRÂM</v>
      </c>
      <c r="F724" s="459">
        <v>704.80200000000002</v>
      </c>
      <c r="G724" s="339">
        <v>373.94499999999999</v>
      </c>
      <c r="H724" s="337">
        <v>328.29700000000003</v>
      </c>
      <c r="I724" s="331">
        <v>16</v>
      </c>
      <c r="J724" s="577">
        <v>0.415584415584416</v>
      </c>
      <c r="K724" s="579">
        <v>15.5810416666667</v>
      </c>
      <c r="L724" s="436">
        <v>1.5</v>
      </c>
      <c r="M724" s="42"/>
      <c r="N724" s="334">
        <v>46</v>
      </c>
      <c r="O724" s="335">
        <v>32</v>
      </c>
      <c r="P724" s="335">
        <v>12</v>
      </c>
      <c r="Q724" s="389">
        <v>2</v>
      </c>
      <c r="R724" s="430">
        <v>1</v>
      </c>
      <c r="S724" s="339">
        <v>4</v>
      </c>
      <c r="T724" s="362">
        <v>12</v>
      </c>
      <c r="U724" s="337">
        <v>9</v>
      </c>
      <c r="V724" s="338">
        <v>0.64285714285714302</v>
      </c>
    </row>
    <row r="725" spans="2:22" ht="13.5">
      <c r="B725" s="1577">
        <v>201503</v>
      </c>
      <c r="C725" s="324" t="s">
        <v>458</v>
      </c>
      <c r="D725" s="325" t="s">
        <v>642</v>
      </c>
      <c r="E725" s="1674" t="str">
        <f t="shared" si="3"/>
        <v>LÊ THỊ HỒNG LĨNH</v>
      </c>
      <c r="F725" s="460">
        <v>629.93399999999997</v>
      </c>
      <c r="G725" s="92">
        <v>178.25700000000001</v>
      </c>
      <c r="H725" s="279">
        <v>218.136</v>
      </c>
      <c r="I725" s="154">
        <v>5</v>
      </c>
      <c r="J725" s="576">
        <v>0.116279069767442</v>
      </c>
      <c r="K725" s="578">
        <v>17.825700000000001</v>
      </c>
      <c r="L725" s="437">
        <v>2</v>
      </c>
      <c r="M725" s="42"/>
      <c r="N725" s="47">
        <v>41</v>
      </c>
      <c r="O725" s="45">
        <v>30</v>
      </c>
      <c r="P725" s="45">
        <v>11</v>
      </c>
      <c r="Q725" s="388">
        <v>0</v>
      </c>
      <c r="R725" s="429">
        <v>7</v>
      </c>
      <c r="S725" s="92">
        <v>1</v>
      </c>
      <c r="T725" s="361">
        <v>2</v>
      </c>
      <c r="U725" s="285">
        <v>2</v>
      </c>
      <c r="V725" s="438">
        <v>0.18181818181818199</v>
      </c>
    </row>
    <row r="726" spans="2:22" ht="13.5">
      <c r="B726" s="1577">
        <v>201503</v>
      </c>
      <c r="C726" s="326" t="s">
        <v>458</v>
      </c>
      <c r="D726" s="327" t="s">
        <v>91</v>
      </c>
      <c r="E726" s="1675" t="str">
        <f t="shared" si="3"/>
        <v>NGUYỄN THỊ LAN ANH</v>
      </c>
      <c r="F726" s="459">
        <v>1298.9459999999999</v>
      </c>
      <c r="G726" s="339">
        <v>415.66500000000002</v>
      </c>
      <c r="H726" s="337">
        <v>435.05200000000002</v>
      </c>
      <c r="I726" s="331">
        <v>16</v>
      </c>
      <c r="J726" s="577">
        <v>0.14285714285714299</v>
      </c>
      <c r="K726" s="579">
        <v>21.877105263157901</v>
      </c>
      <c r="L726" s="436">
        <v>1.1875</v>
      </c>
      <c r="M726" s="42"/>
      <c r="N726" s="334">
        <v>107</v>
      </c>
      <c r="O726" s="335">
        <v>83</v>
      </c>
      <c r="P726" s="335">
        <v>21</v>
      </c>
      <c r="Q726" s="389">
        <v>3</v>
      </c>
      <c r="R726" s="430">
        <v>14</v>
      </c>
      <c r="S726" s="339">
        <v>1</v>
      </c>
      <c r="T726" s="362">
        <v>3</v>
      </c>
      <c r="U726" s="337">
        <v>2</v>
      </c>
      <c r="V726" s="338">
        <v>8.3333333333333301E-2</v>
      </c>
    </row>
    <row r="727" spans="2:22" ht="13.5">
      <c r="B727" s="1577">
        <v>201503</v>
      </c>
      <c r="C727" s="324" t="s">
        <v>458</v>
      </c>
      <c r="D727" s="325" t="s">
        <v>187</v>
      </c>
      <c r="E727" s="1674" t="str">
        <f t="shared" si="3"/>
        <v>NGUYỄN HỮU NGHIỆM</v>
      </c>
      <c r="F727" s="460">
        <v>469.548</v>
      </c>
      <c r="G727" s="92">
        <v>159.715</v>
      </c>
      <c r="H727" s="279">
        <v>144.44300000000001</v>
      </c>
      <c r="I727" s="154">
        <v>7</v>
      </c>
      <c r="J727" s="576">
        <v>0.15730337078651699</v>
      </c>
      <c r="K727" s="578">
        <v>17.746111111111102</v>
      </c>
      <c r="L727" s="437">
        <v>1.28571428571429</v>
      </c>
      <c r="M727" s="42"/>
      <c r="N727" s="47">
        <v>46</v>
      </c>
      <c r="O727" s="45">
        <v>35</v>
      </c>
      <c r="P727" s="45">
        <v>9</v>
      </c>
      <c r="Q727" s="388">
        <v>2</v>
      </c>
      <c r="R727" s="429">
        <v>0</v>
      </c>
      <c r="S727" s="92">
        <v>1</v>
      </c>
      <c r="T727" s="361">
        <v>2</v>
      </c>
      <c r="U727" s="285">
        <v>2</v>
      </c>
      <c r="V727" s="438">
        <v>0.18181818181818199</v>
      </c>
    </row>
    <row r="728" spans="2:22" ht="13.5">
      <c r="B728" s="1577">
        <v>201503</v>
      </c>
      <c r="C728" s="326" t="s">
        <v>458</v>
      </c>
      <c r="D728" s="327" t="s">
        <v>734</v>
      </c>
      <c r="E728" s="1675" t="s">
        <v>1766</v>
      </c>
      <c r="F728" s="459">
        <v>1445.894</v>
      </c>
      <c r="G728" s="339">
        <v>639.94000000000005</v>
      </c>
      <c r="H728" s="337">
        <v>555.35799999999995</v>
      </c>
      <c r="I728" s="331">
        <v>21</v>
      </c>
      <c r="J728" s="577">
        <v>0.17004048582996001</v>
      </c>
      <c r="K728" s="579">
        <v>20.6432258064516</v>
      </c>
      <c r="L728" s="436">
        <v>1.47619047619048</v>
      </c>
      <c r="M728" s="42"/>
      <c r="N728" s="334">
        <v>123</v>
      </c>
      <c r="O728" s="335">
        <v>97</v>
      </c>
      <c r="P728" s="335">
        <v>25</v>
      </c>
      <c r="Q728" s="389">
        <v>1</v>
      </c>
      <c r="R728" s="430">
        <v>7</v>
      </c>
      <c r="S728" s="339"/>
      <c r="T728" s="362">
        <v>6</v>
      </c>
      <c r="U728" s="337">
        <v>5</v>
      </c>
      <c r="V728" s="338">
        <v>0.19230769230769201</v>
      </c>
    </row>
    <row r="729" spans="2:22" ht="13.5">
      <c r="B729" s="1577">
        <v>201503</v>
      </c>
      <c r="C729" s="324" t="s">
        <v>458</v>
      </c>
      <c r="D729" s="325" t="s">
        <v>735</v>
      </c>
      <c r="E729" s="1674" t="str">
        <f t="shared" si="3"/>
        <v>HỒNG KHÁNH HƯNG - MDRT HCM</v>
      </c>
      <c r="F729" s="460">
        <v>1492.769</v>
      </c>
      <c r="G729" s="92">
        <v>1046.3530000000001</v>
      </c>
      <c r="H729" s="279">
        <v>1124.9749999999999</v>
      </c>
      <c r="I729" s="154">
        <v>19</v>
      </c>
      <c r="J729" s="576">
        <v>0.39175257731958801</v>
      </c>
      <c r="K729" s="578">
        <v>33.753322580645197</v>
      </c>
      <c r="L729" s="437">
        <v>1.6315789473684199</v>
      </c>
      <c r="M729" s="42"/>
      <c r="N729" s="47">
        <v>50</v>
      </c>
      <c r="O729" s="45">
        <v>41</v>
      </c>
      <c r="P729" s="45">
        <v>7</v>
      </c>
      <c r="Q729" s="388">
        <v>2</v>
      </c>
      <c r="R729" s="429">
        <v>9</v>
      </c>
      <c r="S729" s="92">
        <v>2</v>
      </c>
      <c r="T729" s="361">
        <v>10</v>
      </c>
      <c r="U729" s="285">
        <v>5</v>
      </c>
      <c r="V729" s="438">
        <v>0.55555555555555602</v>
      </c>
    </row>
    <row r="730" spans="2:22" ht="13.5">
      <c r="B730" s="1577">
        <v>201503</v>
      </c>
      <c r="C730" s="326" t="s">
        <v>458</v>
      </c>
      <c r="D730" s="327" t="s">
        <v>798</v>
      </c>
      <c r="E730" s="1675" t="s">
        <v>1768</v>
      </c>
      <c r="F730" s="459">
        <v>760.53</v>
      </c>
      <c r="G730" s="339">
        <v>312.45999999999998</v>
      </c>
      <c r="H730" s="337">
        <v>324.04500000000002</v>
      </c>
      <c r="I730" s="331">
        <v>4</v>
      </c>
      <c r="J730" s="577">
        <v>0.13559322033898299</v>
      </c>
      <c r="K730" s="579">
        <v>15.622999999999999</v>
      </c>
      <c r="L730" s="436">
        <v>5</v>
      </c>
      <c r="M730" s="42"/>
      <c r="N730" s="334">
        <v>30</v>
      </c>
      <c r="O730" s="335">
        <v>18</v>
      </c>
      <c r="P730" s="335">
        <v>10</v>
      </c>
      <c r="Q730" s="389">
        <v>2</v>
      </c>
      <c r="R730" s="430">
        <v>4</v>
      </c>
      <c r="S730" s="339">
        <v>3</v>
      </c>
      <c r="T730" s="362">
        <v>2</v>
      </c>
      <c r="U730" s="337">
        <v>2</v>
      </c>
      <c r="V730" s="338">
        <v>0.16666666666666699</v>
      </c>
    </row>
    <row r="731" spans="2:22" ht="13.5">
      <c r="B731" s="1577">
        <v>201503</v>
      </c>
      <c r="C731" s="324" t="s">
        <v>458</v>
      </c>
      <c r="D731" s="325" t="s">
        <v>949</v>
      </c>
      <c r="E731" s="1674" t="str">
        <f t="shared" si="3"/>
        <v>HỒNG KHÁNH HƯNG - MDRT VT</v>
      </c>
      <c r="F731" s="460">
        <v>773.904</v>
      </c>
      <c r="G731" s="92">
        <v>411.483</v>
      </c>
      <c r="H731" s="279">
        <v>361.20299999999997</v>
      </c>
      <c r="I731" s="154">
        <v>18</v>
      </c>
      <c r="J731" s="576">
        <v>0.3</v>
      </c>
      <c r="K731" s="578">
        <v>11.1211621621622</v>
      </c>
      <c r="L731" s="437">
        <v>2.0555555555555598</v>
      </c>
      <c r="M731" s="42"/>
      <c r="N731" s="47">
        <v>71</v>
      </c>
      <c r="O731" s="45">
        <v>41</v>
      </c>
      <c r="P731" s="45">
        <v>16</v>
      </c>
      <c r="Q731" s="388">
        <v>14</v>
      </c>
      <c r="R731" s="429">
        <v>3</v>
      </c>
      <c r="S731" s="92">
        <v>12</v>
      </c>
      <c r="T731" s="361">
        <v>13</v>
      </c>
      <c r="U731" s="285">
        <v>8</v>
      </c>
      <c r="V731" s="438">
        <v>0.266666666666667</v>
      </c>
    </row>
    <row r="732" spans="2:22" ht="13.5">
      <c r="B732" s="1577">
        <v>201503</v>
      </c>
      <c r="C732" s="326" t="s">
        <v>458</v>
      </c>
      <c r="D732" s="327" t="s">
        <v>903</v>
      </c>
      <c r="E732" s="1675" t="str">
        <f t="shared" si="3"/>
        <v>TRẦN THỊ THÚY HẰNG</v>
      </c>
      <c r="F732" s="459">
        <v>1305.3879999999999</v>
      </c>
      <c r="G732" s="339">
        <v>742.73800000000006</v>
      </c>
      <c r="H732" s="337">
        <v>768.93499999999995</v>
      </c>
      <c r="I732" s="331">
        <v>25</v>
      </c>
      <c r="J732" s="577">
        <v>0.49019607843137297</v>
      </c>
      <c r="K732" s="579">
        <v>17.684238095238101</v>
      </c>
      <c r="L732" s="436">
        <v>1.68</v>
      </c>
      <c r="M732" s="42"/>
      <c r="N732" s="334">
        <v>62</v>
      </c>
      <c r="O732" s="335">
        <v>42</v>
      </c>
      <c r="P732" s="335">
        <v>17</v>
      </c>
      <c r="Q732" s="389">
        <v>3</v>
      </c>
      <c r="R732" s="430">
        <v>2</v>
      </c>
      <c r="S732" s="339">
        <v>9</v>
      </c>
      <c r="T732" s="362">
        <v>15</v>
      </c>
      <c r="U732" s="337">
        <v>10</v>
      </c>
      <c r="V732" s="338">
        <v>0.5</v>
      </c>
    </row>
    <row r="733" spans="2:22" ht="13.5">
      <c r="B733" s="1577">
        <v>201503</v>
      </c>
      <c r="C733" s="324" t="s">
        <v>458</v>
      </c>
      <c r="D733" s="325" t="s">
        <v>1101</v>
      </c>
      <c r="E733" s="1674" t="str">
        <f t="shared" si="3"/>
        <v>NGUYỄN TRẦN QUỐC TOẢN</v>
      </c>
      <c r="F733" s="460">
        <v>504.77300000000002</v>
      </c>
      <c r="G733" s="92">
        <v>259.07799999999997</v>
      </c>
      <c r="H733" s="279">
        <v>249.74</v>
      </c>
      <c r="I733" s="154">
        <v>5</v>
      </c>
      <c r="J733" s="576">
        <v>0.18181818181818199</v>
      </c>
      <c r="K733" s="578">
        <v>37.0111428571429</v>
      </c>
      <c r="L733" s="437">
        <v>1.4</v>
      </c>
      <c r="M733" s="42"/>
      <c r="N733" s="47">
        <v>33</v>
      </c>
      <c r="O733" s="45">
        <v>23</v>
      </c>
      <c r="P733" s="45">
        <v>9</v>
      </c>
      <c r="Q733" s="388">
        <v>1</v>
      </c>
      <c r="R733" s="429">
        <v>0</v>
      </c>
      <c r="S733" s="92"/>
      <c r="T733" s="361">
        <v>11</v>
      </c>
      <c r="U733" s="285">
        <v>6</v>
      </c>
      <c r="V733" s="438">
        <v>0.6</v>
      </c>
    </row>
    <row r="734" spans="2:22" ht="13.5">
      <c r="B734" s="1577">
        <v>201503</v>
      </c>
      <c r="C734" s="326" t="s">
        <v>458</v>
      </c>
      <c r="D734" s="327" t="s">
        <v>1102</v>
      </c>
      <c r="E734" s="1675" t="str">
        <f t="shared" si="3"/>
        <v>NGUYỄN HỮU HIỀN</v>
      </c>
      <c r="F734" s="459">
        <v>438.15199999999999</v>
      </c>
      <c r="G734" s="339">
        <v>342.59399999999999</v>
      </c>
      <c r="H734" s="337">
        <v>260.24099999999999</v>
      </c>
      <c r="I734" s="331">
        <v>10</v>
      </c>
      <c r="J734" s="577">
        <v>0.36363636363636398</v>
      </c>
      <c r="K734" s="579">
        <v>24.471</v>
      </c>
      <c r="L734" s="436">
        <v>1.4</v>
      </c>
      <c r="M734" s="42"/>
      <c r="N734" s="334">
        <v>35</v>
      </c>
      <c r="O734" s="335">
        <v>23</v>
      </c>
      <c r="P734" s="335">
        <v>10</v>
      </c>
      <c r="Q734" s="389">
        <v>2</v>
      </c>
      <c r="R734" s="430">
        <v>0</v>
      </c>
      <c r="S734" s="339">
        <v>5</v>
      </c>
      <c r="T734" s="362">
        <v>10</v>
      </c>
      <c r="U734" s="337">
        <v>6</v>
      </c>
      <c r="V734" s="338">
        <v>0.5</v>
      </c>
    </row>
    <row r="735" spans="2:22" ht="13.5">
      <c r="B735" s="1577">
        <v>201503</v>
      </c>
      <c r="C735" s="324" t="s">
        <v>458</v>
      </c>
      <c r="D735" s="325" t="s">
        <v>628</v>
      </c>
      <c r="E735" s="1674" t="str">
        <f t="shared" si="3"/>
        <v>NGUYỄN THỊ KIM HỒNG</v>
      </c>
      <c r="F735" s="460">
        <v>603.08100000000002</v>
      </c>
      <c r="G735" s="92">
        <v>189.08600000000001</v>
      </c>
      <c r="H735" s="279">
        <v>186.941</v>
      </c>
      <c r="I735" s="154">
        <v>9</v>
      </c>
      <c r="J735" s="576">
        <v>0.13740458015267201</v>
      </c>
      <c r="K735" s="578">
        <v>12.605733333333299</v>
      </c>
      <c r="L735" s="437">
        <v>1.6666666666666701</v>
      </c>
      <c r="M735" s="42"/>
      <c r="N735" s="47">
        <v>66</v>
      </c>
      <c r="O735" s="45">
        <v>45</v>
      </c>
      <c r="P735" s="45">
        <v>19</v>
      </c>
      <c r="Q735" s="388">
        <v>2</v>
      </c>
      <c r="R735" s="429">
        <v>5</v>
      </c>
      <c r="S735" s="92"/>
      <c r="T735" s="361">
        <v>6</v>
      </c>
      <c r="U735" s="285">
        <v>5</v>
      </c>
      <c r="V735" s="438">
        <v>0.238095238095238</v>
      </c>
    </row>
    <row r="736" spans="2:22" ht="13.5">
      <c r="B736" s="1577">
        <v>201503</v>
      </c>
      <c r="C736" s="326" t="s">
        <v>458</v>
      </c>
      <c r="D736" s="327" t="s">
        <v>557</v>
      </c>
      <c r="E736" s="1675" t="s">
        <v>1770</v>
      </c>
      <c r="F736" s="459">
        <v>466.654</v>
      </c>
      <c r="G736" s="339">
        <v>189.29300000000001</v>
      </c>
      <c r="H736" s="337">
        <v>191.51900000000001</v>
      </c>
      <c r="I736" s="331">
        <v>14</v>
      </c>
      <c r="J736" s="577">
        <v>0.177215189873418</v>
      </c>
      <c r="K736" s="579">
        <v>13.5209285714286</v>
      </c>
      <c r="L736" s="436">
        <v>1</v>
      </c>
      <c r="M736" s="42"/>
      <c r="N736" s="334">
        <v>83</v>
      </c>
      <c r="O736" s="335">
        <v>68</v>
      </c>
      <c r="P736" s="335">
        <v>12</v>
      </c>
      <c r="Q736" s="389">
        <v>3</v>
      </c>
      <c r="R736" s="430">
        <v>18</v>
      </c>
      <c r="S736" s="339">
        <v>4</v>
      </c>
      <c r="T736" s="362">
        <v>22</v>
      </c>
      <c r="U736" s="337">
        <v>10</v>
      </c>
      <c r="V736" s="338">
        <v>0.66666666666666696</v>
      </c>
    </row>
    <row r="737" spans="2:22" ht="13.5">
      <c r="B737" s="1577">
        <v>201503</v>
      </c>
      <c r="C737" s="324" t="s">
        <v>458</v>
      </c>
      <c r="D737" s="325" t="s">
        <v>47</v>
      </c>
      <c r="E737" s="1674" t="str">
        <f t="shared" si="3"/>
        <v>NGUYỄN THU HẰNG</v>
      </c>
      <c r="F737" s="460">
        <v>832.88900000000001</v>
      </c>
      <c r="G737" s="92">
        <v>468.27199999999999</v>
      </c>
      <c r="H737" s="279">
        <v>493.017</v>
      </c>
      <c r="I737" s="154">
        <v>9</v>
      </c>
      <c r="J737" s="576">
        <v>0.125874125874126</v>
      </c>
      <c r="K737" s="578">
        <v>29.266999999999999</v>
      </c>
      <c r="L737" s="437">
        <v>1.7777777777777799</v>
      </c>
      <c r="M737" s="42"/>
      <c r="N737" s="47">
        <v>73</v>
      </c>
      <c r="O737" s="45">
        <v>59</v>
      </c>
      <c r="P737" s="45">
        <v>14</v>
      </c>
      <c r="Q737" s="388">
        <v>0</v>
      </c>
      <c r="R737" s="429">
        <v>4</v>
      </c>
      <c r="S737" s="92"/>
      <c r="T737" s="361">
        <v>7</v>
      </c>
      <c r="U737" s="285">
        <v>4</v>
      </c>
      <c r="V737" s="438">
        <v>0.28571428571428598</v>
      </c>
    </row>
    <row r="738" spans="2:22" ht="13.5">
      <c r="B738" s="1577">
        <v>201503</v>
      </c>
      <c r="C738" s="326" t="s">
        <v>458</v>
      </c>
      <c r="D738" s="327" t="s">
        <v>736</v>
      </c>
      <c r="E738" s="1675" t="str">
        <f t="shared" si="3"/>
        <v>NGUYỄN THỊ PHƯƠNG TRINH</v>
      </c>
      <c r="F738" s="459">
        <v>1087.239</v>
      </c>
      <c r="G738" s="339">
        <v>581.05999999999995</v>
      </c>
      <c r="H738" s="337">
        <v>561.08600000000001</v>
      </c>
      <c r="I738" s="331">
        <v>16</v>
      </c>
      <c r="J738" s="577">
        <v>0.16080402010050299</v>
      </c>
      <c r="K738" s="579">
        <v>17.6078787878788</v>
      </c>
      <c r="L738" s="436">
        <v>2.0625</v>
      </c>
      <c r="M738" s="42"/>
      <c r="N738" s="334">
        <v>96</v>
      </c>
      <c r="O738" s="335">
        <v>79</v>
      </c>
      <c r="P738" s="335">
        <v>10</v>
      </c>
      <c r="Q738" s="389">
        <v>7</v>
      </c>
      <c r="R738" s="430">
        <v>17</v>
      </c>
      <c r="S738" s="339"/>
      <c r="T738" s="362">
        <v>9</v>
      </c>
      <c r="U738" s="337">
        <v>7</v>
      </c>
      <c r="V738" s="338">
        <v>0.41176470588235298</v>
      </c>
    </row>
    <row r="739" spans="2:22" ht="13.5">
      <c r="B739" s="1577">
        <v>201503</v>
      </c>
      <c r="C739" s="324" t="s">
        <v>458</v>
      </c>
      <c r="D739" s="325" t="s">
        <v>647</v>
      </c>
      <c r="E739" s="1674" t="str">
        <f t="shared" si="3"/>
        <v>VÕ MẠNH KHA</v>
      </c>
      <c r="F739" s="460">
        <v>462.82100000000003</v>
      </c>
      <c r="G739" s="92">
        <v>142.40600000000001</v>
      </c>
      <c r="H739" s="279">
        <v>173.887</v>
      </c>
      <c r="I739" s="154">
        <v>7</v>
      </c>
      <c r="J739" s="576">
        <v>0.123893805309735</v>
      </c>
      <c r="K739" s="578">
        <v>20.343714285714299</v>
      </c>
      <c r="L739" s="437">
        <v>1</v>
      </c>
      <c r="M739" s="42"/>
      <c r="N739" s="47">
        <v>56</v>
      </c>
      <c r="O739" s="45">
        <v>37</v>
      </c>
      <c r="P739" s="45">
        <v>13</v>
      </c>
      <c r="Q739" s="388">
        <v>6</v>
      </c>
      <c r="R739" s="429">
        <v>5</v>
      </c>
      <c r="S739" s="92"/>
      <c r="T739" s="361">
        <v>3</v>
      </c>
      <c r="U739" s="285">
        <v>3</v>
      </c>
      <c r="V739" s="438">
        <v>0.157894736842105</v>
      </c>
    </row>
    <row r="740" spans="2:22" ht="13.5">
      <c r="B740" s="1577">
        <v>201503</v>
      </c>
      <c r="C740" s="326" t="s">
        <v>458</v>
      </c>
      <c r="D740" s="327" t="s">
        <v>796</v>
      </c>
      <c r="E740" s="1675" t="str">
        <f t="shared" si="3"/>
        <v>ĐỖ THỊ THANH THÚY</v>
      </c>
      <c r="F740" s="459">
        <v>1437.2049999999999</v>
      </c>
      <c r="G740" s="339">
        <v>658.57899999999995</v>
      </c>
      <c r="H740" s="337">
        <v>664.75</v>
      </c>
      <c r="I740" s="331">
        <v>14</v>
      </c>
      <c r="J740" s="577">
        <v>0.20437956204379601</v>
      </c>
      <c r="K740" s="579">
        <v>20.580593749999998</v>
      </c>
      <c r="L740" s="436">
        <v>2.28571428571429</v>
      </c>
      <c r="M740" s="42"/>
      <c r="N740" s="334">
        <v>67</v>
      </c>
      <c r="O740" s="335">
        <v>49</v>
      </c>
      <c r="P740" s="335">
        <v>16</v>
      </c>
      <c r="Q740" s="389">
        <v>2</v>
      </c>
      <c r="R740" s="430">
        <v>10</v>
      </c>
      <c r="S740" s="339"/>
      <c r="T740" s="362">
        <v>6</v>
      </c>
      <c r="U740" s="337">
        <v>4</v>
      </c>
      <c r="V740" s="338">
        <v>0.22222222222222199</v>
      </c>
    </row>
    <row r="741" spans="2:22" ht="13.5">
      <c r="B741" s="1577">
        <v>201503</v>
      </c>
      <c r="C741" s="324" t="s">
        <v>458</v>
      </c>
      <c r="D741" s="325" t="s">
        <v>630</v>
      </c>
      <c r="E741" s="1674" t="str">
        <f t="shared" si="3"/>
        <v>NGUYỄN VĂN HẠNH</v>
      </c>
      <c r="F741" s="460">
        <v>833.09299999999996</v>
      </c>
      <c r="G741" s="92">
        <v>369.02</v>
      </c>
      <c r="H741" s="279">
        <v>372.35700000000003</v>
      </c>
      <c r="I741" s="154">
        <v>21</v>
      </c>
      <c r="J741" s="576">
        <v>0.22702702702702701</v>
      </c>
      <c r="K741" s="578">
        <v>12.724827586206899</v>
      </c>
      <c r="L741" s="437">
        <v>1.38095238095238</v>
      </c>
      <c r="M741" s="42"/>
      <c r="N741" s="47">
        <v>94</v>
      </c>
      <c r="O741" s="45">
        <v>73</v>
      </c>
      <c r="P741" s="45">
        <v>15</v>
      </c>
      <c r="Q741" s="388">
        <v>6</v>
      </c>
      <c r="R741" s="429">
        <v>9</v>
      </c>
      <c r="S741" s="92">
        <v>1</v>
      </c>
      <c r="T741" s="361">
        <v>11</v>
      </c>
      <c r="U741" s="285">
        <v>7</v>
      </c>
      <c r="V741" s="438">
        <v>0.33333333333333298</v>
      </c>
    </row>
    <row r="742" spans="2:22" ht="13.5">
      <c r="B742" s="1577">
        <v>201503</v>
      </c>
      <c r="C742" s="326" t="s">
        <v>458</v>
      </c>
      <c r="D742" s="327" t="s">
        <v>905</v>
      </c>
      <c r="E742" s="1675" t="str">
        <f t="shared" si="3"/>
        <v>PHẠM THỊ THANH TRÚC</v>
      </c>
      <c r="F742" s="459">
        <v>1662.3489999999999</v>
      </c>
      <c r="G742" s="339">
        <v>1482.248</v>
      </c>
      <c r="H742" s="337">
        <v>1449.76</v>
      </c>
      <c r="I742" s="331">
        <v>19</v>
      </c>
      <c r="J742" s="577">
        <v>0.47499999999999998</v>
      </c>
      <c r="K742" s="579">
        <v>52.937428571428597</v>
      </c>
      <c r="L742" s="436">
        <v>1.4736842105263199</v>
      </c>
      <c r="M742" s="42"/>
      <c r="N742" s="334">
        <v>39</v>
      </c>
      <c r="O742" s="335">
        <v>30</v>
      </c>
      <c r="P742" s="335">
        <v>9</v>
      </c>
      <c r="Q742" s="389">
        <v>0</v>
      </c>
      <c r="R742" s="430">
        <v>5</v>
      </c>
      <c r="S742" s="339"/>
      <c r="T742" s="362">
        <v>3</v>
      </c>
      <c r="U742" s="337">
        <v>2</v>
      </c>
      <c r="V742" s="338">
        <v>0.22222222222222199</v>
      </c>
    </row>
    <row r="743" spans="2:22" ht="13.5">
      <c r="B743" s="1577">
        <v>201503</v>
      </c>
      <c r="C743" s="324" t="s">
        <v>458</v>
      </c>
      <c r="D743" s="325" t="s">
        <v>648</v>
      </c>
      <c r="E743" s="1674" t="str">
        <f t="shared" si="3"/>
        <v>NGUYỄN QUÝ NHÂN</v>
      </c>
      <c r="F743" s="460">
        <v>528.40200000000004</v>
      </c>
      <c r="G743" s="92">
        <v>234.452</v>
      </c>
      <c r="H743" s="279">
        <v>253.523</v>
      </c>
      <c r="I743" s="154">
        <v>14</v>
      </c>
      <c r="J743" s="576">
        <v>0.24347826086956501</v>
      </c>
      <c r="K743" s="578">
        <v>14.65325</v>
      </c>
      <c r="L743" s="437">
        <v>1.1428571428571399</v>
      </c>
      <c r="M743" s="42"/>
      <c r="N743" s="47">
        <v>60</v>
      </c>
      <c r="O743" s="45">
        <v>43</v>
      </c>
      <c r="P743" s="45">
        <v>15</v>
      </c>
      <c r="Q743" s="388">
        <v>2</v>
      </c>
      <c r="R743" s="429">
        <v>4</v>
      </c>
      <c r="S743" s="92">
        <v>3</v>
      </c>
      <c r="T743" s="361">
        <v>6</v>
      </c>
      <c r="U743" s="285">
        <v>3</v>
      </c>
      <c r="V743" s="438">
        <v>0.17647058823529399</v>
      </c>
    </row>
    <row r="744" spans="2:22" ht="13.5">
      <c r="B744" s="1577">
        <v>201503</v>
      </c>
      <c r="C744" s="326" t="s">
        <v>459</v>
      </c>
      <c r="D744" s="327" t="s">
        <v>1100</v>
      </c>
      <c r="E744" s="1675" t="s">
        <v>1774</v>
      </c>
      <c r="F744" s="459">
        <v>1596.356</v>
      </c>
      <c r="G744" s="339">
        <v>648.83799999999997</v>
      </c>
      <c r="H744" s="337">
        <v>648.83799999999997</v>
      </c>
      <c r="I744" s="331">
        <v>35</v>
      </c>
      <c r="J744" s="577">
        <v>0.2734375</v>
      </c>
      <c r="K744" s="579">
        <v>13.5174583333333</v>
      </c>
      <c r="L744" s="436">
        <v>1.3714285714285701</v>
      </c>
      <c r="M744" s="42"/>
      <c r="N744" s="334">
        <v>135</v>
      </c>
      <c r="O744" s="335">
        <v>106</v>
      </c>
      <c r="P744" s="335">
        <v>22</v>
      </c>
      <c r="Q744" s="389">
        <v>7</v>
      </c>
      <c r="R744" s="430">
        <v>3</v>
      </c>
      <c r="S744" s="339"/>
      <c r="T744" s="362">
        <v>17</v>
      </c>
      <c r="U744" s="337">
        <v>11</v>
      </c>
      <c r="V744" s="338">
        <v>0.37931034482758602</v>
      </c>
    </row>
    <row r="745" spans="2:22" ht="13.5">
      <c r="B745" s="1577">
        <v>201503</v>
      </c>
      <c r="C745" s="324" t="s">
        <v>459</v>
      </c>
      <c r="D745" s="325" t="s">
        <v>1103</v>
      </c>
      <c r="E745" s="1676" t="s">
        <v>1161</v>
      </c>
      <c r="F745" s="460"/>
      <c r="G745" s="92">
        <v>0</v>
      </c>
      <c r="H745" s="279">
        <v>0</v>
      </c>
      <c r="I745" s="154">
        <v>0</v>
      </c>
      <c r="J745" s="576">
        <v>0</v>
      </c>
      <c r="K745" s="578">
        <v>0</v>
      </c>
      <c r="L745" s="437">
        <v>0</v>
      </c>
      <c r="M745" s="42"/>
      <c r="N745" s="47">
        <v>7</v>
      </c>
      <c r="O745" s="45">
        <v>5</v>
      </c>
      <c r="P745" s="45">
        <v>2</v>
      </c>
      <c r="Q745" s="388">
        <v>0</v>
      </c>
      <c r="R745" s="429">
        <v>1</v>
      </c>
      <c r="S745" s="92">
        <v>3</v>
      </c>
      <c r="T745" s="361">
        <v>5</v>
      </c>
      <c r="U745" s="285">
        <v>2</v>
      </c>
      <c r="V745" s="438">
        <v>1</v>
      </c>
    </row>
    <row r="746" spans="2:22" ht="13.5">
      <c r="B746" s="1577">
        <v>201503</v>
      </c>
      <c r="C746" s="326" t="s">
        <v>459</v>
      </c>
      <c r="D746" s="327" t="s">
        <v>661</v>
      </c>
      <c r="E746" s="325" t="s">
        <v>1950</v>
      </c>
      <c r="F746" s="459">
        <v>854.35599999999999</v>
      </c>
      <c r="G746" s="339">
        <v>443.779</v>
      </c>
      <c r="H746" s="337">
        <v>436.86599999999999</v>
      </c>
      <c r="I746" s="331">
        <v>20</v>
      </c>
      <c r="J746" s="577">
        <v>0.45977011494252901</v>
      </c>
      <c r="K746" s="579">
        <v>13.4478484848485</v>
      </c>
      <c r="L746" s="436">
        <v>1.65</v>
      </c>
      <c r="M746" s="42"/>
      <c r="N746" s="334">
        <v>45</v>
      </c>
      <c r="O746" s="335">
        <v>33</v>
      </c>
      <c r="P746" s="335">
        <v>7</v>
      </c>
      <c r="Q746" s="389">
        <v>5</v>
      </c>
      <c r="R746" s="430">
        <v>4</v>
      </c>
      <c r="S746" s="339">
        <v>2</v>
      </c>
      <c r="T746" s="362">
        <v>5</v>
      </c>
      <c r="U746" s="337">
        <v>4</v>
      </c>
      <c r="V746" s="338">
        <v>0.33333333333333298</v>
      </c>
    </row>
    <row r="747" spans="2:22" ht="13.5">
      <c r="B747" s="1577">
        <v>201503</v>
      </c>
      <c r="C747" s="324" t="s">
        <v>459</v>
      </c>
      <c r="D747" s="325" t="s">
        <v>179</v>
      </c>
      <c r="E747" s="1674" t="str">
        <f>VLOOKUP(D747,$D$760:$E$798,2,0)</f>
        <v>LÊ THANH HUYỀN</v>
      </c>
      <c r="F747" s="460">
        <v>3370.875</v>
      </c>
      <c r="G747" s="92">
        <v>1846.3</v>
      </c>
      <c r="H747" s="279">
        <v>1839.9380000000001</v>
      </c>
      <c r="I747" s="154">
        <v>73</v>
      </c>
      <c r="J747" s="576">
        <v>0.36499999999999999</v>
      </c>
      <c r="K747" s="578">
        <v>17.583809523809499</v>
      </c>
      <c r="L747" s="437">
        <v>1.4383561643835601</v>
      </c>
      <c r="M747" s="42"/>
      <c r="N747" s="47">
        <v>215</v>
      </c>
      <c r="O747" s="45">
        <v>149</v>
      </c>
      <c r="P747" s="45">
        <v>61</v>
      </c>
      <c r="Q747" s="388">
        <v>5</v>
      </c>
      <c r="R747" s="429">
        <v>19</v>
      </c>
      <c r="S747" s="92">
        <v>7</v>
      </c>
      <c r="T747" s="361">
        <v>42</v>
      </c>
      <c r="U747" s="285">
        <v>27</v>
      </c>
      <c r="V747" s="438">
        <v>0.40909090909090901</v>
      </c>
    </row>
    <row r="748" spans="2:22" ht="13.5">
      <c r="B748" s="1577">
        <v>201503</v>
      </c>
      <c r="C748" s="326" t="s">
        <v>459</v>
      </c>
      <c r="D748" s="327" t="s">
        <v>659</v>
      </c>
      <c r="E748" s="1675" t="str">
        <f>VLOOKUP(D748,$D$760:$E$798,2,0)</f>
        <v>NGUYỄN THỊ ĐÀO</v>
      </c>
      <c r="F748" s="459">
        <v>1004.027</v>
      </c>
      <c r="G748" s="339">
        <v>503.75599999999997</v>
      </c>
      <c r="H748" s="337">
        <v>499.57499999999999</v>
      </c>
      <c r="I748" s="331">
        <v>14</v>
      </c>
      <c r="J748" s="577">
        <v>0.155555555555556</v>
      </c>
      <c r="K748" s="579">
        <v>20.15024</v>
      </c>
      <c r="L748" s="436">
        <v>1.78571428571429</v>
      </c>
      <c r="M748" s="42"/>
      <c r="N748" s="334">
        <v>93</v>
      </c>
      <c r="O748" s="335">
        <v>67</v>
      </c>
      <c r="P748" s="335">
        <v>16</v>
      </c>
      <c r="Q748" s="389">
        <v>10</v>
      </c>
      <c r="R748" s="430">
        <v>10</v>
      </c>
      <c r="S748" s="339">
        <v>2</v>
      </c>
      <c r="T748" s="362">
        <v>14</v>
      </c>
      <c r="U748" s="337">
        <v>9</v>
      </c>
      <c r="V748" s="338">
        <v>0.34615384615384598</v>
      </c>
    </row>
    <row r="749" spans="2:22" ht="13.5">
      <c r="B749" s="1577">
        <v>201503</v>
      </c>
      <c r="C749" s="324" t="s">
        <v>459</v>
      </c>
      <c r="D749" s="325" t="s">
        <v>699</v>
      </c>
      <c r="E749" s="1674" t="str">
        <f>VLOOKUP(D749,$D$760:$E$798,2,0)</f>
        <v>NGUYỄN THỊ NGỌC LAN</v>
      </c>
      <c r="F749" s="460">
        <v>389.298</v>
      </c>
      <c r="G749" s="92">
        <v>174.05199999999999</v>
      </c>
      <c r="H749" s="279">
        <v>163.54300000000001</v>
      </c>
      <c r="I749" s="154">
        <v>9</v>
      </c>
      <c r="J749" s="576">
        <v>0.146341463414634</v>
      </c>
      <c r="K749" s="578">
        <v>12.432285714285699</v>
      </c>
      <c r="L749" s="437">
        <v>1.55555555555556</v>
      </c>
      <c r="M749" s="42"/>
      <c r="N749" s="47">
        <v>64</v>
      </c>
      <c r="O749" s="45">
        <v>48</v>
      </c>
      <c r="P749" s="45">
        <v>13</v>
      </c>
      <c r="Q749" s="388">
        <v>3</v>
      </c>
      <c r="R749" s="429">
        <v>4</v>
      </c>
      <c r="S749" s="92"/>
      <c r="T749" s="361">
        <v>9</v>
      </c>
      <c r="U749" s="285">
        <v>6</v>
      </c>
      <c r="V749" s="438">
        <v>0.375</v>
      </c>
    </row>
    <row r="750" spans="2:22" ht="13.5">
      <c r="B750" s="1577">
        <v>201503</v>
      </c>
      <c r="C750" s="326" t="s">
        <v>459</v>
      </c>
      <c r="D750" s="327" t="s">
        <v>1015</v>
      </c>
      <c r="E750" s="1676" t="s">
        <v>1348</v>
      </c>
      <c r="F750" s="459">
        <v>101.23399999999999</v>
      </c>
      <c r="G750" s="339">
        <v>38.906999999999996</v>
      </c>
      <c r="H750" s="337">
        <v>38.906999999999996</v>
      </c>
      <c r="I750" s="331">
        <v>4</v>
      </c>
      <c r="J750" s="577">
        <v>0.186046511627907</v>
      </c>
      <c r="K750" s="579">
        <v>9.7267499999999991</v>
      </c>
      <c r="L750" s="436">
        <v>1</v>
      </c>
      <c r="M750" s="42"/>
      <c r="N750" s="334">
        <v>29</v>
      </c>
      <c r="O750" s="335">
        <v>21</v>
      </c>
      <c r="P750" s="335">
        <v>7</v>
      </c>
      <c r="Q750" s="389">
        <v>1</v>
      </c>
      <c r="R750" s="430">
        <v>0</v>
      </c>
      <c r="S750" s="339">
        <v>3</v>
      </c>
      <c r="T750" s="362">
        <v>12</v>
      </c>
      <c r="U750" s="337">
        <v>5</v>
      </c>
      <c r="V750" s="338">
        <v>0.625</v>
      </c>
    </row>
    <row r="751" spans="2:22" ht="13.5">
      <c r="B751" s="1577">
        <v>201503</v>
      </c>
      <c r="C751" s="324" t="s">
        <v>459</v>
      </c>
      <c r="D751" s="325" t="s">
        <v>825</v>
      </c>
      <c r="E751" s="1674" t="s">
        <v>1773</v>
      </c>
      <c r="F751" s="460">
        <v>735.70299999999997</v>
      </c>
      <c r="G751" s="92">
        <v>218.95099999999999</v>
      </c>
      <c r="H751" s="279">
        <v>218.95099999999999</v>
      </c>
      <c r="I751" s="154">
        <v>9</v>
      </c>
      <c r="J751" s="576">
        <v>9.5238095238095205E-2</v>
      </c>
      <c r="K751" s="578">
        <v>12.1639444444444</v>
      </c>
      <c r="L751" s="437">
        <v>2</v>
      </c>
      <c r="M751" s="42"/>
      <c r="N751" s="47">
        <v>95</v>
      </c>
      <c r="O751" s="45">
        <v>74</v>
      </c>
      <c r="P751" s="45">
        <v>18</v>
      </c>
      <c r="Q751" s="388">
        <v>3</v>
      </c>
      <c r="R751" s="429">
        <v>5</v>
      </c>
      <c r="S751" s="92"/>
      <c r="T751" s="361">
        <v>6</v>
      </c>
      <c r="U751" s="285">
        <v>5</v>
      </c>
      <c r="V751" s="438">
        <v>0.238095238095238</v>
      </c>
    </row>
    <row r="752" spans="2:22" ht="13.5">
      <c r="B752" s="1577">
        <v>201503</v>
      </c>
      <c r="C752" s="326" t="s">
        <v>459</v>
      </c>
      <c r="D752" s="327" t="s">
        <v>185</v>
      </c>
      <c r="E752" s="1675" t="str">
        <f t="shared" ref="E752:E759" si="4">VLOOKUP(D752,$D$760:$E$798,2,0)</f>
        <v>NGUYỄN THỊ BÌNH</v>
      </c>
      <c r="F752" s="459">
        <v>921.72099999999898</v>
      </c>
      <c r="G752" s="339">
        <v>342.065</v>
      </c>
      <c r="H752" s="337">
        <v>342.065</v>
      </c>
      <c r="I752" s="331">
        <v>13</v>
      </c>
      <c r="J752" s="577">
        <v>0.26262626262626299</v>
      </c>
      <c r="K752" s="579">
        <v>17.103249999999999</v>
      </c>
      <c r="L752" s="436">
        <v>1.5384615384615401</v>
      </c>
      <c r="M752" s="42"/>
      <c r="N752" s="334">
        <v>49</v>
      </c>
      <c r="O752" s="335">
        <v>36</v>
      </c>
      <c r="P752" s="335">
        <v>7</v>
      </c>
      <c r="Q752" s="389">
        <v>6</v>
      </c>
      <c r="R752" s="430">
        <v>6</v>
      </c>
      <c r="S752" s="339"/>
      <c r="T752" s="362">
        <v>5</v>
      </c>
      <c r="U752" s="337">
        <v>4</v>
      </c>
      <c r="V752" s="338">
        <v>0.30769230769230799</v>
      </c>
    </row>
    <row r="753" spans="2:22" ht="13.5">
      <c r="B753" s="1577">
        <v>201503</v>
      </c>
      <c r="C753" s="324" t="s">
        <v>459</v>
      </c>
      <c r="D753" s="325" t="s">
        <v>660</v>
      </c>
      <c r="E753" s="1674" t="str">
        <f t="shared" si="4"/>
        <v>CHU THỊ ÁI THƯƠNG</v>
      </c>
      <c r="F753" s="460">
        <v>1220.18</v>
      </c>
      <c r="G753" s="92">
        <v>467.41500000000002</v>
      </c>
      <c r="H753" s="279">
        <v>467.41500000000002</v>
      </c>
      <c r="I753" s="154">
        <v>31</v>
      </c>
      <c r="J753" s="576">
        <v>0.28440366972477099</v>
      </c>
      <c r="K753" s="578">
        <v>10.8701162790698</v>
      </c>
      <c r="L753" s="437">
        <v>1.38709677419355</v>
      </c>
      <c r="M753" s="42"/>
      <c r="N753" s="47">
        <v>128</v>
      </c>
      <c r="O753" s="45">
        <v>107</v>
      </c>
      <c r="P753" s="45">
        <v>15</v>
      </c>
      <c r="Q753" s="388">
        <v>6</v>
      </c>
      <c r="R753" s="429">
        <v>11</v>
      </c>
      <c r="S753" s="92">
        <v>1</v>
      </c>
      <c r="T753" s="361">
        <v>48</v>
      </c>
      <c r="U753" s="285">
        <v>16</v>
      </c>
      <c r="V753" s="438">
        <v>0.76190476190476197</v>
      </c>
    </row>
    <row r="754" spans="2:22" ht="13.5">
      <c r="B754" s="1577">
        <v>201503</v>
      </c>
      <c r="C754" s="326" t="s">
        <v>459</v>
      </c>
      <c r="D754" s="327" t="s">
        <v>737</v>
      </c>
      <c r="E754" s="1675"/>
      <c r="F754" s="459">
        <v>893.17200000000003</v>
      </c>
      <c r="G754" s="339">
        <v>470.39400000000001</v>
      </c>
      <c r="H754" s="337">
        <v>458.46300000000002</v>
      </c>
      <c r="I754" s="331">
        <v>7</v>
      </c>
      <c r="J754" s="577">
        <v>0.18918918918918901</v>
      </c>
      <c r="K754" s="579">
        <v>24.757578947368401</v>
      </c>
      <c r="L754" s="436">
        <v>2.71428571428571</v>
      </c>
      <c r="M754" s="42"/>
      <c r="N754" s="334">
        <v>36</v>
      </c>
      <c r="O754" s="335">
        <v>25</v>
      </c>
      <c r="P754" s="335">
        <v>9</v>
      </c>
      <c r="Q754" s="389">
        <v>2</v>
      </c>
      <c r="R754" s="430">
        <v>5</v>
      </c>
      <c r="S754" s="339"/>
      <c r="T754" s="362">
        <v>3</v>
      </c>
      <c r="U754" s="337">
        <v>2</v>
      </c>
      <c r="V754" s="338">
        <v>0.18181818181818199</v>
      </c>
    </row>
    <row r="755" spans="2:22" ht="13.5">
      <c r="B755" s="1577">
        <v>201503</v>
      </c>
      <c r="C755" s="324" t="s">
        <v>459</v>
      </c>
      <c r="D755" s="325" t="s">
        <v>662</v>
      </c>
      <c r="E755" s="1674"/>
      <c r="F755" s="460">
        <v>380.75400000000002</v>
      </c>
      <c r="G755" s="92">
        <v>170.43799999999999</v>
      </c>
      <c r="H755" s="279">
        <v>149.45699999999999</v>
      </c>
      <c r="I755" s="154">
        <v>16</v>
      </c>
      <c r="J755" s="576">
        <v>0.32</v>
      </c>
      <c r="K755" s="578">
        <v>9.4687777777777793</v>
      </c>
      <c r="L755" s="437">
        <v>1.125</v>
      </c>
      <c r="M755" s="42"/>
      <c r="N755" s="47">
        <v>49</v>
      </c>
      <c r="O755" s="45">
        <v>38</v>
      </c>
      <c r="P755" s="45">
        <v>10</v>
      </c>
      <c r="Q755" s="388">
        <v>1</v>
      </c>
      <c r="R755" s="429">
        <v>10</v>
      </c>
      <c r="S755" s="92"/>
      <c r="T755" s="361">
        <v>8</v>
      </c>
      <c r="U755" s="285">
        <v>4</v>
      </c>
      <c r="V755" s="438">
        <v>0.36363636363636398</v>
      </c>
    </row>
    <row r="756" spans="2:22" ht="13.5">
      <c r="B756" s="1577">
        <v>201503</v>
      </c>
      <c r="C756" s="326" t="s">
        <v>459</v>
      </c>
      <c r="D756" s="327" t="s">
        <v>799</v>
      </c>
      <c r="E756" s="1675" t="str">
        <f t="shared" si="4"/>
        <v>NGUYỄN THỊ KIM CHUNG</v>
      </c>
      <c r="F756" s="459">
        <v>448.73099999999999</v>
      </c>
      <c r="G756" s="339">
        <v>131.577</v>
      </c>
      <c r="H756" s="337">
        <v>135.68299999999999</v>
      </c>
      <c r="I756" s="331">
        <v>9</v>
      </c>
      <c r="J756" s="577">
        <v>0.18181818181818199</v>
      </c>
      <c r="K756" s="579">
        <v>11.961545454545501</v>
      </c>
      <c r="L756" s="436">
        <v>1.2222222222222201</v>
      </c>
      <c r="M756" s="42"/>
      <c r="N756" s="334">
        <v>50</v>
      </c>
      <c r="O756" s="335">
        <v>33</v>
      </c>
      <c r="P756" s="335">
        <v>15</v>
      </c>
      <c r="Q756" s="389">
        <v>2</v>
      </c>
      <c r="R756" s="430">
        <v>2</v>
      </c>
      <c r="S756" s="339"/>
      <c r="T756" s="362">
        <v>3</v>
      </c>
      <c r="U756" s="337">
        <v>2</v>
      </c>
      <c r="V756" s="338">
        <v>0.11764705882352899</v>
      </c>
    </row>
    <row r="757" spans="2:22" ht="13.5">
      <c r="B757" s="1577">
        <v>201503</v>
      </c>
      <c r="C757" s="324" t="s">
        <v>459</v>
      </c>
      <c r="D757" s="325" t="s">
        <v>177</v>
      </c>
      <c r="E757" s="1674" t="str">
        <f t="shared" si="4"/>
        <v>MAI QUỐC HUY</v>
      </c>
      <c r="F757" s="460">
        <v>1691.634</v>
      </c>
      <c r="G757" s="92">
        <v>584.697</v>
      </c>
      <c r="H757" s="279">
        <v>565.101</v>
      </c>
      <c r="I757" s="154">
        <v>20</v>
      </c>
      <c r="J757" s="576">
        <v>0.18779342723004699</v>
      </c>
      <c r="K757" s="578">
        <v>17.7180909090909</v>
      </c>
      <c r="L757" s="437">
        <v>1.65</v>
      </c>
      <c r="M757" s="42"/>
      <c r="N757" s="47">
        <v>111</v>
      </c>
      <c r="O757" s="45">
        <v>78</v>
      </c>
      <c r="P757" s="45">
        <v>31</v>
      </c>
      <c r="Q757" s="388">
        <v>2</v>
      </c>
      <c r="R757" s="429">
        <v>6</v>
      </c>
      <c r="S757" s="92">
        <v>4</v>
      </c>
      <c r="T757" s="361">
        <v>11</v>
      </c>
      <c r="U757" s="285">
        <v>8</v>
      </c>
      <c r="V757" s="438">
        <v>0.24242424242424199</v>
      </c>
    </row>
    <row r="758" spans="2:22" ht="13.5">
      <c r="B758" s="1577">
        <v>201503</v>
      </c>
      <c r="C758" s="326" t="s">
        <v>459</v>
      </c>
      <c r="D758" s="327" t="s">
        <v>176</v>
      </c>
      <c r="E758" s="1675" t="str">
        <f t="shared" si="4"/>
        <v>NGUYỄN VĂN CÔNG</v>
      </c>
      <c r="F758" s="459">
        <v>3216.9250000000002</v>
      </c>
      <c r="G758" s="339">
        <v>1943.7329999999999</v>
      </c>
      <c r="H758" s="337">
        <v>1951.306</v>
      </c>
      <c r="I758" s="331">
        <v>61</v>
      </c>
      <c r="J758" s="577">
        <v>0.35362318840579698</v>
      </c>
      <c r="K758" s="579">
        <v>24.604215189873401</v>
      </c>
      <c r="L758" s="436">
        <v>1.29508196721311</v>
      </c>
      <c r="M758" s="42"/>
      <c r="N758" s="334">
        <v>169</v>
      </c>
      <c r="O758" s="335">
        <v>136</v>
      </c>
      <c r="P758" s="335">
        <v>27</v>
      </c>
      <c r="Q758" s="389">
        <v>6</v>
      </c>
      <c r="R758" s="430">
        <v>18</v>
      </c>
      <c r="S758" s="339"/>
      <c r="T758" s="362">
        <v>11</v>
      </c>
      <c r="U758" s="337">
        <v>8</v>
      </c>
      <c r="V758" s="338">
        <v>0.24242424242424199</v>
      </c>
    </row>
    <row r="759" spans="2:22" ht="13.5">
      <c r="B759" s="1577">
        <v>201503</v>
      </c>
      <c r="C759" s="324" t="s">
        <v>459</v>
      </c>
      <c r="D759" s="325" t="s">
        <v>1104</v>
      </c>
      <c r="E759" s="1674" t="str">
        <f t="shared" si="4"/>
        <v>LÊ THỊ THƠI</v>
      </c>
      <c r="F759" s="460">
        <v>427.97</v>
      </c>
      <c r="G759" s="92">
        <v>151.04</v>
      </c>
      <c r="H759" s="279">
        <v>151.04</v>
      </c>
      <c r="I759" s="154">
        <v>15</v>
      </c>
      <c r="J759" s="576">
        <v>0.29411764705882398</v>
      </c>
      <c r="K759" s="578">
        <v>9.44</v>
      </c>
      <c r="L759" s="437">
        <v>1.06666666666667</v>
      </c>
      <c r="M759" s="42"/>
      <c r="N759" s="47">
        <v>56</v>
      </c>
      <c r="O759" s="45">
        <v>41</v>
      </c>
      <c r="P759" s="45">
        <v>9</v>
      </c>
      <c r="Q759" s="388">
        <v>6</v>
      </c>
      <c r="R759" s="429">
        <v>0</v>
      </c>
      <c r="S759" s="92">
        <v>1</v>
      </c>
      <c r="T759" s="361">
        <v>9</v>
      </c>
      <c r="U759" s="285">
        <v>7</v>
      </c>
      <c r="V759" s="438">
        <v>0.46666666666666701</v>
      </c>
    </row>
    <row r="760" spans="2:22" ht="13.5">
      <c r="B760" s="1577">
        <v>201502</v>
      </c>
      <c r="C760" s="326" t="s">
        <v>458</v>
      </c>
      <c r="D760" s="327" t="s">
        <v>1099</v>
      </c>
      <c r="E760" s="1675" t="s">
        <v>1286</v>
      </c>
      <c r="F760" s="459">
        <v>209.584</v>
      </c>
      <c r="G760" s="339">
        <v>274.69900000000001</v>
      </c>
      <c r="H760" s="337">
        <v>209.584</v>
      </c>
      <c r="I760" s="331">
        <v>13</v>
      </c>
      <c r="J760" s="577">
        <v>0.337662337662338</v>
      </c>
      <c r="K760" s="579">
        <v>14.4578421052632</v>
      </c>
      <c r="L760" s="436">
        <v>1.4615384615384599</v>
      </c>
      <c r="M760" s="42"/>
      <c r="N760" s="334">
        <v>40</v>
      </c>
      <c r="O760" s="335">
        <v>28</v>
      </c>
      <c r="P760" s="335">
        <v>11</v>
      </c>
      <c r="Q760" s="389">
        <v>1</v>
      </c>
      <c r="R760" s="430">
        <v>0</v>
      </c>
      <c r="S760" s="339">
        <v>1</v>
      </c>
      <c r="T760" s="362">
        <v>2</v>
      </c>
      <c r="U760" s="337">
        <v>2</v>
      </c>
      <c r="V760" s="338">
        <v>0.16666666666666699</v>
      </c>
    </row>
    <row r="761" spans="2:22" ht="13.5">
      <c r="B761" s="1577">
        <v>201502</v>
      </c>
      <c r="C761" s="324" t="s">
        <v>458</v>
      </c>
      <c r="D761" s="325" t="s">
        <v>900</v>
      </c>
      <c r="E761" s="1674" t="str">
        <f t="shared" ref="E761:E788" si="5">VLOOKUP(D761,$D$799:$E$834,2,0)</f>
        <v>HOÀNG NGUYỆT HẰNG</v>
      </c>
      <c r="F761" s="460">
        <v>856.97900000000004</v>
      </c>
      <c r="G761" s="92">
        <v>58.277999999999999</v>
      </c>
      <c r="H761" s="279">
        <v>297.97699999999998</v>
      </c>
      <c r="I761" s="154">
        <v>2</v>
      </c>
      <c r="J761" s="576">
        <v>8.6956521739130405E-2</v>
      </c>
      <c r="K761" s="578">
        <v>19.425999999999998</v>
      </c>
      <c r="L761" s="437">
        <v>1.5</v>
      </c>
      <c r="M761" s="42"/>
      <c r="N761" s="47">
        <v>27</v>
      </c>
      <c r="O761" s="45">
        <v>17</v>
      </c>
      <c r="P761" s="45">
        <v>7</v>
      </c>
      <c r="Q761" s="388">
        <v>3</v>
      </c>
      <c r="R761" s="429">
        <v>0</v>
      </c>
      <c r="S761" s="92">
        <v>5</v>
      </c>
      <c r="T761" s="361">
        <v>3</v>
      </c>
      <c r="U761" s="285">
        <v>2</v>
      </c>
      <c r="V761" s="438">
        <v>0.2</v>
      </c>
    </row>
    <row r="762" spans="2:22" ht="13.5">
      <c r="B762" s="1577">
        <v>201502</v>
      </c>
      <c r="C762" s="326" t="s">
        <v>458</v>
      </c>
      <c r="D762" s="327" t="s">
        <v>649</v>
      </c>
      <c r="E762" s="1675" t="str">
        <f t="shared" si="5"/>
        <v>PHẠM THÀNH TRÍ</v>
      </c>
      <c r="F762" s="459">
        <v>196.24799999999999</v>
      </c>
      <c r="G762" s="339">
        <v>105.967</v>
      </c>
      <c r="H762" s="337">
        <v>89.709000000000003</v>
      </c>
      <c r="I762" s="331">
        <v>6</v>
      </c>
      <c r="J762" s="577">
        <v>8.4507042253521097E-2</v>
      </c>
      <c r="K762" s="579">
        <v>17.661166666666698</v>
      </c>
      <c r="L762" s="436">
        <v>1</v>
      </c>
      <c r="M762" s="42"/>
      <c r="N762" s="334">
        <v>70</v>
      </c>
      <c r="O762" s="335">
        <v>55</v>
      </c>
      <c r="P762" s="335">
        <v>11</v>
      </c>
      <c r="Q762" s="389">
        <v>4</v>
      </c>
      <c r="R762" s="430">
        <v>3</v>
      </c>
      <c r="S762" s="339"/>
      <c r="T762" s="362">
        <v>1</v>
      </c>
      <c r="U762" s="337">
        <v>1</v>
      </c>
      <c r="V762" s="338">
        <v>6.6666666666666693E-2</v>
      </c>
    </row>
    <row r="763" spans="2:22" ht="13.5">
      <c r="B763" s="1577">
        <v>201502</v>
      </c>
      <c r="C763" s="324" t="s">
        <v>458</v>
      </c>
      <c r="D763" s="325" t="s">
        <v>650</v>
      </c>
      <c r="E763" s="1674" t="s">
        <v>1777</v>
      </c>
      <c r="F763" s="460">
        <v>155.67500000000001</v>
      </c>
      <c r="G763" s="92">
        <v>25.61</v>
      </c>
      <c r="H763" s="279">
        <v>56.576999999999998</v>
      </c>
      <c r="I763" s="154">
        <v>3</v>
      </c>
      <c r="J763" s="576">
        <v>5.7142857142857099E-2</v>
      </c>
      <c r="K763" s="578">
        <v>8.5366666666666706</v>
      </c>
      <c r="L763" s="437">
        <v>1</v>
      </c>
      <c r="M763" s="42"/>
      <c r="N763" s="47">
        <v>53</v>
      </c>
      <c r="O763" s="45">
        <v>36</v>
      </c>
      <c r="P763" s="45">
        <v>12</v>
      </c>
      <c r="Q763" s="388">
        <v>5</v>
      </c>
      <c r="R763" s="429">
        <v>1</v>
      </c>
      <c r="S763" s="92"/>
      <c r="T763" s="361">
        <v>2</v>
      </c>
      <c r="U763" s="285">
        <v>2</v>
      </c>
      <c r="V763" s="438">
        <v>0.11764705882352899</v>
      </c>
    </row>
    <row r="764" spans="2:22" ht="13.5">
      <c r="B764" s="1577">
        <v>201502</v>
      </c>
      <c r="C764" s="326" t="s">
        <v>458</v>
      </c>
      <c r="D764" s="327" t="s">
        <v>902</v>
      </c>
      <c r="E764" s="1675" t="str">
        <f t="shared" si="5"/>
        <v>TRƯƠNG THỊ THU TRÂM</v>
      </c>
      <c r="F764" s="459">
        <v>376.505</v>
      </c>
      <c r="G764" s="339">
        <v>207.32599999999999</v>
      </c>
      <c r="H764" s="337">
        <v>174.13499999999999</v>
      </c>
      <c r="I764" s="331">
        <v>11</v>
      </c>
      <c r="J764" s="577">
        <v>0.36666666666666697</v>
      </c>
      <c r="K764" s="579">
        <v>12.957875</v>
      </c>
      <c r="L764" s="436">
        <v>1.4545454545454499</v>
      </c>
      <c r="M764" s="42"/>
      <c r="N764" s="334">
        <v>31</v>
      </c>
      <c r="O764" s="335">
        <v>21</v>
      </c>
      <c r="P764" s="335">
        <v>9</v>
      </c>
      <c r="Q764" s="389">
        <v>1</v>
      </c>
      <c r="R764" s="430">
        <v>0</v>
      </c>
      <c r="S764" s="339"/>
      <c r="T764" s="362">
        <v>2</v>
      </c>
      <c r="U764" s="337">
        <v>2</v>
      </c>
      <c r="V764" s="338">
        <v>0.2</v>
      </c>
    </row>
    <row r="765" spans="2:22" ht="13.5">
      <c r="B765" s="1577">
        <v>201502</v>
      </c>
      <c r="C765" s="324" t="s">
        <v>458</v>
      </c>
      <c r="D765" s="325" t="s">
        <v>642</v>
      </c>
      <c r="E765" s="1674" t="str">
        <f t="shared" si="5"/>
        <v>LÊ THỊ HỒNG LĨNH</v>
      </c>
      <c r="F765" s="460">
        <v>411.798</v>
      </c>
      <c r="G765" s="92">
        <v>244.26300000000001</v>
      </c>
      <c r="H765" s="279">
        <v>265.75900000000001</v>
      </c>
      <c r="I765" s="154">
        <v>5</v>
      </c>
      <c r="J765" s="576">
        <v>0.11111111111111099</v>
      </c>
      <c r="K765" s="578">
        <v>17.447357142857101</v>
      </c>
      <c r="L765" s="437">
        <v>2.8</v>
      </c>
      <c r="M765" s="42"/>
      <c r="N765" s="47">
        <v>45</v>
      </c>
      <c r="O765" s="45">
        <v>33</v>
      </c>
      <c r="P765" s="45">
        <v>12</v>
      </c>
      <c r="Q765" s="388">
        <v>0</v>
      </c>
      <c r="R765" s="429">
        <v>2</v>
      </c>
      <c r="S765" s="92"/>
      <c r="T765" s="361">
        <v>2</v>
      </c>
      <c r="U765" s="285">
        <v>2</v>
      </c>
      <c r="V765" s="438">
        <v>0.16666666666666699</v>
      </c>
    </row>
    <row r="766" spans="2:22" ht="13.5">
      <c r="B766" s="1577">
        <v>201502</v>
      </c>
      <c r="C766" s="326" t="s">
        <v>458</v>
      </c>
      <c r="D766" s="327" t="s">
        <v>91</v>
      </c>
      <c r="E766" s="1675" t="str">
        <f t="shared" si="5"/>
        <v>NGUYỄN THỊ LAN ANH</v>
      </c>
      <c r="F766" s="459">
        <v>863.89400000000001</v>
      </c>
      <c r="G766" s="339">
        <v>394.68299999999999</v>
      </c>
      <c r="H766" s="337">
        <v>366.60500000000002</v>
      </c>
      <c r="I766" s="331">
        <v>19</v>
      </c>
      <c r="J766" s="577">
        <v>0.16239316239316201</v>
      </c>
      <c r="K766" s="579">
        <v>17.940136363636402</v>
      </c>
      <c r="L766" s="436">
        <v>1.15789473684211</v>
      </c>
      <c r="M766" s="42"/>
      <c r="N766" s="334">
        <v>116</v>
      </c>
      <c r="O766" s="335">
        <v>93</v>
      </c>
      <c r="P766" s="335">
        <v>20</v>
      </c>
      <c r="Q766" s="389">
        <v>3</v>
      </c>
      <c r="R766" s="430">
        <v>5</v>
      </c>
      <c r="S766" s="339"/>
      <c r="T766" s="362">
        <v>3</v>
      </c>
      <c r="U766" s="337">
        <v>2</v>
      </c>
      <c r="V766" s="338">
        <v>8.6956521739130405E-2</v>
      </c>
    </row>
    <row r="767" spans="2:22" ht="13.5">
      <c r="B767" s="1577">
        <v>201502</v>
      </c>
      <c r="C767" s="324" t="s">
        <v>458</v>
      </c>
      <c r="D767" s="325" t="s">
        <v>187</v>
      </c>
      <c r="E767" s="1674" t="str">
        <f t="shared" si="5"/>
        <v>NGUYỄN HỮU NGHIỆM</v>
      </c>
      <c r="F767" s="460">
        <v>325.10500000000002</v>
      </c>
      <c r="G767" s="92">
        <v>139.08799999999999</v>
      </c>
      <c r="H767" s="279">
        <v>195.65</v>
      </c>
      <c r="I767" s="154">
        <v>6</v>
      </c>
      <c r="J767" s="576">
        <v>0.12631578947368399</v>
      </c>
      <c r="K767" s="578">
        <v>19.869714285714299</v>
      </c>
      <c r="L767" s="437">
        <v>1.1666666666666701</v>
      </c>
      <c r="M767" s="42"/>
      <c r="N767" s="47">
        <v>43</v>
      </c>
      <c r="O767" s="45">
        <v>32</v>
      </c>
      <c r="P767" s="45">
        <v>10</v>
      </c>
      <c r="Q767" s="388">
        <v>1</v>
      </c>
      <c r="R767" s="429">
        <v>9</v>
      </c>
      <c r="S767" s="92"/>
      <c r="T767" s="361"/>
      <c r="U767" s="285"/>
      <c r="V767" s="438"/>
    </row>
    <row r="768" spans="2:22" ht="13.5">
      <c r="B768" s="1577">
        <v>201502</v>
      </c>
      <c r="C768" s="326" t="s">
        <v>458</v>
      </c>
      <c r="D768" s="327" t="s">
        <v>734</v>
      </c>
      <c r="E768" s="1675" t="s">
        <v>1766</v>
      </c>
      <c r="F768" s="459">
        <v>890.53599999999994</v>
      </c>
      <c r="G768" s="339">
        <v>460.45299999999997</v>
      </c>
      <c r="H768" s="337">
        <v>416.37599999999998</v>
      </c>
      <c r="I768" s="331">
        <v>20</v>
      </c>
      <c r="J768" s="577">
        <v>0.16666666666666699</v>
      </c>
      <c r="K768" s="579">
        <v>17.0538148148148</v>
      </c>
      <c r="L768" s="436">
        <v>1.35</v>
      </c>
      <c r="M768" s="42"/>
      <c r="N768" s="334">
        <v>124</v>
      </c>
      <c r="O768" s="335">
        <v>98</v>
      </c>
      <c r="P768" s="335">
        <v>25</v>
      </c>
      <c r="Q768" s="389">
        <v>1</v>
      </c>
      <c r="R768" s="430">
        <v>0</v>
      </c>
      <c r="S768" s="339">
        <v>3</v>
      </c>
      <c r="T768" s="362">
        <v>5</v>
      </c>
      <c r="U768" s="337">
        <v>2</v>
      </c>
      <c r="V768" s="338">
        <v>7.69230769230769E-2</v>
      </c>
    </row>
    <row r="769" spans="2:22" ht="13.5">
      <c r="B769" s="1577">
        <v>201502</v>
      </c>
      <c r="C769" s="324" t="s">
        <v>458</v>
      </c>
      <c r="D769" s="325" t="s">
        <v>735</v>
      </c>
      <c r="E769" s="1674" t="str">
        <f t="shared" si="5"/>
        <v>HỒNG KHÁNH HƯNG - MDRT HCM</v>
      </c>
      <c r="F769" s="460">
        <v>367.79399999999998</v>
      </c>
      <c r="G769" s="92">
        <v>520.91300000000001</v>
      </c>
      <c r="H769" s="279">
        <v>531.60599999999999</v>
      </c>
      <c r="I769" s="154">
        <v>16</v>
      </c>
      <c r="J769" s="576">
        <v>0.340425531914894</v>
      </c>
      <c r="K769" s="578">
        <v>16.803645161290302</v>
      </c>
      <c r="L769" s="437">
        <v>1.9375</v>
      </c>
      <c r="M769" s="42"/>
      <c r="N769" s="47">
        <v>47</v>
      </c>
      <c r="O769" s="45">
        <v>40</v>
      </c>
      <c r="P769" s="45">
        <v>5</v>
      </c>
      <c r="Q769" s="388">
        <v>2</v>
      </c>
      <c r="R769" s="429">
        <v>0</v>
      </c>
      <c r="S769" s="92"/>
      <c r="T769" s="361"/>
      <c r="U769" s="285"/>
      <c r="V769" s="438"/>
    </row>
    <row r="770" spans="2:22" ht="13.5">
      <c r="B770" s="1577">
        <v>201502</v>
      </c>
      <c r="C770" s="326" t="s">
        <v>458</v>
      </c>
      <c r="D770" s="327" t="s">
        <v>798</v>
      </c>
      <c r="E770" s="1675" t="s">
        <v>1768</v>
      </c>
      <c r="F770" s="459">
        <v>436.48500000000001</v>
      </c>
      <c r="G770" s="339">
        <v>236.82499999999999</v>
      </c>
      <c r="H770" s="337">
        <v>238.90299999999999</v>
      </c>
      <c r="I770" s="331">
        <v>6</v>
      </c>
      <c r="J770" s="577">
        <v>0.21052631578947401</v>
      </c>
      <c r="K770" s="579">
        <v>15.7883333333333</v>
      </c>
      <c r="L770" s="436">
        <v>2.5</v>
      </c>
      <c r="M770" s="42"/>
      <c r="N770" s="334">
        <v>29</v>
      </c>
      <c r="O770" s="335">
        <v>20</v>
      </c>
      <c r="P770" s="335">
        <v>8</v>
      </c>
      <c r="Q770" s="389">
        <v>1</v>
      </c>
      <c r="R770" s="430">
        <v>0</v>
      </c>
      <c r="S770" s="339"/>
      <c r="T770" s="362">
        <v>1</v>
      </c>
      <c r="U770" s="337">
        <v>1</v>
      </c>
      <c r="V770" s="338">
        <v>0.11111111111111099</v>
      </c>
    </row>
    <row r="771" spans="2:22" ht="13.5">
      <c r="B771" s="1577">
        <v>201502</v>
      </c>
      <c r="C771" s="324" t="s">
        <v>458</v>
      </c>
      <c r="D771" s="325" t="s">
        <v>949</v>
      </c>
      <c r="E771" s="1674" t="str">
        <f t="shared" si="5"/>
        <v>HỒNG KHÁNH HƯNG - MDRT VT</v>
      </c>
      <c r="F771" s="460">
        <v>412.70100000000002</v>
      </c>
      <c r="G771" s="92">
        <v>247.17599999999999</v>
      </c>
      <c r="H771" s="279">
        <v>215.79900000000001</v>
      </c>
      <c r="I771" s="154">
        <v>11</v>
      </c>
      <c r="J771" s="576">
        <v>0.22448979591836701</v>
      </c>
      <c r="K771" s="578">
        <v>13.731999999999999</v>
      </c>
      <c r="L771" s="437">
        <v>1.63636363636364</v>
      </c>
      <c r="M771" s="42"/>
      <c r="N771" s="47">
        <v>49</v>
      </c>
      <c r="O771" s="45">
        <v>31</v>
      </c>
      <c r="P771" s="45">
        <v>10</v>
      </c>
      <c r="Q771" s="388">
        <v>8</v>
      </c>
      <c r="R771" s="429">
        <v>1</v>
      </c>
      <c r="S771" s="92">
        <v>1</v>
      </c>
      <c r="T771" s="361"/>
      <c r="U771" s="285"/>
      <c r="V771" s="438"/>
    </row>
    <row r="772" spans="2:22" ht="13.5">
      <c r="B772" s="1577">
        <v>201502</v>
      </c>
      <c r="C772" s="326" t="s">
        <v>458</v>
      </c>
      <c r="D772" s="327" t="s">
        <v>903</v>
      </c>
      <c r="E772" s="1675" t="str">
        <f t="shared" si="5"/>
        <v>TRẦN THỊ THÚY HẰNG</v>
      </c>
      <c r="F772" s="459">
        <v>536.45299999999997</v>
      </c>
      <c r="G772" s="339">
        <v>252.303</v>
      </c>
      <c r="H772" s="337">
        <v>214.71799999999999</v>
      </c>
      <c r="I772" s="331">
        <v>11</v>
      </c>
      <c r="J772" s="577">
        <v>0.28571428571428598</v>
      </c>
      <c r="K772" s="579">
        <v>19.407923076923101</v>
      </c>
      <c r="L772" s="436">
        <v>1.1818181818181801</v>
      </c>
      <c r="M772" s="42"/>
      <c r="N772" s="334">
        <v>40</v>
      </c>
      <c r="O772" s="335">
        <v>29</v>
      </c>
      <c r="P772" s="335">
        <v>9</v>
      </c>
      <c r="Q772" s="389">
        <v>2</v>
      </c>
      <c r="R772" s="430">
        <v>0</v>
      </c>
      <c r="S772" s="339">
        <v>1</v>
      </c>
      <c r="T772" s="362">
        <v>2</v>
      </c>
      <c r="U772" s="337">
        <v>2</v>
      </c>
      <c r="V772" s="338">
        <v>0.18181818181818199</v>
      </c>
    </row>
    <row r="773" spans="2:22" ht="13.5">
      <c r="B773" s="1577">
        <v>201502</v>
      </c>
      <c r="C773" s="324" t="s">
        <v>458</v>
      </c>
      <c r="D773" s="325" t="s">
        <v>1101</v>
      </c>
      <c r="E773" s="1674" t="str">
        <f t="shared" si="5"/>
        <v>NGUYỄN TRẦN QUỐC TOẢN</v>
      </c>
      <c r="F773" s="460">
        <v>255.03299999999999</v>
      </c>
      <c r="G773" s="92">
        <v>137.51499999999999</v>
      </c>
      <c r="H773" s="279">
        <v>107.26</v>
      </c>
      <c r="I773" s="154">
        <v>5</v>
      </c>
      <c r="J773" s="576">
        <v>0.28571428571428598</v>
      </c>
      <c r="K773" s="578">
        <v>19.645</v>
      </c>
      <c r="L773" s="437">
        <v>1.4</v>
      </c>
      <c r="M773" s="42"/>
      <c r="N773" s="47">
        <v>22</v>
      </c>
      <c r="O773" s="45">
        <v>12</v>
      </c>
      <c r="P773" s="45">
        <v>9</v>
      </c>
      <c r="Q773" s="388">
        <v>1</v>
      </c>
      <c r="R773" s="429">
        <v>0</v>
      </c>
      <c r="S773" s="92">
        <v>3</v>
      </c>
      <c r="T773" s="361">
        <v>6</v>
      </c>
      <c r="U773" s="285">
        <v>4</v>
      </c>
      <c r="V773" s="438">
        <v>0.4</v>
      </c>
    </row>
    <row r="774" spans="2:22" ht="13.5">
      <c r="B774" s="1577">
        <v>201502</v>
      </c>
      <c r="C774" s="326" t="s">
        <v>458</v>
      </c>
      <c r="D774" s="327" t="s">
        <v>1102</v>
      </c>
      <c r="E774" s="1675" t="str">
        <f t="shared" si="5"/>
        <v>NGUYỄN HỮU HIỀN</v>
      </c>
      <c r="F774" s="459">
        <v>177.911</v>
      </c>
      <c r="G774" s="339">
        <v>120.90300000000001</v>
      </c>
      <c r="H774" s="337">
        <v>120.90300000000001</v>
      </c>
      <c r="I774" s="331">
        <v>3</v>
      </c>
      <c r="J774" s="577">
        <v>0.19354838709677399</v>
      </c>
      <c r="K774" s="579">
        <v>40.301000000000002</v>
      </c>
      <c r="L774" s="436">
        <v>1</v>
      </c>
      <c r="M774" s="42"/>
      <c r="N774" s="334">
        <v>20</v>
      </c>
      <c r="O774" s="335">
        <v>13</v>
      </c>
      <c r="P774" s="335">
        <v>6</v>
      </c>
      <c r="Q774" s="389">
        <v>1</v>
      </c>
      <c r="R774" s="430">
        <v>0</v>
      </c>
      <c r="S774" s="339">
        <v>1</v>
      </c>
      <c r="T774" s="362">
        <v>8</v>
      </c>
      <c r="U774" s="337">
        <v>5</v>
      </c>
      <c r="V774" s="338">
        <v>0.71428571428571397</v>
      </c>
    </row>
    <row r="775" spans="2:22" ht="13.5">
      <c r="B775" s="1577">
        <v>201502</v>
      </c>
      <c r="C775" s="324" t="s">
        <v>458</v>
      </c>
      <c r="D775" s="325" t="s">
        <v>628</v>
      </c>
      <c r="E775" s="1674" t="str">
        <f t="shared" si="5"/>
        <v>NGUYỄN THỊ KIM HỒNG</v>
      </c>
      <c r="F775" s="460">
        <v>416.14</v>
      </c>
      <c r="G775" s="92">
        <v>220.71199999999999</v>
      </c>
      <c r="H775" s="279">
        <v>220.71199999999999</v>
      </c>
      <c r="I775" s="154">
        <v>14</v>
      </c>
      <c r="J775" s="576">
        <v>0.21212121212121199</v>
      </c>
      <c r="K775" s="578">
        <v>11.616421052631599</v>
      </c>
      <c r="L775" s="437">
        <v>1.3571428571428601</v>
      </c>
      <c r="M775" s="42"/>
      <c r="N775" s="47">
        <v>65</v>
      </c>
      <c r="O775" s="45">
        <v>44</v>
      </c>
      <c r="P775" s="45">
        <v>20</v>
      </c>
      <c r="Q775" s="388">
        <v>1</v>
      </c>
      <c r="R775" s="429">
        <v>4</v>
      </c>
      <c r="S775" s="92"/>
      <c r="T775" s="361">
        <v>2</v>
      </c>
      <c r="U775" s="285">
        <v>2</v>
      </c>
      <c r="V775" s="438">
        <v>9.5238095238095205E-2</v>
      </c>
    </row>
    <row r="776" spans="2:22" ht="13.5">
      <c r="B776" s="1577">
        <v>201502</v>
      </c>
      <c r="C776" s="326" t="s">
        <v>458</v>
      </c>
      <c r="D776" s="327" t="s">
        <v>557</v>
      </c>
      <c r="E776" s="1675" t="s">
        <v>1770</v>
      </c>
      <c r="F776" s="459">
        <v>275.13499999999999</v>
      </c>
      <c r="G776" s="339">
        <v>93.158000000000001</v>
      </c>
      <c r="H776" s="337">
        <v>82.378</v>
      </c>
      <c r="I776" s="331">
        <v>6</v>
      </c>
      <c r="J776" s="577">
        <v>7.9470198675496706E-2</v>
      </c>
      <c r="K776" s="579">
        <v>15.5263333333333</v>
      </c>
      <c r="L776" s="436">
        <v>1</v>
      </c>
      <c r="M776" s="42"/>
      <c r="N776" s="334">
        <v>75</v>
      </c>
      <c r="O776" s="335">
        <v>64</v>
      </c>
      <c r="P776" s="335">
        <v>9</v>
      </c>
      <c r="Q776" s="389">
        <v>2</v>
      </c>
      <c r="R776" s="430">
        <v>1</v>
      </c>
      <c r="S776" s="339"/>
      <c r="T776" s="362"/>
      <c r="U776" s="337"/>
      <c r="V776" s="338"/>
    </row>
    <row r="777" spans="2:22" ht="13.5">
      <c r="B777" s="1577">
        <v>201502</v>
      </c>
      <c r="C777" s="324" t="s">
        <v>458</v>
      </c>
      <c r="D777" s="325" t="s">
        <v>47</v>
      </c>
      <c r="E777" s="1674" t="str">
        <f t="shared" si="5"/>
        <v>NGUYỄN THU HẰNG</v>
      </c>
      <c r="F777" s="460">
        <v>339.87200000000001</v>
      </c>
      <c r="G777" s="92">
        <v>120.884</v>
      </c>
      <c r="H777" s="279">
        <v>130.261</v>
      </c>
      <c r="I777" s="154">
        <v>10</v>
      </c>
      <c r="J777" s="576">
        <v>0.13986013986014001</v>
      </c>
      <c r="K777" s="578">
        <v>10.9894545454545</v>
      </c>
      <c r="L777" s="437">
        <v>1.1000000000000001</v>
      </c>
      <c r="M777" s="42"/>
      <c r="N777" s="47">
        <v>70</v>
      </c>
      <c r="O777" s="45">
        <v>56</v>
      </c>
      <c r="P777" s="45">
        <v>14</v>
      </c>
      <c r="Q777" s="388">
        <v>0</v>
      </c>
      <c r="R777" s="429">
        <v>4</v>
      </c>
      <c r="S777" s="92"/>
      <c r="T777" s="361">
        <v>1</v>
      </c>
      <c r="U777" s="285">
        <v>1</v>
      </c>
      <c r="V777" s="438">
        <v>7.1428571428571397E-2</v>
      </c>
    </row>
    <row r="778" spans="2:22" ht="13.5">
      <c r="B778" s="1577">
        <v>201502</v>
      </c>
      <c r="C778" s="326" t="s">
        <v>458</v>
      </c>
      <c r="D778" s="327" t="s">
        <v>736</v>
      </c>
      <c r="E778" s="1675" t="str">
        <f t="shared" si="5"/>
        <v>NGUYỄN THỊ PHƯƠNG TRINH</v>
      </c>
      <c r="F778" s="459">
        <v>526.15300000000002</v>
      </c>
      <c r="G778" s="339">
        <v>225.68199999999999</v>
      </c>
      <c r="H778" s="337">
        <v>308.04500000000002</v>
      </c>
      <c r="I778" s="331">
        <v>11</v>
      </c>
      <c r="J778" s="577">
        <v>0.105769230769231</v>
      </c>
      <c r="K778" s="579">
        <v>14.105124999999999</v>
      </c>
      <c r="L778" s="436">
        <v>1.4545454545454499</v>
      </c>
      <c r="M778" s="42"/>
      <c r="N778" s="334">
        <v>104</v>
      </c>
      <c r="O778" s="335">
        <v>87</v>
      </c>
      <c r="P778" s="335">
        <v>10</v>
      </c>
      <c r="Q778" s="389">
        <v>7</v>
      </c>
      <c r="R778" s="430">
        <v>2</v>
      </c>
      <c r="S778" s="339"/>
      <c r="T778" s="362">
        <v>2</v>
      </c>
      <c r="U778" s="337">
        <v>2</v>
      </c>
      <c r="V778" s="338">
        <v>0.11764705882352899</v>
      </c>
    </row>
    <row r="779" spans="2:22" ht="13.5">
      <c r="B779" s="1577">
        <v>201502</v>
      </c>
      <c r="C779" s="324" t="s">
        <v>458</v>
      </c>
      <c r="D779" s="325" t="s">
        <v>647</v>
      </c>
      <c r="E779" s="1674" t="str">
        <f t="shared" si="5"/>
        <v>VÕ MẠNH KHA</v>
      </c>
      <c r="F779" s="460">
        <v>288.93400000000003</v>
      </c>
      <c r="G779" s="92">
        <v>188.40600000000001</v>
      </c>
      <c r="H779" s="279">
        <v>182.59100000000001</v>
      </c>
      <c r="I779" s="154">
        <v>10</v>
      </c>
      <c r="J779" s="576">
        <v>0.17857142857142899</v>
      </c>
      <c r="K779" s="578">
        <v>13.4575714285714</v>
      </c>
      <c r="L779" s="437">
        <v>1.4</v>
      </c>
      <c r="M779" s="42"/>
      <c r="N779" s="47">
        <v>57</v>
      </c>
      <c r="O779" s="45">
        <v>38</v>
      </c>
      <c r="P779" s="45">
        <v>13</v>
      </c>
      <c r="Q779" s="388">
        <v>6</v>
      </c>
      <c r="R779" s="429">
        <v>1</v>
      </c>
      <c r="S779" s="92"/>
      <c r="T779" s="361">
        <v>3</v>
      </c>
      <c r="U779" s="285">
        <v>1</v>
      </c>
      <c r="V779" s="438">
        <v>5.2631578947368397E-2</v>
      </c>
    </row>
    <row r="780" spans="2:22" ht="13.5">
      <c r="B780" s="1577">
        <v>201502</v>
      </c>
      <c r="C780" s="326" t="s">
        <v>458</v>
      </c>
      <c r="D780" s="327" t="s">
        <v>796</v>
      </c>
      <c r="E780" s="1675" t="str">
        <f t="shared" si="5"/>
        <v>ĐỖ THỊ THANH THÚY</v>
      </c>
      <c r="F780" s="459">
        <v>772.45500000000004</v>
      </c>
      <c r="G780" s="339">
        <v>285.19400000000002</v>
      </c>
      <c r="H780" s="337">
        <v>275.28199999999998</v>
      </c>
      <c r="I780" s="331">
        <v>11</v>
      </c>
      <c r="J780" s="577">
        <v>0.160583941605839</v>
      </c>
      <c r="K780" s="579">
        <v>19.012933333333301</v>
      </c>
      <c r="L780" s="436">
        <v>1.36363636363636</v>
      </c>
      <c r="M780" s="42"/>
      <c r="N780" s="334">
        <v>69</v>
      </c>
      <c r="O780" s="335">
        <v>52</v>
      </c>
      <c r="P780" s="335">
        <v>15</v>
      </c>
      <c r="Q780" s="389">
        <v>2</v>
      </c>
      <c r="R780" s="430">
        <v>5</v>
      </c>
      <c r="S780" s="339"/>
      <c r="T780" s="362">
        <v>6</v>
      </c>
      <c r="U780" s="337">
        <v>5</v>
      </c>
      <c r="V780" s="338">
        <v>0.29411764705882398</v>
      </c>
    </row>
    <row r="781" spans="2:22" ht="13.5">
      <c r="B781" s="1577">
        <v>201502</v>
      </c>
      <c r="C781" s="324" t="s">
        <v>458</v>
      </c>
      <c r="D781" s="325" t="s">
        <v>630</v>
      </c>
      <c r="E781" s="1674" t="str">
        <f t="shared" si="5"/>
        <v>NGUYỄN VĂN HẠNH</v>
      </c>
      <c r="F781" s="460">
        <v>460.73599999999999</v>
      </c>
      <c r="G781" s="92">
        <v>125.29300000000001</v>
      </c>
      <c r="H781" s="279">
        <v>116.833</v>
      </c>
      <c r="I781" s="154">
        <v>11</v>
      </c>
      <c r="J781" s="576">
        <v>0.11891891891891899</v>
      </c>
      <c r="K781" s="578">
        <v>10.4410833333333</v>
      </c>
      <c r="L781" s="437">
        <v>1.0909090909090899</v>
      </c>
      <c r="M781" s="42"/>
      <c r="N781" s="47">
        <v>91</v>
      </c>
      <c r="O781" s="45">
        <v>71</v>
      </c>
      <c r="P781" s="45">
        <v>15</v>
      </c>
      <c r="Q781" s="388">
        <v>5</v>
      </c>
      <c r="R781" s="429">
        <v>6</v>
      </c>
      <c r="S781" s="92"/>
      <c r="T781" s="361">
        <v>3</v>
      </c>
      <c r="U781" s="285">
        <v>3</v>
      </c>
      <c r="V781" s="438">
        <v>0.15</v>
      </c>
    </row>
    <row r="782" spans="2:22" ht="13.5">
      <c r="B782" s="1577">
        <v>201502</v>
      </c>
      <c r="C782" s="326" t="s">
        <v>458</v>
      </c>
      <c r="D782" s="327" t="s">
        <v>905</v>
      </c>
      <c r="E782" s="1675" t="str">
        <f t="shared" si="5"/>
        <v>PHẠM THỊ THANH TRÚC</v>
      </c>
      <c r="F782" s="459">
        <v>212.589</v>
      </c>
      <c r="G782" s="339">
        <v>125.509</v>
      </c>
      <c r="H782" s="337">
        <v>125.509</v>
      </c>
      <c r="I782" s="331">
        <v>7</v>
      </c>
      <c r="J782" s="577">
        <v>0.17499999999999999</v>
      </c>
      <c r="K782" s="579">
        <v>15.688625</v>
      </c>
      <c r="L782" s="436">
        <v>1.1428571428571399</v>
      </c>
      <c r="M782" s="42"/>
      <c r="N782" s="334">
        <v>41</v>
      </c>
      <c r="O782" s="335">
        <v>32</v>
      </c>
      <c r="P782" s="335">
        <v>9</v>
      </c>
      <c r="Q782" s="389">
        <v>0</v>
      </c>
      <c r="R782" s="430">
        <v>0</v>
      </c>
      <c r="S782" s="339"/>
      <c r="T782" s="362">
        <v>2</v>
      </c>
      <c r="U782" s="337">
        <v>2</v>
      </c>
      <c r="V782" s="338">
        <v>0.22222222222222199</v>
      </c>
    </row>
    <row r="783" spans="2:22" ht="13.5">
      <c r="B783" s="1577">
        <v>201502</v>
      </c>
      <c r="C783" s="324" t="s">
        <v>458</v>
      </c>
      <c r="D783" s="325" t="s">
        <v>648</v>
      </c>
      <c r="E783" s="1674" t="str">
        <f t="shared" si="5"/>
        <v>NGUYỄN QUÝ NHÂN</v>
      </c>
      <c r="F783" s="460">
        <v>274.87900000000002</v>
      </c>
      <c r="G783" s="92">
        <v>142.58799999999999</v>
      </c>
      <c r="H783" s="279">
        <v>117.14</v>
      </c>
      <c r="I783" s="154">
        <v>10</v>
      </c>
      <c r="J783" s="576">
        <v>0.18518518518518501</v>
      </c>
      <c r="K783" s="578">
        <v>11.8823333333333</v>
      </c>
      <c r="L783" s="437">
        <v>1.2</v>
      </c>
      <c r="M783" s="42"/>
      <c r="N783" s="47">
        <v>55</v>
      </c>
      <c r="O783" s="45">
        <v>41</v>
      </c>
      <c r="P783" s="45">
        <v>13</v>
      </c>
      <c r="Q783" s="388">
        <v>1</v>
      </c>
      <c r="R783" s="429">
        <v>0</v>
      </c>
      <c r="S783" s="92"/>
      <c r="T783" s="361">
        <v>2</v>
      </c>
      <c r="U783" s="285">
        <v>2</v>
      </c>
      <c r="V783" s="438">
        <v>0.14285714285714299</v>
      </c>
    </row>
    <row r="784" spans="2:22" ht="13.5">
      <c r="B784" s="1577">
        <v>201502</v>
      </c>
      <c r="C784" s="326" t="s">
        <v>459</v>
      </c>
      <c r="D784" s="327" t="s">
        <v>1100</v>
      </c>
      <c r="E784" s="1675" t="s">
        <v>1774</v>
      </c>
      <c r="F784" s="459">
        <v>947.51800000000003</v>
      </c>
      <c r="G784" s="339">
        <v>423.75</v>
      </c>
      <c r="H784" s="337">
        <v>423.75</v>
      </c>
      <c r="I784" s="331">
        <v>26</v>
      </c>
      <c r="J784" s="577">
        <v>0.244131455399061</v>
      </c>
      <c r="K784" s="579">
        <v>13.669354838709699</v>
      </c>
      <c r="L784" s="436">
        <v>1.1923076923076901</v>
      </c>
      <c r="M784" s="42"/>
      <c r="N784" s="334">
        <v>121</v>
      </c>
      <c r="O784" s="335">
        <v>94</v>
      </c>
      <c r="P784" s="335">
        <v>22</v>
      </c>
      <c r="Q784" s="389">
        <v>5</v>
      </c>
      <c r="R784" s="430">
        <v>4</v>
      </c>
      <c r="S784" s="339">
        <v>4</v>
      </c>
      <c r="T784" s="362">
        <v>29</v>
      </c>
      <c r="U784" s="337">
        <v>16</v>
      </c>
      <c r="V784" s="338">
        <v>0.592592592592593</v>
      </c>
    </row>
    <row r="785" spans="2:22" ht="13.5">
      <c r="B785" s="1577">
        <v>201502</v>
      </c>
      <c r="C785" s="324" t="s">
        <v>459</v>
      </c>
      <c r="D785" s="325" t="s">
        <v>661</v>
      </c>
      <c r="E785" s="325" t="s">
        <v>1950</v>
      </c>
      <c r="F785" s="460">
        <v>417.49</v>
      </c>
      <c r="G785" s="92">
        <v>128.178</v>
      </c>
      <c r="H785" s="279">
        <v>128.178</v>
      </c>
      <c r="I785" s="154">
        <v>6</v>
      </c>
      <c r="J785" s="576">
        <v>0.14457831325301199</v>
      </c>
      <c r="K785" s="578">
        <v>18.311142857142901</v>
      </c>
      <c r="L785" s="437">
        <v>1.1666666666666701</v>
      </c>
      <c r="M785" s="42"/>
      <c r="N785" s="47">
        <v>42</v>
      </c>
      <c r="O785" s="45">
        <v>32</v>
      </c>
      <c r="P785" s="45">
        <v>6</v>
      </c>
      <c r="Q785" s="388">
        <v>4</v>
      </c>
      <c r="R785" s="429">
        <v>0</v>
      </c>
      <c r="S785" s="92"/>
      <c r="T785" s="361">
        <v>1</v>
      </c>
      <c r="U785" s="285">
        <v>1</v>
      </c>
      <c r="V785" s="438">
        <v>0.1</v>
      </c>
    </row>
    <row r="786" spans="2:22" ht="13.5">
      <c r="B786" s="1577">
        <v>201502</v>
      </c>
      <c r="C786" s="326" t="s">
        <v>459</v>
      </c>
      <c r="D786" s="327" t="s">
        <v>179</v>
      </c>
      <c r="E786" s="1675" t="str">
        <f t="shared" si="5"/>
        <v>LÊ THANH HUYỀN</v>
      </c>
      <c r="F786" s="459">
        <v>1530.9369999999999</v>
      </c>
      <c r="G786" s="339">
        <v>700.89599999999996</v>
      </c>
      <c r="H786" s="337">
        <v>670.298</v>
      </c>
      <c r="I786" s="331">
        <v>38</v>
      </c>
      <c r="J786" s="577">
        <v>0.20596205962059599</v>
      </c>
      <c r="K786" s="579">
        <v>15.2368695652174</v>
      </c>
      <c r="L786" s="436">
        <v>1.2105263157894699</v>
      </c>
      <c r="M786" s="42"/>
      <c r="N786" s="334">
        <v>185</v>
      </c>
      <c r="O786" s="335">
        <v>123</v>
      </c>
      <c r="P786" s="335">
        <v>57</v>
      </c>
      <c r="Q786" s="389">
        <v>5</v>
      </c>
      <c r="R786" s="430">
        <v>17</v>
      </c>
      <c r="S786" s="339">
        <v>1</v>
      </c>
      <c r="T786" s="362">
        <v>17</v>
      </c>
      <c r="U786" s="337">
        <v>11</v>
      </c>
      <c r="V786" s="338">
        <v>0.17741935483870999</v>
      </c>
    </row>
    <row r="787" spans="2:22" ht="13.5">
      <c r="B787" s="1577">
        <v>201502</v>
      </c>
      <c r="C787" s="324" t="s">
        <v>459</v>
      </c>
      <c r="D787" s="325" t="s">
        <v>659</v>
      </c>
      <c r="E787" s="1674" t="str">
        <f t="shared" si="5"/>
        <v>NGUYỄN THỊ ĐÀO</v>
      </c>
      <c r="F787" s="460">
        <v>504.452</v>
      </c>
      <c r="G787" s="92">
        <v>241.38200000000001</v>
      </c>
      <c r="H787" s="279">
        <v>205.76499999999999</v>
      </c>
      <c r="I787" s="154">
        <v>10</v>
      </c>
      <c r="J787" s="576">
        <v>0.10752688172043</v>
      </c>
      <c r="K787" s="578">
        <v>20.115166666666699</v>
      </c>
      <c r="L787" s="437">
        <v>1.2</v>
      </c>
      <c r="M787" s="42"/>
      <c r="N787" s="47">
        <v>87</v>
      </c>
      <c r="O787" s="45">
        <v>64</v>
      </c>
      <c r="P787" s="45">
        <v>14</v>
      </c>
      <c r="Q787" s="388">
        <v>9</v>
      </c>
      <c r="R787" s="429">
        <v>18</v>
      </c>
      <c r="S787" s="92"/>
      <c r="T787" s="361">
        <v>6</v>
      </c>
      <c r="U787" s="285">
        <v>3</v>
      </c>
      <c r="V787" s="438">
        <v>0.13043478260869601</v>
      </c>
    </row>
    <row r="788" spans="2:22" ht="13.5">
      <c r="B788" s="1577">
        <v>201502</v>
      </c>
      <c r="C788" s="326" t="s">
        <v>459</v>
      </c>
      <c r="D788" s="327" t="s">
        <v>699</v>
      </c>
      <c r="E788" s="1675" t="str">
        <f t="shared" si="5"/>
        <v>NGUYỄN THỊ NGỌC LAN</v>
      </c>
      <c r="F788" s="459">
        <v>225.755</v>
      </c>
      <c r="G788" s="339">
        <v>149.06200000000001</v>
      </c>
      <c r="H788" s="337">
        <v>149.06200000000001</v>
      </c>
      <c r="I788" s="331">
        <v>11</v>
      </c>
      <c r="J788" s="577">
        <v>0.18181818181818199</v>
      </c>
      <c r="K788" s="579">
        <v>13.551090909090901</v>
      </c>
      <c r="L788" s="436">
        <v>1</v>
      </c>
      <c r="M788" s="42"/>
      <c r="N788" s="334">
        <v>59</v>
      </c>
      <c r="O788" s="335">
        <v>42</v>
      </c>
      <c r="P788" s="335">
        <v>13</v>
      </c>
      <c r="Q788" s="389">
        <v>4</v>
      </c>
      <c r="R788" s="430">
        <v>5</v>
      </c>
      <c r="S788" s="339">
        <v>1</v>
      </c>
      <c r="T788" s="362">
        <v>1</v>
      </c>
      <c r="U788" s="337">
        <v>1</v>
      </c>
      <c r="V788" s="338">
        <v>5.8823529411764698E-2</v>
      </c>
    </row>
    <row r="789" spans="2:22" ht="13.5">
      <c r="B789" s="1577">
        <v>201502</v>
      </c>
      <c r="C789" s="324" t="s">
        <v>459</v>
      </c>
      <c r="D789" s="325" t="s">
        <v>1015</v>
      </c>
      <c r="E789" s="1676" t="s">
        <v>1348</v>
      </c>
      <c r="F789" s="460">
        <v>62.326999999999998</v>
      </c>
      <c r="G789" s="92">
        <v>52.162999999999997</v>
      </c>
      <c r="H789" s="279">
        <v>52.162999999999997</v>
      </c>
      <c r="I789" s="154">
        <v>3</v>
      </c>
      <c r="J789" s="576">
        <v>0.24</v>
      </c>
      <c r="K789" s="578">
        <v>17.3876666666667</v>
      </c>
      <c r="L789" s="437">
        <v>1</v>
      </c>
      <c r="M789" s="42"/>
      <c r="N789" s="47">
        <v>14</v>
      </c>
      <c r="O789" s="45">
        <v>9</v>
      </c>
      <c r="P789" s="45">
        <v>4</v>
      </c>
      <c r="Q789" s="388">
        <v>1</v>
      </c>
      <c r="R789" s="429">
        <v>0</v>
      </c>
      <c r="S789" s="92"/>
      <c r="T789" s="361">
        <v>3</v>
      </c>
      <c r="U789" s="285">
        <v>3</v>
      </c>
      <c r="V789" s="438">
        <v>0.6</v>
      </c>
    </row>
    <row r="790" spans="2:22" ht="13.5">
      <c r="B790" s="1577">
        <v>201502</v>
      </c>
      <c r="C790" s="326" t="s">
        <v>459</v>
      </c>
      <c r="D790" s="327" t="s">
        <v>825</v>
      </c>
      <c r="E790" s="1675" t="s">
        <v>1773</v>
      </c>
      <c r="F790" s="459">
        <v>516.75199999999995</v>
      </c>
      <c r="G790" s="339">
        <v>146.23099999999999</v>
      </c>
      <c r="H790" s="337">
        <v>146.23099999999999</v>
      </c>
      <c r="I790" s="331">
        <v>10</v>
      </c>
      <c r="J790" s="577">
        <v>0.10752688172043</v>
      </c>
      <c r="K790" s="579">
        <v>12.185916666666699</v>
      </c>
      <c r="L790" s="436">
        <v>1.2</v>
      </c>
      <c r="M790" s="42"/>
      <c r="N790" s="334">
        <v>94</v>
      </c>
      <c r="O790" s="335">
        <v>70</v>
      </c>
      <c r="P790" s="335">
        <v>20</v>
      </c>
      <c r="Q790" s="389">
        <v>4</v>
      </c>
      <c r="R790" s="430">
        <v>7</v>
      </c>
      <c r="S790" s="339">
        <v>1</v>
      </c>
      <c r="T790" s="362">
        <v>8</v>
      </c>
      <c r="U790" s="337">
        <v>4</v>
      </c>
      <c r="V790" s="338">
        <v>0.16666666666666699</v>
      </c>
    </row>
    <row r="791" spans="2:22" ht="13.5">
      <c r="B791" s="1577">
        <v>201502</v>
      </c>
      <c r="C791" s="324" t="s">
        <v>459</v>
      </c>
      <c r="D791" s="325" t="s">
        <v>185</v>
      </c>
      <c r="E791" s="1674" t="str">
        <f t="shared" ref="E791:E797" si="6">VLOOKUP(D791,$D$799:$E$834,2,0)</f>
        <v>NGUYỄN THỊ BÌNH</v>
      </c>
      <c r="F791" s="460">
        <v>579.65599999999995</v>
      </c>
      <c r="G791" s="92">
        <v>216.35300000000001</v>
      </c>
      <c r="H791" s="279">
        <v>218.44300000000001</v>
      </c>
      <c r="I791" s="154">
        <v>10</v>
      </c>
      <c r="J791" s="576">
        <v>0.2</v>
      </c>
      <c r="K791" s="578">
        <v>15.453785714285701</v>
      </c>
      <c r="L791" s="437">
        <v>1.4</v>
      </c>
      <c r="M791" s="42"/>
      <c r="N791" s="47">
        <v>50</v>
      </c>
      <c r="O791" s="45">
        <v>36</v>
      </c>
      <c r="P791" s="45">
        <v>7</v>
      </c>
      <c r="Q791" s="388">
        <v>7</v>
      </c>
      <c r="R791" s="429">
        <v>0</v>
      </c>
      <c r="S791" s="92"/>
      <c r="T791" s="361"/>
      <c r="U791" s="285"/>
      <c r="V791" s="438"/>
    </row>
    <row r="792" spans="2:22" ht="13.5">
      <c r="B792" s="1577">
        <v>201502</v>
      </c>
      <c r="C792" s="326" t="s">
        <v>459</v>
      </c>
      <c r="D792" s="327" t="s">
        <v>660</v>
      </c>
      <c r="E792" s="1675" t="str">
        <f t="shared" si="6"/>
        <v>CHU THỊ ÁI THƯƠNG</v>
      </c>
      <c r="F792" s="459">
        <v>752.76499999999999</v>
      </c>
      <c r="G792" s="339">
        <v>276.78899999999999</v>
      </c>
      <c r="H792" s="337">
        <v>276.78899999999999</v>
      </c>
      <c r="I792" s="331">
        <v>17</v>
      </c>
      <c r="J792" s="577">
        <v>0.19428571428571401</v>
      </c>
      <c r="K792" s="579">
        <v>11.532875000000001</v>
      </c>
      <c r="L792" s="436">
        <v>1.4117647058823499</v>
      </c>
      <c r="M792" s="42"/>
      <c r="N792" s="334">
        <v>89</v>
      </c>
      <c r="O792" s="335">
        <v>70</v>
      </c>
      <c r="P792" s="335">
        <v>14</v>
      </c>
      <c r="Q792" s="389">
        <v>5</v>
      </c>
      <c r="R792" s="430">
        <v>0</v>
      </c>
      <c r="S792" s="339"/>
      <c r="T792" s="362">
        <v>3</v>
      </c>
      <c r="U792" s="337">
        <v>2</v>
      </c>
      <c r="V792" s="338">
        <v>0.105263157894737</v>
      </c>
    </row>
    <row r="793" spans="2:22" ht="13.5">
      <c r="B793" s="1577">
        <v>201502</v>
      </c>
      <c r="C793" s="324" t="s">
        <v>459</v>
      </c>
      <c r="D793" s="325" t="s">
        <v>737</v>
      </c>
      <c r="E793" s="1674"/>
      <c r="F793" s="460">
        <v>434.709</v>
      </c>
      <c r="G793" s="92">
        <v>202.608</v>
      </c>
      <c r="H793" s="279">
        <v>223.75</v>
      </c>
      <c r="I793" s="154">
        <v>17</v>
      </c>
      <c r="J793" s="576">
        <v>0.45333333333333298</v>
      </c>
      <c r="K793" s="578">
        <v>11.9181176470588</v>
      </c>
      <c r="L793" s="437">
        <v>1</v>
      </c>
      <c r="M793" s="42"/>
      <c r="N793" s="47">
        <v>38</v>
      </c>
      <c r="O793" s="45">
        <v>27</v>
      </c>
      <c r="P793" s="45">
        <v>9</v>
      </c>
      <c r="Q793" s="388">
        <v>2</v>
      </c>
      <c r="R793" s="429">
        <v>0</v>
      </c>
      <c r="S793" s="92"/>
      <c r="T793" s="361">
        <v>1</v>
      </c>
      <c r="U793" s="285">
        <v>1</v>
      </c>
      <c r="V793" s="438">
        <v>9.0909090909090898E-2</v>
      </c>
    </row>
    <row r="794" spans="2:22" ht="13.5">
      <c r="B794" s="1577">
        <v>201502</v>
      </c>
      <c r="C794" s="326" t="s">
        <v>459</v>
      </c>
      <c r="D794" s="327" t="s">
        <v>662</v>
      </c>
      <c r="E794" s="1675"/>
      <c r="F794" s="459">
        <v>231.297</v>
      </c>
      <c r="G794" s="339">
        <v>118.842</v>
      </c>
      <c r="H794" s="337">
        <v>118.842</v>
      </c>
      <c r="I794" s="331">
        <v>11</v>
      </c>
      <c r="J794" s="577">
        <v>0.23913043478260901</v>
      </c>
      <c r="K794" s="579">
        <v>9.9034999999999993</v>
      </c>
      <c r="L794" s="436">
        <v>1.0909090909090899</v>
      </c>
      <c r="M794" s="42"/>
      <c r="N794" s="334">
        <v>51</v>
      </c>
      <c r="O794" s="335">
        <v>39</v>
      </c>
      <c r="P794" s="335">
        <v>11</v>
      </c>
      <c r="Q794" s="389">
        <v>1</v>
      </c>
      <c r="R794" s="430">
        <v>0</v>
      </c>
      <c r="S794" s="339">
        <v>2</v>
      </c>
      <c r="T794" s="362">
        <v>8</v>
      </c>
      <c r="U794" s="337">
        <v>5</v>
      </c>
      <c r="V794" s="338">
        <v>0.41666666666666702</v>
      </c>
    </row>
    <row r="795" spans="2:22" ht="13.5">
      <c r="B795" s="1577">
        <v>201502</v>
      </c>
      <c r="C795" s="324" t="s">
        <v>459</v>
      </c>
      <c r="D795" s="325" t="s">
        <v>799</v>
      </c>
      <c r="E795" s="1674" t="str">
        <f t="shared" si="6"/>
        <v>NGUYỄN THỊ KIM CHUNG</v>
      </c>
      <c r="F795" s="460">
        <v>313.048</v>
      </c>
      <c r="G795" s="92">
        <v>148.13999999999999</v>
      </c>
      <c r="H795" s="279">
        <v>145.041</v>
      </c>
      <c r="I795" s="154">
        <v>11</v>
      </c>
      <c r="J795" s="576">
        <v>0.22680412371134001</v>
      </c>
      <c r="K795" s="578">
        <v>11.3953846153846</v>
      </c>
      <c r="L795" s="437">
        <v>1.1818181818181801</v>
      </c>
      <c r="M795" s="42"/>
      <c r="N795" s="47">
        <v>49</v>
      </c>
      <c r="O795" s="45">
        <v>30</v>
      </c>
      <c r="P795" s="45">
        <v>16</v>
      </c>
      <c r="Q795" s="388">
        <v>3</v>
      </c>
      <c r="R795" s="429">
        <v>7</v>
      </c>
      <c r="S795" s="92">
        <v>2</v>
      </c>
      <c r="T795" s="361">
        <v>6</v>
      </c>
      <c r="U795" s="285">
        <v>3</v>
      </c>
      <c r="V795" s="438">
        <v>0.157894736842105</v>
      </c>
    </row>
    <row r="796" spans="2:22" ht="13.5">
      <c r="B796" s="1577">
        <v>201502</v>
      </c>
      <c r="C796" s="326" t="s">
        <v>459</v>
      </c>
      <c r="D796" s="327" t="s">
        <v>177</v>
      </c>
      <c r="E796" s="1675" t="str">
        <f t="shared" si="6"/>
        <v>MAI QUỐC HUY</v>
      </c>
      <c r="F796" s="459">
        <v>1126.5329999999999</v>
      </c>
      <c r="G796" s="339">
        <v>587.46799999999996</v>
      </c>
      <c r="H796" s="337">
        <v>579.298</v>
      </c>
      <c r="I796" s="331">
        <v>17</v>
      </c>
      <c r="J796" s="577">
        <v>0.164251207729469</v>
      </c>
      <c r="K796" s="579">
        <v>26.7030909090909</v>
      </c>
      <c r="L796" s="436">
        <v>1.29411764705882</v>
      </c>
      <c r="M796" s="42"/>
      <c r="N796" s="334">
        <v>102</v>
      </c>
      <c r="O796" s="335">
        <v>73</v>
      </c>
      <c r="P796" s="335">
        <v>27</v>
      </c>
      <c r="Q796" s="389">
        <v>2</v>
      </c>
      <c r="R796" s="430">
        <v>6</v>
      </c>
      <c r="S796" s="339"/>
      <c r="T796" s="362">
        <v>3</v>
      </c>
      <c r="U796" s="337">
        <v>3</v>
      </c>
      <c r="V796" s="338">
        <v>0.10344827586206901</v>
      </c>
    </row>
    <row r="797" spans="2:22" ht="13.5">
      <c r="B797" s="1577">
        <v>201502</v>
      </c>
      <c r="C797" s="324" t="s">
        <v>459</v>
      </c>
      <c r="D797" s="325" t="s">
        <v>176</v>
      </c>
      <c r="E797" s="1674" t="str">
        <f t="shared" si="6"/>
        <v>NGUYỄN VĂN CÔNG</v>
      </c>
      <c r="F797" s="460">
        <v>1265.6189999999999</v>
      </c>
      <c r="G797" s="92">
        <v>477.363</v>
      </c>
      <c r="H797" s="279">
        <v>477.363</v>
      </c>
      <c r="I797" s="154">
        <v>37</v>
      </c>
      <c r="J797" s="576">
        <v>0.20963172804532601</v>
      </c>
      <c r="K797" s="578">
        <v>11.3657857142857</v>
      </c>
      <c r="L797" s="437">
        <v>1.13513513513514</v>
      </c>
      <c r="M797" s="42"/>
      <c r="N797" s="47">
        <v>176</v>
      </c>
      <c r="O797" s="45">
        <v>142</v>
      </c>
      <c r="P797" s="45">
        <v>27</v>
      </c>
      <c r="Q797" s="388">
        <v>7</v>
      </c>
      <c r="R797" s="429">
        <v>21</v>
      </c>
      <c r="S797" s="92"/>
      <c r="T797" s="361">
        <v>20</v>
      </c>
      <c r="U797" s="285">
        <v>11</v>
      </c>
      <c r="V797" s="438">
        <v>0.32352941176470601</v>
      </c>
    </row>
    <row r="798" spans="2:22" ht="13.5">
      <c r="B798" s="1577">
        <v>201502</v>
      </c>
      <c r="C798" s="326" t="s">
        <v>459</v>
      </c>
      <c r="D798" s="327" t="s">
        <v>1104</v>
      </c>
      <c r="E798" s="1675" t="s">
        <v>1287</v>
      </c>
      <c r="F798" s="459">
        <v>276.93</v>
      </c>
      <c r="G798" s="339">
        <v>226.35400000000001</v>
      </c>
      <c r="H798" s="337">
        <v>226.35400000000001</v>
      </c>
      <c r="I798" s="331">
        <v>14</v>
      </c>
      <c r="J798" s="577">
        <v>0.43076923076923102</v>
      </c>
      <c r="K798" s="579">
        <v>14.147125000000001</v>
      </c>
      <c r="L798" s="436">
        <v>1.1428571428571399</v>
      </c>
      <c r="M798" s="42"/>
      <c r="N798" s="334">
        <v>46</v>
      </c>
      <c r="O798" s="335">
        <v>32</v>
      </c>
      <c r="P798" s="335">
        <v>8</v>
      </c>
      <c r="Q798" s="389">
        <v>6</v>
      </c>
      <c r="R798" s="430">
        <v>0</v>
      </c>
      <c r="S798" s="339">
        <v>7</v>
      </c>
      <c r="T798" s="362">
        <v>20</v>
      </c>
      <c r="U798" s="337">
        <v>10</v>
      </c>
      <c r="V798" s="338">
        <v>0.71428571428571397</v>
      </c>
    </row>
    <row r="799" spans="2:22" ht="13.5">
      <c r="B799" s="1577">
        <v>201501</v>
      </c>
      <c r="C799" s="326" t="s">
        <v>458</v>
      </c>
      <c r="D799" s="327" t="s">
        <v>900</v>
      </c>
      <c r="E799" s="1675" t="s">
        <v>901</v>
      </c>
      <c r="F799" s="459">
        <v>559.00199999999973</v>
      </c>
      <c r="G799" s="339">
        <v>664.03300000000002</v>
      </c>
      <c r="H799" s="337">
        <v>559.00199999999995</v>
      </c>
      <c r="I799" s="331">
        <v>20</v>
      </c>
      <c r="J799" s="577">
        <v>0.449438202247191</v>
      </c>
      <c r="K799" s="579">
        <v>21.4204193548387</v>
      </c>
      <c r="L799" s="436">
        <v>1.55</v>
      </c>
      <c r="M799" s="42" t="s">
        <v>227</v>
      </c>
      <c r="N799" s="334">
        <v>56</v>
      </c>
      <c r="O799" s="335">
        <v>40</v>
      </c>
      <c r="P799" s="335">
        <v>15</v>
      </c>
      <c r="Q799" s="389">
        <v>1</v>
      </c>
      <c r="R799" s="430">
        <v>0</v>
      </c>
      <c r="S799" s="339">
        <v>5</v>
      </c>
      <c r="T799" s="362">
        <v>18</v>
      </c>
      <c r="U799" s="337">
        <v>12</v>
      </c>
      <c r="V799" s="338">
        <v>0.75</v>
      </c>
    </row>
    <row r="800" spans="2:22" ht="13.5">
      <c r="B800" s="1577">
        <v>201501</v>
      </c>
      <c r="C800" s="324" t="s">
        <v>458</v>
      </c>
      <c r="D800" s="325" t="s">
        <v>649</v>
      </c>
      <c r="E800" s="1674" t="s">
        <v>645</v>
      </c>
      <c r="F800" s="460">
        <v>106.53899999999994</v>
      </c>
      <c r="G800" s="92">
        <v>105.857</v>
      </c>
      <c r="H800" s="279">
        <v>106.539</v>
      </c>
      <c r="I800" s="154">
        <v>6</v>
      </c>
      <c r="J800" s="576">
        <v>9.375E-2</v>
      </c>
      <c r="K800" s="578">
        <v>26.46425</v>
      </c>
      <c r="L800" s="437">
        <v>0.66666666666666696</v>
      </c>
      <c r="M800" s="42" t="s">
        <v>227</v>
      </c>
      <c r="N800" s="47">
        <v>72</v>
      </c>
      <c r="O800" s="45">
        <v>57</v>
      </c>
      <c r="P800" s="45">
        <v>11</v>
      </c>
      <c r="Q800" s="388">
        <v>4</v>
      </c>
      <c r="R800" s="429">
        <v>1</v>
      </c>
      <c r="S800" s="92">
        <v>1</v>
      </c>
      <c r="T800" s="361">
        <v>16</v>
      </c>
      <c r="U800" s="285">
        <v>6</v>
      </c>
      <c r="V800" s="438">
        <v>0.4</v>
      </c>
    </row>
    <row r="801" spans="2:22" ht="13.5">
      <c r="B801" s="1577">
        <v>201501</v>
      </c>
      <c r="C801" s="326" t="s">
        <v>458</v>
      </c>
      <c r="D801" s="327" t="s">
        <v>650</v>
      </c>
      <c r="E801" s="1675" t="s">
        <v>1777</v>
      </c>
      <c r="F801" s="459">
        <v>99.097999999999999</v>
      </c>
      <c r="G801" s="339">
        <v>109.23699999999999</v>
      </c>
      <c r="H801" s="337">
        <v>99.097999999999999</v>
      </c>
      <c r="I801" s="331">
        <v>9</v>
      </c>
      <c r="J801" s="577">
        <v>0.169811320754717</v>
      </c>
      <c r="K801" s="579">
        <v>12.1374444444444</v>
      </c>
      <c r="L801" s="436">
        <v>1</v>
      </c>
      <c r="M801" s="42" t="s">
        <v>227</v>
      </c>
      <c r="N801" s="334">
        <v>52</v>
      </c>
      <c r="O801" s="335">
        <v>35</v>
      </c>
      <c r="P801" s="335">
        <v>12</v>
      </c>
      <c r="Q801" s="389">
        <v>5</v>
      </c>
      <c r="R801" s="430">
        <v>4</v>
      </c>
      <c r="S801" s="339"/>
      <c r="T801" s="362">
        <v>2</v>
      </c>
      <c r="U801" s="337">
        <v>2</v>
      </c>
      <c r="V801" s="338">
        <v>0.11764705882352941</v>
      </c>
    </row>
    <row r="802" spans="2:22" ht="13.5">
      <c r="B802" s="1577">
        <v>201501</v>
      </c>
      <c r="C802" s="324" t="s">
        <v>458</v>
      </c>
      <c r="D802" s="325" t="s">
        <v>902</v>
      </c>
      <c r="E802" s="1674" t="s">
        <v>1014</v>
      </c>
      <c r="F802" s="460">
        <v>202.36999999999998</v>
      </c>
      <c r="G802" s="92">
        <v>213.102</v>
      </c>
      <c r="H802" s="279">
        <v>202.37</v>
      </c>
      <c r="I802" s="154">
        <v>10</v>
      </c>
      <c r="J802" s="576">
        <v>0.37037037037037002</v>
      </c>
      <c r="K802" s="578">
        <v>17.758500000000002</v>
      </c>
      <c r="L802" s="437">
        <v>1.2</v>
      </c>
      <c r="M802" s="42" t="s">
        <v>227</v>
      </c>
      <c r="N802" s="47">
        <v>29</v>
      </c>
      <c r="O802" s="45">
        <v>19</v>
      </c>
      <c r="P802" s="45">
        <v>9</v>
      </c>
      <c r="Q802" s="388">
        <v>1</v>
      </c>
      <c r="R802" s="429">
        <v>0</v>
      </c>
      <c r="S802" s="92">
        <v>1</v>
      </c>
      <c r="T802" s="361">
        <v>3</v>
      </c>
      <c r="U802" s="285">
        <v>3</v>
      </c>
      <c r="V802" s="438">
        <v>0.3</v>
      </c>
    </row>
    <row r="803" spans="2:22" ht="13.5">
      <c r="B803" s="1577">
        <v>201501</v>
      </c>
      <c r="C803" s="326" t="s">
        <v>458</v>
      </c>
      <c r="D803" s="327" t="s">
        <v>642</v>
      </c>
      <c r="E803" s="1675" t="s">
        <v>641</v>
      </c>
      <c r="F803" s="459">
        <v>146.03900000000002</v>
      </c>
      <c r="G803" s="339">
        <v>165.465</v>
      </c>
      <c r="H803" s="337">
        <v>146.03899999999999</v>
      </c>
      <c r="I803" s="331">
        <v>8</v>
      </c>
      <c r="J803" s="577">
        <v>0.15686274509803899</v>
      </c>
      <c r="K803" s="579">
        <v>20.683125</v>
      </c>
      <c r="L803" s="436">
        <v>1</v>
      </c>
      <c r="M803" s="42" t="s">
        <v>227</v>
      </c>
      <c r="N803" s="334">
        <v>45</v>
      </c>
      <c r="O803" s="335">
        <v>33</v>
      </c>
      <c r="P803" s="335">
        <v>12</v>
      </c>
      <c r="Q803" s="389">
        <v>0</v>
      </c>
      <c r="R803" s="430">
        <v>15</v>
      </c>
      <c r="S803" s="339"/>
      <c r="T803" s="362">
        <v>3</v>
      </c>
      <c r="U803" s="337">
        <v>2</v>
      </c>
      <c r="V803" s="338">
        <v>0.16666666666666666</v>
      </c>
    </row>
    <row r="804" spans="2:22" ht="13.5">
      <c r="B804" s="1577">
        <v>201501</v>
      </c>
      <c r="C804" s="324" t="s">
        <v>458</v>
      </c>
      <c r="D804" s="325" t="s">
        <v>91</v>
      </c>
      <c r="E804" s="1674" t="s">
        <v>92</v>
      </c>
      <c r="F804" s="460">
        <v>497.28899999999976</v>
      </c>
      <c r="G804" s="92">
        <v>493.93900000000002</v>
      </c>
      <c r="H804" s="279">
        <v>497.28899999999999</v>
      </c>
      <c r="I804" s="154">
        <v>26</v>
      </c>
      <c r="J804" s="576">
        <v>0.22608695652173899</v>
      </c>
      <c r="K804" s="578">
        <v>15.435593750000001</v>
      </c>
      <c r="L804" s="437">
        <v>1.2307692307692299</v>
      </c>
      <c r="M804" s="42" t="s">
        <v>227</v>
      </c>
      <c r="N804" s="47">
        <v>118</v>
      </c>
      <c r="O804" s="45">
        <v>95</v>
      </c>
      <c r="P804" s="45">
        <v>20</v>
      </c>
      <c r="Q804" s="388">
        <v>3</v>
      </c>
      <c r="R804" s="429">
        <v>4</v>
      </c>
      <c r="S804" s="92"/>
      <c r="T804" s="361">
        <v>10</v>
      </c>
      <c r="U804" s="285">
        <v>6</v>
      </c>
      <c r="V804" s="438">
        <v>0.2608695652173913</v>
      </c>
    </row>
    <row r="805" spans="2:22" ht="13.5">
      <c r="B805" s="1577">
        <v>201501</v>
      </c>
      <c r="C805" s="326" t="s">
        <v>458</v>
      </c>
      <c r="D805" s="327" t="s">
        <v>187</v>
      </c>
      <c r="E805" s="1675" t="s">
        <v>194</v>
      </c>
      <c r="F805" s="459">
        <v>129.45500000000004</v>
      </c>
      <c r="G805" s="339">
        <v>129.45500000000001</v>
      </c>
      <c r="H805" s="337">
        <v>129.45500000000001</v>
      </c>
      <c r="I805" s="331">
        <v>9</v>
      </c>
      <c r="J805" s="577">
        <v>0.17142857142857101</v>
      </c>
      <c r="K805" s="579">
        <v>16.181875000000002</v>
      </c>
      <c r="L805" s="436">
        <v>0.88888888888888895</v>
      </c>
      <c r="M805" s="42" t="s">
        <v>227</v>
      </c>
      <c r="N805" s="334">
        <v>52</v>
      </c>
      <c r="O805" s="335">
        <v>39</v>
      </c>
      <c r="P805" s="335">
        <v>12</v>
      </c>
      <c r="Q805" s="389">
        <v>1</v>
      </c>
      <c r="R805" s="430">
        <v>4</v>
      </c>
      <c r="S805" s="339"/>
      <c r="T805" s="362">
        <v>3</v>
      </c>
      <c r="U805" s="337">
        <v>2</v>
      </c>
      <c r="V805" s="338">
        <v>0.15384615384615385</v>
      </c>
    </row>
    <row r="806" spans="2:22" ht="13.5">
      <c r="B806" s="1577">
        <v>201501</v>
      </c>
      <c r="C806" s="324" t="s">
        <v>458</v>
      </c>
      <c r="D806" s="325" t="s">
        <v>734</v>
      </c>
      <c r="E806" s="1674" t="s">
        <v>1766</v>
      </c>
      <c r="F806" s="460">
        <v>474.16000000000008</v>
      </c>
      <c r="G806" s="92">
        <v>543.572</v>
      </c>
      <c r="H806" s="279">
        <v>474.16</v>
      </c>
      <c r="I806" s="154">
        <v>18</v>
      </c>
      <c r="J806" s="576">
        <v>0.168224299065421</v>
      </c>
      <c r="K806" s="578">
        <v>21.74288</v>
      </c>
      <c r="L806" s="437">
        <v>1.3888888888888899</v>
      </c>
      <c r="M806" s="42" t="s">
        <v>227</v>
      </c>
      <c r="N806" s="47">
        <v>116</v>
      </c>
      <c r="O806" s="45">
        <v>91</v>
      </c>
      <c r="P806" s="45">
        <v>24</v>
      </c>
      <c r="Q806" s="388">
        <v>1</v>
      </c>
      <c r="R806" s="429">
        <v>4</v>
      </c>
      <c r="S806" s="92">
        <v>1</v>
      </c>
      <c r="T806" s="361">
        <v>21</v>
      </c>
      <c r="U806" s="285">
        <v>12</v>
      </c>
      <c r="V806" s="438">
        <v>0.48</v>
      </c>
    </row>
    <row r="807" spans="2:22" ht="13.5">
      <c r="B807" s="1577">
        <v>201501</v>
      </c>
      <c r="C807" s="326" t="s">
        <v>458</v>
      </c>
      <c r="D807" s="327" t="s">
        <v>735</v>
      </c>
      <c r="E807" s="1675" t="s">
        <v>790</v>
      </c>
      <c r="F807" s="459">
        <v>-163.81200000000007</v>
      </c>
      <c r="G807" s="339">
        <v>-303.99900000000002</v>
      </c>
      <c r="H807" s="337">
        <v>-163.81200000000001</v>
      </c>
      <c r="I807" s="331">
        <v>16</v>
      </c>
      <c r="J807" s="577">
        <v>0.34782608695652201</v>
      </c>
      <c r="K807" s="579">
        <v>-15.9999473684211</v>
      </c>
      <c r="L807" s="436">
        <v>1.1875</v>
      </c>
      <c r="M807" s="42" t="s">
        <v>227</v>
      </c>
      <c r="N807" s="334">
        <v>47</v>
      </c>
      <c r="O807" s="335">
        <v>40</v>
      </c>
      <c r="P807" s="335">
        <v>5</v>
      </c>
      <c r="Q807" s="389">
        <v>2</v>
      </c>
      <c r="R807" s="430">
        <v>1</v>
      </c>
      <c r="S807" s="339"/>
      <c r="T807" s="362">
        <v>3</v>
      </c>
      <c r="U807" s="337">
        <v>2</v>
      </c>
      <c r="V807" s="338">
        <v>0.2857142857142857</v>
      </c>
    </row>
    <row r="808" spans="2:22" ht="13.5">
      <c r="B808" s="1577">
        <v>201501</v>
      </c>
      <c r="C808" s="324" t="s">
        <v>458</v>
      </c>
      <c r="D808" s="325" t="s">
        <v>798</v>
      </c>
      <c r="E808" s="1674" t="s">
        <v>1768</v>
      </c>
      <c r="F808" s="460">
        <v>197.58200000000002</v>
      </c>
      <c r="G808" s="92">
        <v>191.62700000000001</v>
      </c>
      <c r="H808" s="279">
        <v>197.58199999999999</v>
      </c>
      <c r="I808" s="154">
        <v>9</v>
      </c>
      <c r="J808" s="576">
        <v>0.33333333333333298</v>
      </c>
      <c r="K808" s="578">
        <v>12.775133333333301</v>
      </c>
      <c r="L808" s="437">
        <v>1.6666666666666701</v>
      </c>
      <c r="M808" s="42" t="s">
        <v>227</v>
      </c>
      <c r="N808" s="47">
        <v>28</v>
      </c>
      <c r="O808" s="45">
        <v>20</v>
      </c>
      <c r="P808" s="45">
        <v>8</v>
      </c>
      <c r="Q808" s="388">
        <v>0</v>
      </c>
      <c r="R808" s="429">
        <v>0</v>
      </c>
      <c r="S808" s="92"/>
      <c r="T808" s="361">
        <v>2</v>
      </c>
      <c r="U808" s="285">
        <v>2</v>
      </c>
      <c r="V808" s="438">
        <v>0.25</v>
      </c>
    </row>
    <row r="809" spans="2:22" ht="13.5">
      <c r="B809" s="1577">
        <v>201501</v>
      </c>
      <c r="C809" s="326" t="s">
        <v>458</v>
      </c>
      <c r="D809" s="327" t="s">
        <v>949</v>
      </c>
      <c r="E809" s="1675" t="s">
        <v>950</v>
      </c>
      <c r="F809" s="459">
        <v>196.90199999999999</v>
      </c>
      <c r="G809" s="339">
        <v>201.208</v>
      </c>
      <c r="H809" s="337">
        <v>196.90199999999999</v>
      </c>
      <c r="I809" s="331">
        <v>7</v>
      </c>
      <c r="J809" s="577">
        <v>0.194444444444444</v>
      </c>
      <c r="K809" s="579">
        <v>14.372</v>
      </c>
      <c r="L809" s="436">
        <v>2</v>
      </c>
      <c r="M809" s="42" t="s">
        <v>227</v>
      </c>
      <c r="N809" s="334">
        <v>49</v>
      </c>
      <c r="O809" s="335">
        <v>32</v>
      </c>
      <c r="P809" s="335">
        <v>9</v>
      </c>
      <c r="Q809" s="389">
        <v>8</v>
      </c>
      <c r="R809" s="430">
        <v>0</v>
      </c>
      <c r="S809" s="339">
        <v>12</v>
      </c>
      <c r="T809" s="362">
        <v>14</v>
      </c>
      <c r="U809" s="337">
        <v>9</v>
      </c>
      <c r="V809" s="338">
        <v>0.52941176470588236</v>
      </c>
    </row>
    <row r="810" spans="2:22" ht="13.5">
      <c r="B810" s="1577">
        <v>201501</v>
      </c>
      <c r="C810" s="324" t="s">
        <v>458</v>
      </c>
      <c r="D810" s="325" t="s">
        <v>903</v>
      </c>
      <c r="E810" s="1674" t="s">
        <v>904</v>
      </c>
      <c r="F810" s="460">
        <v>321.7349999999999</v>
      </c>
      <c r="G810" s="92">
        <v>321.73500000000001</v>
      </c>
      <c r="H810" s="279">
        <v>321.73500000000001</v>
      </c>
      <c r="I810" s="154">
        <v>14</v>
      </c>
      <c r="J810" s="576">
        <v>0.41791044776119401</v>
      </c>
      <c r="K810" s="578">
        <v>13.9884782608696</v>
      </c>
      <c r="L810" s="437">
        <v>1.6428571428571399</v>
      </c>
      <c r="M810" s="42" t="s">
        <v>227</v>
      </c>
      <c r="N810" s="47">
        <v>37</v>
      </c>
      <c r="O810" s="45">
        <v>27</v>
      </c>
      <c r="P810" s="45">
        <v>9</v>
      </c>
      <c r="Q810" s="388">
        <v>1</v>
      </c>
      <c r="R810" s="429">
        <v>0</v>
      </c>
      <c r="S810" s="92">
        <v>2</v>
      </c>
      <c r="T810" s="361">
        <v>5</v>
      </c>
      <c r="U810" s="285">
        <v>5</v>
      </c>
      <c r="V810" s="438">
        <v>0.5</v>
      </c>
    </row>
    <row r="811" spans="2:22" ht="13.5">
      <c r="B811" s="1577">
        <v>201501</v>
      </c>
      <c r="C811" s="326" t="s">
        <v>458</v>
      </c>
      <c r="D811" s="327" t="s">
        <v>1101</v>
      </c>
      <c r="E811" s="1675" t="s">
        <v>1162</v>
      </c>
      <c r="F811" s="459">
        <v>147.77300000000002</v>
      </c>
      <c r="G811" s="339">
        <v>202.553</v>
      </c>
      <c r="H811" s="337">
        <v>147.773</v>
      </c>
      <c r="I811" s="331">
        <v>8</v>
      </c>
      <c r="J811" s="577">
        <v>1.2307692307692299</v>
      </c>
      <c r="K811" s="579">
        <v>16.879416666666703</v>
      </c>
      <c r="L811" s="436">
        <v>1.5</v>
      </c>
      <c r="M811" s="42" t="s">
        <v>227</v>
      </c>
      <c r="N811" s="334">
        <v>13</v>
      </c>
      <c r="O811" s="335">
        <v>6</v>
      </c>
      <c r="P811" s="335">
        <v>6</v>
      </c>
      <c r="Q811" s="389">
        <v>1</v>
      </c>
      <c r="R811" s="430">
        <v>0</v>
      </c>
      <c r="S811" s="339">
        <v>7</v>
      </c>
      <c r="T811" s="362">
        <v>6</v>
      </c>
      <c r="U811" s="337">
        <v>4</v>
      </c>
      <c r="V811" s="338">
        <v>0.5714285714285714</v>
      </c>
    </row>
    <row r="812" spans="2:22" ht="13.5">
      <c r="B812" s="1577">
        <v>201501</v>
      </c>
      <c r="C812" s="324" t="s">
        <v>458</v>
      </c>
      <c r="D812" s="325" t="s">
        <v>1102</v>
      </c>
      <c r="E812" s="1674" t="s">
        <v>1163</v>
      </c>
      <c r="F812" s="460">
        <v>57.008000000000003</v>
      </c>
      <c r="G812" s="92">
        <v>63.914999999999999</v>
      </c>
      <c r="H812" s="279">
        <v>57.008000000000003</v>
      </c>
      <c r="I812" s="154">
        <v>5</v>
      </c>
      <c r="J812" s="576">
        <v>0.90909090909090895</v>
      </c>
      <c r="K812" s="578">
        <v>10.6525</v>
      </c>
      <c r="L812" s="437">
        <v>1.2</v>
      </c>
      <c r="M812" s="42" t="s">
        <v>227</v>
      </c>
      <c r="N812" s="47">
        <v>11</v>
      </c>
      <c r="O812" s="45">
        <v>3</v>
      </c>
      <c r="P812" s="45">
        <v>7</v>
      </c>
      <c r="Q812" s="388">
        <v>1</v>
      </c>
      <c r="R812" s="429">
        <v>0</v>
      </c>
      <c r="S812" s="92">
        <v>8</v>
      </c>
      <c r="T812" s="361">
        <v>3</v>
      </c>
      <c r="U812" s="285">
        <v>2</v>
      </c>
      <c r="V812" s="438">
        <v>0.25</v>
      </c>
    </row>
    <row r="813" spans="2:22" ht="13.5">
      <c r="B813" s="1577">
        <v>201501</v>
      </c>
      <c r="C813" s="326" t="s">
        <v>458</v>
      </c>
      <c r="D813" s="327" t="s">
        <v>628</v>
      </c>
      <c r="E813" s="1675" t="s">
        <v>629</v>
      </c>
      <c r="F813" s="459">
        <v>195.42800000000011</v>
      </c>
      <c r="G813" s="339">
        <v>193.14400000000001</v>
      </c>
      <c r="H813" s="337">
        <v>195.428</v>
      </c>
      <c r="I813" s="331">
        <v>13</v>
      </c>
      <c r="J813" s="577">
        <v>0.19847328244274801</v>
      </c>
      <c r="K813" s="579">
        <v>12.0715</v>
      </c>
      <c r="L813" s="436">
        <v>1.2307692307692299</v>
      </c>
      <c r="M813" s="42" t="s">
        <v>227</v>
      </c>
      <c r="N813" s="334">
        <v>67</v>
      </c>
      <c r="O813" s="335">
        <v>46</v>
      </c>
      <c r="P813" s="335">
        <v>20</v>
      </c>
      <c r="Q813" s="389">
        <v>1</v>
      </c>
      <c r="R813" s="430">
        <v>4</v>
      </c>
      <c r="S813" s="339"/>
      <c r="T813" s="362">
        <v>7</v>
      </c>
      <c r="U813" s="337">
        <v>5</v>
      </c>
      <c r="V813" s="338">
        <v>0.23809523809523808</v>
      </c>
    </row>
    <row r="814" spans="2:22" ht="13.5">
      <c r="B814" s="1577">
        <v>201501</v>
      </c>
      <c r="C814" s="324" t="s">
        <v>458</v>
      </c>
      <c r="D814" s="325" t="s">
        <v>557</v>
      </c>
      <c r="E814" s="1678" t="s">
        <v>1770</v>
      </c>
      <c r="F814" s="460">
        <v>192.75700000000006</v>
      </c>
      <c r="G814" s="92">
        <v>248.22900000000001</v>
      </c>
      <c r="H814" s="279">
        <v>192.75700000000001</v>
      </c>
      <c r="I814" s="154">
        <v>17</v>
      </c>
      <c r="J814" s="576">
        <v>0.228187919463087</v>
      </c>
      <c r="K814" s="578">
        <v>13.0646842105263</v>
      </c>
      <c r="L814" s="437">
        <v>1.1176470588235301</v>
      </c>
      <c r="M814" s="42" t="s">
        <v>227</v>
      </c>
      <c r="N814" s="47">
        <v>76</v>
      </c>
      <c r="O814" s="45">
        <v>66</v>
      </c>
      <c r="P814" s="45">
        <v>9</v>
      </c>
      <c r="Q814" s="388">
        <v>1</v>
      </c>
      <c r="R814" s="429">
        <v>0</v>
      </c>
      <c r="S814" s="92"/>
      <c r="T814" s="361">
        <v>3</v>
      </c>
      <c r="U814" s="285">
        <v>3</v>
      </c>
      <c r="V814" s="438">
        <v>0.3</v>
      </c>
    </row>
    <row r="815" spans="2:22" ht="13.5">
      <c r="B815" s="1577">
        <v>201501</v>
      </c>
      <c r="C815" s="326" t="s">
        <v>458</v>
      </c>
      <c r="D815" s="327" t="s">
        <v>47</v>
      </c>
      <c r="E815" s="1675" t="s">
        <v>17</v>
      </c>
      <c r="F815" s="459">
        <v>209.61100000000005</v>
      </c>
      <c r="G815" s="339">
        <v>200.66900000000001</v>
      </c>
      <c r="H815" s="337">
        <v>209.61099999999999</v>
      </c>
      <c r="I815" s="331">
        <v>14</v>
      </c>
      <c r="J815" s="577">
        <v>0.18300653594771199</v>
      </c>
      <c r="K815" s="579">
        <v>13.377933333333299</v>
      </c>
      <c r="L815" s="436">
        <v>1.0714285714285701</v>
      </c>
      <c r="M815" s="42" t="s">
        <v>227</v>
      </c>
      <c r="N815" s="334">
        <v>73</v>
      </c>
      <c r="O815" s="335">
        <v>59</v>
      </c>
      <c r="P815" s="335">
        <v>14</v>
      </c>
      <c r="Q815" s="389">
        <v>0</v>
      </c>
      <c r="R815" s="430">
        <v>7</v>
      </c>
      <c r="S815" s="339"/>
      <c r="T815" s="362"/>
      <c r="U815" s="337"/>
      <c r="V815" s="338"/>
    </row>
    <row r="816" spans="2:22" ht="13.5">
      <c r="B816" s="1577">
        <v>201501</v>
      </c>
      <c r="C816" s="324" t="s">
        <v>458</v>
      </c>
      <c r="D816" s="325" t="s">
        <v>736</v>
      </c>
      <c r="E816" s="1674" t="s">
        <v>697</v>
      </c>
      <c r="F816" s="460">
        <v>218.10800000000009</v>
      </c>
      <c r="G816" s="92">
        <v>261.34699999999998</v>
      </c>
      <c r="H816" s="279">
        <v>218.108</v>
      </c>
      <c r="I816" s="154">
        <v>18</v>
      </c>
      <c r="J816" s="576">
        <v>0.17910447761194001</v>
      </c>
      <c r="K816" s="578">
        <v>13.755105263157899</v>
      </c>
      <c r="L816" s="437">
        <v>1.05555555555556</v>
      </c>
      <c r="M816" s="42" t="s">
        <v>227</v>
      </c>
      <c r="N816" s="47">
        <v>104</v>
      </c>
      <c r="O816" s="45">
        <v>85</v>
      </c>
      <c r="P816" s="45">
        <v>12</v>
      </c>
      <c r="Q816" s="388">
        <v>7</v>
      </c>
      <c r="R816" s="429">
        <v>8</v>
      </c>
      <c r="S816" s="92">
        <v>1</v>
      </c>
      <c r="T816" s="361">
        <v>14</v>
      </c>
      <c r="U816" s="285">
        <v>9</v>
      </c>
      <c r="V816" s="438">
        <v>0.47368421052631576</v>
      </c>
    </row>
    <row r="817" spans="2:22" ht="13.5">
      <c r="B817" s="1577">
        <v>201501</v>
      </c>
      <c r="C817" s="326" t="s">
        <v>458</v>
      </c>
      <c r="D817" s="327" t="s">
        <v>647</v>
      </c>
      <c r="E817" s="1675" t="s">
        <v>643</v>
      </c>
      <c r="F817" s="459">
        <v>106.34300000000002</v>
      </c>
      <c r="G817" s="339">
        <v>43.076999999999998</v>
      </c>
      <c r="H817" s="337">
        <v>106.343</v>
      </c>
      <c r="I817" s="331">
        <v>7</v>
      </c>
      <c r="J817" s="577">
        <v>0.13592233009708701</v>
      </c>
      <c r="K817" s="579">
        <v>6.1538571428571398</v>
      </c>
      <c r="L817" s="436">
        <v>1</v>
      </c>
      <c r="M817" s="42" t="s">
        <v>227</v>
      </c>
      <c r="N817" s="334">
        <v>55</v>
      </c>
      <c r="O817" s="335">
        <v>38</v>
      </c>
      <c r="P817" s="335">
        <v>13</v>
      </c>
      <c r="Q817" s="389">
        <v>4</v>
      </c>
      <c r="R817" s="430">
        <v>6</v>
      </c>
      <c r="S817" s="339">
        <v>2</v>
      </c>
      <c r="T817" s="362">
        <v>11</v>
      </c>
      <c r="U817" s="337">
        <v>6</v>
      </c>
      <c r="V817" s="338">
        <v>0.35294117647058826</v>
      </c>
    </row>
    <row r="818" spans="2:22" ht="13.5">
      <c r="B818" s="1577">
        <v>201501</v>
      </c>
      <c r="C818" s="324" t="s">
        <v>458</v>
      </c>
      <c r="D818" s="325" t="s">
        <v>796</v>
      </c>
      <c r="E818" s="1674" t="s">
        <v>797</v>
      </c>
      <c r="F818" s="460">
        <v>497.17299999999983</v>
      </c>
      <c r="G818" s="92">
        <v>516.64300000000003</v>
      </c>
      <c r="H818" s="279">
        <v>497.173</v>
      </c>
      <c r="I818" s="154">
        <v>18</v>
      </c>
      <c r="J818" s="576">
        <v>0.26865671641791</v>
      </c>
      <c r="K818" s="578">
        <v>21.5267916666667</v>
      </c>
      <c r="L818" s="437">
        <v>1.3333333333333299</v>
      </c>
      <c r="M818" s="42" t="s">
        <v>227</v>
      </c>
      <c r="N818" s="47">
        <v>68</v>
      </c>
      <c r="O818" s="45">
        <v>51</v>
      </c>
      <c r="P818" s="45">
        <v>15</v>
      </c>
      <c r="Q818" s="388">
        <v>2</v>
      </c>
      <c r="R818" s="429">
        <v>8</v>
      </c>
      <c r="S818" s="92">
        <v>1</v>
      </c>
      <c r="T818" s="361">
        <v>9</v>
      </c>
      <c r="U818" s="285">
        <v>8</v>
      </c>
      <c r="V818" s="438">
        <v>0.47058823529411764</v>
      </c>
    </row>
    <row r="819" spans="2:22" ht="13.5">
      <c r="B819" s="1577">
        <v>201501</v>
      </c>
      <c r="C819" s="326" t="s">
        <v>458</v>
      </c>
      <c r="D819" s="327" t="s">
        <v>630</v>
      </c>
      <c r="E819" s="1675" t="s">
        <v>483</v>
      </c>
      <c r="F819" s="459">
        <v>343.90300000000019</v>
      </c>
      <c r="G819" s="339">
        <v>361.529</v>
      </c>
      <c r="H819" s="337">
        <v>343.90300000000002</v>
      </c>
      <c r="I819" s="331">
        <v>20</v>
      </c>
      <c r="J819" s="577">
        <v>0.22857142857142901</v>
      </c>
      <c r="K819" s="579">
        <v>12.4665172413793</v>
      </c>
      <c r="L819" s="436">
        <v>1.45</v>
      </c>
      <c r="M819" s="42" t="s">
        <v>227</v>
      </c>
      <c r="N819" s="334">
        <v>94</v>
      </c>
      <c r="O819" s="335">
        <v>74</v>
      </c>
      <c r="P819" s="335">
        <v>15</v>
      </c>
      <c r="Q819" s="389">
        <v>5</v>
      </c>
      <c r="R819" s="430">
        <v>1</v>
      </c>
      <c r="S819" s="339"/>
      <c r="T819" s="362">
        <v>14</v>
      </c>
      <c r="U819" s="337">
        <v>12</v>
      </c>
      <c r="V819" s="338">
        <v>0.6</v>
      </c>
    </row>
    <row r="820" spans="2:22" ht="13.5">
      <c r="B820" s="1577">
        <v>201501</v>
      </c>
      <c r="C820" s="326" t="s">
        <v>458</v>
      </c>
      <c r="D820" s="327" t="s">
        <v>905</v>
      </c>
      <c r="E820" s="1675" t="s">
        <v>906</v>
      </c>
      <c r="F820" s="459">
        <v>87.07999999999997</v>
      </c>
      <c r="G820" s="339">
        <v>133.36099999999999</v>
      </c>
      <c r="H820" s="337">
        <v>87.08</v>
      </c>
      <c r="I820" s="331">
        <v>7</v>
      </c>
      <c r="J820" s="577">
        <v>0.18918918918918901</v>
      </c>
      <c r="K820" s="579">
        <v>14.817888888888902</v>
      </c>
      <c r="L820" s="436">
        <v>1.28571428571429</v>
      </c>
      <c r="M820" s="42" t="s">
        <v>227</v>
      </c>
      <c r="N820" s="334">
        <v>39</v>
      </c>
      <c r="O820" s="335">
        <v>30</v>
      </c>
      <c r="P820" s="335">
        <v>9</v>
      </c>
      <c r="Q820" s="389">
        <v>0</v>
      </c>
      <c r="R820" s="430">
        <v>0</v>
      </c>
      <c r="S820" s="339"/>
      <c r="T820" s="362">
        <v>4</v>
      </c>
      <c r="U820" s="337">
        <v>4</v>
      </c>
      <c r="V820" s="338">
        <v>0.44444444444444442</v>
      </c>
    </row>
    <row r="821" spans="2:22" ht="13.5">
      <c r="B821" s="1577">
        <v>201501</v>
      </c>
      <c r="C821" s="324" t="s">
        <v>458</v>
      </c>
      <c r="D821" s="325" t="s">
        <v>648</v>
      </c>
      <c r="E821" s="1674" t="s">
        <v>644</v>
      </c>
      <c r="F821" s="460">
        <v>157.73900000000015</v>
      </c>
      <c r="G821" s="92">
        <v>169.762</v>
      </c>
      <c r="H821" s="279">
        <v>157.739</v>
      </c>
      <c r="I821" s="154">
        <v>16</v>
      </c>
      <c r="J821" s="576">
        <v>0.32</v>
      </c>
      <c r="K821" s="578">
        <v>9.9860000000000007</v>
      </c>
      <c r="L821" s="437">
        <v>1.0625</v>
      </c>
      <c r="M821" s="42" t="s">
        <v>227</v>
      </c>
      <c r="N821" s="47">
        <v>53</v>
      </c>
      <c r="O821" s="45">
        <v>39</v>
      </c>
      <c r="P821" s="45">
        <v>13</v>
      </c>
      <c r="Q821" s="388">
        <v>1</v>
      </c>
      <c r="R821" s="429">
        <v>0</v>
      </c>
      <c r="S821" s="92">
        <v>2</v>
      </c>
      <c r="T821" s="361">
        <v>4</v>
      </c>
      <c r="U821" s="285">
        <v>3</v>
      </c>
      <c r="V821" s="438">
        <v>0.21428571428571427</v>
      </c>
    </row>
    <row r="822" spans="2:22" ht="13.5">
      <c r="B822" s="1577">
        <v>201501</v>
      </c>
      <c r="C822" s="326" t="s">
        <v>459</v>
      </c>
      <c r="D822" s="327" t="s">
        <v>1100</v>
      </c>
      <c r="E822" s="1675" t="s">
        <v>1774</v>
      </c>
      <c r="F822" s="459">
        <v>523.76799999999992</v>
      </c>
      <c r="G822" s="339">
        <v>523.76800000000003</v>
      </c>
      <c r="H822" s="337">
        <v>523.76800000000003</v>
      </c>
      <c r="I822" s="331">
        <v>35</v>
      </c>
      <c r="J822" s="577">
        <v>0.42944785276073599</v>
      </c>
      <c r="K822" s="579">
        <v>13.7833684210526</v>
      </c>
      <c r="L822" s="436">
        <v>1.0857142857142901</v>
      </c>
      <c r="M822" s="42" t="s">
        <v>227</v>
      </c>
      <c r="N822" s="334">
        <v>91</v>
      </c>
      <c r="O822" s="335">
        <v>69</v>
      </c>
      <c r="P822" s="335">
        <v>17</v>
      </c>
      <c r="Q822" s="389">
        <v>5</v>
      </c>
      <c r="R822" s="430">
        <v>4</v>
      </c>
      <c r="S822" s="339">
        <v>3</v>
      </c>
      <c r="T822" s="362">
        <v>20</v>
      </c>
      <c r="U822" s="337">
        <v>11</v>
      </c>
      <c r="V822" s="338">
        <v>0.5</v>
      </c>
    </row>
    <row r="823" spans="2:22" ht="13.5">
      <c r="B823" s="1577">
        <v>201501</v>
      </c>
      <c r="C823" s="324" t="s">
        <v>459</v>
      </c>
      <c r="D823" s="325" t="s">
        <v>661</v>
      </c>
      <c r="E823" s="325" t="s">
        <v>1950</v>
      </c>
      <c r="F823" s="460">
        <v>289.31200000000001</v>
      </c>
      <c r="G823" s="92">
        <v>303.55599999999998</v>
      </c>
      <c r="H823" s="279">
        <v>289.31200000000001</v>
      </c>
      <c r="I823" s="154">
        <v>7</v>
      </c>
      <c r="J823" s="576">
        <v>0.17499999999999999</v>
      </c>
      <c r="K823" s="578">
        <v>23.350461538461499</v>
      </c>
      <c r="L823" s="437">
        <v>1.8571428571428601</v>
      </c>
      <c r="M823" s="42" t="s">
        <v>227</v>
      </c>
      <c r="N823" s="47">
        <v>41</v>
      </c>
      <c r="O823" s="45">
        <v>31</v>
      </c>
      <c r="P823" s="45">
        <v>6</v>
      </c>
      <c r="Q823" s="388">
        <v>4</v>
      </c>
      <c r="R823" s="429">
        <v>0</v>
      </c>
      <c r="S823" s="92"/>
      <c r="T823" s="361">
        <v>2</v>
      </c>
      <c r="U823" s="285">
        <v>1</v>
      </c>
      <c r="V823" s="438">
        <v>0.1</v>
      </c>
    </row>
    <row r="824" spans="2:22" ht="13.5">
      <c r="B824" s="1577">
        <v>201501</v>
      </c>
      <c r="C824" s="326" t="s">
        <v>459</v>
      </c>
      <c r="D824" s="327" t="s">
        <v>179</v>
      </c>
      <c r="E824" s="1675" t="s">
        <v>191</v>
      </c>
      <c r="F824" s="459">
        <v>860.63900000000001</v>
      </c>
      <c r="G824" s="339">
        <v>887.01400000000001</v>
      </c>
      <c r="H824" s="337">
        <v>860.63900000000001</v>
      </c>
      <c r="I824" s="331">
        <v>27</v>
      </c>
      <c r="J824" s="577">
        <v>0.16413373860182401</v>
      </c>
      <c r="K824" s="579">
        <v>18.479458333333302</v>
      </c>
      <c r="L824" s="436">
        <v>1.7777777777777799</v>
      </c>
      <c r="M824" s="42" t="s">
        <v>227</v>
      </c>
      <c r="N824" s="334">
        <v>184</v>
      </c>
      <c r="O824" s="335">
        <v>122</v>
      </c>
      <c r="P824" s="335">
        <v>57</v>
      </c>
      <c r="Q824" s="389">
        <v>5</v>
      </c>
      <c r="R824" s="430">
        <v>6</v>
      </c>
      <c r="S824" s="339">
        <v>18</v>
      </c>
      <c r="T824" s="362">
        <v>27</v>
      </c>
      <c r="U824" s="337">
        <v>15</v>
      </c>
      <c r="V824" s="338">
        <v>0.24193548387096775</v>
      </c>
    </row>
    <row r="825" spans="2:22" ht="13.5">
      <c r="B825" s="1577">
        <v>201501</v>
      </c>
      <c r="C825" s="324" t="s">
        <v>459</v>
      </c>
      <c r="D825" s="325" t="s">
        <v>659</v>
      </c>
      <c r="E825" s="1674" t="s">
        <v>655</v>
      </c>
      <c r="F825" s="460">
        <v>298.68699999999995</v>
      </c>
      <c r="G825" s="92">
        <v>328.76</v>
      </c>
      <c r="H825" s="279">
        <v>298.68700000000001</v>
      </c>
      <c r="I825" s="154">
        <v>17</v>
      </c>
      <c r="J825" s="576">
        <v>0.17346938775510201</v>
      </c>
      <c r="K825" s="578">
        <v>14.943636363636401</v>
      </c>
      <c r="L825" s="437">
        <v>1.29411764705882</v>
      </c>
      <c r="M825" s="42" t="s">
        <v>227</v>
      </c>
      <c r="N825" s="47">
        <v>99</v>
      </c>
      <c r="O825" s="45">
        <v>76</v>
      </c>
      <c r="P825" s="45">
        <v>14</v>
      </c>
      <c r="Q825" s="388">
        <v>9</v>
      </c>
      <c r="R825" s="429">
        <v>7</v>
      </c>
      <c r="S825" s="92"/>
      <c r="T825" s="361">
        <v>9</v>
      </c>
      <c r="U825" s="285">
        <v>5</v>
      </c>
      <c r="V825" s="438">
        <v>0.21739130434782608</v>
      </c>
    </row>
    <row r="826" spans="2:22" ht="13.5">
      <c r="B826" s="1577">
        <v>201501</v>
      </c>
      <c r="C826" s="326" t="s">
        <v>459</v>
      </c>
      <c r="D826" s="327" t="s">
        <v>699</v>
      </c>
      <c r="E826" s="1675" t="s">
        <v>698</v>
      </c>
      <c r="F826" s="459">
        <v>76.692999999999998</v>
      </c>
      <c r="G826" s="339">
        <v>94.153999999999996</v>
      </c>
      <c r="H826" s="337">
        <v>76.692999999999998</v>
      </c>
      <c r="I826" s="331">
        <v>12</v>
      </c>
      <c r="J826" s="577">
        <v>0.19512195121951201</v>
      </c>
      <c r="K826" s="579">
        <v>9.4154</v>
      </c>
      <c r="L826" s="436">
        <v>0.83333333333333304</v>
      </c>
      <c r="M826" s="42" t="s">
        <v>227</v>
      </c>
      <c r="N826" s="334">
        <v>62</v>
      </c>
      <c r="O826" s="335">
        <v>46</v>
      </c>
      <c r="P826" s="335">
        <v>12</v>
      </c>
      <c r="Q826" s="389">
        <v>4</v>
      </c>
      <c r="R826" s="430">
        <v>5</v>
      </c>
      <c r="S826" s="339"/>
      <c r="T826" s="362">
        <v>6</v>
      </c>
      <c r="U826" s="337">
        <v>5</v>
      </c>
      <c r="V826" s="338">
        <v>0.3125</v>
      </c>
    </row>
    <row r="827" spans="2:22" ht="13.5">
      <c r="B827" s="1577">
        <v>201501</v>
      </c>
      <c r="C827" s="324" t="s">
        <v>459</v>
      </c>
      <c r="D827" s="325" t="s">
        <v>825</v>
      </c>
      <c r="E827" s="1674" t="s">
        <v>1773</v>
      </c>
      <c r="F827" s="460">
        <v>370.52099999999984</v>
      </c>
      <c r="G827" s="92">
        <v>370.52100000000002</v>
      </c>
      <c r="H827" s="279">
        <v>370.52100000000002</v>
      </c>
      <c r="I827" s="154">
        <v>20</v>
      </c>
      <c r="J827" s="576">
        <v>0.232558139534884</v>
      </c>
      <c r="K827" s="578">
        <v>11.9522903225806</v>
      </c>
      <c r="L827" s="437">
        <v>1.55</v>
      </c>
      <c r="M827" s="42" t="s">
        <v>227</v>
      </c>
      <c r="N827" s="47">
        <v>91</v>
      </c>
      <c r="O827" s="45">
        <v>69</v>
      </c>
      <c r="P827" s="45">
        <v>19</v>
      </c>
      <c r="Q827" s="388">
        <v>3</v>
      </c>
      <c r="R827" s="429">
        <v>1</v>
      </c>
      <c r="S827" s="92"/>
      <c r="T827" s="361">
        <v>11</v>
      </c>
      <c r="U827" s="285">
        <v>8</v>
      </c>
      <c r="V827" s="438">
        <v>0.36363636363636365</v>
      </c>
    </row>
    <row r="828" spans="2:22" ht="13.5">
      <c r="B828" s="1577">
        <v>201501</v>
      </c>
      <c r="C828" s="326" t="s">
        <v>459</v>
      </c>
      <c r="D828" s="327" t="s">
        <v>185</v>
      </c>
      <c r="E828" s="1675" t="s">
        <v>190</v>
      </c>
      <c r="F828" s="459">
        <v>361.21300000000002</v>
      </c>
      <c r="G828" s="339">
        <v>361.21300000000002</v>
      </c>
      <c r="H828" s="337">
        <v>361.21300000000002</v>
      </c>
      <c r="I828" s="331">
        <v>14</v>
      </c>
      <c r="J828" s="577">
        <v>0.28571428571428598</v>
      </c>
      <c r="K828" s="579">
        <v>17.200619047619099</v>
      </c>
      <c r="L828" s="436">
        <v>1.5</v>
      </c>
      <c r="M828" s="42" t="s">
        <v>227</v>
      </c>
      <c r="N828" s="334">
        <v>50</v>
      </c>
      <c r="O828" s="335">
        <v>37</v>
      </c>
      <c r="P828" s="335">
        <v>7</v>
      </c>
      <c r="Q828" s="389">
        <v>6</v>
      </c>
      <c r="R828" s="430">
        <v>3</v>
      </c>
      <c r="S828" s="339"/>
      <c r="T828" s="362">
        <v>5</v>
      </c>
      <c r="U828" s="337">
        <v>4</v>
      </c>
      <c r="V828" s="338">
        <v>0.30769230769230771</v>
      </c>
    </row>
    <row r="829" spans="2:22" ht="13.5">
      <c r="B829" s="1577">
        <v>201501</v>
      </c>
      <c r="C829" s="326" t="s">
        <v>459</v>
      </c>
      <c r="D829" s="327" t="s">
        <v>660</v>
      </c>
      <c r="E829" s="1675" t="s">
        <v>656</v>
      </c>
      <c r="F829" s="459">
        <v>475.976</v>
      </c>
      <c r="G829" s="339">
        <v>462.846</v>
      </c>
      <c r="H829" s="337">
        <v>475.976</v>
      </c>
      <c r="I829" s="331">
        <v>25</v>
      </c>
      <c r="J829" s="577">
        <v>0.38167938931297701</v>
      </c>
      <c r="K829" s="579">
        <v>12.5093513513514</v>
      </c>
      <c r="L829" s="436">
        <v>1.48</v>
      </c>
      <c r="M829" s="42" t="s">
        <v>227</v>
      </c>
      <c r="N829" s="334">
        <v>86</v>
      </c>
      <c r="O829" s="335">
        <v>67</v>
      </c>
      <c r="P829" s="335">
        <v>13</v>
      </c>
      <c r="Q829" s="389">
        <v>6</v>
      </c>
      <c r="R829" s="430">
        <v>8</v>
      </c>
      <c r="S829" s="339">
        <v>9</v>
      </c>
      <c r="T829" s="362">
        <v>40</v>
      </c>
      <c r="U829" s="337">
        <v>16</v>
      </c>
      <c r="V829" s="338">
        <v>0.84210526315789469</v>
      </c>
    </row>
    <row r="830" spans="2:22" ht="13.5">
      <c r="B830" s="1577">
        <v>201501</v>
      </c>
      <c r="C830" s="324" t="s">
        <v>459</v>
      </c>
      <c r="D830" s="325" t="s">
        <v>737</v>
      </c>
      <c r="E830" s="1674"/>
      <c r="F830" s="460">
        <v>210.95899999999997</v>
      </c>
      <c r="G830" s="92">
        <v>210.959</v>
      </c>
      <c r="H830" s="279">
        <v>210.959</v>
      </c>
      <c r="I830" s="154">
        <v>15</v>
      </c>
      <c r="J830" s="576">
        <v>0.434782608695652</v>
      </c>
      <c r="K830" s="578">
        <v>13.1849375</v>
      </c>
      <c r="L830" s="437">
        <v>1.06666666666667</v>
      </c>
      <c r="M830" s="42" t="s">
        <v>227</v>
      </c>
      <c r="N830" s="47">
        <v>37</v>
      </c>
      <c r="O830" s="45">
        <v>27</v>
      </c>
      <c r="P830" s="45">
        <v>9</v>
      </c>
      <c r="Q830" s="388">
        <v>1</v>
      </c>
      <c r="R830" s="429">
        <v>2</v>
      </c>
      <c r="S830" s="92">
        <v>1</v>
      </c>
      <c r="T830" s="361">
        <v>6</v>
      </c>
      <c r="U830" s="285">
        <v>3</v>
      </c>
      <c r="V830" s="438">
        <v>0.3</v>
      </c>
    </row>
    <row r="831" spans="2:22" ht="13.5">
      <c r="B831" s="1577">
        <v>201501</v>
      </c>
      <c r="C831" s="326" t="s">
        <v>459</v>
      </c>
      <c r="D831" s="327" t="s">
        <v>662</v>
      </c>
      <c r="E831" s="1675"/>
      <c r="F831" s="459">
        <v>112.45499999999998</v>
      </c>
      <c r="G831" s="339">
        <v>112.455</v>
      </c>
      <c r="H831" s="337">
        <v>112.455</v>
      </c>
      <c r="I831" s="331">
        <v>7</v>
      </c>
      <c r="J831" s="577">
        <v>0.18181818181818199</v>
      </c>
      <c r="K831" s="579">
        <v>18.7425</v>
      </c>
      <c r="L831" s="436">
        <v>0.85714285714285698</v>
      </c>
      <c r="M831" s="42" t="s">
        <v>227</v>
      </c>
      <c r="N831" s="334">
        <v>41</v>
      </c>
      <c r="O831" s="335">
        <v>31</v>
      </c>
      <c r="P831" s="335">
        <v>9</v>
      </c>
      <c r="Q831" s="389">
        <v>1</v>
      </c>
      <c r="R831" s="430">
        <v>0</v>
      </c>
      <c r="S831" s="339"/>
      <c r="T831" s="362">
        <v>5</v>
      </c>
      <c r="U831" s="337">
        <v>5</v>
      </c>
      <c r="V831" s="338">
        <v>0.5</v>
      </c>
    </row>
    <row r="832" spans="2:22" ht="13.5">
      <c r="B832" s="1577">
        <v>201501</v>
      </c>
      <c r="C832" s="324" t="s">
        <v>459</v>
      </c>
      <c r="D832" s="325" t="s">
        <v>799</v>
      </c>
      <c r="E832" s="1674" t="s">
        <v>800</v>
      </c>
      <c r="F832" s="460">
        <v>168.00700000000001</v>
      </c>
      <c r="G832" s="92">
        <v>162.482</v>
      </c>
      <c r="H832" s="279">
        <v>168.00700000000001</v>
      </c>
      <c r="I832" s="154">
        <v>9</v>
      </c>
      <c r="J832" s="576">
        <v>0.183673469387755</v>
      </c>
      <c r="K832" s="578">
        <v>12.4986153846154</v>
      </c>
      <c r="L832" s="437">
        <v>1.44444444444444</v>
      </c>
      <c r="M832" s="42" t="s">
        <v>227</v>
      </c>
      <c r="N832" s="47">
        <v>48</v>
      </c>
      <c r="O832" s="45">
        <v>32</v>
      </c>
      <c r="P832" s="45">
        <v>14</v>
      </c>
      <c r="Q832" s="388">
        <v>2</v>
      </c>
      <c r="R832" s="429">
        <v>4</v>
      </c>
      <c r="S832" s="92">
        <v>1</v>
      </c>
      <c r="T832" s="361">
        <v>1</v>
      </c>
      <c r="U832" s="285">
        <v>1</v>
      </c>
      <c r="V832" s="438">
        <v>6.25E-2</v>
      </c>
    </row>
    <row r="833" spans="2:22" ht="13.5">
      <c r="B833" s="1577">
        <v>201501</v>
      </c>
      <c r="C833" s="326" t="s">
        <v>459</v>
      </c>
      <c r="D833" s="327" t="s">
        <v>177</v>
      </c>
      <c r="E833" s="1675" t="s">
        <v>189</v>
      </c>
      <c r="F833" s="459">
        <v>547.23499999999979</v>
      </c>
      <c r="G833" s="339">
        <v>521.45500000000004</v>
      </c>
      <c r="H833" s="337">
        <v>547.23500000000001</v>
      </c>
      <c r="I833" s="331">
        <v>28</v>
      </c>
      <c r="J833" s="577">
        <v>0.28426395939086302</v>
      </c>
      <c r="K833" s="579">
        <v>14.8987142857143</v>
      </c>
      <c r="L833" s="436">
        <v>1.25</v>
      </c>
      <c r="M833" s="42" t="s">
        <v>227</v>
      </c>
      <c r="N833" s="334">
        <v>105</v>
      </c>
      <c r="O833" s="335">
        <v>76</v>
      </c>
      <c r="P833" s="335">
        <v>27</v>
      </c>
      <c r="Q833" s="389">
        <v>2</v>
      </c>
      <c r="R833" s="430">
        <v>3</v>
      </c>
      <c r="S833" s="339">
        <v>3</v>
      </c>
      <c r="T833" s="362">
        <v>13</v>
      </c>
      <c r="U833" s="337">
        <v>11</v>
      </c>
      <c r="V833" s="338">
        <v>0.37931034482758619</v>
      </c>
    </row>
    <row r="834" spans="2:22" ht="13.5">
      <c r="B834" s="1577">
        <v>201501</v>
      </c>
      <c r="C834" s="324" t="s">
        <v>459</v>
      </c>
      <c r="D834" s="325" t="s">
        <v>176</v>
      </c>
      <c r="E834" s="1674" t="s">
        <v>188</v>
      </c>
      <c r="F834" s="460">
        <v>788.25599999999986</v>
      </c>
      <c r="G834" s="92">
        <v>788.25599999999997</v>
      </c>
      <c r="H834" s="279">
        <v>788.25599999999997</v>
      </c>
      <c r="I834" s="154">
        <v>41</v>
      </c>
      <c r="J834" s="576">
        <v>0.23163841807909599</v>
      </c>
      <c r="K834" s="578">
        <v>17.135999999999999</v>
      </c>
      <c r="L834" s="437">
        <v>1.1219512195121999</v>
      </c>
      <c r="M834" s="42" t="s">
        <v>227</v>
      </c>
      <c r="N834" s="47">
        <v>177</v>
      </c>
      <c r="O834" s="45">
        <v>144</v>
      </c>
      <c r="P834" s="45">
        <v>27</v>
      </c>
      <c r="Q834" s="388">
        <v>6</v>
      </c>
      <c r="R834" s="429">
        <v>18</v>
      </c>
      <c r="S834" s="92">
        <v>3</v>
      </c>
      <c r="T834" s="361">
        <v>15</v>
      </c>
      <c r="U834" s="285">
        <v>9</v>
      </c>
      <c r="V834" s="438">
        <v>0.27272727272727271</v>
      </c>
    </row>
    <row r="835" spans="2:22" ht="13.5">
      <c r="B835" s="1577">
        <v>201412</v>
      </c>
      <c r="C835" s="326" t="s">
        <v>458</v>
      </c>
      <c r="D835" s="327" t="s">
        <v>900</v>
      </c>
      <c r="E835" s="1675" t="s">
        <v>901</v>
      </c>
      <c r="F835" s="459">
        <v>1097.598</v>
      </c>
      <c r="G835" s="339">
        <v>1330.432</v>
      </c>
      <c r="H835" s="337">
        <v>1097.598</v>
      </c>
      <c r="I835" s="331">
        <v>17</v>
      </c>
      <c r="J835" s="577">
        <v>0.94444399999999995</v>
      </c>
      <c r="K835" s="579">
        <v>21.117968253968002</v>
      </c>
      <c r="L835" s="436">
        <v>3.7058819999999999</v>
      </c>
      <c r="M835" s="42"/>
      <c r="N835" s="334">
        <v>31</v>
      </c>
      <c r="O835" s="335">
        <v>22</v>
      </c>
      <c r="P835" s="335">
        <v>9</v>
      </c>
      <c r="Q835" s="389">
        <v>0</v>
      </c>
      <c r="R835" s="430">
        <v>0</v>
      </c>
      <c r="S835" s="339">
        <v>8</v>
      </c>
      <c r="T835" s="362">
        <v>18</v>
      </c>
      <c r="U835" s="337">
        <v>10</v>
      </c>
      <c r="V835" s="338">
        <v>1.1111111111111101</v>
      </c>
    </row>
    <row r="836" spans="2:22" ht="13.5">
      <c r="B836" s="1577">
        <v>201412</v>
      </c>
      <c r="C836" s="324" t="s">
        <v>458</v>
      </c>
      <c r="D836" s="325" t="s">
        <v>649</v>
      </c>
      <c r="E836" s="1674" t="s">
        <v>645</v>
      </c>
      <c r="F836" s="460">
        <v>3475.4209999999898</v>
      </c>
      <c r="G836" s="92">
        <v>1167.817</v>
      </c>
      <c r="H836" s="279">
        <v>976.36500000000001</v>
      </c>
      <c r="I836" s="154">
        <v>25</v>
      </c>
      <c r="J836" s="576">
        <v>0.46296300000000001</v>
      </c>
      <c r="K836" s="578">
        <v>22.034283018867999</v>
      </c>
      <c r="L836" s="437">
        <v>2.12</v>
      </c>
      <c r="M836" s="42"/>
      <c r="N836" s="47">
        <v>56</v>
      </c>
      <c r="O836" s="45">
        <v>41</v>
      </c>
      <c r="P836" s="45">
        <v>11</v>
      </c>
      <c r="Q836" s="388">
        <v>4</v>
      </c>
      <c r="R836" s="429">
        <v>3</v>
      </c>
      <c r="S836" s="92">
        <v>2</v>
      </c>
      <c r="T836" s="361">
        <v>5</v>
      </c>
      <c r="U836" s="285">
        <v>3</v>
      </c>
      <c r="V836" s="438">
        <v>0.2</v>
      </c>
    </row>
    <row r="837" spans="2:22" ht="13.5">
      <c r="B837" s="1577">
        <v>201412</v>
      </c>
      <c r="C837" s="326" t="s">
        <v>458</v>
      </c>
      <c r="D837" s="327" t="s">
        <v>650</v>
      </c>
      <c r="E837" s="1675" t="s">
        <v>1777</v>
      </c>
      <c r="F837" s="459">
        <v>1807.989</v>
      </c>
      <c r="G837" s="339">
        <v>522.40700000000004</v>
      </c>
      <c r="H837" s="337">
        <v>527.47299999999996</v>
      </c>
      <c r="I837" s="331">
        <v>16</v>
      </c>
      <c r="J837" s="577">
        <v>0.29357800000000001</v>
      </c>
      <c r="K837" s="579">
        <v>17.413566666666998</v>
      </c>
      <c r="L837" s="436">
        <v>1.875</v>
      </c>
      <c r="M837" s="42"/>
      <c r="N837" s="334">
        <v>54</v>
      </c>
      <c r="O837" s="335">
        <v>39</v>
      </c>
      <c r="P837" s="335">
        <v>12</v>
      </c>
      <c r="Q837" s="389">
        <v>3</v>
      </c>
      <c r="R837" s="430">
        <v>8</v>
      </c>
      <c r="S837" s="339">
        <v>2</v>
      </c>
      <c r="T837" s="362">
        <v>5</v>
      </c>
      <c r="U837" s="337">
        <v>3</v>
      </c>
      <c r="V837" s="338">
        <v>0.2</v>
      </c>
    </row>
    <row r="838" spans="2:22" ht="13.5">
      <c r="B838" s="1577">
        <v>201412</v>
      </c>
      <c r="C838" s="324" t="s">
        <v>458</v>
      </c>
      <c r="D838" s="325" t="s">
        <v>902</v>
      </c>
      <c r="E838" s="1674" t="s">
        <v>1014</v>
      </c>
      <c r="F838" s="460">
        <v>309.74400000000003</v>
      </c>
      <c r="G838" s="92">
        <v>268.98099999999999</v>
      </c>
      <c r="H838" s="279">
        <v>227.143</v>
      </c>
      <c r="I838" s="154">
        <v>10</v>
      </c>
      <c r="J838" s="576">
        <v>0.55555600000000005</v>
      </c>
      <c r="K838" s="578">
        <v>17.932066666667001</v>
      </c>
      <c r="L838" s="437">
        <v>1.5</v>
      </c>
      <c r="M838" s="42"/>
      <c r="N838" s="47">
        <v>25</v>
      </c>
      <c r="O838" s="45">
        <v>16</v>
      </c>
      <c r="P838" s="45">
        <v>8</v>
      </c>
      <c r="Q838" s="388">
        <v>1</v>
      </c>
      <c r="R838" s="429">
        <v>0</v>
      </c>
      <c r="S838" s="92">
        <v>4</v>
      </c>
      <c r="T838" s="361">
        <v>10</v>
      </c>
      <c r="U838" s="285">
        <v>5</v>
      </c>
      <c r="V838" s="438">
        <v>0.55555555555555602</v>
      </c>
    </row>
    <row r="839" spans="2:22" ht="13.5">
      <c r="B839" s="1577">
        <v>201412</v>
      </c>
      <c r="C839" s="326" t="s">
        <v>458</v>
      </c>
      <c r="D839" s="327" t="s">
        <v>642</v>
      </c>
      <c r="E839" s="1675" t="s">
        <v>641</v>
      </c>
      <c r="F839" s="459">
        <v>2599.7809999999799</v>
      </c>
      <c r="G839" s="339">
        <v>850.12300000000005</v>
      </c>
      <c r="H839" s="337">
        <v>872.24800000000005</v>
      </c>
      <c r="I839" s="331">
        <v>15</v>
      </c>
      <c r="J839" s="577">
        <v>0.25862099999999999</v>
      </c>
      <c r="K839" s="579">
        <v>22.976297297296998</v>
      </c>
      <c r="L839" s="436">
        <v>2.4666670000000002</v>
      </c>
      <c r="M839" s="42"/>
      <c r="N839" s="334">
        <v>57</v>
      </c>
      <c r="O839" s="335">
        <v>43</v>
      </c>
      <c r="P839" s="335">
        <v>14</v>
      </c>
      <c r="Q839" s="389">
        <v>0</v>
      </c>
      <c r="R839" s="430">
        <v>11</v>
      </c>
      <c r="S839" s="339"/>
      <c r="T839" s="362">
        <v>9</v>
      </c>
      <c r="U839" s="337">
        <v>5</v>
      </c>
      <c r="V839" s="338">
        <v>0.35714285714285698</v>
      </c>
    </row>
    <row r="840" spans="2:22" ht="13.5">
      <c r="B840" s="1577">
        <v>201412</v>
      </c>
      <c r="C840" s="324" t="s">
        <v>458</v>
      </c>
      <c r="D840" s="325" t="s">
        <v>91</v>
      </c>
      <c r="E840" s="1674" t="s">
        <v>92</v>
      </c>
      <c r="F840" s="460">
        <v>10008.674000000099</v>
      </c>
      <c r="G840" s="92">
        <v>2351.7840000000001</v>
      </c>
      <c r="H840" s="279">
        <v>2262.828</v>
      </c>
      <c r="I840" s="154">
        <v>47</v>
      </c>
      <c r="J840" s="576">
        <v>0.42922399999999999</v>
      </c>
      <c r="K840" s="578">
        <v>25.288</v>
      </c>
      <c r="L840" s="437">
        <v>1.978723</v>
      </c>
      <c r="M840" s="42"/>
      <c r="N840" s="47">
        <v>112</v>
      </c>
      <c r="O840" s="45">
        <v>89</v>
      </c>
      <c r="P840" s="45">
        <v>20</v>
      </c>
      <c r="Q840" s="388">
        <v>3</v>
      </c>
      <c r="R840" s="429">
        <v>14</v>
      </c>
      <c r="S840" s="92">
        <v>5</v>
      </c>
      <c r="T840" s="361">
        <v>14</v>
      </c>
      <c r="U840" s="285">
        <v>7</v>
      </c>
      <c r="V840" s="438">
        <v>0.30434782608695699</v>
      </c>
    </row>
    <row r="841" spans="2:22" ht="13.5">
      <c r="B841" s="1577">
        <v>201412</v>
      </c>
      <c r="C841" s="326" t="s">
        <v>458</v>
      </c>
      <c r="D841" s="327" t="s">
        <v>187</v>
      </c>
      <c r="E841" s="1675" t="s">
        <v>194</v>
      </c>
      <c r="F841" s="459">
        <v>4471.1090000000004</v>
      </c>
      <c r="G841" s="339">
        <v>885.86900000000003</v>
      </c>
      <c r="H841" s="337">
        <v>944.84199999999998</v>
      </c>
      <c r="I841" s="331">
        <v>17</v>
      </c>
      <c r="J841" s="577">
        <v>0.293103</v>
      </c>
      <c r="K841" s="579">
        <v>20.133386363635999</v>
      </c>
      <c r="L841" s="436">
        <v>2.5882350000000001</v>
      </c>
      <c r="M841" s="42"/>
      <c r="N841" s="334">
        <v>53</v>
      </c>
      <c r="O841" s="335">
        <v>40</v>
      </c>
      <c r="P841" s="335">
        <v>12</v>
      </c>
      <c r="Q841" s="389">
        <v>1</v>
      </c>
      <c r="R841" s="430">
        <v>18</v>
      </c>
      <c r="S841" s="339"/>
      <c r="T841" s="362">
        <v>8</v>
      </c>
      <c r="U841" s="337">
        <v>4</v>
      </c>
      <c r="V841" s="338">
        <v>0.30769230769230799</v>
      </c>
    </row>
    <row r="842" spans="2:22" ht="13.5">
      <c r="B842" s="1577">
        <v>201412</v>
      </c>
      <c r="C842" s="324" t="s">
        <v>458</v>
      </c>
      <c r="D842" s="325" t="s">
        <v>734</v>
      </c>
      <c r="E842" s="1674" t="s">
        <v>1766</v>
      </c>
      <c r="F842" s="460">
        <v>2815.6260000000002</v>
      </c>
      <c r="G842" s="92">
        <v>1175.019</v>
      </c>
      <c r="H842" s="279">
        <v>1082.5820000000001</v>
      </c>
      <c r="I842" s="154">
        <v>17</v>
      </c>
      <c r="J842" s="576">
        <v>0.19653200000000001</v>
      </c>
      <c r="K842" s="578">
        <v>19.262606557377001</v>
      </c>
      <c r="L842" s="437">
        <v>3.5882350000000001</v>
      </c>
      <c r="M842" s="42"/>
      <c r="N842" s="47">
        <v>98</v>
      </c>
      <c r="O842" s="45">
        <v>75</v>
      </c>
      <c r="P842" s="45">
        <v>23</v>
      </c>
      <c r="Q842" s="388">
        <v>0</v>
      </c>
      <c r="R842" s="429">
        <v>0</v>
      </c>
      <c r="S842" s="92">
        <v>5</v>
      </c>
      <c r="T842" s="361">
        <v>18</v>
      </c>
      <c r="U842" s="285">
        <v>10</v>
      </c>
      <c r="V842" s="438">
        <v>0.434782608695652</v>
      </c>
    </row>
    <row r="843" spans="2:22" ht="13.5">
      <c r="B843" s="1577">
        <v>201412</v>
      </c>
      <c r="C843" s="326" t="s">
        <v>458</v>
      </c>
      <c r="D843" s="327" t="s">
        <v>735</v>
      </c>
      <c r="E843" s="1675" t="s">
        <v>790</v>
      </c>
      <c r="F843" s="459">
        <v>10546.984</v>
      </c>
      <c r="G843" s="339">
        <v>3399.241</v>
      </c>
      <c r="H843" s="337">
        <v>3489.2829999999999</v>
      </c>
      <c r="I843" s="331">
        <v>19</v>
      </c>
      <c r="J843" s="577">
        <v>0.44185999999999998</v>
      </c>
      <c r="K843" s="579">
        <v>44.145987012987</v>
      </c>
      <c r="L843" s="436">
        <v>4.052632</v>
      </c>
      <c r="M843" s="42"/>
      <c r="N843" s="334">
        <v>45</v>
      </c>
      <c r="O843" s="335">
        <v>38</v>
      </c>
      <c r="P843" s="335">
        <v>5</v>
      </c>
      <c r="Q843" s="389">
        <v>2</v>
      </c>
      <c r="R843" s="430">
        <v>4</v>
      </c>
      <c r="S843" s="339"/>
      <c r="T843" s="362">
        <v>8</v>
      </c>
      <c r="U843" s="337">
        <v>4</v>
      </c>
      <c r="V843" s="338">
        <v>0.57142857142857095</v>
      </c>
    </row>
    <row r="844" spans="2:22" ht="13.5">
      <c r="B844" s="1577">
        <v>201412</v>
      </c>
      <c r="C844" s="324" t="s">
        <v>458</v>
      </c>
      <c r="D844" s="325" t="s">
        <v>798</v>
      </c>
      <c r="E844" s="1674" t="s">
        <v>1768</v>
      </c>
      <c r="F844" s="460">
        <v>4233.6360000000004</v>
      </c>
      <c r="G844" s="92">
        <v>1160.473</v>
      </c>
      <c r="H844" s="279">
        <v>1181.203</v>
      </c>
      <c r="I844" s="154">
        <v>12</v>
      </c>
      <c r="J844" s="576">
        <v>0.52173899999999995</v>
      </c>
      <c r="K844" s="578">
        <v>23.683122448980001</v>
      </c>
      <c r="L844" s="437">
        <v>4.0833329999999997</v>
      </c>
      <c r="M844" s="42"/>
      <c r="N844" s="47">
        <v>26</v>
      </c>
      <c r="O844" s="45">
        <v>18</v>
      </c>
      <c r="P844" s="45">
        <v>8</v>
      </c>
      <c r="Q844" s="388">
        <v>0</v>
      </c>
      <c r="R844" s="429">
        <v>0</v>
      </c>
      <c r="S844" s="92">
        <v>1</v>
      </c>
      <c r="T844" s="361">
        <v>5</v>
      </c>
      <c r="U844" s="285">
        <v>3</v>
      </c>
      <c r="V844" s="438">
        <v>0.375</v>
      </c>
    </row>
    <row r="845" spans="2:22" ht="13.5">
      <c r="B845" s="1577">
        <v>201412</v>
      </c>
      <c r="C845" s="326" t="s">
        <v>458</v>
      </c>
      <c r="D845" s="327" t="s">
        <v>949</v>
      </c>
      <c r="E845" s="1675" t="s">
        <v>950</v>
      </c>
      <c r="F845" s="459">
        <v>214.44900000000001</v>
      </c>
      <c r="G845" s="339">
        <v>203.17400000000001</v>
      </c>
      <c r="H845" s="337">
        <v>199.375</v>
      </c>
      <c r="I845" s="331">
        <v>6</v>
      </c>
      <c r="J845" s="577">
        <v>0.38709700000000002</v>
      </c>
      <c r="K845" s="579">
        <v>11.287444444444001</v>
      </c>
      <c r="L845" s="436">
        <v>3</v>
      </c>
      <c r="M845" s="42"/>
      <c r="N845" s="334">
        <v>23</v>
      </c>
      <c r="O845" s="335">
        <v>18</v>
      </c>
      <c r="P845" s="335">
        <v>4</v>
      </c>
      <c r="Q845" s="389">
        <v>1</v>
      </c>
      <c r="R845" s="430">
        <v>0</v>
      </c>
      <c r="S845" s="339">
        <v>3</v>
      </c>
      <c r="T845" s="362">
        <v>14</v>
      </c>
      <c r="U845" s="337">
        <v>3</v>
      </c>
      <c r="V845" s="338">
        <v>0.6</v>
      </c>
    </row>
    <row r="846" spans="2:22" ht="13.5">
      <c r="B846" s="1577">
        <v>201412</v>
      </c>
      <c r="C846" s="324" t="s">
        <v>458</v>
      </c>
      <c r="D846" s="325" t="s">
        <v>903</v>
      </c>
      <c r="E846" s="1674" t="s">
        <v>904</v>
      </c>
      <c r="F846" s="460">
        <v>695.67700000000002</v>
      </c>
      <c r="G846" s="92">
        <v>534.15499999999997</v>
      </c>
      <c r="H846" s="279">
        <v>514.95699999999999</v>
      </c>
      <c r="I846" s="154">
        <v>12</v>
      </c>
      <c r="J846" s="576">
        <v>0.54545500000000002</v>
      </c>
      <c r="K846" s="578">
        <v>19.783518518518999</v>
      </c>
      <c r="L846" s="437">
        <v>2.25</v>
      </c>
      <c r="M846" s="42"/>
      <c r="N846" s="47">
        <v>28</v>
      </c>
      <c r="O846" s="45">
        <v>22</v>
      </c>
      <c r="P846" s="45">
        <v>6</v>
      </c>
      <c r="Q846" s="388">
        <v>0</v>
      </c>
      <c r="R846" s="429">
        <v>0</v>
      </c>
      <c r="S846" s="92">
        <v>1</v>
      </c>
      <c r="T846" s="361">
        <v>12</v>
      </c>
      <c r="U846" s="285">
        <v>8</v>
      </c>
      <c r="V846" s="438">
        <v>1.3333333333333299</v>
      </c>
    </row>
    <row r="847" spans="2:22" ht="13.5">
      <c r="B847" s="1577">
        <v>201412</v>
      </c>
      <c r="C847" s="326" t="s">
        <v>458</v>
      </c>
      <c r="D847" s="327" t="s">
        <v>628</v>
      </c>
      <c r="E847" s="1675" t="s">
        <v>629</v>
      </c>
      <c r="F847" s="459">
        <v>3036.2559999999899</v>
      </c>
      <c r="G847" s="339">
        <v>769.46799999999996</v>
      </c>
      <c r="H847" s="337">
        <v>728.77599999999995</v>
      </c>
      <c r="I847" s="331">
        <v>26</v>
      </c>
      <c r="J847" s="577">
        <v>0.40944900000000001</v>
      </c>
      <c r="K847" s="579">
        <v>15.38936</v>
      </c>
      <c r="L847" s="436">
        <v>1.9230769999999999</v>
      </c>
      <c r="M847" s="42"/>
      <c r="N847" s="334">
        <v>64</v>
      </c>
      <c r="O847" s="335">
        <v>43</v>
      </c>
      <c r="P847" s="335">
        <v>20</v>
      </c>
      <c r="Q847" s="389">
        <v>1</v>
      </c>
      <c r="R847" s="430">
        <v>4</v>
      </c>
      <c r="S847" s="339"/>
      <c r="T847" s="362">
        <v>5</v>
      </c>
      <c r="U847" s="337">
        <v>4</v>
      </c>
      <c r="V847" s="338">
        <v>0.19047619047618999</v>
      </c>
    </row>
    <row r="848" spans="2:22" ht="13.5">
      <c r="B848" s="1577">
        <v>201412</v>
      </c>
      <c r="C848" s="324" t="s">
        <v>458</v>
      </c>
      <c r="D848" s="325" t="s">
        <v>557</v>
      </c>
      <c r="E848" s="1678" t="s">
        <v>1770</v>
      </c>
      <c r="F848" s="460">
        <v>2335.5059999999999</v>
      </c>
      <c r="G848" s="92">
        <v>726.64099999999996</v>
      </c>
      <c r="H848" s="279">
        <v>704.65499999999997</v>
      </c>
      <c r="I848" s="154">
        <v>32</v>
      </c>
      <c r="J848" s="576">
        <v>0.45070399999999999</v>
      </c>
      <c r="K848" s="578">
        <v>13.211654545455</v>
      </c>
      <c r="L848" s="437">
        <v>1.71875</v>
      </c>
      <c r="M848" s="42"/>
      <c r="N848" s="47">
        <v>73</v>
      </c>
      <c r="O848" s="45">
        <v>64</v>
      </c>
      <c r="P848" s="45">
        <v>9</v>
      </c>
      <c r="Q848" s="388">
        <v>0</v>
      </c>
      <c r="R848" s="429">
        <v>1</v>
      </c>
      <c r="S848" s="92"/>
      <c r="T848" s="361">
        <v>5</v>
      </c>
      <c r="U848" s="285">
        <v>4</v>
      </c>
      <c r="V848" s="438">
        <v>0.44444444444444398</v>
      </c>
    </row>
    <row r="849" spans="2:22" ht="13.5">
      <c r="B849" s="1577">
        <v>201412</v>
      </c>
      <c r="C849" s="326" t="s">
        <v>458</v>
      </c>
      <c r="D849" s="327" t="s">
        <v>47</v>
      </c>
      <c r="E849" s="1675" t="s">
        <v>17</v>
      </c>
      <c r="F849" s="459">
        <v>5608.0039999999999</v>
      </c>
      <c r="G849" s="339">
        <v>1744.288</v>
      </c>
      <c r="H849" s="337">
        <v>1721.662</v>
      </c>
      <c r="I849" s="331">
        <v>28</v>
      </c>
      <c r="J849" s="577">
        <v>0.36363600000000001</v>
      </c>
      <c r="K849" s="579">
        <v>26.428606060606</v>
      </c>
      <c r="L849" s="436">
        <v>2.3571430000000002</v>
      </c>
      <c r="M849" s="42"/>
      <c r="N849" s="334">
        <v>80</v>
      </c>
      <c r="O849" s="335">
        <v>64</v>
      </c>
      <c r="P849" s="335">
        <v>15</v>
      </c>
      <c r="Q849" s="389">
        <v>1</v>
      </c>
      <c r="R849" s="430">
        <v>2</v>
      </c>
      <c r="S849" s="339">
        <v>1</v>
      </c>
      <c r="T849" s="362">
        <v>7</v>
      </c>
      <c r="U849" s="337">
        <v>5</v>
      </c>
      <c r="V849" s="338">
        <v>0.3125</v>
      </c>
    </row>
    <row r="850" spans="2:22" ht="13.5">
      <c r="B850" s="1577">
        <v>201412</v>
      </c>
      <c r="C850" s="324" t="s">
        <v>458</v>
      </c>
      <c r="D850" s="325" t="s">
        <v>736</v>
      </c>
      <c r="E850" s="1674" t="s">
        <v>697</v>
      </c>
      <c r="F850" s="460">
        <v>5690.1700000000301</v>
      </c>
      <c r="G850" s="92">
        <v>2507.4589999999998</v>
      </c>
      <c r="H850" s="279">
        <v>2377.9029999999998</v>
      </c>
      <c r="I850" s="154">
        <v>32</v>
      </c>
      <c r="J850" s="576">
        <v>0.33160600000000001</v>
      </c>
      <c r="K850" s="578">
        <v>23.880561904762001</v>
      </c>
      <c r="L850" s="437">
        <v>3.28125</v>
      </c>
      <c r="M850" s="42"/>
      <c r="N850" s="47">
        <v>97</v>
      </c>
      <c r="O850" s="45">
        <v>80</v>
      </c>
      <c r="P850" s="45">
        <v>11</v>
      </c>
      <c r="Q850" s="388">
        <v>6</v>
      </c>
      <c r="R850" s="429">
        <v>6</v>
      </c>
      <c r="S850" s="92"/>
      <c r="T850" s="361">
        <v>8</v>
      </c>
      <c r="U850" s="285">
        <v>7</v>
      </c>
      <c r="V850" s="438">
        <v>0.41176470588235298</v>
      </c>
    </row>
    <row r="851" spans="2:22" ht="13.5">
      <c r="B851" s="1577">
        <v>201412</v>
      </c>
      <c r="C851" s="326" t="s">
        <v>458</v>
      </c>
      <c r="D851" s="327" t="s">
        <v>796</v>
      </c>
      <c r="E851" s="1675" t="s">
        <v>797</v>
      </c>
      <c r="F851" s="459">
        <v>2131.0920000000001</v>
      </c>
      <c r="G851" s="339">
        <v>1185.162</v>
      </c>
      <c r="H851" s="337">
        <v>1148.529</v>
      </c>
      <c r="I851" s="331">
        <v>21</v>
      </c>
      <c r="J851" s="577">
        <v>0.35593200000000003</v>
      </c>
      <c r="K851" s="579">
        <v>32.921166666666998</v>
      </c>
      <c r="L851" s="436">
        <v>1.714286</v>
      </c>
      <c r="M851" s="42"/>
      <c r="N851" s="334">
        <v>64</v>
      </c>
      <c r="O851" s="335">
        <v>50</v>
      </c>
      <c r="P851" s="335">
        <v>12</v>
      </c>
      <c r="Q851" s="389">
        <v>2</v>
      </c>
      <c r="R851" s="430">
        <v>5</v>
      </c>
      <c r="S851" s="339">
        <v>1</v>
      </c>
      <c r="T851" s="362">
        <v>14</v>
      </c>
      <c r="U851" s="337">
        <v>10</v>
      </c>
      <c r="V851" s="338">
        <v>0.71428571428571397</v>
      </c>
    </row>
    <row r="852" spans="2:22" ht="13.5">
      <c r="B852" s="1577">
        <v>201412</v>
      </c>
      <c r="C852" s="324" t="s">
        <v>458</v>
      </c>
      <c r="D852" s="325" t="s">
        <v>647</v>
      </c>
      <c r="E852" s="1674" t="s">
        <v>643</v>
      </c>
      <c r="F852" s="460">
        <v>2301.3149999999901</v>
      </c>
      <c r="G852" s="92">
        <v>895.79600000000005</v>
      </c>
      <c r="H852" s="279">
        <v>851.94399999999996</v>
      </c>
      <c r="I852" s="154">
        <v>10</v>
      </c>
      <c r="J852" s="576">
        <v>0.2</v>
      </c>
      <c r="K852" s="578">
        <v>37.324833333332997</v>
      </c>
      <c r="L852" s="437">
        <v>2.4</v>
      </c>
      <c r="M852" s="42"/>
      <c r="N852" s="47">
        <v>48</v>
      </c>
      <c r="O852" s="45">
        <v>32</v>
      </c>
      <c r="P852" s="45">
        <v>12</v>
      </c>
      <c r="Q852" s="388">
        <v>4</v>
      </c>
      <c r="R852" s="429">
        <v>7</v>
      </c>
      <c r="S852" s="92">
        <v>1</v>
      </c>
      <c r="T852" s="361">
        <v>2</v>
      </c>
      <c r="U852" s="285">
        <v>1</v>
      </c>
      <c r="V852" s="438">
        <v>6.25E-2</v>
      </c>
    </row>
    <row r="853" spans="2:22" ht="13.5">
      <c r="B853" s="1577">
        <v>201412</v>
      </c>
      <c r="C853" s="326" t="s">
        <v>458</v>
      </c>
      <c r="D853" s="327" t="s">
        <v>630</v>
      </c>
      <c r="E853" s="1675" t="s">
        <v>483</v>
      </c>
      <c r="F853" s="459">
        <v>2451.1320000000001</v>
      </c>
      <c r="G853" s="339">
        <v>1096.846</v>
      </c>
      <c r="H853" s="337">
        <v>1028.4290000000001</v>
      </c>
      <c r="I853" s="331">
        <v>33</v>
      </c>
      <c r="J853" s="577">
        <v>0.45833299999999999</v>
      </c>
      <c r="K853" s="579">
        <v>14.244753246753</v>
      </c>
      <c r="L853" s="436">
        <v>2.3333330000000001</v>
      </c>
      <c r="M853" s="42"/>
      <c r="N853" s="334">
        <v>81</v>
      </c>
      <c r="O853" s="335">
        <v>62</v>
      </c>
      <c r="P853" s="335">
        <v>16</v>
      </c>
      <c r="Q853" s="389">
        <v>3</v>
      </c>
      <c r="R853" s="430">
        <v>7</v>
      </c>
      <c r="S853" s="339">
        <v>4</v>
      </c>
      <c r="T853" s="362">
        <v>21</v>
      </c>
      <c r="U853" s="337">
        <v>10</v>
      </c>
      <c r="V853" s="338">
        <v>0.52631578947368396</v>
      </c>
    </row>
    <row r="854" spans="2:22" ht="13.5">
      <c r="B854" s="1577">
        <v>201412</v>
      </c>
      <c r="C854" s="324" t="s">
        <v>458</v>
      </c>
      <c r="D854" s="325" t="s">
        <v>905</v>
      </c>
      <c r="E854" s="1674" t="s">
        <v>906</v>
      </c>
      <c r="F854" s="460">
        <v>1209.3030000000001</v>
      </c>
      <c r="G854" s="92">
        <v>969.13300000000004</v>
      </c>
      <c r="H854" s="279">
        <v>962.28499999999997</v>
      </c>
      <c r="I854" s="154">
        <v>13</v>
      </c>
      <c r="J854" s="576">
        <v>0.44827600000000001</v>
      </c>
      <c r="K854" s="578">
        <v>25.503499999999999</v>
      </c>
      <c r="L854" s="437">
        <v>2.9230770000000001</v>
      </c>
      <c r="M854" s="42"/>
      <c r="N854" s="47">
        <v>35</v>
      </c>
      <c r="O854" s="45">
        <v>26</v>
      </c>
      <c r="P854" s="45">
        <v>9</v>
      </c>
      <c r="Q854" s="388">
        <v>0</v>
      </c>
      <c r="R854" s="429">
        <v>0</v>
      </c>
      <c r="S854" s="92">
        <v>3</v>
      </c>
      <c r="T854" s="361">
        <v>9</v>
      </c>
      <c r="U854" s="285">
        <v>6</v>
      </c>
      <c r="V854" s="438">
        <v>0.66666666666666696</v>
      </c>
    </row>
    <row r="855" spans="2:22" ht="13.5">
      <c r="B855" s="1577">
        <v>201412</v>
      </c>
      <c r="C855" s="326" t="s">
        <v>458</v>
      </c>
      <c r="D855" s="327" t="s">
        <v>648</v>
      </c>
      <c r="E855" s="1675" t="s">
        <v>644</v>
      </c>
      <c r="F855" s="459">
        <v>1847.66</v>
      </c>
      <c r="G855" s="339">
        <v>563.91099999999994</v>
      </c>
      <c r="H855" s="337">
        <v>555.88300000000004</v>
      </c>
      <c r="I855" s="331">
        <v>19</v>
      </c>
      <c r="J855" s="577">
        <v>0.44705899999999998</v>
      </c>
      <c r="K855" s="579">
        <v>18.797033333333001</v>
      </c>
      <c r="L855" s="436">
        <v>1.5789470000000001</v>
      </c>
      <c r="M855" s="42"/>
      <c r="N855" s="334">
        <v>47</v>
      </c>
      <c r="O855" s="335">
        <v>36</v>
      </c>
      <c r="P855" s="335">
        <v>11</v>
      </c>
      <c r="Q855" s="389">
        <v>0</v>
      </c>
      <c r="R855" s="430">
        <v>2</v>
      </c>
      <c r="S855" s="339">
        <v>2</v>
      </c>
      <c r="T855" s="362">
        <v>9</v>
      </c>
      <c r="U855" s="337">
        <v>6</v>
      </c>
      <c r="V855" s="338">
        <v>0.54545454545454497</v>
      </c>
    </row>
    <row r="856" spans="2:22" ht="13.5">
      <c r="B856" s="1577">
        <v>201412</v>
      </c>
      <c r="C856" s="326" t="s">
        <v>459</v>
      </c>
      <c r="D856" s="327" t="s">
        <v>661</v>
      </c>
      <c r="E856" s="325" t="s">
        <v>1950</v>
      </c>
      <c r="F856" s="459">
        <v>2043.856</v>
      </c>
      <c r="G856" s="339">
        <v>600.70100000000002</v>
      </c>
      <c r="H856" s="337">
        <v>600.70100000000002</v>
      </c>
      <c r="I856" s="331">
        <v>16</v>
      </c>
      <c r="J856" s="577">
        <v>0.39024399999999998</v>
      </c>
      <c r="K856" s="579">
        <v>15.402589743589999</v>
      </c>
      <c r="L856" s="436">
        <v>2.4375</v>
      </c>
      <c r="M856" s="42"/>
      <c r="N856" s="334">
        <v>39</v>
      </c>
      <c r="O856" s="335">
        <v>26</v>
      </c>
      <c r="P856" s="335">
        <v>9</v>
      </c>
      <c r="Q856" s="389">
        <v>4</v>
      </c>
      <c r="R856" s="430">
        <v>8</v>
      </c>
      <c r="S856" s="339"/>
      <c r="T856" s="362">
        <v>4</v>
      </c>
      <c r="U856" s="337">
        <v>3</v>
      </c>
      <c r="V856" s="338">
        <v>0.230769230769231</v>
      </c>
    </row>
    <row r="857" spans="2:22" ht="13.5">
      <c r="B857" s="1577">
        <v>201412</v>
      </c>
      <c r="C857" s="324" t="s">
        <v>459</v>
      </c>
      <c r="D857" s="325" t="s">
        <v>179</v>
      </c>
      <c r="E857" s="1674" t="s">
        <v>191</v>
      </c>
      <c r="F857" s="460">
        <v>7618.4690000000101</v>
      </c>
      <c r="G857" s="92">
        <v>1713.02</v>
      </c>
      <c r="H857" s="279">
        <v>1836.19</v>
      </c>
      <c r="I857" s="154">
        <v>52</v>
      </c>
      <c r="J857" s="576">
        <v>0.37681199999999998</v>
      </c>
      <c r="K857" s="578">
        <v>16.471346153846</v>
      </c>
      <c r="L857" s="437">
        <v>2</v>
      </c>
      <c r="M857" s="42"/>
      <c r="N857" s="47">
        <v>145</v>
      </c>
      <c r="O857" s="45">
        <v>99</v>
      </c>
      <c r="P857" s="45">
        <v>41</v>
      </c>
      <c r="Q857" s="388">
        <v>5</v>
      </c>
      <c r="R857" s="429">
        <v>14</v>
      </c>
      <c r="S857" s="92">
        <v>8</v>
      </c>
      <c r="T857" s="361">
        <v>19</v>
      </c>
      <c r="U857" s="285">
        <v>14</v>
      </c>
      <c r="V857" s="438">
        <v>0.30434782608695699</v>
      </c>
    </row>
    <row r="858" spans="2:22" ht="13.5">
      <c r="B858" s="1577">
        <v>201412</v>
      </c>
      <c r="C858" s="326" t="s">
        <v>459</v>
      </c>
      <c r="D858" s="327" t="s">
        <v>659</v>
      </c>
      <c r="E858" s="1675" t="s">
        <v>655</v>
      </c>
      <c r="F858" s="459">
        <v>4798.5420000000004</v>
      </c>
      <c r="G858" s="339">
        <v>1413.701</v>
      </c>
      <c r="H858" s="337">
        <v>1398.17</v>
      </c>
      <c r="I858" s="331">
        <v>41</v>
      </c>
      <c r="J858" s="577">
        <v>0.46590900000000002</v>
      </c>
      <c r="K858" s="579">
        <v>17.894949367089001</v>
      </c>
      <c r="L858" s="436">
        <v>1.9268289999999999</v>
      </c>
      <c r="M858" s="42"/>
      <c r="N858" s="334">
        <v>96</v>
      </c>
      <c r="O858" s="335">
        <v>77</v>
      </c>
      <c r="P858" s="335">
        <v>13</v>
      </c>
      <c r="Q858" s="389">
        <v>6</v>
      </c>
      <c r="R858" s="430">
        <v>0</v>
      </c>
      <c r="S858" s="339">
        <v>2</v>
      </c>
      <c r="T858" s="362">
        <v>13</v>
      </c>
      <c r="U858" s="337">
        <v>8</v>
      </c>
      <c r="V858" s="338">
        <v>0.42105263157894701</v>
      </c>
    </row>
    <row r="859" spans="2:22" ht="13.5">
      <c r="B859" s="1577">
        <v>201412</v>
      </c>
      <c r="C859" s="324" t="s">
        <v>459</v>
      </c>
      <c r="D859" s="325" t="s">
        <v>699</v>
      </c>
      <c r="E859" s="1674" t="s">
        <v>698</v>
      </c>
      <c r="F859" s="460">
        <v>2322.29</v>
      </c>
      <c r="G859" s="92">
        <v>776.87300000000005</v>
      </c>
      <c r="H859" s="279">
        <v>776.48599999999999</v>
      </c>
      <c r="I859" s="154">
        <v>19</v>
      </c>
      <c r="J859" s="576">
        <v>0.351852</v>
      </c>
      <c r="K859" s="578">
        <v>18.066813953488001</v>
      </c>
      <c r="L859" s="437">
        <v>2.2631579999999998</v>
      </c>
      <c r="M859" s="42"/>
      <c r="N859" s="47">
        <v>61</v>
      </c>
      <c r="O859" s="45">
        <v>43</v>
      </c>
      <c r="P859" s="45">
        <v>14</v>
      </c>
      <c r="Q859" s="388">
        <v>4</v>
      </c>
      <c r="R859" s="429">
        <v>6</v>
      </c>
      <c r="S859" s="92">
        <v>5</v>
      </c>
      <c r="T859" s="361">
        <v>15</v>
      </c>
      <c r="U859" s="285">
        <v>10</v>
      </c>
      <c r="V859" s="438">
        <v>0.55555555555555602</v>
      </c>
    </row>
    <row r="860" spans="2:22" ht="13.5">
      <c r="B860" s="1577">
        <v>201412</v>
      </c>
      <c r="C860" s="326" t="s">
        <v>459</v>
      </c>
      <c r="D860" s="327" t="s">
        <v>825</v>
      </c>
      <c r="E860" s="1675" t="s">
        <v>1773</v>
      </c>
      <c r="F860" s="459">
        <v>3365.7920000000099</v>
      </c>
      <c r="G860" s="339">
        <v>1403.49</v>
      </c>
      <c r="H860" s="337">
        <v>1403.49</v>
      </c>
      <c r="I860" s="331">
        <v>62</v>
      </c>
      <c r="J860" s="577">
        <v>0.47328199999999998</v>
      </c>
      <c r="K860" s="579">
        <v>12.759</v>
      </c>
      <c r="L860" s="436">
        <v>1.774194</v>
      </c>
      <c r="M860" s="42"/>
      <c r="N860" s="334">
        <v>153</v>
      </c>
      <c r="O860" s="335">
        <v>112</v>
      </c>
      <c r="P860" s="335">
        <v>34</v>
      </c>
      <c r="Q860" s="389">
        <v>7</v>
      </c>
      <c r="R860" s="430">
        <v>0</v>
      </c>
      <c r="S860" s="339">
        <v>8</v>
      </c>
      <c r="T860" s="362">
        <v>36</v>
      </c>
      <c r="U860" s="337">
        <v>23</v>
      </c>
      <c r="V860" s="338">
        <v>0.56097560975609795</v>
      </c>
    </row>
    <row r="861" spans="2:22" ht="13.5">
      <c r="B861" s="1577">
        <v>201412</v>
      </c>
      <c r="C861" s="324" t="s">
        <v>459</v>
      </c>
      <c r="D861" s="325" t="s">
        <v>185</v>
      </c>
      <c r="E861" s="1674" t="s">
        <v>190</v>
      </c>
      <c r="F861" s="460">
        <v>2576.5219999999999</v>
      </c>
      <c r="G861" s="92">
        <v>713.65800000000002</v>
      </c>
      <c r="H861" s="279">
        <v>722.13800000000003</v>
      </c>
      <c r="I861" s="154">
        <v>21</v>
      </c>
      <c r="J861" s="576">
        <v>0.42857099999999998</v>
      </c>
      <c r="K861" s="578">
        <v>16.596697674419001</v>
      </c>
      <c r="L861" s="437">
        <v>2.0476190000000001</v>
      </c>
      <c r="M861" s="42"/>
      <c r="N861" s="47">
        <v>48</v>
      </c>
      <c r="O861" s="45">
        <v>32</v>
      </c>
      <c r="P861" s="45">
        <v>10</v>
      </c>
      <c r="Q861" s="388">
        <v>6</v>
      </c>
      <c r="R861" s="429">
        <v>8</v>
      </c>
      <c r="S861" s="92"/>
      <c r="T861" s="361">
        <v>6</v>
      </c>
      <c r="U861" s="285">
        <v>4</v>
      </c>
      <c r="V861" s="438">
        <v>0.25</v>
      </c>
    </row>
    <row r="862" spans="2:22" ht="13.5">
      <c r="B862" s="1577">
        <v>201412</v>
      </c>
      <c r="C862" s="326" t="s">
        <v>459</v>
      </c>
      <c r="D862" s="327" t="s">
        <v>660</v>
      </c>
      <c r="E862" s="1675" t="s">
        <v>656</v>
      </c>
      <c r="F862" s="459">
        <v>1345.681</v>
      </c>
      <c r="G862" s="339">
        <v>93.11</v>
      </c>
      <c r="H862" s="337">
        <v>93.11</v>
      </c>
      <c r="I862" s="331">
        <v>6</v>
      </c>
      <c r="J862" s="577">
        <v>0.14285700000000001</v>
      </c>
      <c r="K862" s="579">
        <v>11.63875</v>
      </c>
      <c r="L862" s="436">
        <v>1.3333330000000001</v>
      </c>
      <c r="M862" s="42"/>
      <c r="N862" s="334">
        <v>45</v>
      </c>
      <c r="O862" s="335">
        <v>35</v>
      </c>
      <c r="P862" s="335">
        <v>8</v>
      </c>
      <c r="Q862" s="389">
        <v>2</v>
      </c>
      <c r="R862" s="430">
        <v>1</v>
      </c>
      <c r="S862" s="339">
        <v>1</v>
      </c>
      <c r="T862" s="362">
        <v>6</v>
      </c>
      <c r="U862" s="337">
        <v>5</v>
      </c>
      <c r="V862" s="338">
        <v>0.5</v>
      </c>
    </row>
    <row r="863" spans="2:22" ht="13.5">
      <c r="B863" s="1577">
        <v>201412</v>
      </c>
      <c r="C863" s="324" t="s">
        <v>459</v>
      </c>
      <c r="D863" s="325" t="s">
        <v>737</v>
      </c>
      <c r="E863" s="1674"/>
      <c r="F863" s="460">
        <v>1346.3340000000001</v>
      </c>
      <c r="G863" s="92">
        <v>459.077</v>
      </c>
      <c r="H863" s="279">
        <v>459.077</v>
      </c>
      <c r="I863" s="154">
        <v>16</v>
      </c>
      <c r="J863" s="576">
        <v>0.5</v>
      </c>
      <c r="K863" s="578">
        <v>19.959869565217002</v>
      </c>
      <c r="L863" s="437">
        <v>1.4375</v>
      </c>
      <c r="M863" s="42"/>
      <c r="N863" s="47">
        <v>32</v>
      </c>
      <c r="O863" s="45">
        <v>23</v>
      </c>
      <c r="P863" s="45">
        <v>8</v>
      </c>
      <c r="Q863" s="388">
        <v>1</v>
      </c>
      <c r="R863" s="429">
        <v>0</v>
      </c>
      <c r="S863" s="92"/>
      <c r="T863" s="361"/>
      <c r="U863" s="285"/>
      <c r="V863" s="438"/>
    </row>
    <row r="864" spans="2:22" ht="13.5">
      <c r="B864" s="1577">
        <v>201412</v>
      </c>
      <c r="C864" s="326" t="s">
        <v>459</v>
      </c>
      <c r="D864" s="327" t="s">
        <v>662</v>
      </c>
      <c r="E864" s="1675"/>
      <c r="F864" s="459">
        <v>2169.1979999999999</v>
      </c>
      <c r="G864" s="339">
        <v>579.34699999999998</v>
      </c>
      <c r="H864" s="337">
        <v>611.00199999999995</v>
      </c>
      <c r="I864" s="331">
        <v>12</v>
      </c>
      <c r="J864" s="577">
        <v>0.324324</v>
      </c>
      <c r="K864" s="579">
        <v>18.688612903226002</v>
      </c>
      <c r="L864" s="436">
        <v>2.5833330000000001</v>
      </c>
      <c r="M864" s="42"/>
      <c r="N864" s="334">
        <v>36</v>
      </c>
      <c r="O864" s="335">
        <v>26</v>
      </c>
      <c r="P864" s="335">
        <v>9</v>
      </c>
      <c r="Q864" s="389">
        <v>1</v>
      </c>
      <c r="R864" s="430">
        <v>4</v>
      </c>
      <c r="S864" s="339"/>
      <c r="T864" s="362">
        <v>2</v>
      </c>
      <c r="U864" s="337">
        <v>2</v>
      </c>
      <c r="V864" s="338">
        <v>0.2</v>
      </c>
    </row>
    <row r="865" spans="2:22" ht="13.5">
      <c r="B865" s="1577">
        <v>201412</v>
      </c>
      <c r="C865" s="324" t="s">
        <v>459</v>
      </c>
      <c r="D865" s="325" t="s">
        <v>799</v>
      </c>
      <c r="E865" s="1674" t="s">
        <v>800</v>
      </c>
      <c r="F865" s="460">
        <v>1587.6310000000001</v>
      </c>
      <c r="G865" s="92">
        <v>569.96400000000006</v>
      </c>
      <c r="H865" s="279">
        <v>554.30600000000004</v>
      </c>
      <c r="I865" s="154">
        <v>19</v>
      </c>
      <c r="J865" s="576">
        <v>0.42222199999999999</v>
      </c>
      <c r="K865" s="578">
        <v>16.763647058823999</v>
      </c>
      <c r="L865" s="437">
        <v>1.789474</v>
      </c>
      <c r="M865" s="42"/>
      <c r="N865" s="47">
        <v>49</v>
      </c>
      <c r="O865" s="45">
        <v>35</v>
      </c>
      <c r="P865" s="45">
        <v>13</v>
      </c>
      <c r="Q865" s="388">
        <v>1</v>
      </c>
      <c r="R865" s="429">
        <v>0</v>
      </c>
      <c r="S865" s="92"/>
      <c r="T865" s="361">
        <v>9</v>
      </c>
      <c r="U865" s="285">
        <v>6</v>
      </c>
      <c r="V865" s="438">
        <v>0.42857142857142899</v>
      </c>
    </row>
    <row r="866" spans="2:22" ht="13.5">
      <c r="B866" s="1577">
        <v>201412</v>
      </c>
      <c r="C866" s="326" t="s">
        <v>459</v>
      </c>
      <c r="D866" s="327" t="s">
        <v>177</v>
      </c>
      <c r="E866" s="1675" t="s">
        <v>189</v>
      </c>
      <c r="F866" s="459">
        <v>7887.7670000000098</v>
      </c>
      <c r="G866" s="339">
        <v>1903.8</v>
      </c>
      <c r="H866" s="337">
        <v>1808.527</v>
      </c>
      <c r="I866" s="331">
        <v>35</v>
      </c>
      <c r="J866" s="577">
        <v>0.40462399999999998</v>
      </c>
      <c r="K866" s="579">
        <v>21.153333333332998</v>
      </c>
      <c r="L866" s="436">
        <v>2.5714290000000002</v>
      </c>
      <c r="M866" s="42"/>
      <c r="N866" s="334">
        <v>92</v>
      </c>
      <c r="O866" s="335">
        <v>64</v>
      </c>
      <c r="P866" s="335">
        <v>26</v>
      </c>
      <c r="Q866" s="389">
        <v>2</v>
      </c>
      <c r="R866" s="430">
        <v>4</v>
      </c>
      <c r="S866" s="339">
        <v>3</v>
      </c>
      <c r="T866" s="362">
        <v>12</v>
      </c>
      <c r="U866" s="337">
        <v>9</v>
      </c>
      <c r="V866" s="338">
        <v>0.32142857142857101</v>
      </c>
    </row>
    <row r="867" spans="2:22" ht="13.5">
      <c r="B867" s="1577">
        <v>201412</v>
      </c>
      <c r="C867" s="324" t="s">
        <v>459</v>
      </c>
      <c r="D867" s="325" t="s">
        <v>176</v>
      </c>
      <c r="E867" s="1674" t="s">
        <v>188</v>
      </c>
      <c r="F867" s="460">
        <v>9741.5240000000194</v>
      </c>
      <c r="G867" s="92">
        <v>3929.2449999999999</v>
      </c>
      <c r="H867" s="279">
        <v>3933.0169999999998</v>
      </c>
      <c r="I867" s="154">
        <v>77</v>
      </c>
      <c r="J867" s="576">
        <v>0.4375</v>
      </c>
      <c r="K867" s="578">
        <v>21.829138888888998</v>
      </c>
      <c r="L867" s="437">
        <v>2.3376619999999999</v>
      </c>
      <c r="M867" s="42"/>
      <c r="N867" s="47">
        <v>177</v>
      </c>
      <c r="O867" s="45">
        <v>144</v>
      </c>
      <c r="P867" s="45">
        <v>28</v>
      </c>
      <c r="Q867" s="388">
        <v>5</v>
      </c>
      <c r="R867" s="429">
        <v>17</v>
      </c>
      <c r="S867" s="92"/>
      <c r="T867" s="361">
        <v>20</v>
      </c>
      <c r="U867" s="285">
        <v>10</v>
      </c>
      <c r="V867" s="438">
        <v>0.30303030303030298</v>
      </c>
    </row>
    <row r="868" spans="2:22" ht="13.5">
      <c r="B868" s="1577">
        <v>201411</v>
      </c>
      <c r="C868" s="326" t="s">
        <v>458</v>
      </c>
      <c r="D868" s="327" t="s">
        <v>900</v>
      </c>
      <c r="E868" s="1675" t="s">
        <v>901</v>
      </c>
      <c r="F868" s="459"/>
      <c r="G868" s="339">
        <v>0</v>
      </c>
      <c r="H868" s="337">
        <v>0</v>
      </c>
      <c r="I868" s="331">
        <v>0</v>
      </c>
      <c r="J868" s="577">
        <v>0</v>
      </c>
      <c r="K868" s="579">
        <v>0</v>
      </c>
      <c r="L868" s="436">
        <v>0</v>
      </c>
      <c r="M868" s="42"/>
      <c r="N868" s="334">
        <v>5</v>
      </c>
      <c r="O868" s="335">
        <v>4</v>
      </c>
      <c r="P868" s="335">
        <v>1</v>
      </c>
      <c r="Q868" s="389">
        <v>0</v>
      </c>
      <c r="R868" s="430">
        <v>0</v>
      </c>
      <c r="S868" s="339">
        <v>1</v>
      </c>
      <c r="T868" s="362">
        <v>4</v>
      </c>
      <c r="U868" s="337">
        <v>2</v>
      </c>
      <c r="V868" s="338">
        <v>2</v>
      </c>
    </row>
    <row r="869" spans="2:22" ht="13.5">
      <c r="B869" s="1577">
        <v>201411</v>
      </c>
      <c r="C869" s="324" t="s">
        <v>458</v>
      </c>
      <c r="D869" s="325" t="s">
        <v>649</v>
      </c>
      <c r="E869" s="1674" t="s">
        <v>645</v>
      </c>
      <c r="F869" s="460">
        <v>2499.056</v>
      </c>
      <c r="G869" s="92">
        <v>530.13400000000001</v>
      </c>
      <c r="H869" s="279">
        <v>391.30799999999999</v>
      </c>
      <c r="I869" s="154">
        <v>12</v>
      </c>
      <c r="J869" s="576">
        <v>0.26086999999999999</v>
      </c>
      <c r="K869" s="578">
        <v>26.506699999999999</v>
      </c>
      <c r="L869" s="437">
        <v>1.6666669999999999</v>
      </c>
      <c r="M869" s="42"/>
      <c r="N869" s="47">
        <v>52</v>
      </c>
      <c r="O869" s="45">
        <v>42</v>
      </c>
      <c r="P869" s="45">
        <v>9</v>
      </c>
      <c r="Q869" s="388">
        <v>1</v>
      </c>
      <c r="R869" s="429">
        <v>0</v>
      </c>
      <c r="S869" s="92">
        <v>1</v>
      </c>
      <c r="T869" s="361">
        <v>11</v>
      </c>
      <c r="U869" s="285">
        <v>6</v>
      </c>
      <c r="V869" s="438">
        <v>0.6</v>
      </c>
    </row>
    <row r="870" spans="2:22" ht="13.5">
      <c r="B870" s="1577">
        <v>201411</v>
      </c>
      <c r="C870" s="326" t="s">
        <v>458</v>
      </c>
      <c r="D870" s="327" t="s">
        <v>650</v>
      </c>
      <c r="E870" s="1675" t="s">
        <v>1777</v>
      </c>
      <c r="F870" s="459">
        <v>1280.5160000000001</v>
      </c>
      <c r="G870" s="339">
        <v>262.52600000000001</v>
      </c>
      <c r="H870" s="337">
        <v>262.52600000000001</v>
      </c>
      <c r="I870" s="331">
        <v>16</v>
      </c>
      <c r="J870" s="577">
        <v>0.31068000000000001</v>
      </c>
      <c r="K870" s="579">
        <v>13.817157894737001</v>
      </c>
      <c r="L870" s="436">
        <v>1.1875</v>
      </c>
      <c r="M870" s="42"/>
      <c r="N870" s="334">
        <v>55</v>
      </c>
      <c r="O870" s="335">
        <v>42</v>
      </c>
      <c r="P870" s="335">
        <v>10</v>
      </c>
      <c r="Q870" s="389">
        <v>3</v>
      </c>
      <c r="R870" s="430">
        <v>3</v>
      </c>
      <c r="S870" s="339"/>
      <c r="T870" s="362">
        <v>10</v>
      </c>
      <c r="U870" s="337">
        <v>5</v>
      </c>
      <c r="V870" s="338">
        <v>0.38461538461538503</v>
      </c>
    </row>
    <row r="871" spans="2:22" ht="13.5">
      <c r="B871" s="1577">
        <v>201411</v>
      </c>
      <c r="C871" s="324" t="s">
        <v>458</v>
      </c>
      <c r="D871" s="325" t="s">
        <v>902</v>
      </c>
      <c r="E871" s="1674" t="s">
        <v>1014</v>
      </c>
      <c r="F871" s="460">
        <v>82.600999999999999</v>
      </c>
      <c r="G871" s="92">
        <v>107.911</v>
      </c>
      <c r="H871" s="279">
        <v>82.600999999999999</v>
      </c>
      <c r="I871" s="154">
        <v>5</v>
      </c>
      <c r="J871" s="576">
        <v>0.66666700000000001</v>
      </c>
      <c r="K871" s="578">
        <v>13.488875</v>
      </c>
      <c r="L871" s="437">
        <v>1.6</v>
      </c>
      <c r="M871" s="42"/>
      <c r="N871" s="47">
        <v>10</v>
      </c>
      <c r="O871" s="45">
        <v>6</v>
      </c>
      <c r="P871" s="45">
        <v>4</v>
      </c>
      <c r="Q871" s="388">
        <v>0</v>
      </c>
      <c r="R871" s="429">
        <v>0</v>
      </c>
      <c r="S871" s="92">
        <v>2</v>
      </c>
      <c r="T871" s="361">
        <v>3</v>
      </c>
      <c r="U871" s="285">
        <v>2</v>
      </c>
      <c r="V871" s="438">
        <v>0.5</v>
      </c>
    </row>
    <row r="872" spans="2:22" ht="13.5">
      <c r="B872" s="1577">
        <v>201411</v>
      </c>
      <c r="C872" s="326" t="s">
        <v>458</v>
      </c>
      <c r="D872" s="327" t="s">
        <v>642</v>
      </c>
      <c r="E872" s="1675" t="s">
        <v>641</v>
      </c>
      <c r="F872" s="459">
        <v>1727.5329999999999</v>
      </c>
      <c r="G872" s="339">
        <v>324.30599999999998</v>
      </c>
      <c r="H872" s="337">
        <v>287.976</v>
      </c>
      <c r="I872" s="331">
        <v>8</v>
      </c>
      <c r="J872" s="577">
        <v>0.13913</v>
      </c>
      <c r="K872" s="579">
        <v>19.076823529412</v>
      </c>
      <c r="L872" s="436">
        <v>2.125</v>
      </c>
      <c r="M872" s="42"/>
      <c r="N872" s="334">
        <v>59</v>
      </c>
      <c r="O872" s="335">
        <v>45</v>
      </c>
      <c r="P872" s="335">
        <v>14</v>
      </c>
      <c r="Q872" s="389">
        <v>0</v>
      </c>
      <c r="R872" s="430">
        <v>2</v>
      </c>
      <c r="S872" s="339"/>
      <c r="T872" s="362">
        <v>5</v>
      </c>
      <c r="U872" s="337">
        <v>4</v>
      </c>
      <c r="V872" s="338">
        <v>0.28571428571428598</v>
      </c>
    </row>
    <row r="873" spans="2:22" ht="13.5">
      <c r="B873" s="1577">
        <v>201411</v>
      </c>
      <c r="C873" s="324" t="s">
        <v>458</v>
      </c>
      <c r="D873" s="325" t="s">
        <v>91</v>
      </c>
      <c r="E873" s="1674" t="s">
        <v>92</v>
      </c>
      <c r="F873" s="460">
        <v>7745.8460000000396</v>
      </c>
      <c r="G873" s="92">
        <v>870.67399999999998</v>
      </c>
      <c r="H873" s="279">
        <v>871.91099999999994</v>
      </c>
      <c r="I873" s="154">
        <v>29</v>
      </c>
      <c r="J873" s="576">
        <v>0.26363599999999998</v>
      </c>
      <c r="K873" s="578">
        <v>18.524978723404001</v>
      </c>
      <c r="L873" s="437">
        <v>1.62069</v>
      </c>
      <c r="M873" s="42"/>
      <c r="N873" s="47">
        <v>107</v>
      </c>
      <c r="O873" s="45">
        <v>84</v>
      </c>
      <c r="P873" s="45">
        <v>20</v>
      </c>
      <c r="Q873" s="388">
        <v>3</v>
      </c>
      <c r="R873" s="429">
        <v>8</v>
      </c>
      <c r="S873" s="92"/>
      <c r="T873" s="361">
        <v>2</v>
      </c>
      <c r="U873" s="285">
        <v>2</v>
      </c>
      <c r="V873" s="438">
        <v>8.6956521739130405E-2</v>
      </c>
    </row>
    <row r="874" spans="2:22" ht="13.5">
      <c r="B874" s="1577">
        <v>201411</v>
      </c>
      <c r="C874" s="326" t="s">
        <v>458</v>
      </c>
      <c r="D874" s="327" t="s">
        <v>187</v>
      </c>
      <c r="E874" s="1675" t="s">
        <v>194</v>
      </c>
      <c r="F874" s="459">
        <v>3526.2669999999998</v>
      </c>
      <c r="G874" s="339">
        <v>520.31200000000001</v>
      </c>
      <c r="H874" s="337">
        <v>519.125</v>
      </c>
      <c r="I874" s="331">
        <v>15</v>
      </c>
      <c r="J874" s="577">
        <v>0.24590200000000001</v>
      </c>
      <c r="K874" s="579">
        <v>19.270814814815001</v>
      </c>
      <c r="L874" s="436">
        <v>1.8</v>
      </c>
      <c r="M874" s="42"/>
      <c r="N874" s="334">
        <v>63</v>
      </c>
      <c r="O874" s="335">
        <v>46</v>
      </c>
      <c r="P874" s="335">
        <v>16</v>
      </c>
      <c r="Q874" s="389">
        <v>1</v>
      </c>
      <c r="R874" s="430">
        <v>4</v>
      </c>
      <c r="S874" s="339">
        <v>2</v>
      </c>
      <c r="T874" s="362">
        <v>6</v>
      </c>
      <c r="U874" s="337">
        <v>4</v>
      </c>
      <c r="V874" s="338">
        <v>0.23529411764705899</v>
      </c>
    </row>
    <row r="875" spans="2:22" ht="13.5">
      <c r="B875" s="1577">
        <v>201411</v>
      </c>
      <c r="C875" s="324" t="s">
        <v>458</v>
      </c>
      <c r="D875" s="325" t="s">
        <v>734</v>
      </c>
      <c r="E875" s="1674" t="s">
        <v>1766</v>
      </c>
      <c r="F875" s="460">
        <v>1733.0440000000001</v>
      </c>
      <c r="G875" s="92">
        <v>580.64700000000005</v>
      </c>
      <c r="H875" s="279">
        <v>480.84399999999999</v>
      </c>
      <c r="I875" s="154">
        <v>21</v>
      </c>
      <c r="J875" s="576">
        <v>0.30215799999999998</v>
      </c>
      <c r="K875" s="578">
        <v>15.693162162162</v>
      </c>
      <c r="L875" s="437">
        <v>1.7619050000000001</v>
      </c>
      <c r="M875" s="42"/>
      <c r="N875" s="47">
        <v>75</v>
      </c>
      <c r="O875" s="45">
        <v>57</v>
      </c>
      <c r="P875" s="45">
        <v>18</v>
      </c>
      <c r="Q875" s="388">
        <v>0</v>
      </c>
      <c r="R875" s="429">
        <v>3</v>
      </c>
      <c r="S875" s="92">
        <v>3</v>
      </c>
      <c r="T875" s="361">
        <v>11</v>
      </c>
      <c r="U875" s="285">
        <v>9</v>
      </c>
      <c r="V875" s="438">
        <v>0.5</v>
      </c>
    </row>
    <row r="876" spans="2:22" ht="13.5">
      <c r="B876" s="1577">
        <v>201411</v>
      </c>
      <c r="C876" s="326" t="s">
        <v>458</v>
      </c>
      <c r="D876" s="327" t="s">
        <v>735</v>
      </c>
      <c r="E876" s="1675" t="s">
        <v>790</v>
      </c>
      <c r="F876" s="459">
        <v>7057.70100000002</v>
      </c>
      <c r="G876" s="339">
        <v>1263.694</v>
      </c>
      <c r="H876" s="337">
        <v>1204.655</v>
      </c>
      <c r="I876" s="331">
        <v>15</v>
      </c>
      <c r="J876" s="577">
        <v>0.38961000000000001</v>
      </c>
      <c r="K876" s="579">
        <v>21.418542372880999</v>
      </c>
      <c r="L876" s="436">
        <v>3.9333330000000002</v>
      </c>
      <c r="M876" s="42"/>
      <c r="N876" s="334">
        <v>41</v>
      </c>
      <c r="O876" s="335">
        <v>34</v>
      </c>
      <c r="P876" s="335">
        <v>5</v>
      </c>
      <c r="Q876" s="389">
        <v>2</v>
      </c>
      <c r="R876" s="430">
        <v>0</v>
      </c>
      <c r="S876" s="339">
        <v>1</v>
      </c>
      <c r="T876" s="362">
        <v>4</v>
      </c>
      <c r="U876" s="337">
        <v>3</v>
      </c>
      <c r="V876" s="338">
        <v>0.42857142857142899</v>
      </c>
    </row>
    <row r="877" spans="2:22" ht="13.5">
      <c r="B877" s="1577">
        <v>201411</v>
      </c>
      <c r="C877" s="324" t="s">
        <v>458</v>
      </c>
      <c r="D877" s="325" t="s">
        <v>798</v>
      </c>
      <c r="E877" s="1674" t="s">
        <v>1768</v>
      </c>
      <c r="F877" s="460">
        <v>3052.433</v>
      </c>
      <c r="G877" s="92">
        <v>966.70699999999999</v>
      </c>
      <c r="H877" s="279">
        <v>972.61900000000003</v>
      </c>
      <c r="I877" s="154">
        <v>7</v>
      </c>
      <c r="J877" s="576">
        <v>0.4375</v>
      </c>
      <c r="K877" s="578">
        <v>20.139729166666999</v>
      </c>
      <c r="L877" s="437">
        <v>6.8571429999999998</v>
      </c>
      <c r="M877" s="42"/>
      <c r="N877" s="47">
        <v>20</v>
      </c>
      <c r="O877" s="45">
        <v>13</v>
      </c>
      <c r="P877" s="45">
        <v>7</v>
      </c>
      <c r="Q877" s="388">
        <v>0</v>
      </c>
      <c r="R877" s="429">
        <v>0</v>
      </c>
      <c r="S877" s="92">
        <v>4</v>
      </c>
      <c r="T877" s="361">
        <v>4</v>
      </c>
      <c r="U877" s="285">
        <v>2</v>
      </c>
      <c r="V877" s="438">
        <v>0.28571428571428598</v>
      </c>
    </row>
    <row r="878" spans="2:22" ht="13.5">
      <c r="B878" s="1577">
        <v>201411</v>
      </c>
      <c r="C878" s="326" t="s">
        <v>458</v>
      </c>
      <c r="D878" s="327" t="s">
        <v>949</v>
      </c>
      <c r="E878" s="1675" t="s">
        <v>950</v>
      </c>
      <c r="F878" s="459">
        <v>15.074</v>
      </c>
      <c r="G878" s="339">
        <v>15.074</v>
      </c>
      <c r="H878" s="337">
        <v>15.074</v>
      </c>
      <c r="I878" s="331">
        <v>1</v>
      </c>
      <c r="J878" s="577">
        <v>0.33333299999999999</v>
      </c>
      <c r="K878" s="579">
        <v>15.074</v>
      </c>
      <c r="L878" s="436">
        <v>1</v>
      </c>
      <c r="M878" s="42"/>
      <c r="N878" s="334">
        <v>6</v>
      </c>
      <c r="O878" s="335">
        <v>4</v>
      </c>
      <c r="P878" s="335">
        <v>2</v>
      </c>
      <c r="Q878" s="389">
        <v>0</v>
      </c>
      <c r="R878" s="430">
        <v>0</v>
      </c>
      <c r="S878" s="339">
        <v>2</v>
      </c>
      <c r="T878" s="362">
        <v>4</v>
      </c>
      <c r="U878" s="337">
        <v>2</v>
      </c>
      <c r="V878" s="338">
        <v>1</v>
      </c>
    </row>
    <row r="879" spans="2:22" ht="13.5">
      <c r="B879" s="1577">
        <v>201411</v>
      </c>
      <c r="C879" s="324" t="s">
        <v>458</v>
      </c>
      <c r="D879" s="325" t="s">
        <v>903</v>
      </c>
      <c r="E879" s="1674" t="s">
        <v>904</v>
      </c>
      <c r="F879" s="460">
        <v>180.72</v>
      </c>
      <c r="G879" s="92">
        <v>149.678</v>
      </c>
      <c r="H879" s="279">
        <v>165.19900000000001</v>
      </c>
      <c r="I879" s="154">
        <v>5</v>
      </c>
      <c r="J879" s="576">
        <v>0.71428599999999998</v>
      </c>
      <c r="K879" s="578">
        <v>24.946333333333001</v>
      </c>
      <c r="L879" s="437">
        <v>1.2</v>
      </c>
      <c r="M879" s="42"/>
      <c r="N879" s="47">
        <v>11</v>
      </c>
      <c r="O879" s="45">
        <v>10</v>
      </c>
      <c r="P879" s="45">
        <v>1</v>
      </c>
      <c r="Q879" s="388">
        <v>0</v>
      </c>
      <c r="R879" s="429">
        <v>0</v>
      </c>
      <c r="S879" s="92"/>
      <c r="T879" s="361">
        <v>8</v>
      </c>
      <c r="U879" s="285">
        <v>6</v>
      </c>
      <c r="V879" s="438">
        <v>6</v>
      </c>
    </row>
    <row r="880" spans="2:22" ht="13.5">
      <c r="B880" s="1577">
        <v>201411</v>
      </c>
      <c r="C880" s="326" t="s">
        <v>458</v>
      </c>
      <c r="D880" s="327" t="s">
        <v>628</v>
      </c>
      <c r="E880" s="1675" t="s">
        <v>629</v>
      </c>
      <c r="F880" s="459">
        <v>2307.47999999999</v>
      </c>
      <c r="G880" s="339">
        <v>398.72500000000002</v>
      </c>
      <c r="H880" s="337">
        <v>376.81099999999998</v>
      </c>
      <c r="I880" s="331">
        <v>13</v>
      </c>
      <c r="J880" s="577">
        <v>0.209677</v>
      </c>
      <c r="K880" s="579">
        <v>18.986904761904999</v>
      </c>
      <c r="L880" s="436">
        <v>1.6153850000000001</v>
      </c>
      <c r="M880" s="42"/>
      <c r="N880" s="334">
        <v>63</v>
      </c>
      <c r="O880" s="335">
        <v>43</v>
      </c>
      <c r="P880" s="335">
        <v>20</v>
      </c>
      <c r="Q880" s="389">
        <v>0</v>
      </c>
      <c r="R880" s="430">
        <v>6</v>
      </c>
      <c r="S880" s="339"/>
      <c r="T880" s="362">
        <v>8</v>
      </c>
      <c r="U880" s="337">
        <v>5</v>
      </c>
      <c r="V880" s="338">
        <v>0.25</v>
      </c>
    </row>
    <row r="881" spans="2:22" ht="13.5">
      <c r="B881" s="1577">
        <v>201411</v>
      </c>
      <c r="C881" s="324" t="s">
        <v>458</v>
      </c>
      <c r="D881" s="325" t="s">
        <v>557</v>
      </c>
      <c r="E881" s="1678" t="s">
        <v>1770</v>
      </c>
      <c r="F881" s="460">
        <v>1630.8510000000001</v>
      </c>
      <c r="G881" s="92">
        <v>435.45100000000002</v>
      </c>
      <c r="H881" s="279">
        <v>430.11900000000003</v>
      </c>
      <c r="I881" s="154">
        <v>25</v>
      </c>
      <c r="J881" s="576">
        <v>0.43103399999999997</v>
      </c>
      <c r="K881" s="578">
        <v>13.195484848485</v>
      </c>
      <c r="L881" s="437">
        <v>1.32</v>
      </c>
      <c r="M881" s="42"/>
      <c r="N881" s="47">
        <v>69</v>
      </c>
      <c r="O881" s="45">
        <v>60</v>
      </c>
      <c r="P881" s="45">
        <v>9</v>
      </c>
      <c r="Q881" s="388">
        <v>0</v>
      </c>
      <c r="R881" s="429">
        <v>2</v>
      </c>
      <c r="S881" s="92">
        <v>1</v>
      </c>
      <c r="T881" s="361">
        <v>23</v>
      </c>
      <c r="U881" s="285">
        <v>6</v>
      </c>
      <c r="V881" s="438">
        <v>0.66666666666666696</v>
      </c>
    </row>
    <row r="882" spans="2:22" ht="13.5">
      <c r="B882" s="1577">
        <v>201411</v>
      </c>
      <c r="C882" s="326" t="s">
        <v>458</v>
      </c>
      <c r="D882" s="327" t="s">
        <v>47</v>
      </c>
      <c r="E882" s="1675" t="s">
        <v>17</v>
      </c>
      <c r="F882" s="459">
        <v>3886.3419999999901</v>
      </c>
      <c r="G882" s="339">
        <v>517.44899999999996</v>
      </c>
      <c r="H882" s="337">
        <v>544.69399999999996</v>
      </c>
      <c r="I882" s="331">
        <v>26</v>
      </c>
      <c r="J882" s="577">
        <v>0.346667</v>
      </c>
      <c r="K882" s="579">
        <v>14.784257142856999</v>
      </c>
      <c r="L882" s="436">
        <v>1.3461540000000001</v>
      </c>
      <c r="M882" s="42"/>
      <c r="N882" s="334">
        <v>74</v>
      </c>
      <c r="O882" s="335">
        <v>55</v>
      </c>
      <c r="P882" s="335">
        <v>17</v>
      </c>
      <c r="Q882" s="389">
        <v>2</v>
      </c>
      <c r="R882" s="430">
        <v>8</v>
      </c>
      <c r="S882" s="339">
        <v>1</v>
      </c>
      <c r="T882" s="362">
        <v>5</v>
      </c>
      <c r="U882" s="337">
        <v>3</v>
      </c>
      <c r="V882" s="338">
        <v>0.157894736842105</v>
      </c>
    </row>
    <row r="883" spans="2:22" ht="13.5">
      <c r="B883" s="1577">
        <v>201411</v>
      </c>
      <c r="C883" s="324" t="s">
        <v>458</v>
      </c>
      <c r="D883" s="325" t="s">
        <v>736</v>
      </c>
      <c r="E883" s="1674" t="s">
        <v>697</v>
      </c>
      <c r="F883" s="460">
        <v>3312.2669999999898</v>
      </c>
      <c r="G883" s="92">
        <v>876.46299999999997</v>
      </c>
      <c r="H883" s="279">
        <v>792.28</v>
      </c>
      <c r="I883" s="154">
        <v>25</v>
      </c>
      <c r="J883" s="576">
        <v>0.28571400000000002</v>
      </c>
      <c r="K883" s="578">
        <v>21.377146341463</v>
      </c>
      <c r="L883" s="437">
        <v>1.64</v>
      </c>
      <c r="M883" s="42"/>
      <c r="N883" s="47">
        <v>95</v>
      </c>
      <c r="O883" s="45">
        <v>83</v>
      </c>
      <c r="P883" s="45">
        <v>11</v>
      </c>
      <c r="Q883" s="388">
        <v>1</v>
      </c>
      <c r="R883" s="429">
        <v>0</v>
      </c>
      <c r="S883" s="92"/>
      <c r="T883" s="361">
        <v>15</v>
      </c>
      <c r="U883" s="285">
        <v>6</v>
      </c>
      <c r="V883" s="438">
        <v>0.5</v>
      </c>
    </row>
    <row r="884" spans="2:22" ht="13.5">
      <c r="B884" s="1577">
        <v>201411</v>
      </c>
      <c r="C884" s="326" t="s">
        <v>458</v>
      </c>
      <c r="D884" s="327" t="s">
        <v>796</v>
      </c>
      <c r="E884" s="1675" t="s">
        <v>797</v>
      </c>
      <c r="F884" s="459">
        <v>982.56299999999999</v>
      </c>
      <c r="G884" s="339">
        <v>255.197</v>
      </c>
      <c r="H884" s="337">
        <v>240.376</v>
      </c>
      <c r="I884" s="331">
        <v>15</v>
      </c>
      <c r="J884" s="577">
        <v>0.32608700000000002</v>
      </c>
      <c r="K884" s="579">
        <v>14.177611111111</v>
      </c>
      <c r="L884" s="436">
        <v>1.2</v>
      </c>
      <c r="M884" s="42"/>
      <c r="N884" s="334">
        <v>53</v>
      </c>
      <c r="O884" s="335">
        <v>42</v>
      </c>
      <c r="P884" s="335">
        <v>10</v>
      </c>
      <c r="Q884" s="389">
        <v>1</v>
      </c>
      <c r="R884" s="430">
        <v>0</v>
      </c>
      <c r="S884" s="339">
        <v>2</v>
      </c>
      <c r="T884" s="362">
        <v>12</v>
      </c>
      <c r="U884" s="337">
        <v>7</v>
      </c>
      <c r="V884" s="338">
        <v>0.63636363636363602</v>
      </c>
    </row>
    <row r="885" spans="2:22" ht="13.5">
      <c r="B885" s="1577">
        <v>201411</v>
      </c>
      <c r="C885" s="324" t="s">
        <v>458</v>
      </c>
      <c r="D885" s="325" t="s">
        <v>647</v>
      </c>
      <c r="E885" s="1674" t="s">
        <v>643</v>
      </c>
      <c r="F885" s="460">
        <v>1449.3709999999901</v>
      </c>
      <c r="G885" s="92">
        <v>149.5</v>
      </c>
      <c r="H885" s="279">
        <v>149.5</v>
      </c>
      <c r="I885" s="154">
        <v>6</v>
      </c>
      <c r="J885" s="576">
        <v>0.111111</v>
      </c>
      <c r="K885" s="578">
        <v>14.95</v>
      </c>
      <c r="L885" s="437">
        <v>1.6666669999999999</v>
      </c>
      <c r="M885" s="42"/>
      <c r="N885" s="47">
        <v>52</v>
      </c>
      <c r="O885" s="45">
        <v>38</v>
      </c>
      <c r="P885" s="45">
        <v>11</v>
      </c>
      <c r="Q885" s="388">
        <v>3</v>
      </c>
      <c r="R885" s="429">
        <v>10</v>
      </c>
      <c r="S885" s="92"/>
      <c r="T885" s="361">
        <v>6</v>
      </c>
      <c r="U885" s="285">
        <v>3</v>
      </c>
      <c r="V885" s="438">
        <v>0.214285714285714</v>
      </c>
    </row>
    <row r="886" spans="2:22" ht="13.5">
      <c r="B886" s="1577">
        <v>201411</v>
      </c>
      <c r="C886" s="326" t="s">
        <v>458</v>
      </c>
      <c r="D886" s="327" t="s">
        <v>630</v>
      </c>
      <c r="E886" s="1675" t="s">
        <v>483</v>
      </c>
      <c r="F886" s="459">
        <v>1422.703</v>
      </c>
      <c r="G886" s="339">
        <v>288.233</v>
      </c>
      <c r="H886" s="337">
        <v>309.83300000000003</v>
      </c>
      <c r="I886" s="331">
        <v>17</v>
      </c>
      <c r="J886" s="577">
        <v>0.288136</v>
      </c>
      <c r="K886" s="579">
        <v>10.294035714286</v>
      </c>
      <c r="L886" s="436">
        <v>1.6470590000000001</v>
      </c>
      <c r="M886" s="42"/>
      <c r="N886" s="334">
        <v>63</v>
      </c>
      <c r="O886" s="335">
        <v>48</v>
      </c>
      <c r="P886" s="335">
        <v>13</v>
      </c>
      <c r="Q886" s="389">
        <v>2</v>
      </c>
      <c r="R886" s="430">
        <v>11</v>
      </c>
      <c r="S886" s="339">
        <v>2</v>
      </c>
      <c r="T886" s="362">
        <v>17</v>
      </c>
      <c r="U886" s="337">
        <v>10</v>
      </c>
      <c r="V886" s="338">
        <v>0.66666666666666696</v>
      </c>
    </row>
    <row r="887" spans="2:22" ht="13.5">
      <c r="B887" s="1577">
        <v>201411</v>
      </c>
      <c r="C887" s="324" t="s">
        <v>458</v>
      </c>
      <c r="D887" s="325" t="s">
        <v>905</v>
      </c>
      <c r="E887" s="1674" t="s">
        <v>906</v>
      </c>
      <c r="F887" s="460">
        <v>247.018</v>
      </c>
      <c r="G887" s="92">
        <v>137.86600000000001</v>
      </c>
      <c r="H887" s="279">
        <v>137.86600000000001</v>
      </c>
      <c r="I887" s="154">
        <v>6</v>
      </c>
      <c r="J887" s="576">
        <v>0.31578899999999999</v>
      </c>
      <c r="K887" s="578">
        <v>15.318444444443999</v>
      </c>
      <c r="L887" s="437">
        <v>1.5</v>
      </c>
      <c r="M887" s="42"/>
      <c r="N887" s="47">
        <v>23</v>
      </c>
      <c r="O887" s="45">
        <v>17</v>
      </c>
      <c r="P887" s="45">
        <v>6</v>
      </c>
      <c r="Q887" s="388">
        <v>0</v>
      </c>
      <c r="R887" s="429">
        <v>0</v>
      </c>
      <c r="S887" s="92">
        <v>1</v>
      </c>
      <c r="T887" s="361">
        <v>7</v>
      </c>
      <c r="U887" s="285">
        <v>4</v>
      </c>
      <c r="V887" s="438">
        <v>0.66666666666666696</v>
      </c>
    </row>
    <row r="888" spans="2:22" ht="13.5">
      <c r="B888" s="1577">
        <v>201411</v>
      </c>
      <c r="C888" s="326" t="s">
        <v>458</v>
      </c>
      <c r="D888" s="327" t="s">
        <v>648</v>
      </c>
      <c r="E888" s="1675" t="s">
        <v>644</v>
      </c>
      <c r="F888" s="459">
        <v>1291.777</v>
      </c>
      <c r="G888" s="339">
        <v>271.93400000000003</v>
      </c>
      <c r="H888" s="337">
        <v>286.95499999999998</v>
      </c>
      <c r="I888" s="331">
        <v>13</v>
      </c>
      <c r="J888" s="577">
        <v>0.36619699999999999</v>
      </c>
      <c r="K888" s="579">
        <v>13.5967</v>
      </c>
      <c r="L888" s="436">
        <v>1.538462</v>
      </c>
      <c r="M888" s="42"/>
      <c r="N888" s="334">
        <v>38</v>
      </c>
      <c r="O888" s="335">
        <v>26</v>
      </c>
      <c r="P888" s="335">
        <v>12</v>
      </c>
      <c r="Q888" s="389">
        <v>0</v>
      </c>
      <c r="R888" s="430">
        <v>2</v>
      </c>
      <c r="S888" s="339">
        <v>3</v>
      </c>
      <c r="T888" s="362">
        <v>4</v>
      </c>
      <c r="U888" s="337">
        <v>3</v>
      </c>
      <c r="V888" s="338">
        <v>0.25</v>
      </c>
    </row>
    <row r="889" spans="2:22" ht="13.5">
      <c r="B889" s="1577">
        <v>201411</v>
      </c>
      <c r="C889" s="326" t="s">
        <v>459</v>
      </c>
      <c r="D889" s="327" t="s">
        <v>661</v>
      </c>
      <c r="E889" s="325" t="s">
        <v>1950</v>
      </c>
      <c r="F889" s="459">
        <v>1443.155</v>
      </c>
      <c r="G889" s="339">
        <v>196.19200000000001</v>
      </c>
      <c r="H889" s="337">
        <v>199.37799999999999</v>
      </c>
      <c r="I889" s="331">
        <v>10</v>
      </c>
      <c r="J889" s="577">
        <v>0.24390200000000001</v>
      </c>
      <c r="K889" s="579">
        <v>13.079466666667001</v>
      </c>
      <c r="L889" s="436">
        <v>1.5</v>
      </c>
      <c r="M889" s="42"/>
      <c r="N889" s="334">
        <v>43</v>
      </c>
      <c r="O889" s="335">
        <v>31</v>
      </c>
      <c r="P889" s="335">
        <v>9</v>
      </c>
      <c r="Q889" s="389">
        <v>3</v>
      </c>
      <c r="R889" s="430">
        <v>5</v>
      </c>
      <c r="S889" s="339">
        <v>1</v>
      </c>
      <c r="T889" s="362">
        <v>8</v>
      </c>
      <c r="U889" s="337">
        <v>3</v>
      </c>
      <c r="V889" s="338">
        <v>0.25</v>
      </c>
    </row>
    <row r="890" spans="2:22" ht="13.5">
      <c r="B890" s="1577">
        <v>201411</v>
      </c>
      <c r="C890" s="324" t="s">
        <v>459</v>
      </c>
      <c r="D890" s="325" t="s">
        <v>179</v>
      </c>
      <c r="E890" s="1674" t="s">
        <v>191</v>
      </c>
      <c r="F890" s="460">
        <v>5782.2790000000095</v>
      </c>
      <c r="G890" s="92">
        <v>1255.6679999999999</v>
      </c>
      <c r="H890" s="279">
        <v>898.15300000000002</v>
      </c>
      <c r="I890" s="154">
        <v>27</v>
      </c>
      <c r="J890" s="576">
        <v>0.21774199999999999</v>
      </c>
      <c r="K890" s="578">
        <v>30.626048780487999</v>
      </c>
      <c r="L890" s="437">
        <v>1.518519</v>
      </c>
      <c r="M890" s="42"/>
      <c r="N890" s="47">
        <v>131</v>
      </c>
      <c r="O890" s="45">
        <v>93</v>
      </c>
      <c r="P890" s="45">
        <v>33</v>
      </c>
      <c r="Q890" s="388">
        <v>5</v>
      </c>
      <c r="R890" s="429">
        <v>14</v>
      </c>
      <c r="S890" s="92">
        <v>8</v>
      </c>
      <c r="T890" s="361">
        <v>20</v>
      </c>
      <c r="U890" s="285">
        <v>11</v>
      </c>
      <c r="V890" s="438">
        <v>0.28947368421052599</v>
      </c>
    </row>
    <row r="891" spans="2:22" ht="13.5">
      <c r="B891" s="1577">
        <v>201411</v>
      </c>
      <c r="C891" s="326" t="s">
        <v>459</v>
      </c>
      <c r="D891" s="327" t="s">
        <v>659</v>
      </c>
      <c r="E891" s="1675" t="s">
        <v>655</v>
      </c>
      <c r="F891" s="459">
        <v>3400.3719999999998</v>
      </c>
      <c r="G891" s="339">
        <v>862.60500000000002</v>
      </c>
      <c r="H891" s="337">
        <v>872.77099999999996</v>
      </c>
      <c r="I891" s="331">
        <v>36</v>
      </c>
      <c r="J891" s="577">
        <v>0.461538</v>
      </c>
      <c r="K891" s="579">
        <v>14.14106557377</v>
      </c>
      <c r="L891" s="436">
        <v>1.6944440000000001</v>
      </c>
      <c r="M891" s="42"/>
      <c r="N891" s="334">
        <v>80</v>
      </c>
      <c r="O891" s="335">
        <v>65</v>
      </c>
      <c r="P891" s="335">
        <v>11</v>
      </c>
      <c r="Q891" s="389">
        <v>4</v>
      </c>
      <c r="R891" s="430">
        <v>8</v>
      </c>
      <c r="S891" s="339"/>
      <c r="T891" s="362">
        <v>12</v>
      </c>
      <c r="U891" s="337">
        <v>7</v>
      </c>
      <c r="V891" s="338">
        <v>0.46666666666666701</v>
      </c>
    </row>
    <row r="892" spans="2:22" ht="13.5">
      <c r="B892" s="1577">
        <v>201411</v>
      </c>
      <c r="C892" s="324" t="s">
        <v>459</v>
      </c>
      <c r="D892" s="325" t="s">
        <v>699</v>
      </c>
      <c r="E892" s="1674" t="s">
        <v>698</v>
      </c>
      <c r="F892" s="460">
        <v>1545.8040000000001</v>
      </c>
      <c r="G892" s="92">
        <v>297.35500000000002</v>
      </c>
      <c r="H892" s="279">
        <v>297.35500000000002</v>
      </c>
      <c r="I892" s="154">
        <v>13</v>
      </c>
      <c r="J892" s="576">
        <v>0.31707299999999999</v>
      </c>
      <c r="K892" s="578">
        <v>16.519722222222001</v>
      </c>
      <c r="L892" s="437">
        <v>1.3846149999999999</v>
      </c>
      <c r="M892" s="42"/>
      <c r="N892" s="47">
        <v>46</v>
      </c>
      <c r="O892" s="45">
        <v>34</v>
      </c>
      <c r="P892" s="45">
        <v>9</v>
      </c>
      <c r="Q892" s="388">
        <v>3</v>
      </c>
      <c r="R892" s="429">
        <v>0</v>
      </c>
      <c r="S892" s="92">
        <v>2</v>
      </c>
      <c r="T892" s="361">
        <v>8</v>
      </c>
      <c r="U892" s="285">
        <v>6</v>
      </c>
      <c r="V892" s="438">
        <v>0.5</v>
      </c>
    </row>
    <row r="893" spans="2:22" ht="13.5">
      <c r="B893" s="1577">
        <v>201411</v>
      </c>
      <c r="C893" s="326" t="s">
        <v>459</v>
      </c>
      <c r="D893" s="327" t="s">
        <v>825</v>
      </c>
      <c r="E893" s="1675" t="s">
        <v>1773</v>
      </c>
      <c r="F893" s="459">
        <v>1962.3019999999999</v>
      </c>
      <c r="G893" s="339">
        <v>985.86900000000003</v>
      </c>
      <c r="H893" s="337">
        <v>985.86900000000003</v>
      </c>
      <c r="I893" s="331">
        <v>50</v>
      </c>
      <c r="J893" s="577">
        <v>0.68965500000000002</v>
      </c>
      <c r="K893" s="579">
        <v>12.171222222221999</v>
      </c>
      <c r="L893" s="436">
        <v>1.62</v>
      </c>
      <c r="M893" s="42"/>
      <c r="N893" s="334">
        <v>108</v>
      </c>
      <c r="O893" s="335">
        <v>77</v>
      </c>
      <c r="P893" s="335">
        <v>27</v>
      </c>
      <c r="Q893" s="389">
        <v>4</v>
      </c>
      <c r="R893" s="430">
        <v>0</v>
      </c>
      <c r="S893" s="339">
        <v>21</v>
      </c>
      <c r="T893" s="362">
        <v>50</v>
      </c>
      <c r="U893" s="337">
        <v>25</v>
      </c>
      <c r="V893" s="338">
        <v>0.80645161290322598</v>
      </c>
    </row>
    <row r="894" spans="2:22" ht="13.5">
      <c r="B894" s="1577">
        <v>201411</v>
      </c>
      <c r="C894" s="324" t="s">
        <v>459</v>
      </c>
      <c r="D894" s="325" t="s">
        <v>185</v>
      </c>
      <c r="E894" s="1674" t="s">
        <v>190</v>
      </c>
      <c r="F894" s="460">
        <v>1854.384</v>
      </c>
      <c r="G894" s="92">
        <v>337.82</v>
      </c>
      <c r="H894" s="279">
        <v>355.36900000000003</v>
      </c>
      <c r="I894" s="154">
        <v>12</v>
      </c>
      <c r="J894" s="576">
        <v>0.21238899999999999</v>
      </c>
      <c r="K894" s="578">
        <v>18.767777777778001</v>
      </c>
      <c r="L894" s="437">
        <v>1.5</v>
      </c>
      <c r="M894" s="42"/>
      <c r="N894" s="47">
        <v>50</v>
      </c>
      <c r="O894" s="45">
        <v>35</v>
      </c>
      <c r="P894" s="45">
        <v>10</v>
      </c>
      <c r="Q894" s="388">
        <v>5</v>
      </c>
      <c r="R894" s="429">
        <v>19</v>
      </c>
      <c r="S894" s="92">
        <v>1</v>
      </c>
      <c r="T894" s="361">
        <v>5</v>
      </c>
      <c r="U894" s="285">
        <v>4</v>
      </c>
      <c r="V894" s="438">
        <v>0.266666666666667</v>
      </c>
    </row>
    <row r="895" spans="2:22" ht="13.5">
      <c r="B895" s="1577">
        <v>201411</v>
      </c>
      <c r="C895" s="326" t="s">
        <v>459</v>
      </c>
      <c r="D895" s="327" t="s">
        <v>660</v>
      </c>
      <c r="E895" s="1675" t="s">
        <v>656</v>
      </c>
      <c r="F895" s="459">
        <v>1252.5709999999999</v>
      </c>
      <c r="G895" s="339">
        <v>125.60899999999999</v>
      </c>
      <c r="H895" s="337">
        <v>125.60899999999999</v>
      </c>
      <c r="I895" s="331">
        <v>9</v>
      </c>
      <c r="J895" s="577">
        <v>0.25</v>
      </c>
      <c r="K895" s="579">
        <v>11.419</v>
      </c>
      <c r="L895" s="436">
        <v>1.2222219999999999</v>
      </c>
      <c r="M895" s="42"/>
      <c r="N895" s="334">
        <v>39</v>
      </c>
      <c r="O895" s="335">
        <v>31</v>
      </c>
      <c r="P895" s="335">
        <v>7</v>
      </c>
      <c r="Q895" s="389">
        <v>1</v>
      </c>
      <c r="R895" s="430">
        <v>0</v>
      </c>
      <c r="S895" s="339">
        <v>1</v>
      </c>
      <c r="T895" s="362">
        <v>5</v>
      </c>
      <c r="U895" s="337">
        <v>4</v>
      </c>
      <c r="V895" s="338">
        <v>0.5</v>
      </c>
    </row>
    <row r="896" spans="2:22" ht="13.5">
      <c r="B896" s="1577">
        <v>201411</v>
      </c>
      <c r="C896" s="324" t="s">
        <v>459</v>
      </c>
      <c r="D896" s="325" t="s">
        <v>737</v>
      </c>
      <c r="E896" s="1674"/>
      <c r="F896" s="460">
        <v>887.25699999999995</v>
      </c>
      <c r="G896" s="92">
        <v>269.76100000000002</v>
      </c>
      <c r="H896" s="279">
        <v>164.441</v>
      </c>
      <c r="I896" s="154">
        <v>13</v>
      </c>
      <c r="J896" s="576">
        <v>0.38806000000000002</v>
      </c>
      <c r="K896" s="578">
        <v>19.268642857143</v>
      </c>
      <c r="L896" s="437">
        <v>1.0769230000000001</v>
      </c>
      <c r="M896" s="42"/>
      <c r="N896" s="47">
        <v>32</v>
      </c>
      <c r="O896" s="45">
        <v>24</v>
      </c>
      <c r="P896" s="45">
        <v>8</v>
      </c>
      <c r="Q896" s="388">
        <v>0</v>
      </c>
      <c r="R896" s="429">
        <v>4</v>
      </c>
      <c r="S896" s="92"/>
      <c r="T896" s="361">
        <v>1</v>
      </c>
      <c r="U896" s="285">
        <v>1</v>
      </c>
      <c r="V896" s="438">
        <v>0.125</v>
      </c>
    </row>
    <row r="897" spans="2:22" ht="13.5">
      <c r="B897" s="1577">
        <v>201411</v>
      </c>
      <c r="C897" s="326" t="s">
        <v>459</v>
      </c>
      <c r="D897" s="327" t="s">
        <v>662</v>
      </c>
      <c r="E897" s="1675"/>
      <c r="F897" s="459">
        <v>1558.1959999999999</v>
      </c>
      <c r="G897" s="339">
        <v>302.25200000000001</v>
      </c>
      <c r="H897" s="337">
        <v>295.24700000000001</v>
      </c>
      <c r="I897" s="331">
        <v>15</v>
      </c>
      <c r="J897" s="577">
        <v>0.38961000000000001</v>
      </c>
      <c r="K897" s="579">
        <v>13.141391304348</v>
      </c>
      <c r="L897" s="436">
        <v>1.5333330000000001</v>
      </c>
      <c r="M897" s="42"/>
      <c r="N897" s="334">
        <v>38</v>
      </c>
      <c r="O897" s="335">
        <v>29</v>
      </c>
      <c r="P897" s="335">
        <v>9</v>
      </c>
      <c r="Q897" s="389">
        <v>0</v>
      </c>
      <c r="R897" s="430">
        <v>5</v>
      </c>
      <c r="S897" s="339">
        <v>2</v>
      </c>
      <c r="T897" s="362">
        <v>2</v>
      </c>
      <c r="U897" s="337">
        <v>2</v>
      </c>
      <c r="V897" s="338">
        <v>0.22222222222222199</v>
      </c>
    </row>
    <row r="898" spans="2:22" ht="13.5">
      <c r="B898" s="1577">
        <v>201411</v>
      </c>
      <c r="C898" s="324" t="s">
        <v>459</v>
      </c>
      <c r="D898" s="325" t="s">
        <v>799</v>
      </c>
      <c r="E898" s="1674" t="s">
        <v>800</v>
      </c>
      <c r="F898" s="460">
        <v>1033.325</v>
      </c>
      <c r="G898" s="92">
        <v>331.42200000000003</v>
      </c>
      <c r="H898" s="279">
        <v>307.39800000000002</v>
      </c>
      <c r="I898" s="154">
        <v>17</v>
      </c>
      <c r="J898" s="576">
        <v>0.47887299999999999</v>
      </c>
      <c r="K898" s="578">
        <v>11.836499999999999</v>
      </c>
      <c r="L898" s="437">
        <v>1.6470590000000001</v>
      </c>
      <c r="M898" s="42"/>
      <c r="N898" s="47">
        <v>40</v>
      </c>
      <c r="O898" s="45">
        <v>25</v>
      </c>
      <c r="P898" s="45">
        <v>14</v>
      </c>
      <c r="Q898" s="388">
        <v>1</v>
      </c>
      <c r="R898" s="429">
        <v>0</v>
      </c>
      <c r="S898" s="92">
        <v>6</v>
      </c>
      <c r="T898" s="361">
        <v>3</v>
      </c>
      <c r="U898" s="285">
        <v>3</v>
      </c>
      <c r="V898" s="438">
        <v>0.2</v>
      </c>
    </row>
    <row r="899" spans="2:22" ht="13.5">
      <c r="B899" s="1577">
        <v>201411</v>
      </c>
      <c r="C899" s="326" t="s">
        <v>459</v>
      </c>
      <c r="D899" s="327" t="s">
        <v>177</v>
      </c>
      <c r="E899" s="1675" t="s">
        <v>189</v>
      </c>
      <c r="F899" s="459">
        <v>6079.24</v>
      </c>
      <c r="G899" s="339">
        <v>588.47</v>
      </c>
      <c r="H899" s="337">
        <v>581.34400000000005</v>
      </c>
      <c r="I899" s="331">
        <v>30</v>
      </c>
      <c r="J899" s="577">
        <v>0.42253499999999999</v>
      </c>
      <c r="K899" s="579">
        <v>14.352926829268</v>
      </c>
      <c r="L899" s="436">
        <v>1.3666670000000001</v>
      </c>
      <c r="M899" s="42"/>
      <c r="N899" s="334">
        <v>79</v>
      </c>
      <c r="O899" s="335">
        <v>56</v>
      </c>
      <c r="P899" s="335">
        <v>21</v>
      </c>
      <c r="Q899" s="389">
        <v>2</v>
      </c>
      <c r="R899" s="430">
        <v>11</v>
      </c>
      <c r="S899" s="339">
        <v>5</v>
      </c>
      <c r="T899" s="362">
        <v>22</v>
      </c>
      <c r="U899" s="337">
        <v>13</v>
      </c>
      <c r="V899" s="338">
        <v>0.565217391304348</v>
      </c>
    </row>
    <row r="900" spans="2:22" ht="13.5">
      <c r="B900" s="1577">
        <v>201411</v>
      </c>
      <c r="C900" s="324" t="s">
        <v>459</v>
      </c>
      <c r="D900" s="325" t="s">
        <v>176</v>
      </c>
      <c r="E900" s="1674" t="s">
        <v>188</v>
      </c>
      <c r="F900" s="460">
        <v>5808.5070000000096</v>
      </c>
      <c r="G900" s="92">
        <v>1407.951</v>
      </c>
      <c r="H900" s="279">
        <v>1418.585</v>
      </c>
      <c r="I900" s="154">
        <v>50</v>
      </c>
      <c r="J900" s="576">
        <v>0.29325499999999999</v>
      </c>
      <c r="K900" s="578">
        <v>17.382111111111001</v>
      </c>
      <c r="L900" s="437">
        <v>1.62</v>
      </c>
      <c r="M900" s="42"/>
      <c r="N900" s="47">
        <v>174</v>
      </c>
      <c r="O900" s="45">
        <v>142</v>
      </c>
      <c r="P900" s="45">
        <v>27</v>
      </c>
      <c r="Q900" s="388">
        <v>5</v>
      </c>
      <c r="R900" s="429">
        <v>14</v>
      </c>
      <c r="S900" s="92"/>
      <c r="T900" s="361">
        <v>21</v>
      </c>
      <c r="U900" s="285">
        <v>12</v>
      </c>
      <c r="V900" s="438">
        <v>0.375</v>
      </c>
    </row>
    <row r="901" spans="2:22" ht="13.5">
      <c r="B901" s="1577">
        <v>201410</v>
      </c>
      <c r="C901" s="326" t="s">
        <v>458</v>
      </c>
      <c r="D901" s="327" t="s">
        <v>649</v>
      </c>
      <c r="E901" s="1675" t="s">
        <v>645</v>
      </c>
      <c r="F901" s="459">
        <v>2107.748</v>
      </c>
      <c r="G901" s="339">
        <v>581.94100000000003</v>
      </c>
      <c r="H901" s="337">
        <v>563.30600000000004</v>
      </c>
      <c r="I901" s="331">
        <v>14</v>
      </c>
      <c r="J901" s="577">
        <v>0.35443000000000002</v>
      </c>
      <c r="K901" s="579">
        <v>25.301782608696001</v>
      </c>
      <c r="L901" s="436">
        <v>1.642857</v>
      </c>
      <c r="M901" s="42"/>
      <c r="N901" s="334">
        <v>40</v>
      </c>
      <c r="O901" s="335">
        <v>32</v>
      </c>
      <c r="P901" s="335">
        <v>8</v>
      </c>
      <c r="Q901" s="389">
        <v>0</v>
      </c>
      <c r="R901" s="430">
        <v>0</v>
      </c>
      <c r="S901" s="339"/>
      <c r="T901" s="362">
        <v>1</v>
      </c>
      <c r="U901" s="337">
        <v>1</v>
      </c>
      <c r="V901" s="338">
        <v>0.125</v>
      </c>
    </row>
    <row r="902" spans="2:22" ht="13.5">
      <c r="B902" s="1577">
        <v>201410</v>
      </c>
      <c r="C902" s="324" t="s">
        <v>458</v>
      </c>
      <c r="D902" s="325" t="s">
        <v>650</v>
      </c>
      <c r="E902" s="1674" t="s">
        <v>1777</v>
      </c>
      <c r="F902" s="460">
        <v>1017.99</v>
      </c>
      <c r="G902" s="92">
        <v>363.61</v>
      </c>
      <c r="H902" s="279">
        <v>360.73099999999999</v>
      </c>
      <c r="I902" s="154">
        <v>16</v>
      </c>
      <c r="J902" s="576">
        <v>0.35555599999999998</v>
      </c>
      <c r="K902" s="578">
        <v>15.150416666667001</v>
      </c>
      <c r="L902" s="437">
        <v>1.5</v>
      </c>
      <c r="M902" s="42"/>
      <c r="N902" s="47">
        <v>48</v>
      </c>
      <c r="O902" s="45">
        <v>38</v>
      </c>
      <c r="P902" s="45">
        <v>10</v>
      </c>
      <c r="Q902" s="388">
        <v>0</v>
      </c>
      <c r="R902" s="429">
        <v>0</v>
      </c>
      <c r="S902" s="92"/>
      <c r="T902" s="361">
        <v>6</v>
      </c>
      <c r="U902" s="285">
        <v>5</v>
      </c>
      <c r="V902" s="438">
        <v>0.5</v>
      </c>
    </row>
    <row r="903" spans="2:22" ht="13.5">
      <c r="B903" s="1577">
        <v>201410</v>
      </c>
      <c r="C903" s="326" t="s">
        <v>458</v>
      </c>
      <c r="D903" s="327" t="s">
        <v>902</v>
      </c>
      <c r="E903" s="1674" t="s">
        <v>1014</v>
      </c>
      <c r="F903" s="459"/>
      <c r="G903" s="339">
        <v>0</v>
      </c>
      <c r="H903" s="337">
        <v>0</v>
      </c>
      <c r="I903" s="331">
        <v>0</v>
      </c>
      <c r="J903" s="577">
        <v>0</v>
      </c>
      <c r="K903" s="579">
        <v>0</v>
      </c>
      <c r="L903" s="436">
        <v>0</v>
      </c>
      <c r="M903" s="42"/>
      <c r="N903" s="334">
        <v>5</v>
      </c>
      <c r="O903" s="335">
        <v>3</v>
      </c>
      <c r="P903" s="335">
        <v>2</v>
      </c>
      <c r="Q903" s="389">
        <v>0</v>
      </c>
      <c r="R903" s="430">
        <v>0</v>
      </c>
      <c r="S903" s="339">
        <v>2</v>
      </c>
      <c r="T903" s="362">
        <v>3</v>
      </c>
      <c r="U903" s="337">
        <v>1</v>
      </c>
      <c r="V903" s="338">
        <v>0.5</v>
      </c>
    </row>
    <row r="904" spans="2:22" ht="13.5">
      <c r="B904" s="1577">
        <v>201410</v>
      </c>
      <c r="C904" s="324" t="s">
        <v>458</v>
      </c>
      <c r="D904" s="325" t="s">
        <v>642</v>
      </c>
      <c r="E904" s="1674" t="s">
        <v>641</v>
      </c>
      <c r="F904" s="460">
        <v>1439.557</v>
      </c>
      <c r="G904" s="92">
        <v>439.27300000000002</v>
      </c>
      <c r="H904" s="279">
        <v>419.846</v>
      </c>
      <c r="I904" s="154">
        <v>11</v>
      </c>
      <c r="J904" s="576">
        <v>0.19298199999999999</v>
      </c>
      <c r="K904" s="578">
        <v>23.119631578947001</v>
      </c>
      <c r="L904" s="437">
        <v>1.7272730000000001</v>
      </c>
      <c r="M904" s="42"/>
      <c r="N904" s="47">
        <v>56</v>
      </c>
      <c r="O904" s="45">
        <v>39</v>
      </c>
      <c r="P904" s="45">
        <v>17</v>
      </c>
      <c r="Q904" s="388">
        <v>0</v>
      </c>
      <c r="R904" s="429">
        <v>6</v>
      </c>
      <c r="S904" s="92">
        <v>2</v>
      </c>
      <c r="T904" s="361">
        <v>5</v>
      </c>
      <c r="U904" s="285">
        <v>4</v>
      </c>
      <c r="V904" s="438">
        <v>0.23529411764705899</v>
      </c>
    </row>
    <row r="905" spans="2:22" ht="13.5">
      <c r="B905" s="1577">
        <v>201410</v>
      </c>
      <c r="C905" s="326" t="s">
        <v>458</v>
      </c>
      <c r="D905" s="327" t="s">
        <v>91</v>
      </c>
      <c r="E905" s="1675" t="s">
        <v>92</v>
      </c>
      <c r="F905" s="459">
        <v>6873.9350000000304</v>
      </c>
      <c r="G905" s="339">
        <v>828.54</v>
      </c>
      <c r="H905" s="337">
        <v>816.74199999999996</v>
      </c>
      <c r="I905" s="331">
        <v>35</v>
      </c>
      <c r="J905" s="577">
        <v>0.30973499999999998</v>
      </c>
      <c r="K905" s="579">
        <v>18.830454545455002</v>
      </c>
      <c r="L905" s="436">
        <v>1.2571429999999999</v>
      </c>
      <c r="M905" s="42"/>
      <c r="N905" s="334">
        <v>113</v>
      </c>
      <c r="O905" s="335">
        <v>88</v>
      </c>
      <c r="P905" s="335">
        <v>21</v>
      </c>
      <c r="Q905" s="389">
        <v>4</v>
      </c>
      <c r="R905" s="430">
        <v>6</v>
      </c>
      <c r="S905" s="339"/>
      <c r="T905" s="362">
        <v>6</v>
      </c>
      <c r="U905" s="337">
        <v>4</v>
      </c>
      <c r="V905" s="338">
        <v>0.16</v>
      </c>
    </row>
    <row r="906" spans="2:22" ht="13.5">
      <c r="B906" s="1577">
        <v>201410</v>
      </c>
      <c r="C906" s="324" t="s">
        <v>458</v>
      </c>
      <c r="D906" s="325" t="s">
        <v>187</v>
      </c>
      <c r="E906" s="1674" t="s">
        <v>194</v>
      </c>
      <c r="F906" s="460">
        <v>3007.1419999999998</v>
      </c>
      <c r="G906" s="92">
        <v>444.47500000000002</v>
      </c>
      <c r="H906" s="279">
        <v>473.63799999999998</v>
      </c>
      <c r="I906" s="154">
        <v>18</v>
      </c>
      <c r="J906" s="576">
        <v>0.305085</v>
      </c>
      <c r="K906" s="578">
        <v>21.165476190475999</v>
      </c>
      <c r="L906" s="437">
        <v>1.1666669999999999</v>
      </c>
      <c r="M906" s="42"/>
      <c r="N906" s="47">
        <v>59</v>
      </c>
      <c r="O906" s="45">
        <v>45</v>
      </c>
      <c r="P906" s="45">
        <v>14</v>
      </c>
      <c r="Q906" s="388">
        <v>0</v>
      </c>
      <c r="R906" s="429">
        <v>5</v>
      </c>
      <c r="S906" s="92"/>
      <c r="T906" s="361">
        <v>6</v>
      </c>
      <c r="U906" s="285">
        <v>4</v>
      </c>
      <c r="V906" s="438">
        <v>0.28571428571428598</v>
      </c>
    </row>
    <row r="907" spans="2:22" ht="13.5">
      <c r="B907" s="1577">
        <v>201410</v>
      </c>
      <c r="C907" s="326" t="s">
        <v>458</v>
      </c>
      <c r="D907" s="327" t="s">
        <v>734</v>
      </c>
      <c r="E907" s="1675" t="s">
        <v>1766</v>
      </c>
      <c r="F907" s="459">
        <v>1252.2</v>
      </c>
      <c r="G907" s="339">
        <v>403.29199999999997</v>
      </c>
      <c r="H907" s="337">
        <v>353.06099999999998</v>
      </c>
      <c r="I907" s="331">
        <v>15</v>
      </c>
      <c r="J907" s="577">
        <v>0.27777800000000002</v>
      </c>
      <c r="K907" s="579">
        <v>13.906620689655</v>
      </c>
      <c r="L907" s="436">
        <v>1.933333</v>
      </c>
      <c r="M907" s="42"/>
      <c r="N907" s="334">
        <v>64</v>
      </c>
      <c r="O907" s="335">
        <v>49</v>
      </c>
      <c r="P907" s="335">
        <v>15</v>
      </c>
      <c r="Q907" s="389">
        <v>0</v>
      </c>
      <c r="R907" s="430">
        <v>0</v>
      </c>
      <c r="S907" s="339">
        <v>5</v>
      </c>
      <c r="T907" s="362">
        <v>15</v>
      </c>
      <c r="U907" s="337">
        <v>11</v>
      </c>
      <c r="V907" s="338">
        <v>0.73333333333333295</v>
      </c>
    </row>
    <row r="908" spans="2:22" ht="13.5">
      <c r="B908" s="1577">
        <v>201410</v>
      </c>
      <c r="C908" s="324" t="s">
        <v>458</v>
      </c>
      <c r="D908" s="325" t="s">
        <v>735</v>
      </c>
      <c r="E908" s="1675" t="s">
        <v>790</v>
      </c>
      <c r="F908" s="460">
        <v>5853.0460000000203</v>
      </c>
      <c r="G908" s="92">
        <v>2222.5189999999998</v>
      </c>
      <c r="H908" s="279">
        <v>2180.9859999999999</v>
      </c>
      <c r="I908" s="154">
        <v>20</v>
      </c>
      <c r="J908" s="576">
        <v>0.57142899999999996</v>
      </c>
      <c r="K908" s="578">
        <v>27.781487500000001</v>
      </c>
      <c r="L908" s="437">
        <v>4</v>
      </c>
      <c r="M908" s="42"/>
      <c r="N908" s="47">
        <v>36</v>
      </c>
      <c r="O908" s="45">
        <v>30</v>
      </c>
      <c r="P908" s="45">
        <v>4</v>
      </c>
      <c r="Q908" s="388">
        <v>2</v>
      </c>
      <c r="R908" s="429">
        <v>0</v>
      </c>
      <c r="S908" s="92"/>
      <c r="T908" s="361">
        <v>3</v>
      </c>
      <c r="U908" s="285">
        <v>2</v>
      </c>
      <c r="V908" s="438">
        <v>0.33333333333333298</v>
      </c>
    </row>
    <row r="909" spans="2:22" ht="13.5">
      <c r="B909" s="1577">
        <v>201410</v>
      </c>
      <c r="C909" s="326" t="s">
        <v>458</v>
      </c>
      <c r="D909" s="327" t="s">
        <v>798</v>
      </c>
      <c r="E909" s="1674" t="s">
        <v>1768</v>
      </c>
      <c r="F909" s="459">
        <v>2079.8139999999999</v>
      </c>
      <c r="G909" s="339">
        <v>608.95299999999997</v>
      </c>
      <c r="H909" s="337">
        <v>555.44100000000003</v>
      </c>
      <c r="I909" s="331">
        <v>7</v>
      </c>
      <c r="J909" s="577">
        <v>0.58333299999999999</v>
      </c>
      <c r="K909" s="579">
        <v>20.998379310345001</v>
      </c>
      <c r="L909" s="436">
        <v>4.1428570000000002</v>
      </c>
      <c r="M909" s="42"/>
      <c r="N909" s="334">
        <v>12</v>
      </c>
      <c r="O909" s="335">
        <v>9</v>
      </c>
      <c r="P909" s="335">
        <v>3</v>
      </c>
      <c r="Q909" s="389">
        <v>0</v>
      </c>
      <c r="R909" s="430">
        <v>0</v>
      </c>
      <c r="S909" s="339"/>
      <c r="T909" s="362"/>
      <c r="U909" s="337"/>
      <c r="V909" s="338"/>
    </row>
    <row r="910" spans="2:22" ht="13.5">
      <c r="B910" s="1577">
        <v>201410</v>
      </c>
      <c r="C910" s="324" t="s">
        <v>458</v>
      </c>
      <c r="D910" s="325" t="s">
        <v>903</v>
      </c>
      <c r="E910" s="1674" t="s">
        <v>904</v>
      </c>
      <c r="F910" s="460">
        <v>15.521000000000001</v>
      </c>
      <c r="G910" s="92">
        <v>31.042000000000002</v>
      </c>
      <c r="H910" s="279">
        <v>15.521000000000001</v>
      </c>
      <c r="I910" s="154">
        <v>1</v>
      </c>
      <c r="J910" s="576">
        <v>0.66666700000000001</v>
      </c>
      <c r="K910" s="578">
        <v>31.042000000000002</v>
      </c>
      <c r="L910" s="437">
        <v>1</v>
      </c>
      <c r="M910" s="42"/>
      <c r="N910" s="47">
        <v>3</v>
      </c>
      <c r="O910" s="45">
        <v>2</v>
      </c>
      <c r="P910" s="45">
        <v>1</v>
      </c>
      <c r="Q910" s="388">
        <v>0</v>
      </c>
      <c r="R910" s="429">
        <v>0</v>
      </c>
      <c r="S910" s="92">
        <v>1</v>
      </c>
      <c r="T910" s="361">
        <v>2</v>
      </c>
      <c r="U910" s="285">
        <v>2</v>
      </c>
      <c r="V910" s="438">
        <v>2</v>
      </c>
    </row>
    <row r="911" spans="2:22" ht="13.5">
      <c r="B911" s="1577">
        <v>201410</v>
      </c>
      <c r="C911" s="326" t="s">
        <v>458</v>
      </c>
      <c r="D911" s="327" t="s">
        <v>628</v>
      </c>
      <c r="E911" s="1675" t="s">
        <v>629</v>
      </c>
      <c r="F911" s="459">
        <v>1930.6689999999901</v>
      </c>
      <c r="G911" s="339">
        <v>367.14</v>
      </c>
      <c r="H911" s="337">
        <v>368.03399999999999</v>
      </c>
      <c r="I911" s="331">
        <v>17</v>
      </c>
      <c r="J911" s="577">
        <v>0.269841</v>
      </c>
      <c r="K911" s="579">
        <v>13.597777777777999</v>
      </c>
      <c r="L911" s="436">
        <v>1.5882350000000001</v>
      </c>
      <c r="M911" s="42"/>
      <c r="N911" s="334">
        <v>61</v>
      </c>
      <c r="O911" s="335">
        <v>41</v>
      </c>
      <c r="P911" s="335">
        <v>20</v>
      </c>
      <c r="Q911" s="389">
        <v>0</v>
      </c>
      <c r="R911" s="430">
        <v>10</v>
      </c>
      <c r="S911" s="339"/>
      <c r="T911" s="362">
        <v>6</v>
      </c>
      <c r="U911" s="337">
        <v>5</v>
      </c>
      <c r="V911" s="338">
        <v>0.25</v>
      </c>
    </row>
    <row r="912" spans="2:22" ht="13.5">
      <c r="B912" s="1577">
        <v>201410</v>
      </c>
      <c r="C912" s="324" t="s">
        <v>458</v>
      </c>
      <c r="D912" s="325" t="s">
        <v>557</v>
      </c>
      <c r="E912" s="1678" t="s">
        <v>1770</v>
      </c>
      <c r="F912" s="460">
        <v>1200.732</v>
      </c>
      <c r="G912" s="92">
        <v>514.524</v>
      </c>
      <c r="H912" s="279">
        <v>522.14599999999996</v>
      </c>
      <c r="I912" s="154">
        <v>21</v>
      </c>
      <c r="J912" s="576">
        <v>0.47191</v>
      </c>
      <c r="K912" s="578">
        <v>13.540105263158001</v>
      </c>
      <c r="L912" s="437">
        <v>1.8095239999999999</v>
      </c>
      <c r="M912" s="42"/>
      <c r="N912" s="47">
        <v>47</v>
      </c>
      <c r="O912" s="45">
        <v>38</v>
      </c>
      <c r="P912" s="45">
        <v>9</v>
      </c>
      <c r="Q912" s="388">
        <v>0</v>
      </c>
      <c r="R912" s="429">
        <v>0</v>
      </c>
      <c r="S912" s="92"/>
      <c r="T912" s="361">
        <v>5</v>
      </c>
      <c r="U912" s="285">
        <v>4</v>
      </c>
      <c r="V912" s="438">
        <v>0.44444444444444398</v>
      </c>
    </row>
    <row r="913" spans="2:22" ht="13.5">
      <c r="B913" s="1577">
        <v>201410</v>
      </c>
      <c r="C913" s="326" t="s">
        <v>458</v>
      </c>
      <c r="D913" s="327" t="s">
        <v>47</v>
      </c>
      <c r="E913" s="1675" t="s">
        <v>17</v>
      </c>
      <c r="F913" s="459">
        <v>3341.6479999999901</v>
      </c>
      <c r="G913" s="339">
        <v>484.69099999999997</v>
      </c>
      <c r="H913" s="337">
        <v>465.57900000000001</v>
      </c>
      <c r="I913" s="331">
        <v>15</v>
      </c>
      <c r="J913" s="577">
        <v>0.18987299999999999</v>
      </c>
      <c r="K913" s="579">
        <v>18.641961538461999</v>
      </c>
      <c r="L913" s="436">
        <v>1.733333</v>
      </c>
      <c r="M913" s="42"/>
      <c r="N913" s="334">
        <v>76</v>
      </c>
      <c r="O913" s="335">
        <v>57</v>
      </c>
      <c r="P913" s="335">
        <v>17</v>
      </c>
      <c r="Q913" s="389">
        <v>2</v>
      </c>
      <c r="R913" s="430">
        <v>7</v>
      </c>
      <c r="S913" s="339"/>
      <c r="T913" s="362">
        <v>1</v>
      </c>
      <c r="U913" s="337">
        <v>1</v>
      </c>
      <c r="V913" s="338">
        <v>5.2631578947368397E-2</v>
      </c>
    </row>
    <row r="914" spans="2:22" ht="13.5">
      <c r="B914" s="1577">
        <v>201410</v>
      </c>
      <c r="C914" s="324" t="s">
        <v>458</v>
      </c>
      <c r="D914" s="325" t="s">
        <v>736</v>
      </c>
      <c r="E914" s="1674" t="s">
        <v>697</v>
      </c>
      <c r="F914" s="460">
        <v>2519.9869999999901</v>
      </c>
      <c r="G914" s="92">
        <v>753.40300000000002</v>
      </c>
      <c r="H914" s="279">
        <v>664.92</v>
      </c>
      <c r="I914" s="154">
        <v>28</v>
      </c>
      <c r="J914" s="576">
        <v>0.36363600000000001</v>
      </c>
      <c r="K914" s="578">
        <v>16.029851063830002</v>
      </c>
      <c r="L914" s="437">
        <v>1.678571</v>
      </c>
      <c r="M914" s="42"/>
      <c r="N914" s="47">
        <v>80</v>
      </c>
      <c r="O914" s="45">
        <v>68</v>
      </c>
      <c r="P914" s="45">
        <v>11</v>
      </c>
      <c r="Q914" s="388">
        <v>1</v>
      </c>
      <c r="R914" s="429">
        <v>0</v>
      </c>
      <c r="S914" s="92"/>
      <c r="T914" s="361">
        <v>6</v>
      </c>
      <c r="U914" s="285">
        <v>5</v>
      </c>
      <c r="V914" s="438">
        <v>0.41666666666666702</v>
      </c>
    </row>
    <row r="915" spans="2:22" ht="13.5">
      <c r="B915" s="1577">
        <v>201410</v>
      </c>
      <c r="C915" s="326" t="s">
        <v>458</v>
      </c>
      <c r="D915" s="327" t="s">
        <v>796</v>
      </c>
      <c r="E915" s="1675" t="s">
        <v>797</v>
      </c>
      <c r="F915" s="459">
        <v>742.18700000000001</v>
      </c>
      <c r="G915" s="339">
        <v>281.54000000000002</v>
      </c>
      <c r="H915" s="337">
        <v>250.45</v>
      </c>
      <c r="I915" s="331">
        <v>12</v>
      </c>
      <c r="J915" s="577">
        <v>0.32876699999999998</v>
      </c>
      <c r="K915" s="579">
        <v>20.11</v>
      </c>
      <c r="L915" s="436">
        <v>1.1666669999999999</v>
      </c>
      <c r="M915" s="42"/>
      <c r="N915" s="334">
        <v>39</v>
      </c>
      <c r="O915" s="335">
        <v>31</v>
      </c>
      <c r="P915" s="335">
        <v>8</v>
      </c>
      <c r="Q915" s="389">
        <v>0</v>
      </c>
      <c r="R915" s="430">
        <v>0</v>
      </c>
      <c r="S915" s="339"/>
      <c r="T915" s="362">
        <v>5</v>
      </c>
      <c r="U915" s="337">
        <v>4</v>
      </c>
      <c r="V915" s="338">
        <v>0.5</v>
      </c>
    </row>
    <row r="916" spans="2:22" ht="13.5">
      <c r="B916" s="1577">
        <v>201410</v>
      </c>
      <c r="C916" s="324" t="s">
        <v>458</v>
      </c>
      <c r="D916" s="325" t="s">
        <v>647</v>
      </c>
      <c r="E916" s="1674" t="s">
        <v>643</v>
      </c>
      <c r="F916" s="460">
        <v>1299.8710000000001</v>
      </c>
      <c r="G916" s="92">
        <v>252.34899999999999</v>
      </c>
      <c r="H916" s="279">
        <v>229.626</v>
      </c>
      <c r="I916" s="154">
        <v>12</v>
      </c>
      <c r="J916" s="576">
        <v>0.21621599999999999</v>
      </c>
      <c r="K916" s="578">
        <v>15.771812499999999</v>
      </c>
      <c r="L916" s="437">
        <v>1.3333330000000001</v>
      </c>
      <c r="M916" s="42"/>
      <c r="N916" s="47">
        <v>56</v>
      </c>
      <c r="O916" s="45">
        <v>43</v>
      </c>
      <c r="P916" s="45">
        <v>11</v>
      </c>
      <c r="Q916" s="388">
        <v>2</v>
      </c>
      <c r="R916" s="429">
        <v>2</v>
      </c>
      <c r="S916" s="92"/>
      <c r="T916" s="361">
        <v>3</v>
      </c>
      <c r="U916" s="285">
        <v>3</v>
      </c>
      <c r="V916" s="438">
        <v>0.230769230769231</v>
      </c>
    </row>
    <row r="917" spans="2:22" ht="13.5">
      <c r="B917" s="1577">
        <v>201410</v>
      </c>
      <c r="C917" s="326" t="s">
        <v>458</v>
      </c>
      <c r="D917" s="327" t="s">
        <v>630</v>
      </c>
      <c r="E917" s="1675" t="s">
        <v>483</v>
      </c>
      <c r="F917" s="459">
        <v>1112.8699999999999</v>
      </c>
      <c r="G917" s="339">
        <v>415.35599999999999</v>
      </c>
      <c r="H917" s="337">
        <v>393.226</v>
      </c>
      <c r="I917" s="331">
        <v>22</v>
      </c>
      <c r="J917" s="577">
        <v>0.38938099999999998</v>
      </c>
      <c r="K917" s="579">
        <v>13.398580645160999</v>
      </c>
      <c r="L917" s="436">
        <v>1.4090910000000001</v>
      </c>
      <c r="M917" s="42"/>
      <c r="N917" s="334">
        <v>55</v>
      </c>
      <c r="O917" s="335">
        <v>43</v>
      </c>
      <c r="P917" s="335">
        <v>12</v>
      </c>
      <c r="Q917" s="389">
        <v>0</v>
      </c>
      <c r="R917" s="430">
        <v>7</v>
      </c>
      <c r="S917" s="339"/>
      <c r="T917" s="362">
        <v>5</v>
      </c>
      <c r="U917" s="337">
        <v>5</v>
      </c>
      <c r="V917" s="338">
        <v>0.41666666666666702</v>
      </c>
    </row>
    <row r="918" spans="2:22" ht="13.5">
      <c r="B918" s="1577">
        <v>201410</v>
      </c>
      <c r="C918" s="324" t="s">
        <v>458</v>
      </c>
      <c r="D918" s="325" t="s">
        <v>905</v>
      </c>
      <c r="E918" s="1674" t="s">
        <v>906</v>
      </c>
      <c r="F918" s="460">
        <v>109.152</v>
      </c>
      <c r="G918" s="92">
        <v>122.822</v>
      </c>
      <c r="H918" s="279">
        <v>109.152</v>
      </c>
      <c r="I918" s="154">
        <v>5</v>
      </c>
      <c r="J918" s="576">
        <v>0.66666700000000001</v>
      </c>
      <c r="K918" s="578">
        <v>13.646888888889</v>
      </c>
      <c r="L918" s="437">
        <v>1.8</v>
      </c>
      <c r="M918" s="42"/>
      <c r="N918" s="47">
        <v>15</v>
      </c>
      <c r="O918" s="45">
        <v>10</v>
      </c>
      <c r="P918" s="45">
        <v>5</v>
      </c>
      <c r="Q918" s="388">
        <v>0</v>
      </c>
      <c r="R918" s="429">
        <v>0</v>
      </c>
      <c r="S918" s="92">
        <v>5</v>
      </c>
      <c r="T918" s="361">
        <v>10</v>
      </c>
      <c r="U918" s="285">
        <v>5</v>
      </c>
      <c r="V918" s="438">
        <v>1</v>
      </c>
    </row>
    <row r="919" spans="2:22" ht="13.5">
      <c r="B919" s="1577">
        <v>201410</v>
      </c>
      <c r="C919" s="326" t="s">
        <v>458</v>
      </c>
      <c r="D919" s="327" t="s">
        <v>648</v>
      </c>
      <c r="E919" s="1675" t="s">
        <v>644</v>
      </c>
      <c r="F919" s="459">
        <v>1004.822</v>
      </c>
      <c r="G919" s="339">
        <v>200.73099999999999</v>
      </c>
      <c r="H919" s="337">
        <v>173.399</v>
      </c>
      <c r="I919" s="331">
        <v>9</v>
      </c>
      <c r="J919" s="577">
        <v>0.26086999999999999</v>
      </c>
      <c r="K919" s="579">
        <v>14.337928571429</v>
      </c>
      <c r="L919" s="436">
        <v>1.5555559999999999</v>
      </c>
      <c r="M919" s="42"/>
      <c r="N919" s="334">
        <v>33</v>
      </c>
      <c r="O919" s="335">
        <v>23</v>
      </c>
      <c r="P919" s="335">
        <v>10</v>
      </c>
      <c r="Q919" s="389">
        <v>0</v>
      </c>
      <c r="R919" s="430">
        <v>5</v>
      </c>
      <c r="S919" s="339"/>
      <c r="T919" s="362">
        <v>2</v>
      </c>
      <c r="U919" s="337">
        <v>1</v>
      </c>
      <c r="V919" s="338">
        <v>0.1</v>
      </c>
    </row>
    <row r="920" spans="2:22" ht="13.5">
      <c r="B920" s="1577">
        <v>201410</v>
      </c>
      <c r="C920" s="326" t="s">
        <v>459</v>
      </c>
      <c r="D920" s="327" t="s">
        <v>661</v>
      </c>
      <c r="E920" s="325" t="s">
        <v>1950</v>
      </c>
      <c r="F920" s="459">
        <v>1243.777</v>
      </c>
      <c r="G920" s="339">
        <v>257.91500000000002</v>
      </c>
      <c r="H920" s="337">
        <v>236.041</v>
      </c>
      <c r="I920" s="331">
        <v>15</v>
      </c>
      <c r="J920" s="577">
        <v>0.38961000000000001</v>
      </c>
      <c r="K920" s="579">
        <v>14.328611111111</v>
      </c>
      <c r="L920" s="436">
        <v>1.2</v>
      </c>
      <c r="M920" s="42"/>
      <c r="N920" s="334">
        <v>39</v>
      </c>
      <c r="O920" s="335">
        <v>28</v>
      </c>
      <c r="P920" s="335">
        <v>8</v>
      </c>
      <c r="Q920" s="389">
        <v>3</v>
      </c>
      <c r="R920" s="430">
        <v>6</v>
      </c>
      <c r="S920" s="339"/>
      <c r="T920" s="362">
        <v>7</v>
      </c>
      <c r="U920" s="337">
        <v>4</v>
      </c>
      <c r="V920" s="338">
        <v>0.36363636363636398</v>
      </c>
    </row>
    <row r="921" spans="2:22" ht="13.5">
      <c r="B921" s="1577">
        <v>201410</v>
      </c>
      <c r="C921" s="324" t="s">
        <v>459</v>
      </c>
      <c r="D921" s="325" t="s">
        <v>179</v>
      </c>
      <c r="E921" s="1674" t="s">
        <v>191</v>
      </c>
      <c r="F921" s="460">
        <v>4884.1260000000002</v>
      </c>
      <c r="G921" s="92">
        <v>975.07</v>
      </c>
      <c r="H921" s="279">
        <v>875.95500000000004</v>
      </c>
      <c r="I921" s="154">
        <v>26</v>
      </c>
      <c r="J921" s="576">
        <v>0.22317600000000001</v>
      </c>
      <c r="K921" s="578">
        <v>22.676046511628002</v>
      </c>
      <c r="L921" s="437">
        <v>1.6538459999999999</v>
      </c>
      <c r="M921" s="42"/>
      <c r="N921" s="47">
        <v>117</v>
      </c>
      <c r="O921" s="45">
        <v>83</v>
      </c>
      <c r="P921" s="45">
        <v>29</v>
      </c>
      <c r="Q921" s="388">
        <v>5</v>
      </c>
      <c r="R921" s="429">
        <v>7</v>
      </c>
      <c r="S921" s="92">
        <v>3</v>
      </c>
      <c r="T921" s="361">
        <v>5</v>
      </c>
      <c r="U921" s="285">
        <v>5</v>
      </c>
      <c r="V921" s="438">
        <v>0.14705882352941199</v>
      </c>
    </row>
    <row r="922" spans="2:22" ht="13.5">
      <c r="B922" s="1577">
        <v>201410</v>
      </c>
      <c r="C922" s="326" t="s">
        <v>459</v>
      </c>
      <c r="D922" s="327" t="s">
        <v>659</v>
      </c>
      <c r="E922" s="1675" t="s">
        <v>655</v>
      </c>
      <c r="F922" s="459">
        <v>2527.6010000000001</v>
      </c>
      <c r="G922" s="339">
        <v>717.20500000000004</v>
      </c>
      <c r="H922" s="337">
        <v>703.07500000000005</v>
      </c>
      <c r="I922" s="331">
        <v>25</v>
      </c>
      <c r="J922" s="577">
        <v>0.35211300000000001</v>
      </c>
      <c r="K922" s="579">
        <v>15.259680851063999</v>
      </c>
      <c r="L922" s="436">
        <v>1.88</v>
      </c>
      <c r="M922" s="42"/>
      <c r="N922" s="334">
        <v>76</v>
      </c>
      <c r="O922" s="335">
        <v>63</v>
      </c>
      <c r="P922" s="335">
        <v>9</v>
      </c>
      <c r="Q922" s="389">
        <v>4</v>
      </c>
      <c r="R922" s="430">
        <v>2</v>
      </c>
      <c r="S922" s="339"/>
      <c r="T922" s="362">
        <v>12</v>
      </c>
      <c r="U922" s="337">
        <v>7</v>
      </c>
      <c r="V922" s="338">
        <v>0.53846153846153799</v>
      </c>
    </row>
    <row r="923" spans="2:22" ht="13.5">
      <c r="B923" s="1577">
        <v>201410</v>
      </c>
      <c r="C923" s="324" t="s">
        <v>459</v>
      </c>
      <c r="D923" s="325" t="s">
        <v>699</v>
      </c>
      <c r="E923" s="1674" t="s">
        <v>698</v>
      </c>
      <c r="F923" s="460">
        <v>1248.4490000000001</v>
      </c>
      <c r="G923" s="92">
        <v>244.45</v>
      </c>
      <c r="H923" s="279">
        <v>238.03399999999999</v>
      </c>
      <c r="I923" s="154">
        <v>15</v>
      </c>
      <c r="J923" s="576">
        <v>0.44117600000000001</v>
      </c>
      <c r="K923" s="578">
        <v>13.580555555556</v>
      </c>
      <c r="L923" s="437">
        <v>1.2</v>
      </c>
      <c r="M923" s="42"/>
      <c r="N923" s="47">
        <v>36</v>
      </c>
      <c r="O923" s="45">
        <v>28</v>
      </c>
      <c r="P923" s="45">
        <v>7</v>
      </c>
      <c r="Q923" s="388">
        <v>1</v>
      </c>
      <c r="R923" s="429">
        <v>0</v>
      </c>
      <c r="S923" s="92">
        <v>1</v>
      </c>
      <c r="T923" s="361">
        <v>3</v>
      </c>
      <c r="U923" s="285">
        <v>3</v>
      </c>
      <c r="V923" s="438">
        <v>0.375</v>
      </c>
    </row>
    <row r="924" spans="2:22" ht="13.5">
      <c r="B924" s="1577">
        <v>201410</v>
      </c>
      <c r="C924" s="326" t="s">
        <v>459</v>
      </c>
      <c r="D924" s="327" t="s">
        <v>825</v>
      </c>
      <c r="E924" s="1675" t="s">
        <v>1773</v>
      </c>
      <c r="F924" s="459">
        <v>976.43299999999999</v>
      </c>
      <c r="G924" s="339">
        <v>498.33199999999999</v>
      </c>
      <c r="H924" s="337">
        <v>498.33199999999999</v>
      </c>
      <c r="I924" s="331">
        <v>24</v>
      </c>
      <c r="J924" s="577">
        <v>0.81355900000000003</v>
      </c>
      <c r="K924" s="579">
        <v>13.468432432432</v>
      </c>
      <c r="L924" s="436">
        <v>1.5416669999999999</v>
      </c>
      <c r="M924" s="42"/>
      <c r="N924" s="334">
        <v>37</v>
      </c>
      <c r="O924" s="335">
        <v>27</v>
      </c>
      <c r="P924" s="335">
        <v>10</v>
      </c>
      <c r="Q924" s="389">
        <v>0</v>
      </c>
      <c r="R924" s="430">
        <v>0</v>
      </c>
      <c r="S924" s="339">
        <v>2</v>
      </c>
      <c r="T924" s="362">
        <v>13</v>
      </c>
      <c r="U924" s="337">
        <v>7</v>
      </c>
      <c r="V924" s="338">
        <v>0.7</v>
      </c>
    </row>
    <row r="925" spans="2:22" ht="13.5">
      <c r="B925" s="1577">
        <v>201410</v>
      </c>
      <c r="C925" s="324" t="s">
        <v>459</v>
      </c>
      <c r="D925" s="325" t="s">
        <v>185</v>
      </c>
      <c r="E925" s="1674" t="s">
        <v>190</v>
      </c>
      <c r="F925" s="460">
        <v>1499.0150000000001</v>
      </c>
      <c r="G925" s="92">
        <v>220.17500000000001</v>
      </c>
      <c r="H925" s="279">
        <v>221.886</v>
      </c>
      <c r="I925" s="154">
        <v>9</v>
      </c>
      <c r="J925" s="576">
        <v>0.141732</v>
      </c>
      <c r="K925" s="578">
        <v>14.678333333333001</v>
      </c>
      <c r="L925" s="437">
        <v>1.6666669999999999</v>
      </c>
      <c r="M925" s="42"/>
      <c r="N925" s="47">
        <v>63</v>
      </c>
      <c r="O925" s="45">
        <v>46</v>
      </c>
      <c r="P925" s="45">
        <v>12</v>
      </c>
      <c r="Q925" s="388">
        <v>5</v>
      </c>
      <c r="R925" s="429">
        <v>6</v>
      </c>
      <c r="S925" s="92"/>
      <c r="T925" s="361">
        <v>4</v>
      </c>
      <c r="U925" s="285">
        <v>3</v>
      </c>
      <c r="V925" s="438">
        <v>0.17647058823529399</v>
      </c>
    </row>
    <row r="926" spans="2:22" ht="13.5">
      <c r="B926" s="1577">
        <v>201410</v>
      </c>
      <c r="C926" s="326" t="s">
        <v>459</v>
      </c>
      <c r="D926" s="327" t="s">
        <v>660</v>
      </c>
      <c r="E926" s="1675" t="s">
        <v>656</v>
      </c>
      <c r="F926" s="459">
        <v>1126.962</v>
      </c>
      <c r="G926" s="339">
        <v>254.334</v>
      </c>
      <c r="H926" s="337">
        <v>258.596</v>
      </c>
      <c r="I926" s="331">
        <v>13</v>
      </c>
      <c r="J926" s="577">
        <v>0.4</v>
      </c>
      <c r="K926" s="579">
        <v>12.111142857142999</v>
      </c>
      <c r="L926" s="436">
        <v>1.6153850000000001</v>
      </c>
      <c r="M926" s="42"/>
      <c r="N926" s="334">
        <v>33</v>
      </c>
      <c r="O926" s="335">
        <v>26</v>
      </c>
      <c r="P926" s="335">
        <v>6</v>
      </c>
      <c r="Q926" s="389">
        <v>1</v>
      </c>
      <c r="R926" s="430">
        <v>0</v>
      </c>
      <c r="S926" s="339"/>
      <c r="T926" s="362">
        <v>1</v>
      </c>
      <c r="U926" s="337">
        <v>1</v>
      </c>
      <c r="V926" s="338">
        <v>0.14285714285714299</v>
      </c>
    </row>
    <row r="927" spans="2:22" ht="13.5">
      <c r="B927" s="1577">
        <v>201410</v>
      </c>
      <c r="C927" s="324" t="s">
        <v>459</v>
      </c>
      <c r="D927" s="325" t="s">
        <v>737</v>
      </c>
      <c r="E927" s="1674"/>
      <c r="F927" s="460">
        <v>722.81600000000003</v>
      </c>
      <c r="G927" s="92">
        <v>187.59700000000001</v>
      </c>
      <c r="H927" s="279">
        <v>187.59700000000001</v>
      </c>
      <c r="I927" s="154">
        <v>11</v>
      </c>
      <c r="J927" s="576">
        <v>0.34920600000000002</v>
      </c>
      <c r="K927" s="578">
        <v>17.054272727272998</v>
      </c>
      <c r="L927" s="437">
        <v>1</v>
      </c>
      <c r="M927" s="42"/>
      <c r="N927" s="47">
        <v>35</v>
      </c>
      <c r="O927" s="45">
        <v>26</v>
      </c>
      <c r="P927" s="45">
        <v>9</v>
      </c>
      <c r="Q927" s="388">
        <v>0</v>
      </c>
      <c r="R927" s="429">
        <v>1</v>
      </c>
      <c r="S927" s="92">
        <v>2</v>
      </c>
      <c r="T927" s="361">
        <v>6</v>
      </c>
      <c r="U927" s="285">
        <v>3</v>
      </c>
      <c r="V927" s="438">
        <v>0.33333333333333298</v>
      </c>
    </row>
    <row r="928" spans="2:22" ht="13.5">
      <c r="B928" s="1577">
        <v>201410</v>
      </c>
      <c r="C928" s="326" t="s">
        <v>459</v>
      </c>
      <c r="D928" s="327" t="s">
        <v>662</v>
      </c>
      <c r="E928" s="1675"/>
      <c r="F928" s="459">
        <v>1262.9490000000001</v>
      </c>
      <c r="G928" s="339">
        <v>281.75799999999998</v>
      </c>
      <c r="H928" s="337">
        <v>281.75799999999998</v>
      </c>
      <c r="I928" s="331">
        <v>12</v>
      </c>
      <c r="J928" s="577">
        <v>0.34285700000000002</v>
      </c>
      <c r="K928" s="579">
        <v>13.417047619048001</v>
      </c>
      <c r="L928" s="436">
        <v>1.75</v>
      </c>
      <c r="M928" s="42"/>
      <c r="N928" s="334">
        <v>39</v>
      </c>
      <c r="O928" s="335">
        <v>32</v>
      </c>
      <c r="P928" s="335">
        <v>7</v>
      </c>
      <c r="Q928" s="389">
        <v>0</v>
      </c>
      <c r="R928" s="430">
        <v>0</v>
      </c>
      <c r="S928" s="339"/>
      <c r="T928" s="362">
        <v>8</v>
      </c>
      <c r="U928" s="337">
        <v>3</v>
      </c>
      <c r="V928" s="338">
        <v>0.42857142857142899</v>
      </c>
    </row>
    <row r="929" spans="2:22" ht="13.5">
      <c r="B929" s="1577">
        <v>201410</v>
      </c>
      <c r="C929" s="324" t="s">
        <v>459</v>
      </c>
      <c r="D929" s="325" t="s">
        <v>799</v>
      </c>
      <c r="E929" s="1674" t="s">
        <v>800</v>
      </c>
      <c r="F929" s="460">
        <v>725.92700000000002</v>
      </c>
      <c r="G929" s="92">
        <v>281.31099999999998</v>
      </c>
      <c r="H929" s="279">
        <v>281.31099999999998</v>
      </c>
      <c r="I929" s="154">
        <v>15</v>
      </c>
      <c r="J929" s="576">
        <v>0.54545500000000002</v>
      </c>
      <c r="K929" s="578">
        <v>14.06555</v>
      </c>
      <c r="L929" s="437">
        <v>1.3333330000000001</v>
      </c>
      <c r="M929" s="42"/>
      <c r="N929" s="47">
        <v>31</v>
      </c>
      <c r="O929" s="45">
        <v>22</v>
      </c>
      <c r="P929" s="45">
        <v>9</v>
      </c>
      <c r="Q929" s="388">
        <v>0</v>
      </c>
      <c r="R929" s="429">
        <v>0</v>
      </c>
      <c r="S929" s="92">
        <v>1</v>
      </c>
      <c r="T929" s="361">
        <v>6</v>
      </c>
      <c r="U929" s="285">
        <v>3</v>
      </c>
      <c r="V929" s="438">
        <v>0.33333333333333298</v>
      </c>
    </row>
    <row r="930" spans="2:22" ht="13.5">
      <c r="B930" s="1577">
        <v>201410</v>
      </c>
      <c r="C930" s="326" t="s">
        <v>459</v>
      </c>
      <c r="D930" s="327" t="s">
        <v>177</v>
      </c>
      <c r="E930" s="1675" t="s">
        <v>189</v>
      </c>
      <c r="F930" s="459">
        <v>5497.8959999999997</v>
      </c>
      <c r="G930" s="339">
        <v>740.73400000000004</v>
      </c>
      <c r="H930" s="337">
        <v>755.84</v>
      </c>
      <c r="I930" s="331">
        <v>25</v>
      </c>
      <c r="J930" s="577">
        <v>0.42016799999999999</v>
      </c>
      <c r="K930" s="579">
        <v>19.492999999999999</v>
      </c>
      <c r="L930" s="436">
        <v>1.52</v>
      </c>
      <c r="M930" s="42"/>
      <c r="N930" s="334">
        <v>63</v>
      </c>
      <c r="O930" s="335">
        <v>43</v>
      </c>
      <c r="P930" s="335">
        <v>16</v>
      </c>
      <c r="Q930" s="389">
        <v>4</v>
      </c>
      <c r="R930" s="430">
        <v>13</v>
      </c>
      <c r="S930" s="339">
        <v>2</v>
      </c>
      <c r="T930" s="362">
        <v>16</v>
      </c>
      <c r="U930" s="337">
        <v>9</v>
      </c>
      <c r="V930" s="338">
        <v>0.45</v>
      </c>
    </row>
    <row r="931" spans="2:22" ht="13.5">
      <c r="B931" s="1577">
        <v>201410</v>
      </c>
      <c r="C931" s="324" t="s">
        <v>459</v>
      </c>
      <c r="D931" s="325" t="s">
        <v>176</v>
      </c>
      <c r="E931" s="1674" t="s">
        <v>188</v>
      </c>
      <c r="F931" s="460">
        <v>4389.9219999999996</v>
      </c>
      <c r="G931" s="92">
        <v>1243.8620000000001</v>
      </c>
      <c r="H931" s="279">
        <v>1248.3440000000001</v>
      </c>
      <c r="I931" s="154">
        <v>50</v>
      </c>
      <c r="J931" s="576">
        <v>0.323625</v>
      </c>
      <c r="K931" s="578">
        <v>17.519183098591999</v>
      </c>
      <c r="L931" s="437">
        <v>1.42</v>
      </c>
      <c r="M931" s="42"/>
      <c r="N931" s="47">
        <v>166</v>
      </c>
      <c r="O931" s="45">
        <v>135</v>
      </c>
      <c r="P931" s="45">
        <v>26</v>
      </c>
      <c r="Q931" s="388">
        <v>5</v>
      </c>
      <c r="R931" s="429">
        <v>3</v>
      </c>
      <c r="S931" s="92">
        <v>1</v>
      </c>
      <c r="T931" s="361">
        <v>25</v>
      </c>
      <c r="U931" s="285">
        <v>11</v>
      </c>
      <c r="V931" s="438">
        <v>0.35483870967741898</v>
      </c>
    </row>
    <row r="932" spans="2:22" ht="13.5">
      <c r="B932" s="1573">
        <v>201409</v>
      </c>
      <c r="C932" s="326" t="s">
        <v>458</v>
      </c>
      <c r="D932" s="327" t="s">
        <v>649</v>
      </c>
      <c r="E932" s="1675" t="s">
        <v>645</v>
      </c>
      <c r="F932" s="459">
        <v>1544.442</v>
      </c>
      <c r="G932" s="339">
        <v>698.85500000000002</v>
      </c>
      <c r="H932" s="337">
        <v>530.70899999999995</v>
      </c>
      <c r="I932" s="331">
        <v>13</v>
      </c>
      <c r="J932" s="577">
        <v>0.33766200000000002</v>
      </c>
      <c r="K932" s="579">
        <v>34.942749999999997</v>
      </c>
      <c r="L932" s="436">
        <v>1.538462</v>
      </c>
      <c r="M932" s="42"/>
      <c r="N932" s="334">
        <v>39</v>
      </c>
      <c r="O932" s="335">
        <v>30</v>
      </c>
      <c r="P932" s="335">
        <v>9</v>
      </c>
      <c r="Q932" s="389">
        <v>0</v>
      </c>
      <c r="R932" s="430">
        <v>4</v>
      </c>
      <c r="S932" s="339">
        <v>1</v>
      </c>
      <c r="T932" s="362">
        <v>4</v>
      </c>
      <c r="U932" s="337">
        <v>4</v>
      </c>
      <c r="V932" s="338">
        <v>0.44444444444444398</v>
      </c>
    </row>
    <row r="933" spans="2:22" ht="13.5">
      <c r="B933" s="1573">
        <v>201409</v>
      </c>
      <c r="C933" s="324" t="s">
        <v>458</v>
      </c>
      <c r="D933" s="325" t="s">
        <v>650</v>
      </c>
      <c r="E933" s="1674" t="s">
        <v>1777</v>
      </c>
      <c r="F933" s="460">
        <v>657.25900000000001</v>
      </c>
      <c r="G933" s="92">
        <v>343.6</v>
      </c>
      <c r="H933" s="279">
        <v>291.721</v>
      </c>
      <c r="I933" s="154">
        <v>13</v>
      </c>
      <c r="J933" s="576">
        <v>0.30952400000000002</v>
      </c>
      <c r="K933" s="578">
        <v>14.316666666667</v>
      </c>
      <c r="L933" s="437">
        <v>1.8461540000000001</v>
      </c>
      <c r="M933" s="42"/>
      <c r="N933" s="47">
        <v>42</v>
      </c>
      <c r="O933" s="45">
        <v>32</v>
      </c>
      <c r="P933" s="45">
        <v>10</v>
      </c>
      <c r="Q933" s="388">
        <v>0</v>
      </c>
      <c r="R933" s="429">
        <v>3</v>
      </c>
      <c r="S933" s="92"/>
      <c r="T933" s="361">
        <v>3</v>
      </c>
      <c r="U933" s="285">
        <v>2</v>
      </c>
      <c r="V933" s="438">
        <v>0.2</v>
      </c>
    </row>
    <row r="934" spans="2:22" ht="13.5">
      <c r="B934" s="1573">
        <v>201409</v>
      </c>
      <c r="C934" s="326" t="s">
        <v>458</v>
      </c>
      <c r="D934" s="327" t="s">
        <v>642</v>
      </c>
      <c r="E934" s="1675" t="s">
        <v>641</v>
      </c>
      <c r="F934" s="459">
        <v>1019.711</v>
      </c>
      <c r="G934" s="339">
        <v>320.81400000000002</v>
      </c>
      <c r="H934" s="337">
        <v>325.61500000000001</v>
      </c>
      <c r="I934" s="331">
        <v>13</v>
      </c>
      <c r="J934" s="577">
        <v>0.24299100000000001</v>
      </c>
      <c r="K934" s="579">
        <v>15.276857142857001</v>
      </c>
      <c r="L934" s="436">
        <v>1.6153850000000001</v>
      </c>
      <c r="M934" s="42"/>
      <c r="N934" s="334">
        <v>55</v>
      </c>
      <c r="O934" s="335">
        <v>40</v>
      </c>
      <c r="P934" s="335">
        <v>15</v>
      </c>
      <c r="Q934" s="389">
        <v>0</v>
      </c>
      <c r="R934" s="430">
        <v>10</v>
      </c>
      <c r="S934" s="339">
        <v>2</v>
      </c>
      <c r="T934" s="362">
        <v>11</v>
      </c>
      <c r="U934" s="337">
        <v>5</v>
      </c>
      <c r="V934" s="338">
        <v>0.33333333333333298</v>
      </c>
    </row>
    <row r="935" spans="2:22" ht="13.5">
      <c r="B935" s="1573">
        <v>201409</v>
      </c>
      <c r="C935" s="324" t="s">
        <v>458</v>
      </c>
      <c r="D935" s="325" t="s">
        <v>91</v>
      </c>
      <c r="E935" s="1674" t="s">
        <v>92</v>
      </c>
      <c r="F935" s="460">
        <v>6057.1930000000102</v>
      </c>
      <c r="G935" s="92">
        <v>1215.741</v>
      </c>
      <c r="H935" s="279">
        <v>1185.644</v>
      </c>
      <c r="I935" s="154">
        <v>36</v>
      </c>
      <c r="J935" s="576">
        <v>0.324324</v>
      </c>
      <c r="K935" s="578">
        <v>18.420318181818001</v>
      </c>
      <c r="L935" s="437">
        <v>1.8333330000000001</v>
      </c>
      <c r="M935" s="42"/>
      <c r="N935" s="47">
        <v>113</v>
      </c>
      <c r="O935" s="45">
        <v>86</v>
      </c>
      <c r="P935" s="45">
        <v>19</v>
      </c>
      <c r="Q935" s="388">
        <v>8</v>
      </c>
      <c r="R935" s="429">
        <v>10</v>
      </c>
      <c r="S935" s="92"/>
      <c r="T935" s="361">
        <v>14</v>
      </c>
      <c r="U935" s="285">
        <v>8</v>
      </c>
      <c r="V935" s="438">
        <v>0.296296296296296</v>
      </c>
    </row>
    <row r="936" spans="2:22" ht="13.5">
      <c r="B936" s="1573">
        <v>201409</v>
      </c>
      <c r="C936" s="326" t="s">
        <v>458</v>
      </c>
      <c r="D936" s="327" t="s">
        <v>187</v>
      </c>
      <c r="E936" s="1675" t="s">
        <v>194</v>
      </c>
      <c r="F936" s="459">
        <v>2533.5039999999999</v>
      </c>
      <c r="G936" s="339">
        <v>294.92899999999997</v>
      </c>
      <c r="H936" s="337">
        <v>289.875</v>
      </c>
      <c r="I936" s="331">
        <v>7</v>
      </c>
      <c r="J936" s="577">
        <v>0.12069000000000001</v>
      </c>
      <c r="K936" s="579">
        <v>29.492899999999999</v>
      </c>
      <c r="L936" s="436">
        <v>1.428571</v>
      </c>
      <c r="M936" s="42"/>
      <c r="N936" s="334">
        <v>58</v>
      </c>
      <c r="O936" s="335">
        <v>44</v>
      </c>
      <c r="P936" s="335">
        <v>13</v>
      </c>
      <c r="Q936" s="389">
        <v>1</v>
      </c>
      <c r="R936" s="430">
        <v>8</v>
      </c>
      <c r="S936" s="339">
        <v>2</v>
      </c>
      <c r="T936" s="362">
        <v>6</v>
      </c>
      <c r="U936" s="337">
        <v>4</v>
      </c>
      <c r="V936" s="338">
        <v>0.28571428571428598</v>
      </c>
    </row>
    <row r="937" spans="2:22" ht="13.5">
      <c r="B937" s="1573">
        <v>201409</v>
      </c>
      <c r="C937" s="324" t="s">
        <v>458</v>
      </c>
      <c r="D937" s="325" t="s">
        <v>734</v>
      </c>
      <c r="E937" s="1674" t="s">
        <v>1766</v>
      </c>
      <c r="F937" s="460">
        <v>899.13900000000001</v>
      </c>
      <c r="G937" s="92">
        <v>481.26400000000001</v>
      </c>
      <c r="H937" s="279">
        <v>405.70800000000003</v>
      </c>
      <c r="I937" s="154">
        <v>10</v>
      </c>
      <c r="J937" s="576">
        <v>0.27777800000000002</v>
      </c>
      <c r="K937" s="578">
        <v>22.917333333333001</v>
      </c>
      <c r="L937" s="437">
        <v>2.1</v>
      </c>
      <c r="M937" s="42"/>
      <c r="N937" s="47">
        <v>44</v>
      </c>
      <c r="O937" s="45">
        <v>34</v>
      </c>
      <c r="P937" s="45">
        <v>10</v>
      </c>
      <c r="Q937" s="388">
        <v>0</v>
      </c>
      <c r="R937" s="429">
        <v>0</v>
      </c>
      <c r="S937" s="92">
        <v>1</v>
      </c>
      <c r="T937" s="361">
        <v>15</v>
      </c>
      <c r="U937" s="285">
        <v>6</v>
      </c>
      <c r="V937" s="438">
        <v>0.6</v>
      </c>
    </row>
    <row r="938" spans="2:22" ht="13.5">
      <c r="B938" s="1573">
        <v>201409</v>
      </c>
      <c r="C938" s="326" t="s">
        <v>458</v>
      </c>
      <c r="D938" s="327" t="s">
        <v>735</v>
      </c>
      <c r="E938" s="1675" t="s">
        <v>790</v>
      </c>
      <c r="F938" s="459">
        <v>3672.0599999999899</v>
      </c>
      <c r="G938" s="339">
        <v>1205.4949999999999</v>
      </c>
      <c r="H938" s="337">
        <v>1125.701</v>
      </c>
      <c r="I938" s="331">
        <v>14</v>
      </c>
      <c r="J938" s="577">
        <v>0.48275899999999999</v>
      </c>
      <c r="K938" s="579">
        <v>25.648829787234</v>
      </c>
      <c r="L938" s="436">
        <v>3.3571430000000002</v>
      </c>
      <c r="M938" s="42"/>
      <c r="N938" s="334">
        <v>33</v>
      </c>
      <c r="O938" s="335">
        <v>29</v>
      </c>
      <c r="P938" s="335">
        <v>4</v>
      </c>
      <c r="Q938" s="389">
        <v>0</v>
      </c>
      <c r="R938" s="430">
        <v>0</v>
      </c>
      <c r="S938" s="339">
        <v>1</v>
      </c>
      <c r="T938" s="362">
        <v>7</v>
      </c>
      <c r="U938" s="337">
        <v>4</v>
      </c>
      <c r="V938" s="338">
        <v>1</v>
      </c>
    </row>
    <row r="939" spans="2:22" ht="13.5">
      <c r="B939" s="1573">
        <v>201409</v>
      </c>
      <c r="C939" s="324" t="s">
        <v>458</v>
      </c>
      <c r="D939" s="325" t="s">
        <v>798</v>
      </c>
      <c r="E939" s="1674" t="s">
        <v>1768</v>
      </c>
      <c r="F939" s="460">
        <v>1524.373</v>
      </c>
      <c r="G939" s="92">
        <v>698.07100000000003</v>
      </c>
      <c r="H939" s="279">
        <v>682.93</v>
      </c>
      <c r="I939" s="154">
        <v>5</v>
      </c>
      <c r="J939" s="576">
        <v>0.43478299999999998</v>
      </c>
      <c r="K939" s="578">
        <v>20.531500000000001</v>
      </c>
      <c r="L939" s="437">
        <v>6.8</v>
      </c>
      <c r="M939" s="42"/>
      <c r="N939" s="47">
        <v>12</v>
      </c>
      <c r="O939" s="45">
        <v>9</v>
      </c>
      <c r="P939" s="45">
        <v>3</v>
      </c>
      <c r="Q939" s="388">
        <v>0</v>
      </c>
      <c r="R939" s="429">
        <v>0</v>
      </c>
      <c r="S939" s="92">
        <v>1</v>
      </c>
      <c r="T939" s="361"/>
      <c r="U939" s="285"/>
      <c r="V939" s="438"/>
    </row>
    <row r="940" spans="2:22" ht="13.5">
      <c r="B940" s="1573">
        <v>201409</v>
      </c>
      <c r="C940" s="326" t="s">
        <v>458</v>
      </c>
      <c r="D940" s="327" t="s">
        <v>628</v>
      </c>
      <c r="E940" s="1675" t="s">
        <v>629</v>
      </c>
      <c r="F940" s="459">
        <v>1562.635</v>
      </c>
      <c r="G940" s="339">
        <v>529.80899999999997</v>
      </c>
      <c r="H940" s="337">
        <v>524.47900000000004</v>
      </c>
      <c r="I940" s="331">
        <v>21</v>
      </c>
      <c r="J940" s="577">
        <v>0.32061099999999998</v>
      </c>
      <c r="K940" s="579">
        <v>12.922170731707</v>
      </c>
      <c r="L940" s="436">
        <v>1.9523809999999999</v>
      </c>
      <c r="M940" s="42"/>
      <c r="N940" s="334">
        <v>65</v>
      </c>
      <c r="O940" s="335">
        <v>43</v>
      </c>
      <c r="P940" s="335">
        <v>22</v>
      </c>
      <c r="Q940" s="389">
        <v>0</v>
      </c>
      <c r="R940" s="430">
        <v>8</v>
      </c>
      <c r="S940" s="339">
        <v>2</v>
      </c>
      <c r="T940" s="362">
        <v>5</v>
      </c>
      <c r="U940" s="337">
        <v>4</v>
      </c>
      <c r="V940" s="338">
        <v>0.18181818181818199</v>
      </c>
    </row>
    <row r="941" spans="2:22" ht="13.5">
      <c r="B941" s="1573">
        <v>201409</v>
      </c>
      <c r="C941" s="324" t="s">
        <v>458</v>
      </c>
      <c r="D941" s="325" t="s">
        <v>557</v>
      </c>
      <c r="E941" s="1678" t="s">
        <v>1770</v>
      </c>
      <c r="F941" s="460">
        <v>678.58600000000001</v>
      </c>
      <c r="G941" s="92">
        <v>308.245</v>
      </c>
      <c r="H941" s="279">
        <v>302.16500000000002</v>
      </c>
      <c r="I941" s="154">
        <v>15</v>
      </c>
      <c r="J941" s="576">
        <v>0.44117600000000001</v>
      </c>
      <c r="K941" s="578">
        <v>11.416481481481</v>
      </c>
      <c r="L941" s="437">
        <v>1.8</v>
      </c>
      <c r="M941" s="42"/>
      <c r="N941" s="47">
        <v>42</v>
      </c>
      <c r="O941" s="45">
        <v>32</v>
      </c>
      <c r="P941" s="45">
        <v>10</v>
      </c>
      <c r="Q941" s="388">
        <v>0</v>
      </c>
      <c r="R941" s="429">
        <v>1</v>
      </c>
      <c r="S941" s="92">
        <v>4</v>
      </c>
      <c r="T941" s="361">
        <v>13</v>
      </c>
      <c r="U941" s="285">
        <v>6</v>
      </c>
      <c r="V941" s="438">
        <v>0.6</v>
      </c>
    </row>
    <row r="942" spans="2:22" ht="13.5">
      <c r="B942" s="1573">
        <v>201409</v>
      </c>
      <c r="C942" s="326" t="s">
        <v>458</v>
      </c>
      <c r="D942" s="327" t="s">
        <v>47</v>
      </c>
      <c r="E942" s="1675" t="s">
        <v>17</v>
      </c>
      <c r="F942" s="459">
        <v>2876.069</v>
      </c>
      <c r="G942" s="339">
        <v>394.08600000000001</v>
      </c>
      <c r="H942" s="337">
        <v>386.76400000000001</v>
      </c>
      <c r="I942" s="331">
        <v>14</v>
      </c>
      <c r="J942" s="577">
        <v>0.16867499999999999</v>
      </c>
      <c r="K942" s="579">
        <v>15.763439999999999</v>
      </c>
      <c r="L942" s="436">
        <v>1.785714</v>
      </c>
      <c r="M942" s="42"/>
      <c r="N942" s="334">
        <v>82</v>
      </c>
      <c r="O942" s="335">
        <v>63</v>
      </c>
      <c r="P942" s="335">
        <v>17</v>
      </c>
      <c r="Q942" s="389">
        <v>2</v>
      </c>
      <c r="R942" s="430">
        <v>11</v>
      </c>
      <c r="S942" s="339">
        <v>2</v>
      </c>
      <c r="T942" s="362">
        <v>7</v>
      </c>
      <c r="U942" s="337">
        <v>4</v>
      </c>
      <c r="V942" s="338">
        <v>0.21052631578947401</v>
      </c>
    </row>
    <row r="943" spans="2:22" ht="13.5">
      <c r="B943" s="1573">
        <v>201409</v>
      </c>
      <c r="C943" s="324" t="s">
        <v>458</v>
      </c>
      <c r="D943" s="325" t="s">
        <v>736</v>
      </c>
      <c r="E943" s="1674" t="s">
        <v>697</v>
      </c>
      <c r="F943" s="460">
        <v>1855.06699999999</v>
      </c>
      <c r="G943" s="92">
        <v>736.68299999999999</v>
      </c>
      <c r="H943" s="279">
        <v>659.31299999999999</v>
      </c>
      <c r="I943" s="154">
        <v>21</v>
      </c>
      <c r="J943" s="576">
        <v>0.32061099999999998</v>
      </c>
      <c r="K943" s="578">
        <v>15.3475625</v>
      </c>
      <c r="L943" s="437">
        <v>2.285714</v>
      </c>
      <c r="M943" s="42"/>
      <c r="N943" s="47">
        <v>74</v>
      </c>
      <c r="O943" s="45">
        <v>63</v>
      </c>
      <c r="P943" s="45">
        <v>11</v>
      </c>
      <c r="Q943" s="388">
        <v>0</v>
      </c>
      <c r="R943" s="429">
        <v>0</v>
      </c>
      <c r="S943" s="92"/>
      <c r="T943" s="361">
        <v>17</v>
      </c>
      <c r="U943" s="285">
        <v>9</v>
      </c>
      <c r="V943" s="438">
        <v>0.81818181818181801</v>
      </c>
    </row>
    <row r="944" spans="2:22" ht="13.5">
      <c r="B944" s="1573">
        <v>201409</v>
      </c>
      <c r="C944" s="326" t="s">
        <v>458</v>
      </c>
      <c r="D944" s="327" t="s">
        <v>796</v>
      </c>
      <c r="E944" s="1675" t="s">
        <v>797</v>
      </c>
      <c r="F944" s="459">
        <v>491.73700000000002</v>
      </c>
      <c r="G944" s="339">
        <v>174.31399999999999</v>
      </c>
      <c r="H944" s="337">
        <v>188.221</v>
      </c>
      <c r="I944" s="331">
        <v>9</v>
      </c>
      <c r="J944" s="577">
        <v>0.34615400000000002</v>
      </c>
      <c r="K944" s="579">
        <v>12.451000000000001</v>
      </c>
      <c r="L944" s="436">
        <v>1.5555559999999999</v>
      </c>
      <c r="M944" s="42"/>
      <c r="N944" s="334">
        <v>34</v>
      </c>
      <c r="O944" s="335">
        <v>26</v>
      </c>
      <c r="P944" s="335">
        <v>8</v>
      </c>
      <c r="Q944" s="389">
        <v>0</v>
      </c>
      <c r="R944" s="430">
        <v>0</v>
      </c>
      <c r="S944" s="339"/>
      <c r="T944" s="362">
        <v>13</v>
      </c>
      <c r="U944" s="337">
        <v>7</v>
      </c>
      <c r="V944" s="338">
        <v>0.875</v>
      </c>
    </row>
    <row r="945" spans="2:22" ht="13.5">
      <c r="B945" s="1573">
        <v>201409</v>
      </c>
      <c r="C945" s="324" t="s">
        <v>458</v>
      </c>
      <c r="D945" s="325" t="s">
        <v>647</v>
      </c>
      <c r="E945" s="1674" t="s">
        <v>643</v>
      </c>
      <c r="F945" s="460">
        <v>1070.2449999999999</v>
      </c>
      <c r="G945" s="92">
        <v>302.74400000000003</v>
      </c>
      <c r="H945" s="279">
        <v>285.15300000000002</v>
      </c>
      <c r="I945" s="154">
        <v>15</v>
      </c>
      <c r="J945" s="576">
        <v>0.28037400000000001</v>
      </c>
      <c r="K945" s="578">
        <v>11.212740740740999</v>
      </c>
      <c r="L945" s="437">
        <v>1.8</v>
      </c>
      <c r="M945" s="42"/>
      <c r="N945" s="47">
        <v>55</v>
      </c>
      <c r="O945" s="45">
        <v>42</v>
      </c>
      <c r="P945" s="45">
        <v>11</v>
      </c>
      <c r="Q945" s="388">
        <v>2</v>
      </c>
      <c r="R945" s="429">
        <v>4</v>
      </c>
      <c r="S945" s="92">
        <v>1</v>
      </c>
      <c r="T945" s="361">
        <v>6</v>
      </c>
      <c r="U945" s="285">
        <v>4</v>
      </c>
      <c r="V945" s="438">
        <v>0.30769230769230799</v>
      </c>
    </row>
    <row r="946" spans="2:22" ht="13.5">
      <c r="B946" s="1573">
        <v>201409</v>
      </c>
      <c r="C946" s="326" t="s">
        <v>458</v>
      </c>
      <c r="D946" s="327" t="s">
        <v>630</v>
      </c>
      <c r="E946" s="1675" t="s">
        <v>483</v>
      </c>
      <c r="F946" s="459">
        <v>719.64400000000103</v>
      </c>
      <c r="G946" s="339">
        <v>187.41499999999999</v>
      </c>
      <c r="H946" s="337">
        <v>158.673</v>
      </c>
      <c r="I946" s="331">
        <v>14</v>
      </c>
      <c r="J946" s="577">
        <v>0.26415100000000002</v>
      </c>
      <c r="K946" s="579">
        <v>11.024411764706</v>
      </c>
      <c r="L946" s="436">
        <v>1.214286</v>
      </c>
      <c r="M946" s="42"/>
      <c r="N946" s="334">
        <v>57</v>
      </c>
      <c r="O946" s="335">
        <v>44</v>
      </c>
      <c r="P946" s="335">
        <v>13</v>
      </c>
      <c r="Q946" s="389">
        <v>0</v>
      </c>
      <c r="R946" s="430">
        <v>4</v>
      </c>
      <c r="S946" s="339">
        <v>2</v>
      </c>
      <c r="T946" s="362">
        <v>10</v>
      </c>
      <c r="U946" s="337">
        <v>5</v>
      </c>
      <c r="V946" s="338">
        <v>0.38461538461538503</v>
      </c>
    </row>
    <row r="947" spans="2:22" ht="13.5">
      <c r="B947" s="1573">
        <v>201409</v>
      </c>
      <c r="C947" s="324" t="s">
        <v>458</v>
      </c>
      <c r="D947" s="325" t="s">
        <v>648</v>
      </c>
      <c r="E947" s="1674" t="s">
        <v>644</v>
      </c>
      <c r="F947" s="460">
        <v>831.423</v>
      </c>
      <c r="G947" s="92">
        <v>253.13900000000001</v>
      </c>
      <c r="H947" s="279">
        <v>245.79400000000001</v>
      </c>
      <c r="I947" s="154">
        <v>8</v>
      </c>
      <c r="J947" s="576">
        <v>0.222222</v>
      </c>
      <c r="K947" s="578">
        <v>21.094916666667</v>
      </c>
      <c r="L947" s="437">
        <v>1.5</v>
      </c>
      <c r="M947" s="42"/>
      <c r="N947" s="47">
        <v>36</v>
      </c>
      <c r="O947" s="45">
        <v>26</v>
      </c>
      <c r="P947" s="45">
        <v>10</v>
      </c>
      <c r="Q947" s="388">
        <v>0</v>
      </c>
      <c r="R947" s="429">
        <v>4</v>
      </c>
      <c r="S947" s="92"/>
      <c r="T947" s="361">
        <v>4</v>
      </c>
      <c r="U947" s="285">
        <v>3</v>
      </c>
      <c r="V947" s="438">
        <v>0.3</v>
      </c>
    </row>
    <row r="948" spans="2:22" ht="13.5">
      <c r="B948" s="1573">
        <v>201409</v>
      </c>
      <c r="C948" s="326" t="s">
        <v>459</v>
      </c>
      <c r="D948" s="327" t="s">
        <v>661</v>
      </c>
      <c r="E948" s="325" t="s">
        <v>1950</v>
      </c>
      <c r="F948" s="459">
        <v>1007.736</v>
      </c>
      <c r="G948" s="339">
        <v>394.74799999999999</v>
      </c>
      <c r="H948" s="337">
        <v>354.03100000000001</v>
      </c>
      <c r="I948" s="331">
        <v>14</v>
      </c>
      <c r="J948" s="577">
        <v>0.38356200000000001</v>
      </c>
      <c r="K948" s="579">
        <v>15.78992</v>
      </c>
      <c r="L948" s="436">
        <v>1.785714</v>
      </c>
      <c r="M948" s="42"/>
      <c r="N948" s="334">
        <v>38</v>
      </c>
      <c r="O948" s="335">
        <v>29</v>
      </c>
      <c r="P948" s="335">
        <v>7</v>
      </c>
      <c r="Q948" s="389">
        <v>2</v>
      </c>
      <c r="R948" s="430">
        <v>7</v>
      </c>
      <c r="S948" s="339"/>
      <c r="T948" s="362">
        <v>10</v>
      </c>
      <c r="U948" s="337">
        <v>5</v>
      </c>
      <c r="V948" s="338">
        <v>0.55555555555555602</v>
      </c>
    </row>
    <row r="949" spans="2:22" ht="13.5">
      <c r="B949" s="1573">
        <v>201409</v>
      </c>
      <c r="C949" s="324" t="s">
        <v>459</v>
      </c>
      <c r="D949" s="325" t="s">
        <v>179</v>
      </c>
      <c r="E949" s="1674" t="s">
        <v>191</v>
      </c>
      <c r="F949" s="460">
        <v>4008.1709999999998</v>
      </c>
      <c r="G949" s="92">
        <v>728.71400000000006</v>
      </c>
      <c r="H949" s="279">
        <v>799.25900000000001</v>
      </c>
      <c r="I949" s="154">
        <v>33</v>
      </c>
      <c r="J949" s="576">
        <v>0.30275200000000002</v>
      </c>
      <c r="K949" s="578">
        <v>18.217849999999999</v>
      </c>
      <c r="L949" s="437">
        <v>1.212121</v>
      </c>
      <c r="M949" s="42"/>
      <c r="N949" s="47">
        <v>116</v>
      </c>
      <c r="O949" s="45">
        <v>86</v>
      </c>
      <c r="P949" s="45">
        <v>26</v>
      </c>
      <c r="Q949" s="388">
        <v>4</v>
      </c>
      <c r="R949" s="429">
        <v>7</v>
      </c>
      <c r="S949" s="92">
        <v>3</v>
      </c>
      <c r="T949" s="361">
        <v>18</v>
      </c>
      <c r="U949" s="285">
        <v>13</v>
      </c>
      <c r="V949" s="438">
        <v>0.43333333333333302</v>
      </c>
    </row>
    <row r="950" spans="2:22" ht="13.5">
      <c r="B950" s="1573">
        <v>201409</v>
      </c>
      <c r="C950" s="326" t="s">
        <v>459</v>
      </c>
      <c r="D950" s="327" t="s">
        <v>659</v>
      </c>
      <c r="E950" s="1675" t="s">
        <v>655</v>
      </c>
      <c r="F950" s="459">
        <v>1824.5260000000001</v>
      </c>
      <c r="G950" s="339">
        <v>618.59</v>
      </c>
      <c r="H950" s="337">
        <v>629.41700000000003</v>
      </c>
      <c r="I950" s="331">
        <v>20</v>
      </c>
      <c r="J950" s="577">
        <v>0.33613399999999999</v>
      </c>
      <c r="K950" s="579">
        <v>15.46475</v>
      </c>
      <c r="L950" s="436">
        <v>2</v>
      </c>
      <c r="M950" s="42"/>
      <c r="N950" s="334">
        <v>66</v>
      </c>
      <c r="O950" s="335">
        <v>54</v>
      </c>
      <c r="P950" s="335">
        <v>9</v>
      </c>
      <c r="Q950" s="389">
        <v>3</v>
      </c>
      <c r="R950" s="430">
        <v>6</v>
      </c>
      <c r="S950" s="339">
        <v>1</v>
      </c>
      <c r="T950" s="362">
        <v>18</v>
      </c>
      <c r="U950" s="337">
        <v>9</v>
      </c>
      <c r="V950" s="338">
        <v>0.75</v>
      </c>
    </row>
    <row r="951" spans="2:22" ht="13.5">
      <c r="B951" s="1573">
        <v>201409</v>
      </c>
      <c r="C951" s="324" t="s">
        <v>459</v>
      </c>
      <c r="D951" s="325" t="s">
        <v>699</v>
      </c>
      <c r="E951" s="1674" t="s">
        <v>698</v>
      </c>
      <c r="F951" s="460">
        <v>1010.415</v>
      </c>
      <c r="G951" s="92">
        <v>332.29599999999999</v>
      </c>
      <c r="H951" s="279">
        <v>326.19499999999999</v>
      </c>
      <c r="I951" s="154">
        <v>13</v>
      </c>
      <c r="J951" s="576">
        <v>0.46428599999999998</v>
      </c>
      <c r="K951" s="578">
        <v>15.823619047618999</v>
      </c>
      <c r="L951" s="437">
        <v>1.6153850000000001</v>
      </c>
      <c r="M951" s="42"/>
      <c r="N951" s="47">
        <v>32</v>
      </c>
      <c r="O951" s="45">
        <v>26</v>
      </c>
      <c r="P951" s="45">
        <v>6</v>
      </c>
      <c r="Q951" s="388">
        <v>0</v>
      </c>
      <c r="R951" s="429">
        <v>2</v>
      </c>
      <c r="S951" s="92"/>
      <c r="T951" s="361">
        <v>10</v>
      </c>
      <c r="U951" s="285">
        <v>4</v>
      </c>
      <c r="V951" s="438">
        <v>0.66666666666666696</v>
      </c>
    </row>
    <row r="952" spans="2:22" ht="13.5">
      <c r="B952" s="1573">
        <v>201409</v>
      </c>
      <c r="C952" s="326" t="s">
        <v>459</v>
      </c>
      <c r="D952" s="327" t="s">
        <v>825</v>
      </c>
      <c r="E952" s="1675" t="s">
        <v>1773</v>
      </c>
      <c r="F952" s="459">
        <v>478.101</v>
      </c>
      <c r="G952" s="339">
        <v>393.93799999999999</v>
      </c>
      <c r="H952" s="337">
        <v>385.33199999999999</v>
      </c>
      <c r="I952" s="331">
        <v>15</v>
      </c>
      <c r="J952" s="577">
        <v>0.96774199999999999</v>
      </c>
      <c r="K952" s="579">
        <v>15.151461538462</v>
      </c>
      <c r="L952" s="436">
        <v>1.733333</v>
      </c>
      <c r="M952" s="42"/>
      <c r="N952" s="334">
        <v>22</v>
      </c>
      <c r="O952" s="335">
        <v>14</v>
      </c>
      <c r="P952" s="335">
        <v>8</v>
      </c>
      <c r="Q952" s="389">
        <v>0</v>
      </c>
      <c r="R952" s="430">
        <v>0</v>
      </c>
      <c r="S952" s="339">
        <v>4</v>
      </c>
      <c r="T952" s="362">
        <v>9</v>
      </c>
      <c r="U952" s="337">
        <v>5</v>
      </c>
      <c r="V952" s="338">
        <v>0.625</v>
      </c>
    </row>
    <row r="953" spans="2:22" ht="13.5">
      <c r="B953" s="1573">
        <v>201409</v>
      </c>
      <c r="C953" s="324" t="s">
        <v>459</v>
      </c>
      <c r="D953" s="325" t="s">
        <v>185</v>
      </c>
      <c r="E953" s="1674" t="s">
        <v>190</v>
      </c>
      <c r="F953" s="460">
        <v>1277.1289999999999</v>
      </c>
      <c r="G953" s="92">
        <v>304.42</v>
      </c>
      <c r="H953" s="279">
        <v>309.78399999999999</v>
      </c>
      <c r="I953" s="154">
        <v>9</v>
      </c>
      <c r="J953" s="576">
        <v>0.15789500000000001</v>
      </c>
      <c r="K953" s="578">
        <v>17.907058823528999</v>
      </c>
      <c r="L953" s="437">
        <v>1.888889</v>
      </c>
      <c r="M953" s="42"/>
      <c r="N953" s="47">
        <v>54</v>
      </c>
      <c r="O953" s="45">
        <v>41</v>
      </c>
      <c r="P953" s="45">
        <v>10</v>
      </c>
      <c r="Q953" s="388">
        <v>3</v>
      </c>
      <c r="R953" s="429">
        <v>9</v>
      </c>
      <c r="S953" s="92"/>
      <c r="T953" s="361">
        <v>3</v>
      </c>
      <c r="U953" s="285">
        <v>3</v>
      </c>
      <c r="V953" s="438">
        <v>0.230769230769231</v>
      </c>
    </row>
    <row r="954" spans="2:22" ht="13.5">
      <c r="B954" s="1573">
        <v>201409</v>
      </c>
      <c r="C954" s="326" t="s">
        <v>459</v>
      </c>
      <c r="D954" s="327" t="s">
        <v>660</v>
      </c>
      <c r="E954" s="1675" t="s">
        <v>656</v>
      </c>
      <c r="F954" s="459">
        <v>868.36599999999999</v>
      </c>
      <c r="G954" s="339">
        <v>149.87299999999999</v>
      </c>
      <c r="H954" s="337">
        <v>158.54</v>
      </c>
      <c r="I954" s="331">
        <v>11</v>
      </c>
      <c r="J954" s="577">
        <v>0.33333299999999999</v>
      </c>
      <c r="K954" s="579">
        <v>11.528692307691999</v>
      </c>
      <c r="L954" s="436">
        <v>1.181818</v>
      </c>
      <c r="M954" s="42"/>
      <c r="N954" s="334">
        <v>32</v>
      </c>
      <c r="O954" s="335">
        <v>25</v>
      </c>
      <c r="P954" s="335">
        <v>6</v>
      </c>
      <c r="Q954" s="389">
        <v>1</v>
      </c>
      <c r="R954" s="430">
        <v>6</v>
      </c>
      <c r="S954" s="339"/>
      <c r="T954" s="362">
        <v>4</v>
      </c>
      <c r="U954" s="337">
        <v>3</v>
      </c>
      <c r="V954" s="338">
        <v>0.42857142857142899</v>
      </c>
    </row>
    <row r="955" spans="2:22" ht="13.5">
      <c r="B955" s="1573">
        <v>201409</v>
      </c>
      <c r="C955" s="324" t="s">
        <v>459</v>
      </c>
      <c r="D955" s="325" t="s">
        <v>737</v>
      </c>
      <c r="E955" s="1674"/>
      <c r="F955" s="460">
        <v>535.21900000000005</v>
      </c>
      <c r="G955" s="92">
        <v>240.60300000000001</v>
      </c>
      <c r="H955" s="279">
        <v>240.60300000000001</v>
      </c>
      <c r="I955" s="154">
        <v>14</v>
      </c>
      <c r="J955" s="576">
        <v>0.5</v>
      </c>
      <c r="K955" s="578">
        <v>12.663315789474</v>
      </c>
      <c r="L955" s="437">
        <v>1.357143</v>
      </c>
      <c r="M955" s="42"/>
      <c r="N955" s="47">
        <v>28</v>
      </c>
      <c r="O955" s="45">
        <v>21</v>
      </c>
      <c r="P955" s="45">
        <v>7</v>
      </c>
      <c r="Q955" s="388">
        <v>0</v>
      </c>
      <c r="R955" s="429">
        <v>2</v>
      </c>
      <c r="S955" s="92"/>
      <c r="T955" s="361">
        <v>2</v>
      </c>
      <c r="U955" s="285">
        <v>2</v>
      </c>
      <c r="V955" s="438">
        <v>0.28571428571428598</v>
      </c>
    </row>
    <row r="956" spans="2:22" ht="13.5">
      <c r="B956" s="1573">
        <v>201409</v>
      </c>
      <c r="C956" s="326" t="s">
        <v>459</v>
      </c>
      <c r="D956" s="327" t="s">
        <v>662</v>
      </c>
      <c r="E956" s="1675"/>
      <c r="F956" s="459">
        <v>981.19100000000003</v>
      </c>
      <c r="G956" s="339">
        <v>264.24700000000001</v>
      </c>
      <c r="H956" s="337">
        <v>264.24700000000001</v>
      </c>
      <c r="I956" s="331">
        <v>12</v>
      </c>
      <c r="J956" s="577">
        <v>0.42105300000000001</v>
      </c>
      <c r="K956" s="579">
        <v>13.907736842105001</v>
      </c>
      <c r="L956" s="436">
        <v>1.5833330000000001</v>
      </c>
      <c r="M956" s="42"/>
      <c r="N956" s="334">
        <v>31</v>
      </c>
      <c r="O956" s="335">
        <v>24</v>
      </c>
      <c r="P956" s="335">
        <v>7</v>
      </c>
      <c r="Q956" s="389">
        <v>0</v>
      </c>
      <c r="R956" s="430">
        <v>8</v>
      </c>
      <c r="S956" s="339">
        <v>2</v>
      </c>
      <c r="T956" s="362">
        <v>11</v>
      </c>
      <c r="U956" s="337">
        <v>5</v>
      </c>
      <c r="V956" s="338">
        <v>0.71428571428571397</v>
      </c>
    </row>
    <row r="957" spans="2:22" ht="13.5">
      <c r="B957" s="1573">
        <v>201409</v>
      </c>
      <c r="C957" s="324" t="s">
        <v>459</v>
      </c>
      <c r="D957" s="325" t="s">
        <v>799</v>
      </c>
      <c r="E957" s="1674" t="s">
        <v>800</v>
      </c>
      <c r="F957" s="460">
        <v>444.61599999999999</v>
      </c>
      <c r="G957" s="92">
        <v>184.89099999999999</v>
      </c>
      <c r="H957" s="279">
        <v>181.43100000000001</v>
      </c>
      <c r="I957" s="154">
        <v>14</v>
      </c>
      <c r="J957" s="576">
        <v>0.68292699999999995</v>
      </c>
      <c r="K957" s="578">
        <v>12.326066666667</v>
      </c>
      <c r="L957" s="437">
        <v>1.071429</v>
      </c>
      <c r="M957" s="42"/>
      <c r="N957" s="47">
        <v>24</v>
      </c>
      <c r="O957" s="45">
        <v>16</v>
      </c>
      <c r="P957" s="45">
        <v>8</v>
      </c>
      <c r="Q957" s="388">
        <v>0</v>
      </c>
      <c r="R957" s="429">
        <v>0</v>
      </c>
      <c r="S957" s="92">
        <v>1</v>
      </c>
      <c r="T957" s="361">
        <v>6</v>
      </c>
      <c r="U957" s="285">
        <v>3</v>
      </c>
      <c r="V957" s="438">
        <v>0.375</v>
      </c>
    </row>
    <row r="958" spans="2:22" ht="13.5">
      <c r="B958" s="1573">
        <v>201409</v>
      </c>
      <c r="C958" s="326" t="s">
        <v>459</v>
      </c>
      <c r="D958" s="327" t="s">
        <v>177</v>
      </c>
      <c r="E958" s="1675" t="s">
        <v>189</v>
      </c>
      <c r="F958" s="459">
        <v>4742.0559999999996</v>
      </c>
      <c r="G958" s="339">
        <v>1308.221</v>
      </c>
      <c r="H958" s="337">
        <v>1299.615</v>
      </c>
      <c r="I958" s="331">
        <v>35</v>
      </c>
      <c r="J958" s="577">
        <v>0.31390099999999999</v>
      </c>
      <c r="K958" s="579">
        <v>20.765412698413002</v>
      </c>
      <c r="L958" s="436">
        <v>1.8</v>
      </c>
      <c r="M958" s="42"/>
      <c r="N958" s="334">
        <v>109</v>
      </c>
      <c r="O958" s="335">
        <v>72</v>
      </c>
      <c r="P958" s="335">
        <v>29</v>
      </c>
      <c r="Q958" s="389">
        <v>8</v>
      </c>
      <c r="R958" s="430">
        <v>25</v>
      </c>
      <c r="S958" s="339">
        <v>4</v>
      </c>
      <c r="T958" s="362">
        <v>16</v>
      </c>
      <c r="U958" s="337">
        <v>10</v>
      </c>
      <c r="V958" s="338">
        <v>0.27027027027027001</v>
      </c>
    </row>
    <row r="959" spans="2:22" ht="13.5">
      <c r="B959" s="1573">
        <v>201409</v>
      </c>
      <c r="C959" s="324" t="s">
        <v>459</v>
      </c>
      <c r="D959" s="325" t="s">
        <v>176</v>
      </c>
      <c r="E959" s="1674" t="s">
        <v>188</v>
      </c>
      <c r="F959" s="460">
        <v>3141.578</v>
      </c>
      <c r="G959" s="92">
        <v>721.274</v>
      </c>
      <c r="H959" s="279">
        <v>773.06700000000001</v>
      </c>
      <c r="I959" s="154">
        <v>43</v>
      </c>
      <c r="J959" s="576">
        <v>0.45263199999999998</v>
      </c>
      <c r="K959" s="578">
        <v>13.870653846153999</v>
      </c>
      <c r="L959" s="437">
        <v>1.2093020000000001</v>
      </c>
      <c r="M959" s="42"/>
      <c r="N959" s="47">
        <v>100</v>
      </c>
      <c r="O959" s="45">
        <v>81</v>
      </c>
      <c r="P959" s="45">
        <v>15</v>
      </c>
      <c r="Q959" s="388">
        <v>4</v>
      </c>
      <c r="R959" s="429">
        <v>8</v>
      </c>
      <c r="S959" s="92">
        <v>1</v>
      </c>
      <c r="T959" s="361">
        <v>17</v>
      </c>
      <c r="U959" s="285">
        <v>9</v>
      </c>
      <c r="V959" s="438">
        <v>0.47368421052631599</v>
      </c>
    </row>
    <row r="960" spans="2:22" ht="13.5">
      <c r="B960" s="1569">
        <v>201408</v>
      </c>
      <c r="C960" s="326" t="s">
        <v>458</v>
      </c>
      <c r="D960" s="327" t="s">
        <v>649</v>
      </c>
      <c r="E960" s="1675" t="s">
        <v>645</v>
      </c>
      <c r="F960" s="459">
        <v>1013.7329999999999</v>
      </c>
      <c r="G960" s="339">
        <v>179.94200000000001</v>
      </c>
      <c r="H960" s="337">
        <v>157.07300000000001</v>
      </c>
      <c r="I960" s="331">
        <v>8</v>
      </c>
      <c r="J960" s="577">
        <v>0.21333299999999999</v>
      </c>
      <c r="K960" s="579">
        <v>17.994199999999999</v>
      </c>
      <c r="L960" s="436">
        <v>1.25</v>
      </c>
      <c r="M960" s="42"/>
      <c r="N960" s="334">
        <v>38</v>
      </c>
      <c r="O960" s="335">
        <v>30</v>
      </c>
      <c r="P960" s="335">
        <v>8</v>
      </c>
      <c r="Q960" s="389">
        <v>0</v>
      </c>
      <c r="R960" s="430">
        <v>6</v>
      </c>
      <c r="S960" s="339"/>
      <c r="T960" s="362">
        <v>7</v>
      </c>
      <c r="U960" s="337">
        <v>6</v>
      </c>
      <c r="V960" s="338">
        <v>0.75</v>
      </c>
    </row>
    <row r="961" spans="2:22" ht="13.5">
      <c r="B961" s="1569">
        <v>201408</v>
      </c>
      <c r="C961" s="324" t="s">
        <v>458</v>
      </c>
      <c r="D961" s="325" t="s">
        <v>650</v>
      </c>
      <c r="E961" s="1674" t="s">
        <v>1777</v>
      </c>
      <c r="F961" s="460">
        <v>365.53800000000001</v>
      </c>
      <c r="G961" s="92">
        <v>121.143</v>
      </c>
      <c r="H961" s="279">
        <v>115.30800000000001</v>
      </c>
      <c r="I961" s="154">
        <v>10</v>
      </c>
      <c r="J961" s="576">
        <v>0.28571400000000002</v>
      </c>
      <c r="K961" s="578">
        <v>10.09525</v>
      </c>
      <c r="L961" s="437">
        <v>1.2</v>
      </c>
      <c r="M961" s="42"/>
      <c r="N961" s="47">
        <v>42</v>
      </c>
      <c r="O961" s="45">
        <v>32</v>
      </c>
      <c r="P961" s="45">
        <v>10</v>
      </c>
      <c r="Q961" s="388">
        <v>0</v>
      </c>
      <c r="R961" s="429">
        <v>0</v>
      </c>
      <c r="S961" s="92">
        <v>1</v>
      </c>
      <c r="T961" s="361">
        <v>13</v>
      </c>
      <c r="U961" s="285">
        <v>8</v>
      </c>
      <c r="V961" s="438">
        <v>0.8</v>
      </c>
    </row>
    <row r="962" spans="2:22" ht="13.5">
      <c r="B962" s="1569">
        <v>201408</v>
      </c>
      <c r="C962" s="326" t="s">
        <v>458</v>
      </c>
      <c r="D962" s="327" t="s">
        <v>642</v>
      </c>
      <c r="E962" s="1675" t="s">
        <v>641</v>
      </c>
      <c r="F962" s="459">
        <v>694.096</v>
      </c>
      <c r="G962" s="339">
        <v>217.66300000000001</v>
      </c>
      <c r="H962" s="337">
        <v>186.07</v>
      </c>
      <c r="I962" s="331">
        <v>11</v>
      </c>
      <c r="J962" s="577">
        <v>0.234043</v>
      </c>
      <c r="K962" s="579">
        <v>15.547357142857001</v>
      </c>
      <c r="L962" s="436">
        <v>1.2727269999999999</v>
      </c>
      <c r="M962" s="42"/>
      <c r="N962" s="334">
        <v>51</v>
      </c>
      <c r="O962" s="335">
        <v>39</v>
      </c>
      <c r="P962" s="335">
        <v>12</v>
      </c>
      <c r="Q962" s="389">
        <v>0</v>
      </c>
      <c r="R962" s="430">
        <v>3</v>
      </c>
      <c r="S962" s="339"/>
      <c r="T962" s="362">
        <v>11</v>
      </c>
      <c r="U962" s="337">
        <v>6</v>
      </c>
      <c r="V962" s="338">
        <v>0.5</v>
      </c>
    </row>
    <row r="963" spans="2:22" ht="13.5">
      <c r="B963" s="1569">
        <v>201408</v>
      </c>
      <c r="C963" s="324" t="s">
        <v>458</v>
      </c>
      <c r="D963" s="325" t="s">
        <v>91</v>
      </c>
      <c r="E963" s="1674" t="s">
        <v>92</v>
      </c>
      <c r="F963" s="460">
        <v>4871.549</v>
      </c>
      <c r="G963" s="92">
        <v>795.92</v>
      </c>
      <c r="H963" s="279">
        <v>807.36300000000006</v>
      </c>
      <c r="I963" s="154">
        <v>35</v>
      </c>
      <c r="J963" s="576">
        <v>0.32710299999999998</v>
      </c>
      <c r="K963" s="578">
        <v>15.9184</v>
      </c>
      <c r="L963" s="437">
        <v>1.428571</v>
      </c>
      <c r="M963" s="42"/>
      <c r="N963" s="47">
        <v>109</v>
      </c>
      <c r="O963" s="45">
        <v>82</v>
      </c>
      <c r="P963" s="45">
        <v>20</v>
      </c>
      <c r="Q963" s="388">
        <v>7</v>
      </c>
      <c r="R963" s="429">
        <v>9</v>
      </c>
      <c r="S963" s="92">
        <v>1</v>
      </c>
      <c r="T963" s="361">
        <v>12</v>
      </c>
      <c r="U963" s="285">
        <v>7</v>
      </c>
      <c r="V963" s="438">
        <v>0.25925925925925924</v>
      </c>
    </row>
    <row r="964" spans="2:22" ht="13.5">
      <c r="B964" s="1569">
        <v>201408</v>
      </c>
      <c r="C964" s="326" t="s">
        <v>458</v>
      </c>
      <c r="D964" s="327" t="s">
        <v>187</v>
      </c>
      <c r="E964" s="1675" t="s">
        <v>194</v>
      </c>
      <c r="F964" s="459">
        <v>2243.6289999999999</v>
      </c>
      <c r="G964" s="339">
        <v>564.55899999999997</v>
      </c>
      <c r="H964" s="337">
        <v>485.27600000000001</v>
      </c>
      <c r="I964" s="331">
        <v>17</v>
      </c>
      <c r="J964" s="577">
        <v>0.31481500000000001</v>
      </c>
      <c r="K964" s="579">
        <v>26.883761904762</v>
      </c>
      <c r="L964" s="436">
        <v>1.2352939999999999</v>
      </c>
      <c r="M964" s="42"/>
      <c r="N964" s="334">
        <v>58</v>
      </c>
      <c r="O964" s="335">
        <v>46</v>
      </c>
      <c r="P964" s="335">
        <v>11</v>
      </c>
      <c r="Q964" s="389">
        <v>1</v>
      </c>
      <c r="R964" s="430">
        <v>2</v>
      </c>
      <c r="S964" s="339">
        <v>1</v>
      </c>
      <c r="T964" s="362">
        <v>9</v>
      </c>
      <c r="U964" s="337">
        <v>5</v>
      </c>
      <c r="V964" s="338">
        <v>0.41666666666666669</v>
      </c>
    </row>
    <row r="965" spans="2:22" ht="13.5">
      <c r="B965" s="1569">
        <v>201408</v>
      </c>
      <c r="C965" s="324" t="s">
        <v>458</v>
      </c>
      <c r="D965" s="325" t="s">
        <v>734</v>
      </c>
      <c r="E965" s="1674" t="s">
        <v>1766</v>
      </c>
      <c r="F965" s="460">
        <v>493.43099999999998</v>
      </c>
      <c r="G965" s="92">
        <v>137.52000000000001</v>
      </c>
      <c r="H965" s="279">
        <v>158.327</v>
      </c>
      <c r="I965" s="154">
        <v>4</v>
      </c>
      <c r="J965" s="576">
        <v>0.21621599999999999</v>
      </c>
      <c r="K965" s="578">
        <v>17.190000000000001</v>
      </c>
      <c r="L965" s="437">
        <v>2</v>
      </c>
      <c r="M965" s="42"/>
      <c r="N965" s="47">
        <v>28</v>
      </c>
      <c r="O965" s="45">
        <v>19</v>
      </c>
      <c r="P965" s="45">
        <v>9</v>
      </c>
      <c r="Q965" s="388">
        <v>0</v>
      </c>
      <c r="R965" s="429">
        <v>0</v>
      </c>
      <c r="S965" s="92">
        <v>5</v>
      </c>
      <c r="T965" s="361">
        <v>14</v>
      </c>
      <c r="U965" s="285">
        <v>6</v>
      </c>
      <c r="V965" s="438">
        <v>0.66666666666666663</v>
      </c>
    </row>
    <row r="966" spans="2:22" ht="13.5">
      <c r="B966" s="1569">
        <v>201408</v>
      </c>
      <c r="C966" s="326" t="s">
        <v>458</v>
      </c>
      <c r="D966" s="327" t="s">
        <v>735</v>
      </c>
      <c r="E966" s="1675" t="s">
        <v>790</v>
      </c>
      <c r="F966" s="459">
        <v>2546.3589999999999</v>
      </c>
      <c r="G966" s="339">
        <v>758.94899999999996</v>
      </c>
      <c r="H966" s="337">
        <v>680.03899999999999</v>
      </c>
      <c r="I966" s="331">
        <v>14</v>
      </c>
      <c r="J966" s="577">
        <v>0.58333299999999999</v>
      </c>
      <c r="K966" s="579">
        <v>25.298300000000001</v>
      </c>
      <c r="L966" s="436">
        <v>2.1428569999999998</v>
      </c>
      <c r="M966" s="42"/>
      <c r="N966" s="334">
        <v>25</v>
      </c>
      <c r="O966" s="335">
        <v>22</v>
      </c>
      <c r="P966" s="335">
        <v>3</v>
      </c>
      <c r="Q966" s="389">
        <v>0</v>
      </c>
      <c r="R966" s="430">
        <v>0</v>
      </c>
      <c r="S966" s="339"/>
      <c r="T966" s="362">
        <v>2</v>
      </c>
      <c r="U966" s="337">
        <v>1</v>
      </c>
      <c r="V966" s="338">
        <v>0.33333333333333331</v>
      </c>
    </row>
    <row r="967" spans="2:22" ht="13.5">
      <c r="B967" s="1569">
        <v>201408</v>
      </c>
      <c r="C967" s="324" t="s">
        <v>458</v>
      </c>
      <c r="D967" s="325" t="s">
        <v>798</v>
      </c>
      <c r="E967" s="1674" t="s">
        <v>1768</v>
      </c>
      <c r="F967" s="460">
        <v>841.44299999999998</v>
      </c>
      <c r="G967" s="92">
        <v>712.16600000000005</v>
      </c>
      <c r="H967" s="279">
        <v>671.16</v>
      </c>
      <c r="I967" s="154">
        <v>6</v>
      </c>
      <c r="J967" s="576">
        <v>0.70588200000000001</v>
      </c>
      <c r="K967" s="578">
        <v>22.973096774194001</v>
      </c>
      <c r="L967" s="437">
        <v>5.1666670000000003</v>
      </c>
      <c r="M967" s="42"/>
      <c r="N967" s="47">
        <v>11</v>
      </c>
      <c r="O967" s="45">
        <v>9</v>
      </c>
      <c r="P967" s="45">
        <v>2</v>
      </c>
      <c r="Q967" s="388">
        <v>0</v>
      </c>
      <c r="R967" s="429">
        <v>0</v>
      </c>
      <c r="S967" s="92">
        <v>1</v>
      </c>
      <c r="T967" s="361">
        <v>4</v>
      </c>
      <c r="U967" s="285">
        <v>1</v>
      </c>
      <c r="V967" s="438">
        <v>0.5</v>
      </c>
    </row>
    <row r="968" spans="2:22" ht="13.5">
      <c r="B968" s="1569">
        <v>201408</v>
      </c>
      <c r="C968" s="326" t="s">
        <v>458</v>
      </c>
      <c r="D968" s="327" t="s">
        <v>628</v>
      </c>
      <c r="E968" s="1675" t="s">
        <v>629</v>
      </c>
      <c r="F968" s="459">
        <v>1038.1559999999999</v>
      </c>
      <c r="G968" s="339">
        <v>99.828000000000003</v>
      </c>
      <c r="H968" s="337">
        <v>113.547</v>
      </c>
      <c r="I968" s="331">
        <v>7</v>
      </c>
      <c r="J968" s="577">
        <v>0.104478</v>
      </c>
      <c r="K968" s="579">
        <v>11.092000000000001</v>
      </c>
      <c r="L968" s="436">
        <v>1.285714</v>
      </c>
      <c r="M968" s="42"/>
      <c r="N968" s="334">
        <v>66</v>
      </c>
      <c r="O968" s="335">
        <v>44</v>
      </c>
      <c r="P968" s="335">
        <v>22</v>
      </c>
      <c r="Q968" s="389">
        <v>0</v>
      </c>
      <c r="R968" s="430">
        <v>13</v>
      </c>
      <c r="S968" s="339">
        <v>2</v>
      </c>
      <c r="T968" s="362">
        <v>9</v>
      </c>
      <c r="U968" s="337">
        <v>6</v>
      </c>
      <c r="V968" s="338">
        <v>0.27272727272727271</v>
      </c>
    </row>
    <row r="969" spans="2:22" ht="13.5">
      <c r="B969" s="1569">
        <v>201408</v>
      </c>
      <c r="C969" s="324" t="s">
        <v>458</v>
      </c>
      <c r="D969" s="325" t="s">
        <v>557</v>
      </c>
      <c r="E969" s="1678" t="s">
        <v>1770</v>
      </c>
      <c r="F969" s="460">
        <v>376.42099999999999</v>
      </c>
      <c r="G969" s="92">
        <v>146.30099999999999</v>
      </c>
      <c r="H969" s="279">
        <v>130.40899999999999</v>
      </c>
      <c r="I969" s="154">
        <v>9</v>
      </c>
      <c r="J969" s="576">
        <v>0.38297900000000001</v>
      </c>
      <c r="K969" s="578">
        <v>12.191750000000001</v>
      </c>
      <c r="L969" s="437">
        <v>1.3333330000000001</v>
      </c>
      <c r="M969" s="42"/>
      <c r="N969" s="47">
        <v>26</v>
      </c>
      <c r="O969" s="45">
        <v>20</v>
      </c>
      <c r="P969" s="45">
        <v>6</v>
      </c>
      <c r="Q969" s="388">
        <v>0</v>
      </c>
      <c r="R969" s="429">
        <v>3</v>
      </c>
      <c r="S969" s="92">
        <v>1</v>
      </c>
      <c r="T969" s="361">
        <v>7</v>
      </c>
      <c r="U969" s="285">
        <v>3</v>
      </c>
      <c r="V969" s="438">
        <v>0.5</v>
      </c>
    </row>
    <row r="970" spans="2:22" ht="13.5">
      <c r="B970" s="1569">
        <v>201408</v>
      </c>
      <c r="C970" s="326" t="s">
        <v>458</v>
      </c>
      <c r="D970" s="327" t="s">
        <v>47</v>
      </c>
      <c r="E970" s="1675" t="s">
        <v>17</v>
      </c>
      <c r="F970" s="459">
        <v>2489.3049999999998</v>
      </c>
      <c r="G970" s="339">
        <v>138.517</v>
      </c>
      <c r="H970" s="337">
        <v>169.17599999999999</v>
      </c>
      <c r="I970" s="331">
        <v>9</v>
      </c>
      <c r="J970" s="577">
        <v>0.105882</v>
      </c>
      <c r="K970" s="579">
        <v>12.592454545455</v>
      </c>
      <c r="L970" s="436">
        <v>1.2222219999999999</v>
      </c>
      <c r="M970" s="42"/>
      <c r="N970" s="334">
        <v>84</v>
      </c>
      <c r="O970" s="335">
        <v>67</v>
      </c>
      <c r="P970" s="335">
        <v>15</v>
      </c>
      <c r="Q970" s="389">
        <v>2</v>
      </c>
      <c r="R970" s="430">
        <v>7</v>
      </c>
      <c r="S970" s="339"/>
      <c r="T970" s="362">
        <v>5</v>
      </c>
      <c r="U970" s="337">
        <v>3</v>
      </c>
      <c r="V970" s="338">
        <v>0.17647058823529413</v>
      </c>
    </row>
    <row r="971" spans="2:22" ht="13.5">
      <c r="B971" s="1569">
        <v>201408</v>
      </c>
      <c r="C971" s="324" t="s">
        <v>458</v>
      </c>
      <c r="D971" s="325" t="s">
        <v>736</v>
      </c>
      <c r="E971" s="1674" t="s">
        <v>697</v>
      </c>
      <c r="F971" s="460">
        <v>1195.7539999999999</v>
      </c>
      <c r="G971" s="92">
        <v>782.73400000000004</v>
      </c>
      <c r="H971" s="279">
        <v>636.41399999999999</v>
      </c>
      <c r="I971" s="154">
        <v>20</v>
      </c>
      <c r="J971" s="576">
        <v>0.44444400000000001</v>
      </c>
      <c r="K971" s="578">
        <v>19.568349999999999</v>
      </c>
      <c r="L971" s="437">
        <v>2</v>
      </c>
      <c r="M971" s="42"/>
      <c r="N971" s="47">
        <v>57</v>
      </c>
      <c r="O971" s="45">
        <v>46</v>
      </c>
      <c r="P971" s="45">
        <v>11</v>
      </c>
      <c r="Q971" s="388">
        <v>0</v>
      </c>
      <c r="R971" s="429">
        <v>0</v>
      </c>
      <c r="S971" s="92">
        <v>2</v>
      </c>
      <c r="T971" s="361">
        <v>22</v>
      </c>
      <c r="U971" s="285">
        <v>9</v>
      </c>
      <c r="V971" s="438">
        <v>0.81818181818181823</v>
      </c>
    </row>
    <row r="972" spans="2:22" ht="13.5">
      <c r="B972" s="1569">
        <v>201408</v>
      </c>
      <c r="C972" s="326" t="s">
        <v>458</v>
      </c>
      <c r="D972" s="327" t="s">
        <v>796</v>
      </c>
      <c r="E972" s="1675" t="s">
        <v>797</v>
      </c>
      <c r="F972" s="459">
        <v>303.51600000000002</v>
      </c>
      <c r="G972" s="339">
        <v>146.44200000000001</v>
      </c>
      <c r="H972" s="337">
        <v>93.599000000000004</v>
      </c>
      <c r="I972" s="331">
        <v>7</v>
      </c>
      <c r="J972" s="577">
        <v>0.51851899999999995</v>
      </c>
      <c r="K972" s="579">
        <v>16.271333333333001</v>
      </c>
      <c r="L972" s="436">
        <v>1.285714</v>
      </c>
      <c r="M972" s="42"/>
      <c r="N972" s="334">
        <v>18</v>
      </c>
      <c r="O972" s="335">
        <v>11</v>
      </c>
      <c r="P972" s="335">
        <v>7</v>
      </c>
      <c r="Q972" s="389">
        <v>0</v>
      </c>
      <c r="R972" s="430">
        <v>0</v>
      </c>
      <c r="S972" s="339">
        <v>3</v>
      </c>
      <c r="T972" s="362">
        <v>6</v>
      </c>
      <c r="U972" s="337">
        <v>3</v>
      </c>
      <c r="V972" s="338">
        <v>0.42857142857142855</v>
      </c>
    </row>
    <row r="973" spans="2:22" ht="13.5">
      <c r="B973" s="1569">
        <v>201408</v>
      </c>
      <c r="C973" s="324" t="s">
        <v>458</v>
      </c>
      <c r="D973" s="325" t="s">
        <v>647</v>
      </c>
      <c r="E973" s="1674" t="s">
        <v>643</v>
      </c>
      <c r="F973" s="460">
        <v>785.09199999999896</v>
      </c>
      <c r="G973" s="92">
        <v>209.20400000000001</v>
      </c>
      <c r="H973" s="279">
        <v>210.07900000000001</v>
      </c>
      <c r="I973" s="154">
        <v>15</v>
      </c>
      <c r="J973" s="576">
        <v>0.33707900000000002</v>
      </c>
      <c r="K973" s="578">
        <v>13.07525</v>
      </c>
      <c r="L973" s="437">
        <v>1.066667</v>
      </c>
      <c r="M973" s="42"/>
      <c r="N973" s="47">
        <v>52</v>
      </c>
      <c r="O973" s="45">
        <v>40</v>
      </c>
      <c r="P973" s="45">
        <v>11</v>
      </c>
      <c r="Q973" s="388">
        <v>1</v>
      </c>
      <c r="R973" s="429">
        <v>1</v>
      </c>
      <c r="S973" s="92"/>
      <c r="T973" s="361">
        <v>16</v>
      </c>
      <c r="U973" s="285">
        <v>9</v>
      </c>
      <c r="V973" s="438">
        <v>0.75</v>
      </c>
    </row>
    <row r="974" spans="2:22" ht="13.5">
      <c r="B974" s="1569">
        <v>201408</v>
      </c>
      <c r="C974" s="326" t="s">
        <v>458</v>
      </c>
      <c r="D974" s="327" t="s">
        <v>630</v>
      </c>
      <c r="E974" s="1675" t="s">
        <v>483</v>
      </c>
      <c r="F974" s="459">
        <v>560.971</v>
      </c>
      <c r="G974" s="339">
        <v>165.864</v>
      </c>
      <c r="H974" s="337">
        <v>136.98699999999999</v>
      </c>
      <c r="I974" s="331">
        <v>8</v>
      </c>
      <c r="J974" s="577">
        <v>0.172043</v>
      </c>
      <c r="K974" s="579">
        <v>12.758769230768999</v>
      </c>
      <c r="L974" s="436">
        <v>1.625</v>
      </c>
      <c r="M974" s="42"/>
      <c r="N974" s="334">
        <v>49</v>
      </c>
      <c r="O974" s="335">
        <v>37</v>
      </c>
      <c r="P974" s="335">
        <v>12</v>
      </c>
      <c r="Q974" s="389">
        <v>0</v>
      </c>
      <c r="R974" s="430">
        <v>5</v>
      </c>
      <c r="S974" s="339">
        <v>2</v>
      </c>
      <c r="T974" s="362">
        <v>8</v>
      </c>
      <c r="U974" s="337">
        <v>6</v>
      </c>
      <c r="V974" s="338">
        <v>0.5</v>
      </c>
    </row>
    <row r="975" spans="2:22" ht="13.5">
      <c r="B975" s="1569">
        <v>201408</v>
      </c>
      <c r="C975" s="324" t="s">
        <v>458</v>
      </c>
      <c r="D975" s="325" t="s">
        <v>648</v>
      </c>
      <c r="E975" s="1674" t="s">
        <v>644</v>
      </c>
      <c r="F975" s="460">
        <v>585.62900000000002</v>
      </c>
      <c r="G975" s="92">
        <v>224.30099999999999</v>
      </c>
      <c r="H975" s="279">
        <v>224.30099999999999</v>
      </c>
      <c r="I975" s="154">
        <v>8</v>
      </c>
      <c r="J975" s="576">
        <v>0.24615400000000001</v>
      </c>
      <c r="K975" s="578">
        <v>20.390999999999998</v>
      </c>
      <c r="L975" s="437">
        <v>1.375</v>
      </c>
      <c r="M975" s="42"/>
      <c r="N975" s="47">
        <v>36</v>
      </c>
      <c r="O975" s="45">
        <v>25</v>
      </c>
      <c r="P975" s="45">
        <v>11</v>
      </c>
      <c r="Q975" s="388">
        <v>0</v>
      </c>
      <c r="R975" s="429">
        <v>0</v>
      </c>
      <c r="S975" s="92"/>
      <c r="T975" s="361">
        <v>7</v>
      </c>
      <c r="U975" s="285">
        <v>4</v>
      </c>
      <c r="V975" s="438">
        <v>0.36363636363636365</v>
      </c>
    </row>
    <row r="976" spans="2:22" ht="13.5">
      <c r="B976" s="1569">
        <v>201408</v>
      </c>
      <c r="C976" s="326" t="s">
        <v>459</v>
      </c>
      <c r="D976" s="327" t="s">
        <v>661</v>
      </c>
      <c r="E976" s="325" t="s">
        <v>1950</v>
      </c>
      <c r="F976" s="459">
        <v>653.70500000000004</v>
      </c>
      <c r="G976" s="339">
        <v>195.64599999999999</v>
      </c>
      <c r="H976" s="337">
        <v>195.64599999999999</v>
      </c>
      <c r="I976" s="331">
        <v>6</v>
      </c>
      <c r="J976" s="577">
        <v>0.17910400000000001</v>
      </c>
      <c r="K976" s="579">
        <v>17.786000000000001</v>
      </c>
      <c r="L976" s="436">
        <v>1.8333330000000001</v>
      </c>
      <c r="M976" s="42"/>
      <c r="N976" s="334">
        <v>35</v>
      </c>
      <c r="O976" s="335">
        <v>26</v>
      </c>
      <c r="P976" s="335">
        <v>7</v>
      </c>
      <c r="Q976" s="389">
        <v>2</v>
      </c>
      <c r="R976" s="430">
        <v>2</v>
      </c>
      <c r="S976" s="339"/>
      <c r="T976" s="362">
        <v>5</v>
      </c>
      <c r="U976" s="337">
        <v>3</v>
      </c>
      <c r="V976" s="338">
        <v>0.33333333333333331</v>
      </c>
    </row>
    <row r="977" spans="2:22" ht="13.5">
      <c r="B977" s="1569">
        <v>201408</v>
      </c>
      <c r="C977" s="324" t="s">
        <v>459</v>
      </c>
      <c r="D977" s="325" t="s">
        <v>179</v>
      </c>
      <c r="E977" s="1674" t="s">
        <v>191</v>
      </c>
      <c r="F977" s="460">
        <v>3208.9119999999998</v>
      </c>
      <c r="G977" s="92">
        <v>793.86699999999996</v>
      </c>
      <c r="H977" s="279">
        <v>663.45100000000002</v>
      </c>
      <c r="I977" s="154">
        <v>30</v>
      </c>
      <c r="J977" s="576">
        <v>0.32608700000000002</v>
      </c>
      <c r="K977" s="578">
        <v>16.890787234043</v>
      </c>
      <c r="L977" s="437">
        <v>1.566667</v>
      </c>
      <c r="M977" s="42"/>
      <c r="N977" s="47">
        <v>102</v>
      </c>
      <c r="O977" s="45">
        <v>77</v>
      </c>
      <c r="P977" s="45">
        <v>22</v>
      </c>
      <c r="Q977" s="388">
        <v>3</v>
      </c>
      <c r="R977" s="429">
        <v>4</v>
      </c>
      <c r="S977" s="92">
        <v>6</v>
      </c>
      <c r="T977" s="361">
        <v>18</v>
      </c>
      <c r="U977" s="285">
        <v>10</v>
      </c>
      <c r="V977" s="438">
        <v>0.4</v>
      </c>
    </row>
    <row r="978" spans="2:22" ht="13.5">
      <c r="B978" s="1569">
        <v>201408</v>
      </c>
      <c r="C978" s="326" t="s">
        <v>459</v>
      </c>
      <c r="D978" s="327" t="s">
        <v>659</v>
      </c>
      <c r="E978" s="1675" t="s">
        <v>655</v>
      </c>
      <c r="F978" s="459">
        <v>1195.1089999999999</v>
      </c>
      <c r="G978" s="339">
        <v>405.62700000000001</v>
      </c>
      <c r="H978" s="337">
        <v>371.15699999999998</v>
      </c>
      <c r="I978" s="331">
        <v>15</v>
      </c>
      <c r="J978" s="577">
        <v>0.29703000000000002</v>
      </c>
      <c r="K978" s="579">
        <v>17.635956521739001</v>
      </c>
      <c r="L978" s="436">
        <v>1.5333330000000001</v>
      </c>
      <c r="M978" s="42"/>
      <c r="N978" s="334">
        <v>53</v>
      </c>
      <c r="O978" s="335">
        <v>42</v>
      </c>
      <c r="P978" s="335">
        <v>8</v>
      </c>
      <c r="Q978" s="389">
        <v>3</v>
      </c>
      <c r="R978" s="430">
        <v>4</v>
      </c>
      <c r="S978" s="339"/>
      <c r="T978" s="362">
        <v>9</v>
      </c>
      <c r="U978" s="337">
        <v>5</v>
      </c>
      <c r="V978" s="338">
        <v>0.45454545454545453</v>
      </c>
    </row>
    <row r="979" spans="2:22" ht="13.5">
      <c r="B979" s="1569">
        <v>201408</v>
      </c>
      <c r="C979" s="324" t="s">
        <v>459</v>
      </c>
      <c r="D979" s="325" t="s">
        <v>699</v>
      </c>
      <c r="E979" s="1674" t="s">
        <v>698</v>
      </c>
      <c r="F979" s="460">
        <v>684.22</v>
      </c>
      <c r="G979" s="92">
        <v>240.56100000000001</v>
      </c>
      <c r="H979" s="279">
        <v>240.56100000000001</v>
      </c>
      <c r="I979" s="154">
        <v>7</v>
      </c>
      <c r="J979" s="576">
        <v>0.35</v>
      </c>
      <c r="K979" s="578">
        <v>17.182928571428999</v>
      </c>
      <c r="L979" s="437">
        <v>2</v>
      </c>
      <c r="M979" s="42"/>
      <c r="N979" s="47">
        <v>23</v>
      </c>
      <c r="O979" s="45">
        <v>18</v>
      </c>
      <c r="P979" s="45">
        <v>5</v>
      </c>
      <c r="Q979" s="388">
        <v>0</v>
      </c>
      <c r="R979" s="429">
        <v>1</v>
      </c>
      <c r="S979" s="92">
        <v>1</v>
      </c>
      <c r="T979" s="361">
        <v>6</v>
      </c>
      <c r="U979" s="285">
        <v>4</v>
      </c>
      <c r="V979" s="438">
        <v>0.8</v>
      </c>
    </row>
    <row r="980" spans="2:22" ht="13.5">
      <c r="B980" s="1569">
        <v>201408</v>
      </c>
      <c r="C980" s="326" t="s">
        <v>459</v>
      </c>
      <c r="D980" s="327" t="s">
        <v>825</v>
      </c>
      <c r="E980" s="1675" t="s">
        <v>1773</v>
      </c>
      <c r="F980" s="459">
        <v>92.769000000000005</v>
      </c>
      <c r="G980" s="339">
        <v>105.282</v>
      </c>
      <c r="H980" s="337">
        <v>92.769000000000005</v>
      </c>
      <c r="I980" s="331">
        <v>4</v>
      </c>
      <c r="J980" s="577">
        <v>1</v>
      </c>
      <c r="K980" s="579">
        <v>15.040285714286</v>
      </c>
      <c r="L980" s="436">
        <v>1.75</v>
      </c>
      <c r="M980" s="42"/>
      <c r="N980" s="334">
        <v>8</v>
      </c>
      <c r="O980" s="335">
        <v>6</v>
      </c>
      <c r="P980" s="335">
        <v>2</v>
      </c>
      <c r="Q980" s="389">
        <v>0</v>
      </c>
      <c r="R980" s="430">
        <v>0</v>
      </c>
      <c r="S980" s="339">
        <v>2</v>
      </c>
      <c r="T980" s="362">
        <v>6</v>
      </c>
      <c r="U980" s="337">
        <v>3</v>
      </c>
      <c r="V980" s="338">
        <v>1.5</v>
      </c>
    </row>
    <row r="981" spans="2:22" ht="13.5">
      <c r="B981" s="1569">
        <v>201408</v>
      </c>
      <c r="C981" s="324" t="s">
        <v>459</v>
      </c>
      <c r="D981" s="325" t="s">
        <v>185</v>
      </c>
      <c r="E981" s="1674" t="s">
        <v>190</v>
      </c>
      <c r="F981" s="460">
        <v>967.344999999999</v>
      </c>
      <c r="G981" s="92">
        <v>87.88</v>
      </c>
      <c r="H981" s="279">
        <v>132.84299999999999</v>
      </c>
      <c r="I981" s="154">
        <v>5</v>
      </c>
      <c r="J981" s="576">
        <v>8.4746000000000002E-2</v>
      </c>
      <c r="K981" s="578">
        <v>10.984999999999999</v>
      </c>
      <c r="L981" s="437">
        <v>1.6</v>
      </c>
      <c r="M981" s="42"/>
      <c r="N981" s="47">
        <v>60</v>
      </c>
      <c r="O981" s="45">
        <v>47</v>
      </c>
      <c r="P981" s="45">
        <v>10</v>
      </c>
      <c r="Q981" s="388">
        <v>3</v>
      </c>
      <c r="R981" s="429">
        <v>2</v>
      </c>
      <c r="S981" s="92"/>
      <c r="T981" s="361">
        <v>4</v>
      </c>
      <c r="U981" s="285">
        <v>3</v>
      </c>
      <c r="V981" s="438">
        <v>0.23076923076923078</v>
      </c>
    </row>
    <row r="982" spans="2:22" ht="13.5">
      <c r="B982" s="1569">
        <v>201408</v>
      </c>
      <c r="C982" s="326" t="s">
        <v>459</v>
      </c>
      <c r="D982" s="327" t="s">
        <v>660</v>
      </c>
      <c r="E982" s="1675" t="s">
        <v>656</v>
      </c>
      <c r="F982" s="459">
        <v>709.82600000000002</v>
      </c>
      <c r="G982" s="339">
        <v>278.27999999999997</v>
      </c>
      <c r="H982" s="337">
        <v>236.464</v>
      </c>
      <c r="I982" s="331">
        <v>9</v>
      </c>
      <c r="J982" s="577">
        <v>0.26865699999999998</v>
      </c>
      <c r="K982" s="579">
        <v>11.595000000000001</v>
      </c>
      <c r="L982" s="436">
        <v>2.6666669999999999</v>
      </c>
      <c r="M982" s="42"/>
      <c r="N982" s="334">
        <v>34</v>
      </c>
      <c r="O982" s="335">
        <v>28</v>
      </c>
      <c r="P982" s="335">
        <v>6</v>
      </c>
      <c r="Q982" s="389">
        <v>0</v>
      </c>
      <c r="R982" s="430">
        <v>3</v>
      </c>
      <c r="S982" s="339"/>
      <c r="T982" s="362">
        <v>4</v>
      </c>
      <c r="U982" s="337">
        <v>4</v>
      </c>
      <c r="V982" s="338">
        <v>0.66666666666666663</v>
      </c>
    </row>
    <row r="983" spans="2:22" ht="13.5">
      <c r="B983" s="1569">
        <v>201408</v>
      </c>
      <c r="C983" s="324" t="s">
        <v>459</v>
      </c>
      <c r="D983" s="325" t="s">
        <v>737</v>
      </c>
      <c r="E983" s="1674"/>
      <c r="F983" s="460">
        <v>294.61599999999999</v>
      </c>
      <c r="G983" s="92">
        <v>112.361</v>
      </c>
      <c r="H983" s="279">
        <v>112.361</v>
      </c>
      <c r="I983" s="154">
        <v>9</v>
      </c>
      <c r="J983" s="576">
        <v>0.34615400000000002</v>
      </c>
      <c r="K983" s="578">
        <v>12.484555555556</v>
      </c>
      <c r="L983" s="437">
        <v>1</v>
      </c>
      <c r="M983" s="42"/>
      <c r="N983" s="47">
        <v>28</v>
      </c>
      <c r="O983" s="45">
        <v>21</v>
      </c>
      <c r="P983" s="45">
        <v>7</v>
      </c>
      <c r="Q983" s="388">
        <v>0</v>
      </c>
      <c r="R983" s="429">
        <v>0</v>
      </c>
      <c r="S983" s="92"/>
      <c r="T983" s="361">
        <v>4</v>
      </c>
      <c r="U983" s="285">
        <v>3</v>
      </c>
      <c r="V983" s="438">
        <v>0.42857142857142855</v>
      </c>
    </row>
    <row r="984" spans="2:22" ht="13.5">
      <c r="B984" s="1569">
        <v>201408</v>
      </c>
      <c r="C984" s="326" t="s">
        <v>459</v>
      </c>
      <c r="D984" s="327" t="s">
        <v>662</v>
      </c>
      <c r="E984" s="1675"/>
      <c r="F984" s="459">
        <v>716.94399999999996</v>
      </c>
      <c r="G984" s="339">
        <v>283.04399999999998</v>
      </c>
      <c r="H984" s="337">
        <v>283.04399999999998</v>
      </c>
      <c r="I984" s="331">
        <v>8</v>
      </c>
      <c r="J984" s="577">
        <v>0.35555599999999998</v>
      </c>
      <c r="K984" s="579">
        <v>17.690249999999999</v>
      </c>
      <c r="L984" s="436">
        <v>2</v>
      </c>
      <c r="M984" s="42"/>
      <c r="N984" s="334">
        <v>26</v>
      </c>
      <c r="O984" s="335">
        <v>21</v>
      </c>
      <c r="P984" s="335">
        <v>5</v>
      </c>
      <c r="Q984" s="389">
        <v>0</v>
      </c>
      <c r="R984" s="430">
        <v>0</v>
      </c>
      <c r="S984" s="339">
        <v>2</v>
      </c>
      <c r="T984" s="362">
        <v>5</v>
      </c>
      <c r="U984" s="337">
        <v>3</v>
      </c>
      <c r="V984" s="338">
        <v>0.6</v>
      </c>
    </row>
    <row r="985" spans="2:22" ht="13.5">
      <c r="B985" s="1569">
        <v>201408</v>
      </c>
      <c r="C985" s="324" t="s">
        <v>459</v>
      </c>
      <c r="D985" s="325" t="s">
        <v>799</v>
      </c>
      <c r="E985" s="1674" t="s">
        <v>800</v>
      </c>
      <c r="F985" s="460">
        <v>263.185</v>
      </c>
      <c r="G985" s="92">
        <v>145.10900000000001</v>
      </c>
      <c r="H985" s="279">
        <v>133.91499999999999</v>
      </c>
      <c r="I985" s="154">
        <v>12</v>
      </c>
      <c r="J985" s="576">
        <v>1.142857</v>
      </c>
      <c r="K985" s="578">
        <v>11.162230769231</v>
      </c>
      <c r="L985" s="437">
        <v>1.0833330000000001</v>
      </c>
      <c r="M985" s="42"/>
      <c r="N985" s="47">
        <v>16</v>
      </c>
      <c r="O985" s="45">
        <v>10</v>
      </c>
      <c r="P985" s="45">
        <v>6</v>
      </c>
      <c r="Q985" s="388">
        <v>0</v>
      </c>
      <c r="R985" s="429">
        <v>0</v>
      </c>
      <c r="S985" s="92">
        <v>4</v>
      </c>
      <c r="T985" s="361">
        <v>7</v>
      </c>
      <c r="U985" s="285">
        <v>5</v>
      </c>
      <c r="V985" s="438">
        <v>0.83333333333333337</v>
      </c>
    </row>
    <row r="986" spans="2:22" ht="13.5">
      <c r="B986" s="1569">
        <v>201408</v>
      </c>
      <c r="C986" s="326" t="s">
        <v>459</v>
      </c>
      <c r="D986" s="327" t="s">
        <v>177</v>
      </c>
      <c r="E986" s="1675" t="s">
        <v>189</v>
      </c>
      <c r="F986" s="459">
        <v>3442.4409999999998</v>
      </c>
      <c r="G986" s="339">
        <v>518.22900000000004</v>
      </c>
      <c r="H986" s="337">
        <v>529.99800000000005</v>
      </c>
      <c r="I986" s="331">
        <v>30</v>
      </c>
      <c r="J986" s="577">
        <v>0.242678</v>
      </c>
      <c r="K986" s="579">
        <v>14.006189189189</v>
      </c>
      <c r="L986" s="436">
        <v>1.233333</v>
      </c>
      <c r="M986" s="42"/>
      <c r="N986" s="334">
        <v>114</v>
      </c>
      <c r="O986" s="335">
        <v>82</v>
      </c>
      <c r="P986" s="335">
        <v>26</v>
      </c>
      <c r="Q986" s="389">
        <v>6</v>
      </c>
      <c r="R986" s="430">
        <v>26</v>
      </c>
      <c r="S986" s="339"/>
      <c r="T986" s="362">
        <v>13</v>
      </c>
      <c r="U986" s="337">
        <v>10</v>
      </c>
      <c r="V986" s="338">
        <v>0.3125</v>
      </c>
    </row>
    <row r="987" spans="2:22" ht="13.5">
      <c r="B987" s="1569">
        <v>201408</v>
      </c>
      <c r="C987" s="324" t="s">
        <v>459</v>
      </c>
      <c r="D987" s="325" t="s">
        <v>176</v>
      </c>
      <c r="E987" s="1674" t="s">
        <v>188</v>
      </c>
      <c r="F987" s="460">
        <v>2368.511</v>
      </c>
      <c r="G987" s="92">
        <v>663.07</v>
      </c>
      <c r="H987" s="279">
        <v>677.21799999999996</v>
      </c>
      <c r="I987" s="154">
        <v>38</v>
      </c>
      <c r="J987" s="576">
        <v>0.46060600000000002</v>
      </c>
      <c r="K987" s="578">
        <v>13.2614</v>
      </c>
      <c r="L987" s="437">
        <v>1.3157890000000001</v>
      </c>
      <c r="M987" s="42"/>
      <c r="N987" s="47">
        <v>90</v>
      </c>
      <c r="O987" s="45">
        <v>71</v>
      </c>
      <c r="P987" s="45">
        <v>15</v>
      </c>
      <c r="Q987" s="388">
        <v>4</v>
      </c>
      <c r="R987" s="429">
        <v>6</v>
      </c>
      <c r="S987" s="92">
        <v>2</v>
      </c>
      <c r="T987" s="361">
        <v>19</v>
      </c>
      <c r="U987" s="285">
        <v>10</v>
      </c>
      <c r="V987" s="438">
        <v>0.52631578947368418</v>
      </c>
    </row>
    <row r="988" spans="2:22" ht="13.5">
      <c r="B988" s="1562">
        <v>201407</v>
      </c>
      <c r="C988" s="326" t="s">
        <v>458</v>
      </c>
      <c r="D988" s="327" t="s">
        <v>649</v>
      </c>
      <c r="E988" s="1675" t="s">
        <v>645</v>
      </c>
      <c r="F988" s="459">
        <v>856.66</v>
      </c>
      <c r="G988" s="339">
        <v>553.101</v>
      </c>
      <c r="H988" s="337">
        <v>442.41800000000001</v>
      </c>
      <c r="I988" s="331">
        <v>13</v>
      </c>
      <c r="J988" s="577">
        <v>0.40625</v>
      </c>
      <c r="K988" s="579">
        <v>25.140954545454999</v>
      </c>
      <c r="L988" s="436">
        <v>1.6923079999999999</v>
      </c>
      <c r="M988" s="42"/>
      <c r="N988" s="334">
        <v>37</v>
      </c>
      <c r="O988" s="335">
        <v>29</v>
      </c>
      <c r="P988" s="335">
        <v>8</v>
      </c>
      <c r="Q988" s="389">
        <v>0</v>
      </c>
      <c r="R988" s="430">
        <v>0</v>
      </c>
      <c r="S988" s="339">
        <v>3</v>
      </c>
      <c r="T988" s="362">
        <v>7</v>
      </c>
      <c r="U988" s="337">
        <v>4</v>
      </c>
      <c r="V988" s="338">
        <v>0.5</v>
      </c>
    </row>
    <row r="989" spans="2:22" ht="13.5">
      <c r="B989" s="1562">
        <v>201407</v>
      </c>
      <c r="C989" s="324" t="s">
        <v>458</v>
      </c>
      <c r="D989" s="325" t="s">
        <v>650</v>
      </c>
      <c r="E989" s="1674" t="s">
        <v>1777</v>
      </c>
      <c r="F989" s="460">
        <v>250.23</v>
      </c>
      <c r="G989" s="92">
        <v>111.459</v>
      </c>
      <c r="H989" s="279">
        <v>111.459</v>
      </c>
      <c r="I989" s="154">
        <v>9</v>
      </c>
      <c r="J989" s="576">
        <v>0.352941</v>
      </c>
      <c r="K989" s="578">
        <v>10.132636363635999</v>
      </c>
      <c r="L989" s="437">
        <v>1.2222219999999999</v>
      </c>
      <c r="M989" s="42"/>
      <c r="N989" s="47">
        <v>28</v>
      </c>
      <c r="O989" s="45">
        <v>19</v>
      </c>
      <c r="P989" s="45">
        <v>9</v>
      </c>
      <c r="Q989" s="388">
        <v>0</v>
      </c>
      <c r="R989" s="429">
        <v>0</v>
      </c>
      <c r="S989" s="92">
        <v>1</v>
      </c>
      <c r="T989" s="361">
        <v>4</v>
      </c>
      <c r="U989" s="285">
        <v>4</v>
      </c>
      <c r="V989" s="438">
        <v>0.44444444444444442</v>
      </c>
    </row>
    <row r="990" spans="2:22" ht="13.5">
      <c r="B990" s="1562">
        <v>201407</v>
      </c>
      <c r="C990" s="326" t="s">
        <v>458</v>
      </c>
      <c r="D990" s="327" t="s">
        <v>642</v>
      </c>
      <c r="E990" s="1675" t="s">
        <v>641</v>
      </c>
      <c r="F990" s="459">
        <v>508.02600000000001</v>
      </c>
      <c r="G990" s="339">
        <v>260.392</v>
      </c>
      <c r="H990" s="337">
        <v>234.90600000000001</v>
      </c>
      <c r="I990" s="331">
        <v>13</v>
      </c>
      <c r="J990" s="577">
        <v>0.320988</v>
      </c>
      <c r="K990" s="579">
        <v>14.466222222221999</v>
      </c>
      <c r="L990" s="436">
        <v>1.3846149999999999</v>
      </c>
      <c r="M990" s="42"/>
      <c r="N990" s="334">
        <v>43</v>
      </c>
      <c r="O990" s="335">
        <v>31</v>
      </c>
      <c r="P990" s="335">
        <v>12</v>
      </c>
      <c r="Q990" s="389">
        <v>0</v>
      </c>
      <c r="R990" s="430">
        <v>0</v>
      </c>
      <c r="S990" s="339">
        <v>1</v>
      </c>
      <c r="T990" s="362">
        <v>4</v>
      </c>
      <c r="U990" s="337">
        <v>2</v>
      </c>
      <c r="V990" s="338">
        <v>0.16666666666666666</v>
      </c>
    </row>
    <row r="991" spans="2:22" ht="13.5">
      <c r="B991" s="1562">
        <v>201407</v>
      </c>
      <c r="C991" s="324" t="s">
        <v>458</v>
      </c>
      <c r="D991" s="325" t="s">
        <v>91</v>
      </c>
      <c r="E991" s="1674" t="s">
        <v>92</v>
      </c>
      <c r="F991" s="460">
        <v>4064.1860000000001</v>
      </c>
      <c r="G991" s="92">
        <v>461.45699999999999</v>
      </c>
      <c r="H991" s="279">
        <v>472.68200000000002</v>
      </c>
      <c r="I991" s="154">
        <v>28</v>
      </c>
      <c r="J991" s="576">
        <v>0.26794299999999999</v>
      </c>
      <c r="K991" s="578">
        <v>11.536424999999999</v>
      </c>
      <c r="L991" s="437">
        <v>1.428571</v>
      </c>
      <c r="M991" s="42"/>
      <c r="N991" s="47">
        <v>105</v>
      </c>
      <c r="O991" s="45">
        <v>79</v>
      </c>
      <c r="P991" s="45">
        <v>20</v>
      </c>
      <c r="Q991" s="388">
        <v>6</v>
      </c>
      <c r="R991" s="429">
        <v>6</v>
      </c>
      <c r="S991" s="92"/>
      <c r="T991" s="361">
        <v>6</v>
      </c>
      <c r="U991" s="285">
        <v>5</v>
      </c>
      <c r="V991" s="438">
        <v>0.19230769230769232</v>
      </c>
    </row>
    <row r="992" spans="2:22" ht="13.5">
      <c r="B992" s="1562">
        <v>201407</v>
      </c>
      <c r="C992" s="326" t="s">
        <v>458</v>
      </c>
      <c r="D992" s="327" t="s">
        <v>187</v>
      </c>
      <c r="E992" s="1675" t="s">
        <v>194</v>
      </c>
      <c r="F992" s="459">
        <v>1758.3530000000001</v>
      </c>
      <c r="G992" s="339">
        <v>321.423</v>
      </c>
      <c r="H992" s="337">
        <v>306.48200000000003</v>
      </c>
      <c r="I992" s="331">
        <v>19</v>
      </c>
      <c r="J992" s="577">
        <v>0.32758599999999999</v>
      </c>
      <c r="K992" s="579">
        <v>16.071149999999999</v>
      </c>
      <c r="L992" s="436">
        <v>1.052632</v>
      </c>
      <c r="M992" s="42"/>
      <c r="N992" s="334">
        <v>50</v>
      </c>
      <c r="O992" s="335">
        <v>40</v>
      </c>
      <c r="P992" s="335">
        <v>10</v>
      </c>
      <c r="Q992" s="389">
        <v>0</v>
      </c>
      <c r="R992" s="430">
        <v>18</v>
      </c>
      <c r="S992" s="339"/>
      <c r="T992" s="362">
        <v>2</v>
      </c>
      <c r="U992" s="337">
        <v>2</v>
      </c>
      <c r="V992" s="338">
        <v>0.2</v>
      </c>
    </row>
    <row r="993" spans="2:22" ht="13.5">
      <c r="B993" s="1562">
        <v>201407</v>
      </c>
      <c r="C993" s="324" t="s">
        <v>458</v>
      </c>
      <c r="D993" s="325" t="s">
        <v>734</v>
      </c>
      <c r="E993" s="1674" t="s">
        <v>1766</v>
      </c>
      <c r="F993" s="460">
        <v>335.10399999999998</v>
      </c>
      <c r="G993" s="92">
        <v>331.52300000000002</v>
      </c>
      <c r="H993" s="279">
        <v>286.315</v>
      </c>
      <c r="I993" s="154">
        <v>3</v>
      </c>
      <c r="J993" s="576">
        <v>0.42857099999999998</v>
      </c>
      <c r="K993" s="578">
        <v>23.680214285714001</v>
      </c>
      <c r="L993" s="437">
        <v>4.6666670000000003</v>
      </c>
      <c r="M993" s="42"/>
      <c r="N993" s="47">
        <v>9</v>
      </c>
      <c r="O993" s="45">
        <v>5</v>
      </c>
      <c r="P993" s="45">
        <v>4</v>
      </c>
      <c r="Q993" s="388">
        <v>0</v>
      </c>
      <c r="R993" s="429">
        <v>0</v>
      </c>
      <c r="S993" s="92">
        <v>1</v>
      </c>
      <c r="T993" s="361">
        <v>3</v>
      </c>
      <c r="U993" s="285">
        <v>2</v>
      </c>
      <c r="V993" s="438">
        <v>0.5</v>
      </c>
    </row>
    <row r="994" spans="2:22" ht="13.5">
      <c r="B994" s="1562">
        <v>201407</v>
      </c>
      <c r="C994" s="326" t="s">
        <v>458</v>
      </c>
      <c r="D994" s="327" t="s">
        <v>735</v>
      </c>
      <c r="E994" s="1675" t="s">
        <v>790</v>
      </c>
      <c r="F994" s="459">
        <v>1866.32</v>
      </c>
      <c r="G994" s="339">
        <v>1191.3810000000001</v>
      </c>
      <c r="H994" s="337">
        <v>1081.5319999999999</v>
      </c>
      <c r="I994" s="331">
        <v>15</v>
      </c>
      <c r="J994" s="577">
        <v>0.769231</v>
      </c>
      <c r="K994" s="579">
        <v>27.706534883721002</v>
      </c>
      <c r="L994" s="436">
        <v>2.8666670000000001</v>
      </c>
      <c r="M994" s="42"/>
      <c r="N994" s="334">
        <v>23</v>
      </c>
      <c r="O994" s="335">
        <v>20</v>
      </c>
      <c r="P994" s="335">
        <v>3</v>
      </c>
      <c r="Q994" s="389">
        <v>0</v>
      </c>
      <c r="R994" s="430">
        <v>0</v>
      </c>
      <c r="S994" s="339"/>
      <c r="T994" s="362">
        <v>7</v>
      </c>
      <c r="U994" s="337">
        <v>2</v>
      </c>
      <c r="V994" s="338">
        <v>0.66666666666666663</v>
      </c>
    </row>
    <row r="995" spans="2:22" ht="13.5">
      <c r="B995" s="1562">
        <v>201407</v>
      </c>
      <c r="C995" s="324" t="s">
        <v>458</v>
      </c>
      <c r="D995" s="325" t="s">
        <v>798</v>
      </c>
      <c r="E995" s="1674" t="s">
        <v>1768</v>
      </c>
      <c r="F995" s="460">
        <v>170.28299999999999</v>
      </c>
      <c r="G995" s="92">
        <v>189.76</v>
      </c>
      <c r="H995" s="279">
        <v>170.28299999999999</v>
      </c>
      <c r="I995" s="154">
        <v>5</v>
      </c>
      <c r="J995" s="576">
        <v>1.6666669999999999</v>
      </c>
      <c r="K995" s="578">
        <v>21.084444444443999</v>
      </c>
      <c r="L995" s="437">
        <v>1.8</v>
      </c>
      <c r="M995" s="42"/>
      <c r="N995" s="47">
        <v>6</v>
      </c>
      <c r="O995" s="45">
        <v>5</v>
      </c>
      <c r="P995" s="45">
        <v>1</v>
      </c>
      <c r="Q995" s="388">
        <v>0</v>
      </c>
      <c r="R995" s="429">
        <v>0</v>
      </c>
      <c r="S995" s="92">
        <v>1</v>
      </c>
      <c r="T995" s="361">
        <v>5</v>
      </c>
      <c r="U995" s="285">
        <v>1</v>
      </c>
      <c r="V995" s="438">
        <v>1</v>
      </c>
    </row>
    <row r="996" spans="2:22" ht="13.5">
      <c r="B996" s="1562">
        <v>201407</v>
      </c>
      <c r="C996" s="326" t="s">
        <v>458</v>
      </c>
      <c r="D996" s="327" t="s">
        <v>628</v>
      </c>
      <c r="E996" s="1675" t="s">
        <v>629</v>
      </c>
      <c r="F996" s="459">
        <v>924.60899999999901</v>
      </c>
      <c r="G996" s="339">
        <v>232.239</v>
      </c>
      <c r="H996" s="337">
        <v>220.41399999999999</v>
      </c>
      <c r="I996" s="331">
        <v>15</v>
      </c>
      <c r="J996" s="577">
        <v>0.21897800000000001</v>
      </c>
      <c r="K996" s="579">
        <v>12.223105263158001</v>
      </c>
      <c r="L996" s="436">
        <v>1.266667</v>
      </c>
      <c r="M996" s="42"/>
      <c r="N996" s="334">
        <v>68</v>
      </c>
      <c r="O996" s="335">
        <v>47</v>
      </c>
      <c r="P996" s="335">
        <v>21</v>
      </c>
      <c r="Q996" s="389">
        <v>0</v>
      </c>
      <c r="R996" s="430">
        <v>8</v>
      </c>
      <c r="S996" s="339"/>
      <c r="T996" s="362">
        <v>7</v>
      </c>
      <c r="U996" s="337">
        <v>6</v>
      </c>
      <c r="V996" s="338">
        <v>0.2857142857142857</v>
      </c>
    </row>
    <row r="997" spans="2:22" ht="13.5">
      <c r="B997" s="1562">
        <v>201407</v>
      </c>
      <c r="C997" s="324" t="s">
        <v>458</v>
      </c>
      <c r="D997" s="325" t="s">
        <v>557</v>
      </c>
      <c r="E997" s="1678" t="s">
        <v>1770</v>
      </c>
      <c r="F997" s="460">
        <v>246.012</v>
      </c>
      <c r="G997" s="92">
        <v>110.005</v>
      </c>
      <c r="H997" s="279">
        <v>49.6</v>
      </c>
      <c r="I997" s="154">
        <v>5</v>
      </c>
      <c r="J997" s="576">
        <v>0.227273</v>
      </c>
      <c r="K997" s="578">
        <v>18.334166666666999</v>
      </c>
      <c r="L997" s="437">
        <v>1.2</v>
      </c>
      <c r="M997" s="42"/>
      <c r="N997" s="47">
        <v>21</v>
      </c>
      <c r="O997" s="45">
        <v>16</v>
      </c>
      <c r="P997" s="45">
        <v>5</v>
      </c>
      <c r="Q997" s="388">
        <v>0</v>
      </c>
      <c r="R997" s="429">
        <v>3</v>
      </c>
      <c r="S997" s="92"/>
      <c r="T997" s="361">
        <v>1</v>
      </c>
      <c r="U997" s="285">
        <v>1</v>
      </c>
      <c r="V997" s="438">
        <v>0.2</v>
      </c>
    </row>
    <row r="998" spans="2:22" ht="13.5">
      <c r="B998" s="1562">
        <v>201407</v>
      </c>
      <c r="C998" s="326" t="s">
        <v>458</v>
      </c>
      <c r="D998" s="327" t="s">
        <v>47</v>
      </c>
      <c r="E998" s="1675" t="s">
        <v>17</v>
      </c>
      <c r="F998" s="459">
        <v>2320.1289999999999</v>
      </c>
      <c r="G998" s="339">
        <v>387.15</v>
      </c>
      <c r="H998" s="337">
        <v>330.61</v>
      </c>
      <c r="I998" s="331">
        <v>13</v>
      </c>
      <c r="J998" s="577">
        <v>0.143646</v>
      </c>
      <c r="K998" s="579">
        <v>21.508333333332999</v>
      </c>
      <c r="L998" s="436">
        <v>1.3846149999999999</v>
      </c>
      <c r="M998" s="42"/>
      <c r="N998" s="334">
        <v>86</v>
      </c>
      <c r="O998" s="335">
        <v>69</v>
      </c>
      <c r="P998" s="335">
        <v>15</v>
      </c>
      <c r="Q998" s="389">
        <v>2</v>
      </c>
      <c r="R998" s="430">
        <v>13</v>
      </c>
      <c r="S998" s="339"/>
      <c r="T998" s="362">
        <v>4</v>
      </c>
      <c r="U998" s="337">
        <v>3</v>
      </c>
      <c r="V998" s="338">
        <v>0.17647058823529413</v>
      </c>
    </row>
    <row r="999" spans="2:22" ht="13.5">
      <c r="B999" s="1562">
        <v>201407</v>
      </c>
      <c r="C999" s="324" t="s">
        <v>458</v>
      </c>
      <c r="D999" s="325" t="s">
        <v>736</v>
      </c>
      <c r="E999" s="1674" t="s">
        <v>697</v>
      </c>
      <c r="F999" s="460">
        <v>559.34</v>
      </c>
      <c r="G999" s="92">
        <v>472.786</v>
      </c>
      <c r="H999" s="279">
        <v>438.04599999999999</v>
      </c>
      <c r="I999" s="154">
        <v>17</v>
      </c>
      <c r="J999" s="576">
        <v>0.66666700000000001</v>
      </c>
      <c r="K999" s="578">
        <v>15.251161290322999</v>
      </c>
      <c r="L999" s="437">
        <v>1.823529</v>
      </c>
      <c r="M999" s="42"/>
      <c r="N999" s="47">
        <v>32</v>
      </c>
      <c r="O999" s="45">
        <v>24</v>
      </c>
      <c r="P999" s="45">
        <v>8</v>
      </c>
      <c r="Q999" s="388">
        <v>0</v>
      </c>
      <c r="R999" s="429">
        <v>0</v>
      </c>
      <c r="S999" s="92">
        <v>4</v>
      </c>
      <c r="T999" s="361">
        <v>11</v>
      </c>
      <c r="U999" s="285">
        <v>6</v>
      </c>
      <c r="V999" s="438">
        <v>0.75</v>
      </c>
    </row>
    <row r="1000" spans="2:22" ht="13.5">
      <c r="B1000" s="1562">
        <v>201407</v>
      </c>
      <c r="C1000" s="326" t="s">
        <v>458</v>
      </c>
      <c r="D1000" s="327" t="s">
        <v>796</v>
      </c>
      <c r="E1000" s="1675" t="s">
        <v>797</v>
      </c>
      <c r="F1000" s="459">
        <v>209.917</v>
      </c>
      <c r="G1000" s="339">
        <v>209.917</v>
      </c>
      <c r="H1000" s="337">
        <v>209.917</v>
      </c>
      <c r="I1000" s="331">
        <v>4</v>
      </c>
      <c r="J1000" s="577">
        <v>1</v>
      </c>
      <c r="K1000" s="579">
        <v>41.983400000000003</v>
      </c>
      <c r="L1000" s="436">
        <v>1.25</v>
      </c>
      <c r="M1000" s="42"/>
      <c r="N1000" s="334">
        <v>8</v>
      </c>
      <c r="O1000" s="335">
        <v>5</v>
      </c>
      <c r="P1000" s="335">
        <v>3</v>
      </c>
      <c r="Q1000" s="389">
        <v>0</v>
      </c>
      <c r="R1000" s="430">
        <v>0</v>
      </c>
      <c r="S1000" s="339">
        <v>4</v>
      </c>
      <c r="T1000" s="362">
        <v>5</v>
      </c>
      <c r="U1000" s="337">
        <v>3</v>
      </c>
      <c r="V1000" s="338">
        <v>1</v>
      </c>
    </row>
    <row r="1001" spans="2:22" ht="13.5">
      <c r="B1001" s="1562">
        <v>201407</v>
      </c>
      <c r="C1001" s="324" t="s">
        <v>458</v>
      </c>
      <c r="D1001" s="325" t="s">
        <v>647</v>
      </c>
      <c r="E1001" s="1674" t="s">
        <v>643</v>
      </c>
      <c r="F1001" s="460">
        <v>575.01300000000003</v>
      </c>
      <c r="G1001" s="92">
        <v>290.11200000000002</v>
      </c>
      <c r="H1001" s="279">
        <v>231.04300000000001</v>
      </c>
      <c r="I1001" s="154">
        <v>15</v>
      </c>
      <c r="J1001" s="576">
        <v>0.46875</v>
      </c>
      <c r="K1001" s="578">
        <v>13.186909090908999</v>
      </c>
      <c r="L1001" s="437">
        <v>1.4666669999999999</v>
      </c>
      <c r="M1001" s="42"/>
      <c r="N1001" s="47">
        <v>37</v>
      </c>
      <c r="O1001" s="45">
        <v>25</v>
      </c>
      <c r="P1001" s="45">
        <v>11</v>
      </c>
      <c r="Q1001" s="388">
        <v>1</v>
      </c>
      <c r="R1001" s="429">
        <v>0</v>
      </c>
      <c r="S1001" s="92">
        <v>3</v>
      </c>
      <c r="T1001" s="361">
        <v>7</v>
      </c>
      <c r="U1001" s="285">
        <v>5</v>
      </c>
      <c r="V1001" s="438">
        <v>0.41666666666666669</v>
      </c>
    </row>
    <row r="1002" spans="2:22" ht="13.5">
      <c r="B1002" s="1562">
        <v>201407</v>
      </c>
      <c r="C1002" s="326" t="s">
        <v>458</v>
      </c>
      <c r="D1002" s="327" t="s">
        <v>630</v>
      </c>
      <c r="E1002" s="1675" t="s">
        <v>483</v>
      </c>
      <c r="F1002" s="459">
        <v>423.98399999999998</v>
      </c>
      <c r="G1002" s="339">
        <v>149.964</v>
      </c>
      <c r="H1002" s="337">
        <v>141.69200000000001</v>
      </c>
      <c r="I1002" s="331">
        <v>8</v>
      </c>
      <c r="J1002" s="577">
        <v>0.19047600000000001</v>
      </c>
      <c r="K1002" s="579">
        <v>11.535692307692001</v>
      </c>
      <c r="L1002" s="436">
        <v>1.625</v>
      </c>
      <c r="M1002" s="42"/>
      <c r="N1002" s="334">
        <v>43</v>
      </c>
      <c r="O1002" s="335">
        <v>34</v>
      </c>
      <c r="P1002" s="335">
        <v>9</v>
      </c>
      <c r="Q1002" s="389">
        <v>0</v>
      </c>
      <c r="R1002" s="430">
        <v>6</v>
      </c>
      <c r="S1002" s="339">
        <v>2</v>
      </c>
      <c r="T1002" s="362">
        <v>7</v>
      </c>
      <c r="U1002" s="337">
        <v>5</v>
      </c>
      <c r="V1002" s="338">
        <v>0.55555555555555558</v>
      </c>
    </row>
    <row r="1003" spans="2:22" ht="13.5">
      <c r="B1003" s="1562">
        <v>201407</v>
      </c>
      <c r="C1003" s="324" t="s">
        <v>458</v>
      </c>
      <c r="D1003" s="325" t="s">
        <v>648</v>
      </c>
      <c r="E1003" s="1675" t="s">
        <v>644</v>
      </c>
      <c r="F1003" s="460">
        <v>361.32799999999997</v>
      </c>
      <c r="G1003" s="92">
        <v>150.523</v>
      </c>
      <c r="H1003" s="279">
        <v>150.523</v>
      </c>
      <c r="I1003" s="154">
        <v>11</v>
      </c>
      <c r="J1003" s="576">
        <v>0.46808499999999997</v>
      </c>
      <c r="K1003" s="578">
        <v>10.751642857143</v>
      </c>
      <c r="L1003" s="437">
        <v>1.2727269999999999</v>
      </c>
      <c r="M1003" s="42"/>
      <c r="N1003" s="47">
        <v>29</v>
      </c>
      <c r="O1003" s="45">
        <v>18</v>
      </c>
      <c r="P1003" s="45">
        <v>11</v>
      </c>
      <c r="Q1003" s="388">
        <v>0</v>
      </c>
      <c r="R1003" s="429">
        <v>0</v>
      </c>
      <c r="S1003" s="92">
        <v>4</v>
      </c>
      <c r="T1003" s="361">
        <v>7</v>
      </c>
      <c r="U1003" s="285">
        <v>5</v>
      </c>
      <c r="V1003" s="438">
        <v>0.45454545454545453</v>
      </c>
    </row>
    <row r="1004" spans="2:22" ht="13.5">
      <c r="B1004" s="1562">
        <v>201407</v>
      </c>
      <c r="C1004" s="326" t="s">
        <v>459</v>
      </c>
      <c r="D1004" s="327" t="s">
        <v>661</v>
      </c>
      <c r="E1004" s="325" t="s">
        <v>1950</v>
      </c>
      <c r="F1004" s="459">
        <v>458.05900000000003</v>
      </c>
      <c r="G1004" s="339">
        <v>146.03200000000001</v>
      </c>
      <c r="H1004" s="337">
        <v>140.339</v>
      </c>
      <c r="I1004" s="331">
        <v>11</v>
      </c>
      <c r="J1004" s="577">
        <v>0.27160499999999999</v>
      </c>
      <c r="K1004" s="579">
        <v>11.233230769231</v>
      </c>
      <c r="L1004" s="436">
        <v>1.181818</v>
      </c>
      <c r="M1004" s="42"/>
      <c r="N1004" s="334">
        <v>32</v>
      </c>
      <c r="O1004" s="335">
        <v>23</v>
      </c>
      <c r="P1004" s="335">
        <v>7</v>
      </c>
      <c r="Q1004" s="389">
        <v>2</v>
      </c>
      <c r="R1004" s="430">
        <v>19</v>
      </c>
      <c r="S1004" s="339"/>
      <c r="T1004" s="362">
        <v>2</v>
      </c>
      <c r="U1004" s="337">
        <v>2</v>
      </c>
      <c r="V1004" s="338">
        <v>0.22222222222222221</v>
      </c>
    </row>
    <row r="1005" spans="2:22" ht="13.5">
      <c r="B1005" s="1562">
        <v>201407</v>
      </c>
      <c r="C1005" s="324" t="s">
        <v>459</v>
      </c>
      <c r="D1005" s="325" t="s">
        <v>179</v>
      </c>
      <c r="E1005" s="1674" t="s">
        <v>191</v>
      </c>
      <c r="F1005" s="460">
        <v>2545.4609999999998</v>
      </c>
      <c r="G1005" s="92">
        <v>539.37699999999995</v>
      </c>
      <c r="H1005" s="279">
        <v>510.92099999999999</v>
      </c>
      <c r="I1005" s="154">
        <v>24</v>
      </c>
      <c r="J1005" s="576">
        <v>0.28235300000000002</v>
      </c>
      <c r="K1005" s="578">
        <v>19.263464285714001</v>
      </c>
      <c r="L1005" s="437">
        <v>1.1666669999999999</v>
      </c>
      <c r="M1005" s="42"/>
      <c r="N1005" s="47">
        <v>82</v>
      </c>
      <c r="O1005" s="45">
        <v>62</v>
      </c>
      <c r="P1005" s="45">
        <v>17</v>
      </c>
      <c r="Q1005" s="388">
        <v>3</v>
      </c>
      <c r="R1005" s="429">
        <v>17</v>
      </c>
      <c r="S1005" s="92">
        <v>3</v>
      </c>
      <c r="T1005" s="361">
        <v>8</v>
      </c>
      <c r="U1005" s="285">
        <v>7</v>
      </c>
      <c r="V1005" s="438">
        <v>0.35</v>
      </c>
    </row>
    <row r="1006" spans="2:22" ht="13.5">
      <c r="B1006" s="1562">
        <v>201407</v>
      </c>
      <c r="C1006" s="326" t="s">
        <v>459</v>
      </c>
      <c r="D1006" s="327" t="s">
        <v>659</v>
      </c>
      <c r="E1006" s="1675" t="s">
        <v>655</v>
      </c>
      <c r="F1006" s="459">
        <v>823.952</v>
      </c>
      <c r="G1006" s="339">
        <v>345.87099999999998</v>
      </c>
      <c r="H1006" s="337">
        <v>280.77699999999999</v>
      </c>
      <c r="I1006" s="331">
        <v>19</v>
      </c>
      <c r="J1006" s="577">
        <v>0.41758200000000001</v>
      </c>
      <c r="K1006" s="579">
        <v>14.411291666666999</v>
      </c>
      <c r="L1006" s="436">
        <v>1.263158</v>
      </c>
      <c r="M1006" s="42"/>
      <c r="N1006" s="334">
        <v>48</v>
      </c>
      <c r="O1006" s="335">
        <v>38</v>
      </c>
      <c r="P1006" s="335">
        <v>10</v>
      </c>
      <c r="Q1006" s="389">
        <v>0</v>
      </c>
      <c r="R1006" s="430">
        <v>4</v>
      </c>
      <c r="S1006" s="339"/>
      <c r="T1006" s="362">
        <v>9</v>
      </c>
      <c r="U1006" s="337">
        <v>5</v>
      </c>
      <c r="V1006" s="338">
        <v>0.5</v>
      </c>
    </row>
    <row r="1007" spans="2:22" ht="13.5">
      <c r="B1007" s="1562">
        <v>201407</v>
      </c>
      <c r="C1007" s="324" t="s">
        <v>459</v>
      </c>
      <c r="D1007" s="325" t="s">
        <v>699</v>
      </c>
      <c r="E1007" s="1674" t="s">
        <v>698</v>
      </c>
      <c r="F1007" s="460">
        <v>443.65899999999999</v>
      </c>
      <c r="G1007" s="92">
        <v>285.524</v>
      </c>
      <c r="H1007" s="279">
        <v>281.52999999999997</v>
      </c>
      <c r="I1007" s="154">
        <v>10</v>
      </c>
      <c r="J1007" s="576">
        <v>0.625</v>
      </c>
      <c r="K1007" s="578">
        <v>16.795529411764999</v>
      </c>
      <c r="L1007" s="437">
        <v>1.7</v>
      </c>
      <c r="M1007" s="42"/>
      <c r="N1007" s="47">
        <v>17</v>
      </c>
      <c r="O1007" s="45">
        <v>13</v>
      </c>
      <c r="P1007" s="45">
        <v>4</v>
      </c>
      <c r="Q1007" s="388">
        <v>0</v>
      </c>
      <c r="R1007" s="429">
        <v>0</v>
      </c>
      <c r="S1007" s="92"/>
      <c r="T1007" s="361">
        <v>2</v>
      </c>
      <c r="U1007" s="285">
        <v>1</v>
      </c>
      <c r="V1007" s="438">
        <v>0.25</v>
      </c>
    </row>
    <row r="1008" spans="2:22" ht="13.5">
      <c r="B1008" s="1562">
        <v>201407</v>
      </c>
      <c r="C1008" s="326" t="s">
        <v>459</v>
      </c>
      <c r="D1008" s="327" t="s">
        <v>185</v>
      </c>
      <c r="E1008" s="1675" t="s">
        <v>190</v>
      </c>
      <c r="F1008" s="459">
        <v>834.50199999999995</v>
      </c>
      <c r="G1008" s="339">
        <v>129.62100000000001</v>
      </c>
      <c r="H1008" s="337">
        <v>107.70099999999999</v>
      </c>
      <c r="I1008" s="331">
        <v>5</v>
      </c>
      <c r="J1008" s="577">
        <v>8.3333000000000004E-2</v>
      </c>
      <c r="K1008" s="579">
        <v>18.517285714286</v>
      </c>
      <c r="L1008" s="436">
        <v>1.4</v>
      </c>
      <c r="M1008" s="42"/>
      <c r="N1008" s="334">
        <v>58</v>
      </c>
      <c r="O1008" s="335">
        <v>45</v>
      </c>
      <c r="P1008" s="335">
        <v>10</v>
      </c>
      <c r="Q1008" s="389">
        <v>3</v>
      </c>
      <c r="R1008" s="430">
        <v>6</v>
      </c>
      <c r="S1008" s="339"/>
      <c r="T1008" s="362">
        <v>2</v>
      </c>
      <c r="U1008" s="337">
        <v>2</v>
      </c>
      <c r="V1008" s="338">
        <v>0.15384615384615385</v>
      </c>
    </row>
    <row r="1009" spans="2:22" ht="13.5">
      <c r="B1009" s="1562">
        <v>201407</v>
      </c>
      <c r="C1009" s="324" t="s">
        <v>459</v>
      </c>
      <c r="D1009" s="325" t="s">
        <v>660</v>
      </c>
      <c r="E1009" s="1674" t="s">
        <v>656</v>
      </c>
      <c r="F1009" s="460">
        <v>473.36200000000002</v>
      </c>
      <c r="G1009" s="92">
        <v>213.721</v>
      </c>
      <c r="H1009" s="279">
        <v>237.261</v>
      </c>
      <c r="I1009" s="154">
        <v>8</v>
      </c>
      <c r="J1009" s="576">
        <v>0.27118599999999998</v>
      </c>
      <c r="K1009" s="578">
        <v>17.810083333333001</v>
      </c>
      <c r="L1009" s="437">
        <v>1.5</v>
      </c>
      <c r="M1009" s="42"/>
      <c r="N1009" s="47">
        <v>33</v>
      </c>
      <c r="O1009" s="45">
        <v>27</v>
      </c>
      <c r="P1009" s="45">
        <v>6</v>
      </c>
      <c r="Q1009" s="388">
        <v>0</v>
      </c>
      <c r="R1009" s="429">
        <v>0</v>
      </c>
      <c r="S1009" s="92">
        <v>1</v>
      </c>
      <c r="T1009" s="361">
        <v>6</v>
      </c>
      <c r="U1009" s="285">
        <v>3</v>
      </c>
      <c r="V1009" s="438">
        <v>0.5</v>
      </c>
    </row>
    <row r="1010" spans="2:22" ht="13.5">
      <c r="B1010" s="1562">
        <v>201407</v>
      </c>
      <c r="C1010" s="326" t="s">
        <v>459</v>
      </c>
      <c r="D1010" s="327" t="s">
        <v>737</v>
      </c>
      <c r="E1010" s="1675"/>
      <c r="F1010" s="459">
        <v>182.255</v>
      </c>
      <c r="G1010" s="339">
        <v>98.025000000000006</v>
      </c>
      <c r="H1010" s="337">
        <v>98.025000000000006</v>
      </c>
      <c r="I1010" s="331">
        <v>10</v>
      </c>
      <c r="J1010" s="577">
        <v>0.45454499999999998</v>
      </c>
      <c r="K1010" s="579">
        <v>9.8025000000000002</v>
      </c>
      <c r="L1010" s="436">
        <v>1</v>
      </c>
      <c r="M1010" s="42"/>
      <c r="N1010" s="334">
        <v>24</v>
      </c>
      <c r="O1010" s="335">
        <v>17</v>
      </c>
      <c r="P1010" s="335">
        <v>7</v>
      </c>
      <c r="Q1010" s="389">
        <v>0</v>
      </c>
      <c r="R1010" s="430">
        <v>0</v>
      </c>
      <c r="S1010" s="339"/>
      <c r="T1010" s="362">
        <v>4</v>
      </c>
      <c r="U1010" s="337">
        <v>4</v>
      </c>
      <c r="V1010" s="338">
        <v>0.5714285714285714</v>
      </c>
    </row>
    <row r="1011" spans="2:22" ht="13.5">
      <c r="B1011" s="1562">
        <v>201407</v>
      </c>
      <c r="C1011" s="324" t="s">
        <v>459</v>
      </c>
      <c r="D1011" s="325" t="s">
        <v>662</v>
      </c>
      <c r="E1011" s="1674"/>
      <c r="F1011" s="460">
        <v>433.9</v>
      </c>
      <c r="G1011" s="92">
        <v>137.62299999999999</v>
      </c>
      <c r="H1011" s="279">
        <v>137.62299999999999</v>
      </c>
      <c r="I1011" s="154">
        <v>7</v>
      </c>
      <c r="J1011" s="576">
        <v>0.4</v>
      </c>
      <c r="K1011" s="578">
        <v>17.202874999999999</v>
      </c>
      <c r="L1011" s="437">
        <v>1.142857</v>
      </c>
      <c r="M1011" s="42"/>
      <c r="N1011" s="47">
        <v>19</v>
      </c>
      <c r="O1011" s="45">
        <v>16</v>
      </c>
      <c r="P1011" s="45">
        <v>3</v>
      </c>
      <c r="Q1011" s="388">
        <v>0</v>
      </c>
      <c r="R1011" s="429">
        <v>0</v>
      </c>
      <c r="S1011" s="92"/>
      <c r="T1011" s="361">
        <v>3</v>
      </c>
      <c r="U1011" s="285">
        <v>2</v>
      </c>
      <c r="V1011" s="438">
        <v>0.66666666666666663</v>
      </c>
    </row>
    <row r="1012" spans="2:22" ht="13.5">
      <c r="B1012" s="1562">
        <v>201407</v>
      </c>
      <c r="C1012" s="326" t="s">
        <v>459</v>
      </c>
      <c r="D1012" s="327" t="s">
        <v>799</v>
      </c>
      <c r="E1012" s="1675" t="s">
        <v>800</v>
      </c>
      <c r="F1012" s="459">
        <v>129.27000000000001</v>
      </c>
      <c r="G1012" s="339">
        <v>152.721</v>
      </c>
      <c r="H1012" s="337">
        <v>129.27000000000001</v>
      </c>
      <c r="I1012" s="331">
        <v>5</v>
      </c>
      <c r="J1012" s="577">
        <v>2</v>
      </c>
      <c r="K1012" s="579">
        <v>13.883727272727</v>
      </c>
      <c r="L1012" s="436">
        <v>2.2000000000000002</v>
      </c>
      <c r="M1012" s="42"/>
      <c r="N1012" s="334">
        <v>5</v>
      </c>
      <c r="O1012" s="335">
        <v>3</v>
      </c>
      <c r="P1012" s="335">
        <v>2</v>
      </c>
      <c r="Q1012" s="389">
        <v>0</v>
      </c>
      <c r="R1012" s="430">
        <v>0</v>
      </c>
      <c r="S1012" s="339">
        <v>2</v>
      </c>
      <c r="T1012" s="362">
        <v>3</v>
      </c>
      <c r="U1012" s="337">
        <v>2</v>
      </c>
      <c r="V1012" s="338">
        <v>1</v>
      </c>
    </row>
    <row r="1013" spans="2:22" ht="13.5">
      <c r="B1013" s="1562">
        <v>201407</v>
      </c>
      <c r="C1013" s="324" t="s">
        <v>459</v>
      </c>
      <c r="D1013" s="325" t="s">
        <v>177</v>
      </c>
      <c r="E1013" s="1674" t="s">
        <v>189</v>
      </c>
      <c r="F1013" s="460">
        <v>2912.4430000000002</v>
      </c>
      <c r="G1013" s="92">
        <v>355.13600000000002</v>
      </c>
      <c r="H1013" s="279">
        <v>363.28300000000002</v>
      </c>
      <c r="I1013" s="154">
        <v>19</v>
      </c>
      <c r="J1013" s="576">
        <v>0.15261</v>
      </c>
      <c r="K1013" s="578">
        <v>15.440695652174</v>
      </c>
      <c r="L1013" s="437">
        <v>1.210526</v>
      </c>
      <c r="M1013" s="42"/>
      <c r="N1013" s="47">
        <v>125</v>
      </c>
      <c r="O1013" s="45">
        <v>91</v>
      </c>
      <c r="P1013" s="45">
        <v>28</v>
      </c>
      <c r="Q1013" s="388">
        <v>6</v>
      </c>
      <c r="R1013" s="429">
        <v>20</v>
      </c>
      <c r="S1013" s="92"/>
      <c r="T1013" s="361">
        <v>21</v>
      </c>
      <c r="U1013" s="285">
        <v>12</v>
      </c>
      <c r="V1013" s="438">
        <v>0.35294117647058826</v>
      </c>
    </row>
    <row r="1014" spans="2:22" ht="13.5">
      <c r="B1014" s="1562">
        <v>201407</v>
      </c>
      <c r="C1014" s="326" t="s">
        <v>459</v>
      </c>
      <c r="D1014" s="327" t="s">
        <v>176</v>
      </c>
      <c r="E1014" s="1675" t="s">
        <v>188</v>
      </c>
      <c r="F1014" s="459">
        <v>1691.2929999999999</v>
      </c>
      <c r="G1014" s="339">
        <v>593.221</v>
      </c>
      <c r="H1014" s="337">
        <v>441.48200000000003</v>
      </c>
      <c r="I1014" s="331">
        <v>24</v>
      </c>
      <c r="J1014" s="577">
        <v>0.31788100000000002</v>
      </c>
      <c r="K1014" s="579">
        <v>19.136161290322999</v>
      </c>
      <c r="L1014" s="436">
        <v>1.2916669999999999</v>
      </c>
      <c r="M1014" s="42"/>
      <c r="N1014" s="334">
        <v>75</v>
      </c>
      <c r="O1014" s="335">
        <v>57</v>
      </c>
      <c r="P1014" s="335">
        <v>13</v>
      </c>
      <c r="Q1014" s="389">
        <v>5</v>
      </c>
      <c r="R1014" s="430">
        <v>17</v>
      </c>
      <c r="S1014" s="339"/>
      <c r="T1014" s="362">
        <v>16</v>
      </c>
      <c r="U1014" s="337">
        <v>9</v>
      </c>
      <c r="V1014" s="338">
        <v>0.5</v>
      </c>
    </row>
    <row r="1015" spans="2:22" ht="13.5">
      <c r="B1015" s="1485">
        <v>201406</v>
      </c>
      <c r="C1015" s="326" t="s">
        <v>458</v>
      </c>
      <c r="D1015" s="327" t="s">
        <v>649</v>
      </c>
      <c r="E1015" s="1675" t="s">
        <v>645</v>
      </c>
      <c r="F1015" s="459">
        <v>414.24200000000002</v>
      </c>
      <c r="G1015" s="339">
        <v>186.27699999999999</v>
      </c>
      <c r="H1015" s="337">
        <v>132.452</v>
      </c>
      <c r="I1015" s="331">
        <v>10</v>
      </c>
      <c r="J1015" s="577">
        <v>0.408163</v>
      </c>
      <c r="K1015" s="579">
        <v>14.329000000000001</v>
      </c>
      <c r="L1015" s="436">
        <v>1.3</v>
      </c>
      <c r="M1015" s="42"/>
      <c r="N1015" s="334">
        <v>27</v>
      </c>
      <c r="O1015" s="335">
        <v>22</v>
      </c>
      <c r="P1015" s="335">
        <v>5</v>
      </c>
      <c r="Q1015" s="389">
        <v>0</v>
      </c>
      <c r="R1015" s="430">
        <v>0</v>
      </c>
      <c r="S1015" s="339"/>
      <c r="T1015" s="362">
        <v>5</v>
      </c>
      <c r="U1015" s="337">
        <v>3</v>
      </c>
      <c r="V1015" s="338">
        <v>0.6</v>
      </c>
    </row>
    <row r="1016" spans="2:22" ht="13.5">
      <c r="B1016" s="1485">
        <v>201406</v>
      </c>
      <c r="C1016" s="324" t="s">
        <v>458</v>
      </c>
      <c r="D1016" s="325" t="s">
        <v>650</v>
      </c>
      <c r="E1016" s="1674" t="s">
        <v>1777</v>
      </c>
      <c r="F1016" s="460">
        <v>138.77099999999999</v>
      </c>
      <c r="G1016" s="92">
        <v>102.3</v>
      </c>
      <c r="H1016" s="279">
        <v>96.025999999999996</v>
      </c>
      <c r="I1016" s="154">
        <v>6</v>
      </c>
      <c r="J1016" s="576">
        <v>0.36363600000000001</v>
      </c>
      <c r="K1016" s="578">
        <v>11.366666666666999</v>
      </c>
      <c r="L1016" s="437">
        <v>1.5</v>
      </c>
      <c r="M1016" s="42"/>
      <c r="N1016" s="47">
        <v>23</v>
      </c>
      <c r="O1016" s="45">
        <v>15</v>
      </c>
      <c r="P1016" s="45">
        <v>8</v>
      </c>
      <c r="Q1016" s="388">
        <v>0</v>
      </c>
      <c r="R1016" s="429">
        <v>0</v>
      </c>
      <c r="S1016" s="92">
        <v>5</v>
      </c>
      <c r="T1016" s="361">
        <v>8</v>
      </c>
      <c r="U1016" s="285">
        <v>5</v>
      </c>
      <c r="V1016" s="438">
        <v>0.625</v>
      </c>
    </row>
    <row r="1017" spans="2:22" ht="13.5">
      <c r="B1017" s="1485">
        <v>201406</v>
      </c>
      <c r="C1017" s="326" t="s">
        <v>458</v>
      </c>
      <c r="D1017" s="327" t="s">
        <v>642</v>
      </c>
      <c r="E1017" s="1675" t="s">
        <v>641</v>
      </c>
      <c r="F1017" s="459">
        <v>273.12</v>
      </c>
      <c r="G1017" s="339">
        <v>227.404</v>
      </c>
      <c r="H1017" s="337">
        <v>202.91</v>
      </c>
      <c r="I1017" s="331">
        <v>9</v>
      </c>
      <c r="J1017" s="577">
        <v>0.31578899999999999</v>
      </c>
      <c r="K1017" s="579">
        <v>16.243142857142999</v>
      </c>
      <c r="L1017" s="436">
        <v>1.5555559999999999</v>
      </c>
      <c r="M1017" s="42"/>
      <c r="N1017" s="334">
        <v>38</v>
      </c>
      <c r="O1017" s="335">
        <v>27</v>
      </c>
      <c r="P1017" s="335">
        <v>11</v>
      </c>
      <c r="Q1017" s="389">
        <v>0</v>
      </c>
      <c r="R1017" s="430">
        <v>0</v>
      </c>
      <c r="S1017" s="339">
        <v>3</v>
      </c>
      <c r="T1017" s="362">
        <v>16</v>
      </c>
      <c r="U1017" s="337">
        <v>9</v>
      </c>
      <c r="V1017" s="338">
        <v>0.81818181818181801</v>
      </c>
    </row>
    <row r="1018" spans="2:22" ht="13.5">
      <c r="B1018" s="1485">
        <v>201406</v>
      </c>
      <c r="C1018" s="324" t="s">
        <v>458</v>
      </c>
      <c r="D1018" s="325" t="s">
        <v>91</v>
      </c>
      <c r="E1018" s="1674" t="s">
        <v>92</v>
      </c>
      <c r="F1018" s="460">
        <v>3591.5039999999999</v>
      </c>
      <c r="G1018" s="92">
        <v>858.94799999999998</v>
      </c>
      <c r="H1018" s="279">
        <v>877.61099999999999</v>
      </c>
      <c r="I1018" s="154">
        <v>40</v>
      </c>
      <c r="J1018" s="576">
        <v>0.34782600000000002</v>
      </c>
      <c r="K1018" s="578">
        <v>14.558440677966001</v>
      </c>
      <c r="L1018" s="437">
        <v>1.4750000000000001</v>
      </c>
      <c r="M1018" s="42"/>
      <c r="N1018" s="47">
        <v>104</v>
      </c>
      <c r="O1018" s="45">
        <v>78</v>
      </c>
      <c r="P1018" s="45">
        <v>21</v>
      </c>
      <c r="Q1018" s="388">
        <v>5</v>
      </c>
      <c r="R1018" s="429">
        <v>35</v>
      </c>
      <c r="S1018" s="92">
        <v>2</v>
      </c>
      <c r="T1018" s="361">
        <v>11</v>
      </c>
      <c r="U1018" s="285">
        <v>8</v>
      </c>
      <c r="V1018" s="438">
        <v>0.30769230769230799</v>
      </c>
    </row>
    <row r="1019" spans="2:22" ht="13.5">
      <c r="B1019" s="1485">
        <v>201406</v>
      </c>
      <c r="C1019" s="326" t="s">
        <v>458</v>
      </c>
      <c r="D1019" s="327" t="s">
        <v>187</v>
      </c>
      <c r="E1019" s="1675" t="s">
        <v>194</v>
      </c>
      <c r="F1019" s="459">
        <v>1451.8710000000001</v>
      </c>
      <c r="G1019" s="339">
        <v>356.15</v>
      </c>
      <c r="H1019" s="337">
        <v>382.17099999999999</v>
      </c>
      <c r="I1019" s="331">
        <v>16</v>
      </c>
      <c r="J1019" s="577">
        <v>0.23880599999999999</v>
      </c>
      <c r="K1019" s="579">
        <v>16.188636363636</v>
      </c>
      <c r="L1019" s="436">
        <v>1.375</v>
      </c>
      <c r="M1019" s="42"/>
      <c r="N1019" s="334">
        <v>66</v>
      </c>
      <c r="O1019" s="335">
        <v>54</v>
      </c>
      <c r="P1019" s="335">
        <v>12</v>
      </c>
      <c r="Q1019" s="389">
        <v>0</v>
      </c>
      <c r="R1019" s="430">
        <v>12</v>
      </c>
      <c r="S1019" s="339">
        <v>2</v>
      </c>
      <c r="T1019" s="362">
        <v>8</v>
      </c>
      <c r="U1019" s="337">
        <v>4</v>
      </c>
      <c r="V1019" s="338">
        <v>0.33333333333333298</v>
      </c>
    </row>
    <row r="1020" spans="2:22" ht="13.5">
      <c r="B1020" s="1485">
        <v>201406</v>
      </c>
      <c r="C1020" s="324" t="s">
        <v>458</v>
      </c>
      <c r="D1020" s="325" t="s">
        <v>734</v>
      </c>
      <c r="E1020" s="1674" t="s">
        <v>1766</v>
      </c>
      <c r="F1020" s="460">
        <v>48.789000000000001</v>
      </c>
      <c r="G1020" s="92">
        <v>48.789000000000001</v>
      </c>
      <c r="H1020" s="279">
        <v>48.789000000000001</v>
      </c>
      <c r="I1020" s="154">
        <v>1</v>
      </c>
      <c r="J1020" s="576">
        <v>0.4</v>
      </c>
      <c r="K1020" s="578">
        <v>16.263000000000002</v>
      </c>
      <c r="L1020" s="437">
        <v>3</v>
      </c>
      <c r="M1020" s="42"/>
      <c r="N1020" s="47">
        <v>5</v>
      </c>
      <c r="O1020" s="45">
        <v>2</v>
      </c>
      <c r="P1020" s="45">
        <v>3</v>
      </c>
      <c r="Q1020" s="388">
        <v>0</v>
      </c>
      <c r="R1020" s="429">
        <v>0</v>
      </c>
      <c r="S1020" s="92">
        <v>3</v>
      </c>
      <c r="T1020" s="361">
        <v>2</v>
      </c>
      <c r="U1020" s="285">
        <v>1</v>
      </c>
      <c r="V1020" s="438">
        <v>0.33333333333333298</v>
      </c>
    </row>
    <row r="1021" spans="2:22" ht="13.5">
      <c r="B1021" s="1485">
        <v>201406</v>
      </c>
      <c r="C1021" s="326" t="s">
        <v>458</v>
      </c>
      <c r="D1021" s="327" t="s">
        <v>735</v>
      </c>
      <c r="E1021" s="1675" t="s">
        <v>790</v>
      </c>
      <c r="F1021" s="459">
        <v>784.78800000000001</v>
      </c>
      <c r="G1021" s="339">
        <v>850.65099999999995</v>
      </c>
      <c r="H1021" s="337">
        <v>784.78800000000001</v>
      </c>
      <c r="I1021" s="331">
        <v>9</v>
      </c>
      <c r="J1021" s="577">
        <v>1</v>
      </c>
      <c r="K1021" s="579">
        <v>50.038294117646998</v>
      </c>
      <c r="L1021" s="436">
        <v>1.888889</v>
      </c>
      <c r="M1021" s="42"/>
      <c r="N1021" s="334">
        <v>16</v>
      </c>
      <c r="O1021" s="335">
        <v>13</v>
      </c>
      <c r="P1021" s="335">
        <v>3</v>
      </c>
      <c r="Q1021" s="389">
        <v>0</v>
      </c>
      <c r="R1021" s="430">
        <v>0</v>
      </c>
      <c r="S1021" s="339">
        <v>1</v>
      </c>
      <c r="T1021" s="362">
        <v>13</v>
      </c>
      <c r="U1021" s="337">
        <v>3</v>
      </c>
      <c r="V1021" s="338">
        <v>1</v>
      </c>
    </row>
    <row r="1022" spans="2:22" ht="13.5">
      <c r="B1022" s="1485">
        <v>201406</v>
      </c>
      <c r="C1022" s="324" t="s">
        <v>458</v>
      </c>
      <c r="D1022" s="325" t="s">
        <v>628</v>
      </c>
      <c r="E1022" s="1674" t="s">
        <v>629</v>
      </c>
      <c r="F1022" s="460">
        <v>704.19500000000005</v>
      </c>
      <c r="G1022" s="92">
        <v>338.46800000000002</v>
      </c>
      <c r="H1022" s="279">
        <v>325.56799999999998</v>
      </c>
      <c r="I1022" s="154">
        <v>22</v>
      </c>
      <c r="J1022" s="576">
        <v>0.37606800000000001</v>
      </c>
      <c r="K1022" s="578">
        <v>13.018000000000001</v>
      </c>
      <c r="L1022" s="437">
        <v>1.181818</v>
      </c>
      <c r="M1022" s="42"/>
      <c r="N1022" s="47">
        <v>69</v>
      </c>
      <c r="O1022" s="45">
        <v>48</v>
      </c>
      <c r="P1022" s="45">
        <v>21</v>
      </c>
      <c r="Q1022" s="388">
        <v>0</v>
      </c>
      <c r="R1022" s="429">
        <v>0</v>
      </c>
      <c r="S1022" s="92">
        <v>8</v>
      </c>
      <c r="T1022" s="361">
        <v>13</v>
      </c>
      <c r="U1022" s="285">
        <v>11</v>
      </c>
      <c r="V1022" s="438">
        <v>0.52380952380952395</v>
      </c>
    </row>
    <row r="1023" spans="2:22" ht="13.5">
      <c r="B1023" s="1485">
        <v>201406</v>
      </c>
      <c r="C1023" s="326" t="s">
        <v>458</v>
      </c>
      <c r="D1023" s="327" t="s">
        <v>557</v>
      </c>
      <c r="E1023" s="1678" t="s">
        <v>1770</v>
      </c>
      <c r="F1023" s="459">
        <v>196.41200000000001</v>
      </c>
      <c r="G1023" s="339">
        <v>82.710999999999999</v>
      </c>
      <c r="H1023" s="337">
        <v>82.710999999999999</v>
      </c>
      <c r="I1023" s="331">
        <v>6</v>
      </c>
      <c r="J1023" s="577">
        <v>0.272727</v>
      </c>
      <c r="K1023" s="579">
        <v>13.785166666666999</v>
      </c>
      <c r="L1023" s="436">
        <v>1</v>
      </c>
      <c r="M1023" s="42"/>
      <c r="N1023" s="334">
        <v>23</v>
      </c>
      <c r="O1023" s="335">
        <v>18</v>
      </c>
      <c r="P1023" s="335">
        <v>5</v>
      </c>
      <c r="Q1023" s="389">
        <v>0</v>
      </c>
      <c r="R1023" s="430">
        <v>0</v>
      </c>
      <c r="S1023" s="339"/>
      <c r="T1023" s="362">
        <v>2</v>
      </c>
      <c r="U1023" s="337">
        <v>1</v>
      </c>
      <c r="V1023" s="338">
        <v>0.2</v>
      </c>
    </row>
    <row r="1024" spans="2:22" ht="13.5">
      <c r="B1024" s="1485">
        <v>201406</v>
      </c>
      <c r="C1024" s="324" t="s">
        <v>458</v>
      </c>
      <c r="D1024" s="325" t="s">
        <v>47</v>
      </c>
      <c r="E1024" s="1674" t="s">
        <v>17</v>
      </c>
      <c r="F1024" s="460">
        <v>1989.519</v>
      </c>
      <c r="G1024" s="92">
        <v>779.00599999999997</v>
      </c>
      <c r="H1024" s="279">
        <v>751.74400000000003</v>
      </c>
      <c r="I1024" s="154">
        <v>29</v>
      </c>
      <c r="J1024" s="576">
        <v>0.27884599999999998</v>
      </c>
      <c r="K1024" s="578">
        <v>17.704681818181999</v>
      </c>
      <c r="L1024" s="437">
        <v>1.5172410000000001</v>
      </c>
      <c r="M1024" s="42"/>
      <c r="N1024" s="47">
        <v>95</v>
      </c>
      <c r="O1024" s="45">
        <v>75</v>
      </c>
      <c r="P1024" s="45">
        <v>17</v>
      </c>
      <c r="Q1024" s="388">
        <v>3</v>
      </c>
      <c r="R1024" s="429">
        <v>22</v>
      </c>
      <c r="S1024" s="92"/>
      <c r="T1024" s="361">
        <v>4</v>
      </c>
      <c r="U1024" s="285">
        <v>3</v>
      </c>
      <c r="V1024" s="438">
        <v>0.15</v>
      </c>
    </row>
    <row r="1025" spans="2:24" ht="13.5">
      <c r="B1025" s="1485">
        <v>201406</v>
      </c>
      <c r="C1025" s="326" t="s">
        <v>458</v>
      </c>
      <c r="D1025" s="327" t="s">
        <v>736</v>
      </c>
      <c r="E1025" s="1675" t="s">
        <v>697</v>
      </c>
      <c r="F1025" s="459">
        <v>121.294</v>
      </c>
      <c r="G1025" s="339">
        <v>126.111</v>
      </c>
      <c r="H1025" s="337">
        <v>121.294</v>
      </c>
      <c r="I1025" s="331">
        <v>8</v>
      </c>
      <c r="J1025" s="577">
        <v>0.59259300000000004</v>
      </c>
      <c r="K1025" s="579">
        <v>14.012333333333</v>
      </c>
      <c r="L1025" s="436">
        <v>1.125</v>
      </c>
      <c r="M1025" s="42"/>
      <c r="N1025" s="334">
        <v>18</v>
      </c>
      <c r="O1025" s="335">
        <v>13</v>
      </c>
      <c r="P1025" s="335">
        <v>5</v>
      </c>
      <c r="Q1025" s="389">
        <v>0</v>
      </c>
      <c r="R1025" s="430">
        <v>0</v>
      </c>
      <c r="S1025" s="339"/>
      <c r="T1025" s="362">
        <v>9</v>
      </c>
      <c r="U1025" s="337">
        <v>4</v>
      </c>
      <c r="V1025" s="338">
        <v>0.8</v>
      </c>
    </row>
    <row r="1026" spans="2:24" ht="13.5">
      <c r="B1026" s="1485">
        <v>201406</v>
      </c>
      <c r="C1026" s="324" t="s">
        <v>458</v>
      </c>
      <c r="D1026" s="325" t="s">
        <v>647</v>
      </c>
      <c r="E1026" s="1674" t="s">
        <v>643</v>
      </c>
      <c r="F1026" s="460">
        <v>343.97</v>
      </c>
      <c r="G1026" s="92">
        <v>223.43100000000001</v>
      </c>
      <c r="H1026" s="279">
        <v>209.98</v>
      </c>
      <c r="I1026" s="154">
        <v>11</v>
      </c>
      <c r="J1026" s="576">
        <v>0.44897999999999999</v>
      </c>
      <c r="K1026" s="578">
        <v>10.639571428570999</v>
      </c>
      <c r="L1026" s="437">
        <v>1.9090910000000001</v>
      </c>
      <c r="M1026" s="42"/>
      <c r="N1026" s="47">
        <v>27</v>
      </c>
      <c r="O1026" s="45">
        <v>19</v>
      </c>
      <c r="P1026" s="45">
        <v>8</v>
      </c>
      <c r="Q1026" s="388">
        <v>0</v>
      </c>
      <c r="R1026" s="429">
        <v>0</v>
      </c>
      <c r="S1026" s="92"/>
      <c r="T1026" s="361">
        <v>5</v>
      </c>
      <c r="U1026" s="285">
        <v>3</v>
      </c>
      <c r="V1026" s="438">
        <v>0.375</v>
      </c>
    </row>
    <row r="1027" spans="2:24" ht="13.5">
      <c r="B1027" s="1485">
        <v>201406</v>
      </c>
      <c r="C1027" s="326" t="s">
        <v>458</v>
      </c>
      <c r="D1027" s="327" t="s">
        <v>630</v>
      </c>
      <c r="E1027" s="1675" t="s">
        <v>483</v>
      </c>
      <c r="F1027" s="459">
        <v>282.29199999999997</v>
      </c>
      <c r="G1027" s="339">
        <v>163.73500000000001</v>
      </c>
      <c r="H1027" s="337">
        <v>118.977</v>
      </c>
      <c r="I1027" s="331">
        <v>12</v>
      </c>
      <c r="J1027" s="577">
        <v>0.289157</v>
      </c>
      <c r="K1027" s="579">
        <v>12.595000000000001</v>
      </c>
      <c r="L1027" s="436">
        <v>1.0833330000000001</v>
      </c>
      <c r="M1027" s="42"/>
      <c r="N1027" s="334">
        <v>41</v>
      </c>
      <c r="O1027" s="335">
        <v>32</v>
      </c>
      <c r="P1027" s="335">
        <v>9</v>
      </c>
      <c r="Q1027" s="389">
        <v>0</v>
      </c>
      <c r="R1027" s="430">
        <v>9</v>
      </c>
      <c r="S1027" s="339">
        <v>1</v>
      </c>
      <c r="T1027" s="362">
        <v>7</v>
      </c>
      <c r="U1027" s="337">
        <v>5</v>
      </c>
      <c r="V1027" s="338">
        <v>0.55555555555555602</v>
      </c>
    </row>
    <row r="1028" spans="2:24" ht="13.5">
      <c r="B1028" s="1486">
        <v>201406</v>
      </c>
      <c r="C1028" s="324" t="s">
        <v>458</v>
      </c>
      <c r="D1028" s="325" t="s">
        <v>648</v>
      </c>
      <c r="E1028" s="1674" t="s">
        <v>644</v>
      </c>
      <c r="F1028" s="460">
        <v>210.80500000000001</v>
      </c>
      <c r="G1028" s="92">
        <v>174.08</v>
      </c>
      <c r="H1028" s="279">
        <v>174.08</v>
      </c>
      <c r="I1028" s="154">
        <v>9</v>
      </c>
      <c r="J1028" s="576">
        <v>0.62068999999999996</v>
      </c>
      <c r="K1028" s="578">
        <v>13.390769230768999</v>
      </c>
      <c r="L1028" s="437">
        <v>1.4444440000000001</v>
      </c>
      <c r="M1028" s="42"/>
      <c r="N1028" s="47">
        <v>18</v>
      </c>
      <c r="O1028" s="45">
        <v>11</v>
      </c>
      <c r="P1028" s="45">
        <v>7</v>
      </c>
      <c r="Q1028" s="388">
        <v>0</v>
      </c>
      <c r="R1028" s="429">
        <v>0</v>
      </c>
      <c r="S1028" s="92">
        <v>3</v>
      </c>
      <c r="T1028" s="361">
        <v>4</v>
      </c>
      <c r="U1028" s="285">
        <v>3</v>
      </c>
      <c r="V1028" s="438">
        <v>0.42857142857142899</v>
      </c>
    </row>
    <row r="1029" spans="2:24" ht="13.5">
      <c r="B1029" s="1486">
        <v>201406</v>
      </c>
      <c r="C1029" s="326" t="s">
        <v>459</v>
      </c>
      <c r="D1029" s="327" t="s">
        <v>661</v>
      </c>
      <c r="E1029" s="325" t="s">
        <v>1950</v>
      </c>
      <c r="F1029" s="459">
        <v>317.72000000000003</v>
      </c>
      <c r="G1029" s="339">
        <v>114.834</v>
      </c>
      <c r="H1029" s="337">
        <v>107.586</v>
      </c>
      <c r="I1029" s="331">
        <v>4</v>
      </c>
      <c r="J1029" s="577">
        <v>0.08</v>
      </c>
      <c r="K1029" s="579">
        <v>12.759333333333</v>
      </c>
      <c r="L1029" s="436">
        <v>2.25</v>
      </c>
      <c r="M1029" s="42"/>
      <c r="N1029" s="334">
        <v>49</v>
      </c>
      <c r="O1029" s="335">
        <v>38</v>
      </c>
      <c r="P1029" s="335">
        <v>8</v>
      </c>
      <c r="Q1029" s="389">
        <v>3</v>
      </c>
      <c r="R1029" s="430">
        <v>7</v>
      </c>
      <c r="S1029" s="339"/>
      <c r="T1029" s="362">
        <v>5</v>
      </c>
      <c r="U1029" s="337">
        <v>5</v>
      </c>
      <c r="V1029" s="338">
        <v>0.45454545454545497</v>
      </c>
    </row>
    <row r="1030" spans="2:24" ht="13.5">
      <c r="B1030" s="1486">
        <v>201406</v>
      </c>
      <c r="C1030" s="324" t="s">
        <v>459</v>
      </c>
      <c r="D1030" s="325" t="s">
        <v>179</v>
      </c>
      <c r="E1030" s="1674" t="s">
        <v>191</v>
      </c>
      <c r="F1030" s="460">
        <v>2034.54</v>
      </c>
      <c r="G1030" s="92">
        <v>751.25</v>
      </c>
      <c r="H1030" s="279">
        <v>714.75400000000002</v>
      </c>
      <c r="I1030" s="154">
        <v>30</v>
      </c>
      <c r="J1030" s="576">
        <v>0.32608700000000002</v>
      </c>
      <c r="K1030" s="578">
        <v>17.886904761905001</v>
      </c>
      <c r="L1030" s="437">
        <v>1.4</v>
      </c>
      <c r="M1030" s="42"/>
      <c r="N1030" s="47">
        <v>88</v>
      </c>
      <c r="O1030" s="45">
        <v>67</v>
      </c>
      <c r="P1030" s="45">
        <v>19</v>
      </c>
      <c r="Q1030" s="388">
        <v>2</v>
      </c>
      <c r="R1030" s="429">
        <v>22</v>
      </c>
      <c r="S1030" s="92">
        <v>2</v>
      </c>
      <c r="T1030" s="361">
        <v>12</v>
      </c>
      <c r="U1030" s="285">
        <v>7</v>
      </c>
      <c r="V1030" s="438">
        <v>0.33333333333333298</v>
      </c>
    </row>
    <row r="1031" spans="2:24" ht="13.5">
      <c r="B1031" s="1486">
        <v>201406</v>
      </c>
      <c r="C1031" s="326" t="s">
        <v>459</v>
      </c>
      <c r="D1031" s="327" t="s">
        <v>659</v>
      </c>
      <c r="E1031" s="1675" t="s">
        <v>655</v>
      </c>
      <c r="F1031" s="459">
        <v>543.17499999999995</v>
      </c>
      <c r="G1031" s="339">
        <v>311.16000000000003</v>
      </c>
      <c r="H1031" s="337">
        <v>311.16000000000003</v>
      </c>
      <c r="I1031" s="331">
        <v>11</v>
      </c>
      <c r="J1031" s="577">
        <v>0.34375</v>
      </c>
      <c r="K1031" s="579">
        <v>16.376842105263002</v>
      </c>
      <c r="L1031" s="436">
        <v>1.7272730000000001</v>
      </c>
      <c r="M1031" s="42"/>
      <c r="N1031" s="334">
        <v>43</v>
      </c>
      <c r="O1031" s="335">
        <v>33</v>
      </c>
      <c r="P1031" s="335">
        <v>10</v>
      </c>
      <c r="Q1031" s="389">
        <v>0</v>
      </c>
      <c r="R1031" s="430">
        <v>0</v>
      </c>
      <c r="S1031" s="339">
        <v>3</v>
      </c>
      <c r="T1031" s="362">
        <v>19</v>
      </c>
      <c r="U1031" s="337">
        <v>6</v>
      </c>
      <c r="V1031" s="338">
        <v>0.6</v>
      </c>
    </row>
    <row r="1032" spans="2:24" ht="13.5">
      <c r="B1032" s="1486">
        <v>201406</v>
      </c>
      <c r="C1032" s="324" t="s">
        <v>459</v>
      </c>
      <c r="D1032" s="325" t="s">
        <v>699</v>
      </c>
      <c r="E1032" s="1674" t="s">
        <v>698</v>
      </c>
      <c r="F1032" s="460">
        <v>162.12899999999999</v>
      </c>
      <c r="G1032" s="92">
        <v>168.48400000000001</v>
      </c>
      <c r="H1032" s="279">
        <v>162.12899999999999</v>
      </c>
      <c r="I1032" s="154">
        <v>8</v>
      </c>
      <c r="J1032" s="576">
        <v>1.066667</v>
      </c>
      <c r="K1032" s="578">
        <v>12.034571428571001</v>
      </c>
      <c r="L1032" s="437">
        <v>1.75</v>
      </c>
      <c r="M1032" s="42"/>
      <c r="N1032" s="47">
        <v>15</v>
      </c>
      <c r="O1032" s="45">
        <v>11</v>
      </c>
      <c r="P1032" s="45">
        <v>4</v>
      </c>
      <c r="Q1032" s="388">
        <v>0</v>
      </c>
      <c r="R1032" s="429">
        <v>0</v>
      </c>
      <c r="S1032" s="92">
        <v>4</v>
      </c>
      <c r="T1032" s="361">
        <v>11</v>
      </c>
      <c r="U1032" s="285">
        <v>3</v>
      </c>
      <c r="V1032" s="438">
        <v>0.75</v>
      </c>
    </row>
    <row r="1033" spans="2:24" ht="13.5">
      <c r="B1033" s="1486">
        <v>201406</v>
      </c>
      <c r="C1033" s="326" t="s">
        <v>459</v>
      </c>
      <c r="D1033" s="327" t="s">
        <v>185</v>
      </c>
      <c r="E1033" s="1675" t="s">
        <v>190</v>
      </c>
      <c r="F1033" s="459">
        <v>726.80100000000004</v>
      </c>
      <c r="G1033" s="339">
        <v>302.40199999999999</v>
      </c>
      <c r="H1033" s="337">
        <v>323.35599999999999</v>
      </c>
      <c r="I1033" s="331">
        <v>18</v>
      </c>
      <c r="J1033" s="577">
        <v>0.26865699999999998</v>
      </c>
      <c r="K1033" s="579">
        <v>12.096080000000001</v>
      </c>
      <c r="L1033" s="436">
        <v>1.388889</v>
      </c>
      <c r="M1033" s="42"/>
      <c r="N1033" s="334">
        <v>62</v>
      </c>
      <c r="O1033" s="335">
        <v>47</v>
      </c>
      <c r="P1033" s="335">
        <v>11</v>
      </c>
      <c r="Q1033" s="389">
        <v>4</v>
      </c>
      <c r="R1033" s="430">
        <v>18</v>
      </c>
      <c r="S1033" s="339">
        <v>1</v>
      </c>
      <c r="T1033" s="362">
        <v>7</v>
      </c>
      <c r="U1033" s="337">
        <v>5</v>
      </c>
      <c r="V1033" s="338">
        <v>0.33333333333333298</v>
      </c>
    </row>
    <row r="1034" spans="2:24" ht="13.5">
      <c r="B1034" s="1486">
        <v>201406</v>
      </c>
      <c r="C1034" s="324" t="s">
        <v>459</v>
      </c>
      <c r="D1034" s="325" t="s">
        <v>660</v>
      </c>
      <c r="E1034" s="1674" t="s">
        <v>656</v>
      </c>
      <c r="F1034" s="460">
        <v>236.101</v>
      </c>
      <c r="G1034" s="92">
        <v>183.923</v>
      </c>
      <c r="H1034" s="279">
        <v>130.30799999999999</v>
      </c>
      <c r="I1034" s="154">
        <v>8</v>
      </c>
      <c r="J1034" s="576">
        <v>0.38095200000000001</v>
      </c>
      <c r="K1034" s="578">
        <v>18.392299999999999</v>
      </c>
      <c r="L1034" s="437">
        <v>1.25</v>
      </c>
      <c r="M1034" s="42"/>
      <c r="N1034" s="47">
        <v>26</v>
      </c>
      <c r="O1034" s="45">
        <v>21</v>
      </c>
      <c r="P1034" s="45">
        <v>5</v>
      </c>
      <c r="Q1034" s="388">
        <v>0</v>
      </c>
      <c r="R1034" s="429">
        <v>0</v>
      </c>
      <c r="S1034" s="92"/>
      <c r="T1034" s="361">
        <v>10</v>
      </c>
      <c r="U1034" s="285">
        <v>5</v>
      </c>
      <c r="V1034" s="438">
        <v>1</v>
      </c>
    </row>
    <row r="1035" spans="2:24" ht="13.5">
      <c r="B1035" s="1486">
        <v>201406</v>
      </c>
      <c r="C1035" s="326" t="s">
        <v>459</v>
      </c>
      <c r="D1035" s="327" t="s">
        <v>737</v>
      </c>
      <c r="E1035" s="1675"/>
      <c r="F1035" s="459">
        <v>84.23</v>
      </c>
      <c r="G1035" s="339">
        <v>84.23</v>
      </c>
      <c r="H1035" s="337">
        <v>84.23</v>
      </c>
      <c r="I1035" s="331">
        <v>8</v>
      </c>
      <c r="J1035" s="577">
        <v>0.8</v>
      </c>
      <c r="K1035" s="579">
        <v>10.52875</v>
      </c>
      <c r="L1035" s="436">
        <v>1</v>
      </c>
      <c r="M1035" s="42"/>
      <c r="N1035" s="334">
        <v>20</v>
      </c>
      <c r="O1035" s="335">
        <v>13</v>
      </c>
      <c r="P1035" s="335">
        <v>7</v>
      </c>
      <c r="Q1035" s="389">
        <v>0</v>
      </c>
      <c r="R1035" s="430">
        <v>0</v>
      </c>
      <c r="S1035" s="339">
        <v>7</v>
      </c>
      <c r="T1035" s="362">
        <v>13</v>
      </c>
      <c r="U1035" s="337">
        <v>6</v>
      </c>
      <c r="V1035" s="338">
        <v>0.85714285714285698</v>
      </c>
    </row>
    <row r="1036" spans="2:24" ht="13.5">
      <c r="B1036" s="1486">
        <v>201406</v>
      </c>
      <c r="C1036" s="324" t="s">
        <v>459</v>
      </c>
      <c r="D1036" s="325" t="s">
        <v>662</v>
      </c>
      <c r="E1036" s="1674"/>
      <c r="F1036" s="460">
        <v>296.27699999999999</v>
      </c>
      <c r="G1036" s="92">
        <v>204.78800000000001</v>
      </c>
      <c r="H1036" s="279">
        <v>173.13300000000001</v>
      </c>
      <c r="I1036" s="154">
        <v>5</v>
      </c>
      <c r="J1036" s="576">
        <v>0.37036999999999998</v>
      </c>
      <c r="K1036" s="578">
        <v>18.617090909091001</v>
      </c>
      <c r="L1036" s="437">
        <v>2.2000000000000002</v>
      </c>
      <c r="M1036" s="42"/>
      <c r="N1036" s="47">
        <v>16</v>
      </c>
      <c r="O1036" s="45">
        <v>13</v>
      </c>
      <c r="P1036" s="45">
        <v>3</v>
      </c>
      <c r="Q1036" s="388">
        <v>0</v>
      </c>
      <c r="R1036" s="429">
        <v>0</v>
      </c>
      <c r="S1036" s="92">
        <v>1</v>
      </c>
      <c r="T1036" s="361">
        <v>4</v>
      </c>
      <c r="U1036" s="285">
        <v>2</v>
      </c>
      <c r="V1036" s="438">
        <v>0.66666666666666696</v>
      </c>
    </row>
    <row r="1037" spans="2:24" ht="14.25" customHeight="1">
      <c r="B1037" s="1486">
        <v>201406</v>
      </c>
      <c r="C1037" s="326" t="s">
        <v>459</v>
      </c>
      <c r="D1037" s="327" t="s">
        <v>177</v>
      </c>
      <c r="E1037" s="1675" t="s">
        <v>189</v>
      </c>
      <c r="F1037" s="459">
        <v>2549.16</v>
      </c>
      <c r="G1037" s="339">
        <v>1304.348</v>
      </c>
      <c r="H1037" s="337">
        <v>1291.7850000000001</v>
      </c>
      <c r="I1037" s="331">
        <v>42</v>
      </c>
      <c r="J1037" s="577">
        <v>0.33201599999999998</v>
      </c>
      <c r="K1037" s="579">
        <v>17.867780821918</v>
      </c>
      <c r="L1037" s="436">
        <v>1.7380949999999999</v>
      </c>
      <c r="M1037" s="42"/>
      <c r="N1037" s="334">
        <v>124</v>
      </c>
      <c r="O1037" s="335">
        <v>88</v>
      </c>
      <c r="P1037" s="335">
        <v>30</v>
      </c>
      <c r="Q1037" s="389">
        <v>6</v>
      </c>
      <c r="R1037" s="430">
        <v>39</v>
      </c>
      <c r="S1037" s="339">
        <v>6</v>
      </c>
      <c r="T1037" s="362">
        <v>28</v>
      </c>
      <c r="U1037" s="337">
        <v>17</v>
      </c>
      <c r="V1037" s="338">
        <v>0.47222222222222199</v>
      </c>
      <c r="W1037" s="1016"/>
      <c r="X1037" s="592"/>
    </row>
    <row r="1038" spans="2:24" ht="14.25" customHeight="1">
      <c r="B1038" s="1486">
        <v>201406</v>
      </c>
      <c r="C1038" s="324" t="s">
        <v>459</v>
      </c>
      <c r="D1038" s="325" t="s">
        <v>176</v>
      </c>
      <c r="E1038" s="1674" t="s">
        <v>188</v>
      </c>
      <c r="F1038" s="460">
        <v>1249.8109999999999</v>
      </c>
      <c r="G1038" s="92">
        <v>650.34500000000003</v>
      </c>
      <c r="H1038" s="279">
        <v>656.60500000000002</v>
      </c>
      <c r="I1038" s="154">
        <v>23</v>
      </c>
      <c r="J1038" s="576">
        <v>0.27710800000000002</v>
      </c>
      <c r="K1038" s="578">
        <v>13.548854166667001</v>
      </c>
      <c r="L1038" s="437">
        <v>2.086957</v>
      </c>
      <c r="M1038" s="42"/>
      <c r="N1038" s="47">
        <v>76</v>
      </c>
      <c r="O1038" s="45">
        <v>54</v>
      </c>
      <c r="P1038" s="45">
        <v>17</v>
      </c>
      <c r="Q1038" s="388">
        <v>5</v>
      </c>
      <c r="R1038" s="429">
        <v>40</v>
      </c>
      <c r="S1038" s="92">
        <v>4</v>
      </c>
      <c r="T1038" s="361">
        <v>22</v>
      </c>
      <c r="U1038" s="285">
        <v>10</v>
      </c>
      <c r="V1038" s="438">
        <v>0.45454545454545497</v>
      </c>
      <c r="W1038" s="1016"/>
      <c r="X1038" s="592"/>
    </row>
    <row r="1039" spans="2:24" ht="14.25" customHeight="1">
      <c r="B1039" s="1467">
        <v>201405</v>
      </c>
      <c r="C1039" s="1468" t="s">
        <v>458</v>
      </c>
      <c r="D1039" s="1469" t="s">
        <v>649</v>
      </c>
      <c r="E1039" s="1677" t="s">
        <v>645</v>
      </c>
      <c r="F1039" s="610">
        <v>281.79000000000002</v>
      </c>
      <c r="G1039" s="164">
        <v>257.8</v>
      </c>
      <c r="H1039" s="90">
        <v>202.11</v>
      </c>
      <c r="I1039" s="154">
        <v>5</v>
      </c>
      <c r="J1039" s="46">
        <v>0.26319999999999999</v>
      </c>
      <c r="K1039" s="54">
        <v>25.78</v>
      </c>
      <c r="L1039" s="437">
        <v>2</v>
      </c>
      <c r="M1039" s="1470"/>
      <c r="N1039" s="47">
        <v>22</v>
      </c>
      <c r="O1039" s="45">
        <v>17</v>
      </c>
      <c r="P1039" s="388">
        <v>5</v>
      </c>
      <c r="Q1039" s="388">
        <v>0</v>
      </c>
      <c r="R1039" s="429">
        <v>2</v>
      </c>
      <c r="S1039" s="92">
        <v>1</v>
      </c>
      <c r="T1039" s="361">
        <v>7</v>
      </c>
      <c r="U1039" s="285">
        <v>3</v>
      </c>
      <c r="V1039" s="438">
        <f t="shared" ref="V1039:V1045" si="7">IF((P1039+Q1039)&lt;&gt;0,U1039/(P1039+Q1039),0)</f>
        <v>0.6</v>
      </c>
      <c r="W1039" s="1016"/>
      <c r="X1039" s="592"/>
    </row>
    <row r="1040" spans="2:24" ht="14.25" customHeight="1">
      <c r="B1040" s="1467">
        <v>201405</v>
      </c>
      <c r="C1040" s="1471" t="s">
        <v>458</v>
      </c>
      <c r="D1040" s="1472" t="s">
        <v>650</v>
      </c>
      <c r="E1040" s="1678" t="s">
        <v>1777</v>
      </c>
      <c r="F1040" s="611">
        <v>42.744999999999997</v>
      </c>
      <c r="G1040" s="329">
        <v>64.41</v>
      </c>
      <c r="H1040" s="330">
        <v>42.75</v>
      </c>
      <c r="I1040" s="331">
        <v>5</v>
      </c>
      <c r="J1040" s="332">
        <v>0.58819999999999995</v>
      </c>
      <c r="K1040" s="333">
        <v>10.74</v>
      </c>
      <c r="L1040" s="436">
        <v>1.2</v>
      </c>
      <c r="M1040" s="1470"/>
      <c r="N1040" s="334">
        <v>10</v>
      </c>
      <c r="O1040" s="335">
        <v>7</v>
      </c>
      <c r="P1040" s="389">
        <v>3</v>
      </c>
      <c r="Q1040" s="389">
        <v>0</v>
      </c>
      <c r="R1040" s="430">
        <v>0</v>
      </c>
      <c r="S1040" s="339">
        <v>0</v>
      </c>
      <c r="T1040" s="362">
        <v>3</v>
      </c>
      <c r="U1040" s="337">
        <v>2</v>
      </c>
      <c r="V1040" s="338">
        <f t="shared" si="7"/>
        <v>0.66666666666666663</v>
      </c>
      <c r="W1040" s="1016"/>
      <c r="X1040" s="592"/>
    </row>
    <row r="1041" spans="2:24" ht="14.25" customHeight="1">
      <c r="B1041" s="1467">
        <v>201405</v>
      </c>
      <c r="C1041" s="1468" t="s">
        <v>458</v>
      </c>
      <c r="D1041" s="1469" t="s">
        <v>642</v>
      </c>
      <c r="E1041" s="1677" t="s">
        <v>641</v>
      </c>
      <c r="F1041" s="610">
        <v>70.209999999999994</v>
      </c>
      <c r="G1041" s="164">
        <v>114.26</v>
      </c>
      <c r="H1041" s="90">
        <v>70.209999999999994</v>
      </c>
      <c r="I1041" s="154">
        <v>4</v>
      </c>
      <c r="J1041" s="46">
        <v>0.32</v>
      </c>
      <c r="K1041" s="54">
        <v>22.85</v>
      </c>
      <c r="L1041" s="437">
        <v>1.25</v>
      </c>
      <c r="M1041" s="1470"/>
      <c r="N1041" s="47">
        <v>19</v>
      </c>
      <c r="O1041" s="45">
        <v>11</v>
      </c>
      <c r="P1041" s="388">
        <v>8</v>
      </c>
      <c r="Q1041" s="388">
        <v>0</v>
      </c>
      <c r="R1041" s="429">
        <v>0</v>
      </c>
      <c r="S1041" s="92">
        <v>5</v>
      </c>
      <c r="T1041" s="361">
        <v>8</v>
      </c>
      <c r="U1041" s="285">
        <v>5</v>
      </c>
      <c r="V1041" s="438">
        <f t="shared" si="7"/>
        <v>0.625</v>
      </c>
      <c r="W1041" s="1016"/>
      <c r="X1041" s="592"/>
    </row>
    <row r="1042" spans="2:24" ht="14.25" customHeight="1">
      <c r="B1042" s="1467">
        <v>201405</v>
      </c>
      <c r="C1042" s="1471" t="s">
        <v>458</v>
      </c>
      <c r="D1042" s="1472" t="s">
        <v>91</v>
      </c>
      <c r="E1042" s="1678" t="s">
        <v>92</v>
      </c>
      <c r="F1042" s="611">
        <v>2713.893</v>
      </c>
      <c r="G1042" s="329">
        <v>565.77</v>
      </c>
      <c r="H1042" s="330">
        <v>592.73</v>
      </c>
      <c r="I1042" s="331">
        <v>37</v>
      </c>
      <c r="J1042" s="332">
        <v>0.2868</v>
      </c>
      <c r="K1042" s="333">
        <v>14.89</v>
      </c>
      <c r="L1042" s="436">
        <v>1.03</v>
      </c>
      <c r="M1042" s="1470"/>
      <c r="N1042" s="334">
        <v>126</v>
      </c>
      <c r="O1042" s="335">
        <v>102</v>
      </c>
      <c r="P1042" s="389">
        <v>19</v>
      </c>
      <c r="Q1042" s="389">
        <v>5</v>
      </c>
      <c r="R1042" s="430">
        <v>25</v>
      </c>
      <c r="S1042" s="339">
        <v>2</v>
      </c>
      <c r="T1042" s="362">
        <v>17</v>
      </c>
      <c r="U1042" s="337">
        <v>12</v>
      </c>
      <c r="V1042" s="338">
        <f t="shared" si="7"/>
        <v>0.5</v>
      </c>
      <c r="W1042" s="1016"/>
      <c r="X1042" s="592"/>
    </row>
    <row r="1043" spans="2:24" ht="14.25" customHeight="1">
      <c r="B1043" s="1467">
        <v>201405</v>
      </c>
      <c r="C1043" s="1468" t="s">
        <v>458</v>
      </c>
      <c r="D1043" s="1469" t="s">
        <v>187</v>
      </c>
      <c r="E1043" s="1677" t="s">
        <v>194</v>
      </c>
      <c r="F1043" s="610">
        <v>1069.7</v>
      </c>
      <c r="G1043" s="164">
        <v>543.5</v>
      </c>
      <c r="H1043" s="90">
        <v>429.74</v>
      </c>
      <c r="I1043" s="154">
        <v>12</v>
      </c>
      <c r="J1043" s="46">
        <v>0.17649999999999999</v>
      </c>
      <c r="K1043" s="54">
        <v>24.7</v>
      </c>
      <c r="L1043" s="437">
        <v>1.83</v>
      </c>
      <c r="M1043" s="1470"/>
      <c r="N1043" s="47">
        <v>68</v>
      </c>
      <c r="O1043" s="45">
        <v>57</v>
      </c>
      <c r="P1043" s="388">
        <v>10</v>
      </c>
      <c r="Q1043" s="388">
        <v>1</v>
      </c>
      <c r="R1043" s="429">
        <v>9</v>
      </c>
      <c r="S1043" s="92">
        <v>1</v>
      </c>
      <c r="T1043" s="361">
        <v>7</v>
      </c>
      <c r="U1043" s="285">
        <v>5</v>
      </c>
      <c r="V1043" s="438">
        <f t="shared" si="7"/>
        <v>0.45454545454545453</v>
      </c>
      <c r="W1043" s="1016"/>
      <c r="X1043" s="592"/>
    </row>
    <row r="1044" spans="2:24" ht="14.25" customHeight="1">
      <c r="B1044" s="1467">
        <v>201405</v>
      </c>
      <c r="C1044" s="1471" t="s">
        <v>458</v>
      </c>
      <c r="D1044" s="1472" t="s">
        <v>628</v>
      </c>
      <c r="E1044" s="1678" t="s">
        <v>629</v>
      </c>
      <c r="F1044" s="611">
        <v>378.62700000000001</v>
      </c>
      <c r="G1044" s="329">
        <v>151.12</v>
      </c>
      <c r="H1044" s="330">
        <v>151.12</v>
      </c>
      <c r="I1044" s="331">
        <v>12</v>
      </c>
      <c r="J1044" s="332">
        <v>0.2697</v>
      </c>
      <c r="K1044" s="333">
        <v>15.11</v>
      </c>
      <c r="L1044" s="436">
        <v>0.83</v>
      </c>
      <c r="M1044" s="1470"/>
      <c r="N1044" s="334">
        <v>48</v>
      </c>
      <c r="O1044" s="335">
        <v>35</v>
      </c>
      <c r="P1044" s="389">
        <v>13</v>
      </c>
      <c r="Q1044" s="389">
        <v>0</v>
      </c>
      <c r="R1044" s="430">
        <v>0</v>
      </c>
      <c r="S1044" s="339">
        <v>1</v>
      </c>
      <c r="T1044" s="362">
        <v>6</v>
      </c>
      <c r="U1044" s="337">
        <v>5</v>
      </c>
      <c r="V1044" s="438">
        <f t="shared" si="7"/>
        <v>0.38461538461538464</v>
      </c>
      <c r="W1044" s="1016"/>
      <c r="X1044" s="592"/>
    </row>
    <row r="1045" spans="2:24" ht="14.25" customHeight="1">
      <c r="B1045" s="1467">
        <v>201405</v>
      </c>
      <c r="C1045" s="1468" t="s">
        <v>458</v>
      </c>
      <c r="D1045" s="1469" t="s">
        <v>696</v>
      </c>
      <c r="E1045" s="1677" t="s">
        <v>697</v>
      </c>
      <c r="F1045" s="610">
        <v>0</v>
      </c>
      <c r="G1045" s="164">
        <v>0</v>
      </c>
      <c r="H1045" s="90">
        <v>0</v>
      </c>
      <c r="I1045" s="154">
        <v>0</v>
      </c>
      <c r="J1045" s="46">
        <v>0</v>
      </c>
      <c r="K1045" s="54">
        <v>0</v>
      </c>
      <c r="L1045" s="437">
        <v>0</v>
      </c>
      <c r="M1045" s="1470"/>
      <c r="N1045" s="47">
        <v>5</v>
      </c>
      <c r="O1045" s="45">
        <v>4</v>
      </c>
      <c r="P1045" s="388">
        <v>1</v>
      </c>
      <c r="Q1045" s="388">
        <v>0</v>
      </c>
      <c r="R1045" s="429">
        <v>0</v>
      </c>
      <c r="S1045" s="92">
        <v>5</v>
      </c>
      <c r="T1045" s="361">
        <v>4</v>
      </c>
      <c r="U1045" s="285">
        <v>2</v>
      </c>
      <c r="V1045" s="438">
        <f t="shared" si="7"/>
        <v>2</v>
      </c>
      <c r="W1045" s="1016"/>
      <c r="X1045" s="592"/>
    </row>
    <row r="1046" spans="2:24" ht="14.25" customHeight="1">
      <c r="B1046" s="1467">
        <v>201405</v>
      </c>
      <c r="C1046" s="1471" t="s">
        <v>458</v>
      </c>
      <c r="D1046" s="1472" t="s">
        <v>557</v>
      </c>
      <c r="E1046" s="1678" t="s">
        <v>1770</v>
      </c>
      <c r="F1046" s="611">
        <v>113.70099999999999</v>
      </c>
      <c r="G1046" s="329">
        <v>39.58</v>
      </c>
      <c r="H1046" s="330">
        <v>39.58</v>
      </c>
      <c r="I1046" s="331">
        <v>2</v>
      </c>
      <c r="J1046" s="332">
        <v>0.1081</v>
      </c>
      <c r="K1046" s="333">
        <v>13.19</v>
      </c>
      <c r="L1046" s="436">
        <v>1.5</v>
      </c>
      <c r="M1046" s="1470"/>
      <c r="N1046" s="334">
        <v>21</v>
      </c>
      <c r="O1046" s="335">
        <v>16</v>
      </c>
      <c r="P1046" s="389">
        <v>5</v>
      </c>
      <c r="Q1046" s="389">
        <v>0</v>
      </c>
      <c r="R1046" s="430">
        <v>0</v>
      </c>
      <c r="S1046" s="339">
        <v>1</v>
      </c>
      <c r="T1046" s="362">
        <v>4</v>
      </c>
      <c r="U1046" s="337">
        <v>3</v>
      </c>
      <c r="V1046" s="338">
        <f t="shared" ref="V1046:V1059" si="8">IF((P1046+Q1046)&lt;&gt;0,U1046/(P1046+Q1046),0)</f>
        <v>0.6</v>
      </c>
      <c r="W1046" s="1016"/>
      <c r="X1046" s="592"/>
    </row>
    <row r="1047" spans="2:24" ht="14.25" customHeight="1">
      <c r="B1047" s="1467">
        <v>201405</v>
      </c>
      <c r="C1047" s="1471" t="s">
        <v>458</v>
      </c>
      <c r="D1047" s="1472" t="s">
        <v>47</v>
      </c>
      <c r="E1047" s="1678" t="s">
        <v>17</v>
      </c>
      <c r="F1047" s="611">
        <v>1237.7750000000001</v>
      </c>
      <c r="G1047" s="329">
        <v>440.77</v>
      </c>
      <c r="H1047" s="330">
        <v>373.71</v>
      </c>
      <c r="I1047" s="331">
        <v>19</v>
      </c>
      <c r="J1047" s="332">
        <v>0.17269999999999999</v>
      </c>
      <c r="K1047" s="333">
        <v>19.16</v>
      </c>
      <c r="L1047" s="436">
        <v>1.21</v>
      </c>
      <c r="M1047" s="1470"/>
      <c r="N1047" s="334">
        <v>113</v>
      </c>
      <c r="O1047" s="335">
        <v>91</v>
      </c>
      <c r="P1047" s="389">
        <v>19</v>
      </c>
      <c r="Q1047" s="389">
        <v>3</v>
      </c>
      <c r="R1047" s="430">
        <v>14</v>
      </c>
      <c r="S1047" s="339">
        <v>4</v>
      </c>
      <c r="T1047" s="362">
        <v>16</v>
      </c>
      <c r="U1047" s="337">
        <v>7</v>
      </c>
      <c r="V1047" s="438">
        <f t="shared" si="8"/>
        <v>0.31818181818181818</v>
      </c>
      <c r="W1047" s="1016"/>
      <c r="X1047" s="592"/>
    </row>
    <row r="1048" spans="2:24" ht="14.25" customHeight="1">
      <c r="B1048" s="1467">
        <v>201405</v>
      </c>
      <c r="C1048" s="1468" t="s">
        <v>458</v>
      </c>
      <c r="D1048" s="1469" t="s">
        <v>647</v>
      </c>
      <c r="E1048" s="1677" t="s">
        <v>643</v>
      </c>
      <c r="F1048" s="610">
        <v>133.99</v>
      </c>
      <c r="G1048" s="164">
        <v>93.68</v>
      </c>
      <c r="H1048" s="90">
        <v>93.68</v>
      </c>
      <c r="I1048" s="154">
        <v>6</v>
      </c>
      <c r="J1048" s="46">
        <v>0.5</v>
      </c>
      <c r="K1048" s="54">
        <v>13.38</v>
      </c>
      <c r="L1048" s="437">
        <v>1.17</v>
      </c>
      <c r="M1048" s="1470"/>
      <c r="N1048" s="47">
        <v>22</v>
      </c>
      <c r="O1048" s="45">
        <v>14</v>
      </c>
      <c r="P1048" s="388">
        <v>8</v>
      </c>
      <c r="Q1048" s="388">
        <v>0</v>
      </c>
      <c r="R1048" s="429">
        <v>0</v>
      </c>
      <c r="S1048" s="92">
        <v>7</v>
      </c>
      <c r="T1048" s="361">
        <v>13</v>
      </c>
      <c r="U1048" s="285">
        <v>6</v>
      </c>
      <c r="V1048" s="338">
        <f t="shared" si="8"/>
        <v>0.75</v>
      </c>
      <c r="W1048" s="1016"/>
      <c r="X1048" s="592"/>
    </row>
    <row r="1049" spans="2:24" ht="14.25" customHeight="1">
      <c r="B1049" s="1467">
        <v>201405</v>
      </c>
      <c r="C1049" s="1468" t="s">
        <v>458</v>
      </c>
      <c r="D1049" s="1469" t="s">
        <v>630</v>
      </c>
      <c r="E1049" s="1677" t="s">
        <v>483</v>
      </c>
      <c r="F1049" s="610">
        <v>234.79499999999999</v>
      </c>
      <c r="G1049" s="164">
        <v>113.52</v>
      </c>
      <c r="H1049" s="90">
        <v>84.98</v>
      </c>
      <c r="I1049" s="154">
        <v>4</v>
      </c>
      <c r="J1049" s="46">
        <v>0.1096</v>
      </c>
      <c r="K1049" s="54">
        <v>18.920000000000002</v>
      </c>
      <c r="L1049" s="437">
        <v>1.5</v>
      </c>
      <c r="M1049" s="1470"/>
      <c r="N1049" s="47">
        <v>42</v>
      </c>
      <c r="O1049" s="45">
        <v>33</v>
      </c>
      <c r="P1049" s="388">
        <v>9</v>
      </c>
      <c r="Q1049" s="388">
        <v>0</v>
      </c>
      <c r="R1049" s="429">
        <v>0</v>
      </c>
      <c r="S1049" s="92">
        <v>0</v>
      </c>
      <c r="T1049" s="361">
        <v>11</v>
      </c>
      <c r="U1049" s="285">
        <v>3</v>
      </c>
      <c r="V1049" s="438">
        <f t="shared" si="8"/>
        <v>0.33333333333333331</v>
      </c>
      <c r="W1049" s="1016"/>
      <c r="X1049" s="592"/>
    </row>
    <row r="1050" spans="2:24" ht="14.25" customHeight="1">
      <c r="B1050" s="1467">
        <v>201405</v>
      </c>
      <c r="C1050" s="1471" t="s">
        <v>458</v>
      </c>
      <c r="D1050" s="1472" t="s">
        <v>648</v>
      </c>
      <c r="E1050" s="1678" t="s">
        <v>644</v>
      </c>
      <c r="F1050" s="611">
        <v>36.725000000000001</v>
      </c>
      <c r="G1050" s="329">
        <v>36.729999999999997</v>
      </c>
      <c r="H1050" s="330">
        <v>36.729999999999997</v>
      </c>
      <c r="I1050" s="331">
        <v>3</v>
      </c>
      <c r="J1050" s="332">
        <v>0.54549999999999998</v>
      </c>
      <c r="K1050" s="333">
        <v>12.24</v>
      </c>
      <c r="L1050" s="436">
        <v>1</v>
      </c>
      <c r="M1050" s="1470"/>
      <c r="N1050" s="334">
        <v>10</v>
      </c>
      <c r="O1050" s="335">
        <v>7</v>
      </c>
      <c r="P1050" s="389">
        <v>3</v>
      </c>
      <c r="Q1050" s="389">
        <v>0</v>
      </c>
      <c r="R1050" s="430">
        <v>0</v>
      </c>
      <c r="S1050" s="339">
        <v>4</v>
      </c>
      <c r="T1050" s="362">
        <v>6</v>
      </c>
      <c r="U1050" s="337">
        <v>3</v>
      </c>
      <c r="V1050" s="338">
        <f t="shared" si="8"/>
        <v>1</v>
      </c>
      <c r="W1050" s="1016"/>
      <c r="X1050" s="592"/>
    </row>
    <row r="1051" spans="2:24" ht="14.25" customHeight="1">
      <c r="B1051" s="1473">
        <v>201405</v>
      </c>
      <c r="C1051" s="1468" t="s">
        <v>459</v>
      </c>
      <c r="D1051" s="1469" t="s">
        <v>661</v>
      </c>
      <c r="E1051" s="325" t="s">
        <v>1950</v>
      </c>
      <c r="F1051" s="610">
        <v>210.13399999999999</v>
      </c>
      <c r="G1051" s="164">
        <v>69.650000000000006</v>
      </c>
      <c r="H1051" s="90">
        <v>69.650000000000006</v>
      </c>
      <c r="I1051" s="154">
        <v>8</v>
      </c>
      <c r="J1051" s="46">
        <v>0.5333</v>
      </c>
      <c r="K1051" s="54">
        <v>7.74</v>
      </c>
      <c r="L1051" s="437">
        <v>1.1299999999999999</v>
      </c>
      <c r="M1051" s="1470"/>
      <c r="N1051" s="47">
        <v>20</v>
      </c>
      <c r="O1051" s="45">
        <v>15</v>
      </c>
      <c r="P1051" s="388">
        <v>5</v>
      </c>
      <c r="Q1051" s="388">
        <v>0</v>
      </c>
      <c r="R1051" s="429">
        <v>0</v>
      </c>
      <c r="S1051" s="92">
        <v>2</v>
      </c>
      <c r="T1051" s="361">
        <v>8</v>
      </c>
      <c r="U1051" s="285">
        <v>4</v>
      </c>
      <c r="V1051" s="438">
        <f t="shared" si="8"/>
        <v>0.8</v>
      </c>
      <c r="W1051" s="1016"/>
      <c r="X1051" s="592"/>
    </row>
    <row r="1052" spans="2:24" ht="14.25" customHeight="1">
      <c r="B1052" s="1473">
        <v>201405</v>
      </c>
      <c r="C1052" s="1471" t="s">
        <v>459</v>
      </c>
      <c r="D1052" s="1472" t="s">
        <v>179</v>
      </c>
      <c r="E1052" s="1678" t="s">
        <v>191</v>
      </c>
      <c r="F1052" s="611">
        <v>1319.7860000000001</v>
      </c>
      <c r="G1052" s="329">
        <v>383.8</v>
      </c>
      <c r="H1052" s="330">
        <v>387.55</v>
      </c>
      <c r="I1052" s="331">
        <v>8</v>
      </c>
      <c r="J1052" s="332">
        <v>0.1019</v>
      </c>
      <c r="K1052" s="333">
        <v>31.98</v>
      </c>
      <c r="L1052" s="436">
        <v>1.5</v>
      </c>
      <c r="M1052" s="1470"/>
      <c r="N1052" s="334">
        <v>69</v>
      </c>
      <c r="O1052" s="335">
        <v>54</v>
      </c>
      <c r="P1052" s="389">
        <v>14</v>
      </c>
      <c r="Q1052" s="389">
        <v>1</v>
      </c>
      <c r="R1052" s="430">
        <v>23</v>
      </c>
      <c r="S1052" s="339">
        <v>1</v>
      </c>
      <c r="T1052" s="362">
        <v>3</v>
      </c>
      <c r="U1052" s="337">
        <v>2</v>
      </c>
      <c r="V1052" s="338">
        <f t="shared" si="8"/>
        <v>0.13333333333333333</v>
      </c>
      <c r="W1052" s="1016"/>
      <c r="X1052" s="592"/>
    </row>
    <row r="1053" spans="2:24" ht="14.25" customHeight="1">
      <c r="B1053" s="1473">
        <v>201405</v>
      </c>
      <c r="C1053" s="1468" t="s">
        <v>459</v>
      </c>
      <c r="D1053" s="1469" t="s">
        <v>659</v>
      </c>
      <c r="E1053" s="1677" t="s">
        <v>655</v>
      </c>
      <c r="F1053" s="610">
        <v>232.01499999999999</v>
      </c>
      <c r="G1053" s="164">
        <v>173.12</v>
      </c>
      <c r="H1053" s="90">
        <v>173.12</v>
      </c>
      <c r="I1053" s="154">
        <v>7</v>
      </c>
      <c r="J1053" s="46">
        <v>0.4516</v>
      </c>
      <c r="K1053" s="54">
        <v>15.74</v>
      </c>
      <c r="L1053" s="437">
        <v>1.57</v>
      </c>
      <c r="M1053" s="1470"/>
      <c r="N1053" s="47">
        <v>21</v>
      </c>
      <c r="O1053" s="45">
        <v>14</v>
      </c>
      <c r="P1053" s="388">
        <v>7</v>
      </c>
      <c r="Q1053" s="388">
        <v>0</v>
      </c>
      <c r="R1053" s="429">
        <v>0</v>
      </c>
      <c r="S1053" s="92">
        <v>1</v>
      </c>
      <c r="T1053" s="361">
        <v>10</v>
      </c>
      <c r="U1053" s="285">
        <v>5</v>
      </c>
      <c r="V1053" s="438">
        <f t="shared" si="8"/>
        <v>0.7142857142857143</v>
      </c>
      <c r="W1053" s="1016"/>
      <c r="X1053" s="592"/>
    </row>
    <row r="1054" spans="2:24" ht="14.25" customHeight="1">
      <c r="B1054" s="1473">
        <v>201405</v>
      </c>
      <c r="C1054" s="1471" t="s">
        <v>459</v>
      </c>
      <c r="D1054" s="1472" t="s">
        <v>185</v>
      </c>
      <c r="E1054" s="1678" t="s">
        <v>190</v>
      </c>
      <c r="F1054" s="611">
        <v>403.44499999999999</v>
      </c>
      <c r="G1054" s="329">
        <v>84.1</v>
      </c>
      <c r="H1054" s="330">
        <v>76.25</v>
      </c>
      <c r="I1054" s="331">
        <v>7</v>
      </c>
      <c r="J1054" s="332">
        <v>9.9299999999999999E-2</v>
      </c>
      <c r="K1054" s="333">
        <v>10.51</v>
      </c>
      <c r="L1054" s="436">
        <v>1.1399999999999999</v>
      </c>
      <c r="M1054" s="1470"/>
      <c r="N1054" s="334">
        <v>72</v>
      </c>
      <c r="O1054" s="335">
        <v>57</v>
      </c>
      <c r="P1054" s="389">
        <v>11</v>
      </c>
      <c r="Q1054" s="389">
        <v>4</v>
      </c>
      <c r="R1054" s="430">
        <v>2</v>
      </c>
      <c r="S1054" s="339">
        <v>1</v>
      </c>
      <c r="T1054" s="362">
        <v>4</v>
      </c>
      <c r="U1054" s="337">
        <v>3</v>
      </c>
      <c r="V1054" s="338">
        <f t="shared" si="8"/>
        <v>0.2</v>
      </c>
      <c r="W1054" s="1016"/>
      <c r="X1054" s="592"/>
    </row>
    <row r="1055" spans="2:24" ht="14.25" customHeight="1">
      <c r="B1055" s="1473">
        <v>201405</v>
      </c>
      <c r="C1055" s="1468" t="s">
        <v>459</v>
      </c>
      <c r="D1055" s="1469" t="s">
        <v>660</v>
      </c>
      <c r="E1055" s="1677" t="s">
        <v>656</v>
      </c>
      <c r="F1055" s="610">
        <v>105.79300000000001</v>
      </c>
      <c r="G1055" s="164">
        <v>96.46</v>
      </c>
      <c r="H1055" s="90">
        <v>96.46</v>
      </c>
      <c r="I1055" s="154">
        <v>8</v>
      </c>
      <c r="J1055" s="46">
        <v>0.88890000000000002</v>
      </c>
      <c r="K1055" s="54">
        <v>12.06</v>
      </c>
      <c r="L1055" s="437">
        <v>1</v>
      </c>
      <c r="M1055" s="1470"/>
      <c r="N1055" s="47">
        <v>16</v>
      </c>
      <c r="O1055" s="45">
        <v>10</v>
      </c>
      <c r="P1055" s="388">
        <v>6</v>
      </c>
      <c r="Q1055" s="388">
        <v>0</v>
      </c>
      <c r="R1055" s="429">
        <v>0</v>
      </c>
      <c r="S1055" s="92">
        <v>5</v>
      </c>
      <c r="T1055" s="361">
        <v>9</v>
      </c>
      <c r="U1055" s="285">
        <v>5</v>
      </c>
      <c r="V1055" s="438">
        <f t="shared" si="8"/>
        <v>0.83333333333333337</v>
      </c>
      <c r="W1055" s="1016"/>
      <c r="X1055" s="592"/>
    </row>
    <row r="1056" spans="2:24" ht="14.25" customHeight="1">
      <c r="B1056" s="1473">
        <v>201405</v>
      </c>
      <c r="C1056" s="1471" t="s">
        <v>459</v>
      </c>
      <c r="D1056" s="1472" t="s">
        <v>662</v>
      </c>
      <c r="E1056" s="1678"/>
      <c r="F1056" s="611">
        <v>123.14400000000001</v>
      </c>
      <c r="G1056" s="329">
        <v>123.14</v>
      </c>
      <c r="H1056" s="330">
        <v>123.14</v>
      </c>
      <c r="I1056" s="331">
        <v>6</v>
      </c>
      <c r="J1056" s="332">
        <v>1.0909</v>
      </c>
      <c r="K1056" s="333">
        <v>17.59</v>
      </c>
      <c r="L1056" s="436">
        <v>1.17</v>
      </c>
      <c r="M1056" s="1470"/>
      <c r="N1056" s="334">
        <v>11</v>
      </c>
      <c r="O1056" s="335">
        <v>9</v>
      </c>
      <c r="P1056" s="389">
        <v>2</v>
      </c>
      <c r="Q1056" s="389">
        <v>0</v>
      </c>
      <c r="R1056" s="430">
        <v>0</v>
      </c>
      <c r="S1056" s="339">
        <v>2</v>
      </c>
      <c r="T1056" s="362">
        <v>9</v>
      </c>
      <c r="U1056" s="337">
        <v>2</v>
      </c>
      <c r="V1056" s="338">
        <f t="shared" si="8"/>
        <v>1</v>
      </c>
      <c r="W1056" s="1016"/>
      <c r="X1056" s="592"/>
    </row>
    <row r="1057" spans="2:24" ht="14.25" customHeight="1">
      <c r="B1057" s="1473">
        <v>201405</v>
      </c>
      <c r="C1057" s="1468" t="s">
        <v>459</v>
      </c>
      <c r="D1057" s="1469" t="s">
        <v>177</v>
      </c>
      <c r="E1057" s="1677" t="s">
        <v>189</v>
      </c>
      <c r="F1057" s="610">
        <v>1257.375</v>
      </c>
      <c r="G1057" s="164">
        <v>415.68</v>
      </c>
      <c r="H1057" s="90">
        <v>406.33</v>
      </c>
      <c r="I1057" s="154">
        <v>30</v>
      </c>
      <c r="J1057" s="46">
        <v>0.23810000000000001</v>
      </c>
      <c r="K1057" s="54">
        <v>11.88</v>
      </c>
      <c r="L1057" s="437">
        <v>1.17</v>
      </c>
      <c r="M1057" s="1470"/>
      <c r="N1057" s="47">
        <v>129</v>
      </c>
      <c r="O1057" s="45">
        <v>94</v>
      </c>
      <c r="P1057" s="388">
        <v>26</v>
      </c>
      <c r="Q1057" s="388">
        <v>9</v>
      </c>
      <c r="R1057" s="429">
        <v>17</v>
      </c>
      <c r="S1057" s="92">
        <v>5</v>
      </c>
      <c r="T1057" s="361">
        <v>18</v>
      </c>
      <c r="U1057" s="285">
        <v>11</v>
      </c>
      <c r="V1057" s="438">
        <f t="shared" si="8"/>
        <v>0.31428571428571428</v>
      </c>
      <c r="W1057" s="1016"/>
      <c r="X1057" s="592"/>
    </row>
    <row r="1058" spans="2:24" ht="14.25" customHeight="1">
      <c r="B1058" s="1473">
        <v>201405</v>
      </c>
      <c r="C1058" s="1471" t="s">
        <v>459</v>
      </c>
      <c r="D1058" s="1472" t="s">
        <v>176</v>
      </c>
      <c r="E1058" s="1678" t="s">
        <v>188</v>
      </c>
      <c r="F1058" s="611">
        <v>593.20600000000002</v>
      </c>
      <c r="G1058" s="329">
        <v>250.16</v>
      </c>
      <c r="H1058" s="330">
        <v>231.5</v>
      </c>
      <c r="I1058" s="331">
        <v>11</v>
      </c>
      <c r="J1058" s="332">
        <v>0.13020000000000001</v>
      </c>
      <c r="K1058" s="333">
        <v>13.17</v>
      </c>
      <c r="L1058" s="436">
        <v>1.73</v>
      </c>
      <c r="M1058" s="1470"/>
      <c r="N1058" s="334">
        <v>90</v>
      </c>
      <c r="O1058" s="335">
        <v>72</v>
      </c>
      <c r="P1058" s="389">
        <v>13</v>
      </c>
      <c r="Q1058" s="389">
        <v>5</v>
      </c>
      <c r="R1058" s="430">
        <v>9</v>
      </c>
      <c r="S1058" s="339">
        <v>6</v>
      </c>
      <c r="T1058" s="362">
        <v>14</v>
      </c>
      <c r="U1058" s="337">
        <v>8</v>
      </c>
      <c r="V1058" s="338">
        <f t="shared" si="8"/>
        <v>0.44444444444444442</v>
      </c>
      <c r="W1058" s="1016"/>
      <c r="X1058" s="592"/>
    </row>
    <row r="1059" spans="2:24" ht="14.25" customHeight="1">
      <c r="B1059" s="1473">
        <v>201405</v>
      </c>
      <c r="C1059" s="1468" t="s">
        <v>459</v>
      </c>
      <c r="D1059" s="1469" t="s">
        <v>178</v>
      </c>
      <c r="E1059" s="1677" t="s">
        <v>192</v>
      </c>
      <c r="F1059" s="610">
        <v>652.20100000000002</v>
      </c>
      <c r="G1059" s="164">
        <v>14.59</v>
      </c>
      <c r="H1059" s="90">
        <v>36.4</v>
      </c>
      <c r="I1059" s="154">
        <v>4</v>
      </c>
      <c r="J1059" s="46">
        <v>6.3E-2</v>
      </c>
      <c r="K1059" s="54">
        <v>7.3</v>
      </c>
      <c r="L1059" s="437">
        <v>0.5</v>
      </c>
      <c r="M1059" s="1470"/>
      <c r="N1059" s="47">
        <v>61</v>
      </c>
      <c r="O1059" s="45">
        <v>51</v>
      </c>
      <c r="P1059" s="388">
        <v>6</v>
      </c>
      <c r="Q1059" s="388">
        <v>4</v>
      </c>
      <c r="R1059" s="429">
        <v>5</v>
      </c>
      <c r="S1059" s="92">
        <v>0</v>
      </c>
      <c r="T1059" s="361">
        <v>0</v>
      </c>
      <c r="U1059" s="285"/>
      <c r="V1059" s="438">
        <f t="shared" si="8"/>
        <v>0</v>
      </c>
      <c r="W1059" s="1016"/>
      <c r="X1059" s="592"/>
    </row>
    <row r="1060" spans="2:24" ht="14.25" customHeight="1">
      <c r="B1060" s="1473">
        <v>201405</v>
      </c>
      <c r="C1060" s="1468" t="s">
        <v>459</v>
      </c>
      <c r="D1060" s="1469" t="s">
        <v>699</v>
      </c>
      <c r="E1060" s="1677" t="s">
        <v>698</v>
      </c>
      <c r="F1060" s="610"/>
      <c r="G1060" s="164"/>
      <c r="H1060" s="90"/>
      <c r="I1060" s="154"/>
      <c r="J1060" s="46"/>
      <c r="K1060" s="54"/>
      <c r="L1060" s="437"/>
      <c r="M1060" s="1470"/>
      <c r="N1060" s="47"/>
      <c r="O1060" s="45"/>
      <c r="P1060" s="388"/>
      <c r="Q1060" s="388"/>
      <c r="R1060" s="429"/>
      <c r="S1060" s="92"/>
      <c r="T1060" s="361"/>
      <c r="U1060" s="285"/>
      <c r="V1060" s="438"/>
      <c r="W1060" s="1016"/>
      <c r="X1060" s="592"/>
    </row>
    <row r="1061" spans="2:24" ht="14.25" customHeight="1">
      <c r="B1061" s="1467">
        <v>201404</v>
      </c>
      <c r="C1061" s="1471" t="s">
        <v>458</v>
      </c>
      <c r="D1061" s="1472" t="s">
        <v>649</v>
      </c>
      <c r="E1061" s="1678" t="s">
        <v>645</v>
      </c>
      <c r="F1061" s="611">
        <v>79.680000000000007</v>
      </c>
      <c r="G1061" s="329">
        <v>108.64</v>
      </c>
      <c r="H1061" s="330">
        <v>79.680000000000007</v>
      </c>
      <c r="I1061" s="331">
        <v>7</v>
      </c>
      <c r="J1061" s="332">
        <v>0.875</v>
      </c>
      <c r="K1061" s="333">
        <v>15.52</v>
      </c>
      <c r="L1061" s="436">
        <v>1</v>
      </c>
      <c r="M1061" s="1470"/>
      <c r="N1061" s="334">
        <v>16</v>
      </c>
      <c r="O1061" s="335">
        <v>12</v>
      </c>
      <c r="P1061" s="389">
        <v>4</v>
      </c>
      <c r="Q1061" s="389">
        <v>0</v>
      </c>
      <c r="R1061" s="430">
        <v>0</v>
      </c>
      <c r="S1061" s="339">
        <v>4</v>
      </c>
      <c r="T1061" s="362">
        <v>12</v>
      </c>
      <c r="U1061" s="337">
        <v>4</v>
      </c>
      <c r="V1061" s="338">
        <f t="shared" ref="V1061:V1093" si="9">IF((P1061+Q1061)&lt;&gt;0,U1061/(P1061+Q1061),0)</f>
        <v>1</v>
      </c>
      <c r="W1061" s="1016"/>
      <c r="X1061" s="592"/>
    </row>
    <row r="1062" spans="2:24" ht="14.25" customHeight="1">
      <c r="B1062" s="1467">
        <v>201404</v>
      </c>
      <c r="C1062" s="1468" t="s">
        <v>458</v>
      </c>
      <c r="D1062" s="1469" t="s">
        <v>650</v>
      </c>
      <c r="E1062" s="1677" t="s">
        <v>1777</v>
      </c>
      <c r="F1062" s="610">
        <v>0</v>
      </c>
      <c r="G1062" s="164">
        <v>0</v>
      </c>
      <c r="H1062" s="90">
        <v>0</v>
      </c>
      <c r="I1062" s="154">
        <v>0</v>
      </c>
      <c r="J1062" s="46">
        <v>0</v>
      </c>
      <c r="K1062" s="54">
        <v>0</v>
      </c>
      <c r="L1062" s="437">
        <v>0</v>
      </c>
      <c r="M1062" s="1470"/>
      <c r="N1062" s="47">
        <v>7</v>
      </c>
      <c r="O1062" s="45">
        <v>4</v>
      </c>
      <c r="P1062" s="388">
        <v>3</v>
      </c>
      <c r="Q1062" s="388">
        <v>0</v>
      </c>
      <c r="R1062" s="429">
        <v>0</v>
      </c>
      <c r="S1062" s="92">
        <v>3</v>
      </c>
      <c r="T1062" s="361">
        <v>4</v>
      </c>
      <c r="U1062" s="285">
        <v>3</v>
      </c>
      <c r="V1062" s="438">
        <f t="shared" si="9"/>
        <v>1</v>
      </c>
      <c r="W1062" s="1016"/>
      <c r="X1062" s="592"/>
    </row>
    <row r="1063" spans="2:24" ht="14.25" customHeight="1">
      <c r="B1063" s="1467">
        <v>201404</v>
      </c>
      <c r="C1063" s="1471" t="s">
        <v>458</v>
      </c>
      <c r="D1063" s="1472" t="s">
        <v>642</v>
      </c>
      <c r="E1063" s="1678" t="s">
        <v>641</v>
      </c>
      <c r="F1063" s="611">
        <v>0</v>
      </c>
      <c r="G1063" s="329">
        <v>0</v>
      </c>
      <c r="H1063" s="330">
        <v>0</v>
      </c>
      <c r="I1063" s="331">
        <v>0</v>
      </c>
      <c r="J1063" s="332">
        <v>0</v>
      </c>
      <c r="K1063" s="333">
        <v>0</v>
      </c>
      <c r="L1063" s="436">
        <v>0</v>
      </c>
      <c r="M1063" s="1470"/>
      <c r="N1063" s="334">
        <v>6</v>
      </c>
      <c r="O1063" s="335">
        <v>3</v>
      </c>
      <c r="P1063" s="389">
        <v>3</v>
      </c>
      <c r="Q1063" s="389">
        <v>0</v>
      </c>
      <c r="R1063" s="430">
        <v>0</v>
      </c>
      <c r="S1063" s="339">
        <v>3</v>
      </c>
      <c r="T1063" s="362">
        <v>3</v>
      </c>
      <c r="U1063" s="337">
        <v>3</v>
      </c>
      <c r="V1063" s="338">
        <f t="shared" si="9"/>
        <v>1</v>
      </c>
      <c r="W1063" s="1016"/>
      <c r="X1063" s="592"/>
    </row>
    <row r="1064" spans="2:24" ht="14.25" customHeight="1">
      <c r="B1064" s="1467">
        <v>201404</v>
      </c>
      <c r="C1064" s="1468" t="s">
        <v>458</v>
      </c>
      <c r="D1064" s="1469" t="s">
        <v>91</v>
      </c>
      <c r="E1064" s="1677" t="s">
        <v>92</v>
      </c>
      <c r="F1064" s="610">
        <v>2121.1640000000002</v>
      </c>
      <c r="G1064" s="164">
        <v>605.13</v>
      </c>
      <c r="H1064" s="90">
        <v>607.76</v>
      </c>
      <c r="I1064" s="154">
        <v>31</v>
      </c>
      <c r="J1064" s="46">
        <v>0.251</v>
      </c>
      <c r="K1064" s="54">
        <v>16.350000000000001</v>
      </c>
      <c r="L1064" s="437">
        <v>1.19</v>
      </c>
      <c r="M1064" s="1470"/>
      <c r="N1064" s="47">
        <v>132</v>
      </c>
      <c r="O1064" s="45">
        <v>108</v>
      </c>
      <c r="P1064" s="388">
        <v>17</v>
      </c>
      <c r="Q1064" s="388">
        <v>7</v>
      </c>
      <c r="R1064" s="429">
        <v>0</v>
      </c>
      <c r="S1064" s="92">
        <v>1</v>
      </c>
      <c r="T1064" s="361">
        <v>15</v>
      </c>
      <c r="U1064" s="285">
        <v>10</v>
      </c>
      <c r="V1064" s="438">
        <f t="shared" si="9"/>
        <v>0.41666666666666669</v>
      </c>
      <c r="W1064" s="1016"/>
      <c r="X1064" s="592"/>
    </row>
    <row r="1065" spans="2:24" ht="14.25" customHeight="1">
      <c r="B1065" s="1467">
        <v>201404</v>
      </c>
      <c r="C1065" s="1471" t="s">
        <v>458</v>
      </c>
      <c r="D1065" s="1472" t="s">
        <v>187</v>
      </c>
      <c r="E1065" s="1678" t="s">
        <v>194</v>
      </c>
      <c r="F1065" s="611">
        <v>639.95799999999997</v>
      </c>
      <c r="G1065" s="329">
        <v>334.17</v>
      </c>
      <c r="H1065" s="330">
        <v>257.12</v>
      </c>
      <c r="I1065" s="331">
        <v>9</v>
      </c>
      <c r="J1065" s="332">
        <v>0.13739999999999999</v>
      </c>
      <c r="K1065" s="333">
        <v>18.559999999999999</v>
      </c>
      <c r="L1065" s="436">
        <v>2</v>
      </c>
      <c r="M1065" s="1470"/>
      <c r="N1065" s="334">
        <v>68</v>
      </c>
      <c r="O1065" s="335">
        <v>57</v>
      </c>
      <c r="P1065" s="389">
        <v>10</v>
      </c>
      <c r="Q1065" s="389">
        <v>1</v>
      </c>
      <c r="R1065" s="430">
        <v>2</v>
      </c>
      <c r="S1065" s="339">
        <v>0</v>
      </c>
      <c r="T1065" s="362">
        <v>7</v>
      </c>
      <c r="U1065" s="337">
        <v>2</v>
      </c>
      <c r="V1065" s="338">
        <f t="shared" si="9"/>
        <v>0.18181818181818182</v>
      </c>
      <c r="W1065" s="1016"/>
      <c r="X1065" s="592"/>
    </row>
    <row r="1066" spans="2:24" ht="14.25" customHeight="1">
      <c r="B1066" s="1467">
        <v>201404</v>
      </c>
      <c r="C1066" s="1468" t="s">
        <v>458</v>
      </c>
      <c r="D1066" s="1469" t="s">
        <v>628</v>
      </c>
      <c r="E1066" s="1677" t="s">
        <v>629</v>
      </c>
      <c r="F1066" s="610">
        <v>227.512</v>
      </c>
      <c r="G1066" s="164">
        <v>178.9</v>
      </c>
      <c r="H1066" s="90">
        <v>144.69</v>
      </c>
      <c r="I1066" s="154">
        <v>13</v>
      </c>
      <c r="J1066" s="46">
        <v>0.41270000000000001</v>
      </c>
      <c r="K1066" s="54">
        <v>9.94</v>
      </c>
      <c r="L1066" s="437">
        <v>1.38</v>
      </c>
      <c r="M1066" s="1470"/>
      <c r="N1066" s="47">
        <v>41</v>
      </c>
      <c r="O1066" s="45">
        <v>29</v>
      </c>
      <c r="P1066" s="388">
        <v>12</v>
      </c>
      <c r="Q1066" s="388">
        <v>0</v>
      </c>
      <c r="R1066" s="429">
        <v>0</v>
      </c>
      <c r="S1066" s="92">
        <v>3</v>
      </c>
      <c r="T1066" s="361">
        <v>16</v>
      </c>
      <c r="U1066" s="285">
        <v>8</v>
      </c>
      <c r="V1066" s="438">
        <f t="shared" si="9"/>
        <v>0.66666666666666663</v>
      </c>
      <c r="W1066" s="1016"/>
      <c r="X1066" s="592"/>
    </row>
    <row r="1067" spans="2:24" ht="14.25" customHeight="1">
      <c r="B1067" s="1467">
        <v>201404</v>
      </c>
      <c r="C1067" s="1471" t="s">
        <v>458</v>
      </c>
      <c r="D1067" s="1472" t="s">
        <v>557</v>
      </c>
      <c r="E1067" s="1678" t="s">
        <v>1770</v>
      </c>
      <c r="F1067" s="611">
        <v>74.12</v>
      </c>
      <c r="G1067" s="329">
        <v>79.400000000000006</v>
      </c>
      <c r="H1067" s="330">
        <v>60.82</v>
      </c>
      <c r="I1067" s="331">
        <v>5</v>
      </c>
      <c r="J1067" s="332">
        <v>0.45450000000000002</v>
      </c>
      <c r="K1067" s="333">
        <v>15.88</v>
      </c>
      <c r="L1067" s="436">
        <v>1</v>
      </c>
      <c r="M1067" s="1470"/>
      <c r="N1067" s="334">
        <v>16</v>
      </c>
      <c r="O1067" s="335">
        <v>12</v>
      </c>
      <c r="P1067" s="389">
        <v>4</v>
      </c>
      <c r="Q1067" s="389">
        <v>0</v>
      </c>
      <c r="R1067" s="430">
        <v>0</v>
      </c>
      <c r="S1067" s="339">
        <v>4</v>
      </c>
      <c r="T1067" s="362">
        <v>6</v>
      </c>
      <c r="U1067" s="337">
        <v>3</v>
      </c>
      <c r="V1067" s="338">
        <f t="shared" si="9"/>
        <v>0.75</v>
      </c>
      <c r="W1067" s="1016"/>
      <c r="X1067" s="592"/>
    </row>
    <row r="1068" spans="2:24" ht="14.25" customHeight="1">
      <c r="B1068" s="1467">
        <v>201404</v>
      </c>
      <c r="C1068" s="1468" t="s">
        <v>458</v>
      </c>
      <c r="D1068" s="1469" t="s">
        <v>47</v>
      </c>
      <c r="E1068" s="1677" t="s">
        <v>17</v>
      </c>
      <c r="F1068" s="610">
        <v>864.06299999999999</v>
      </c>
      <c r="G1068" s="164">
        <v>401.58</v>
      </c>
      <c r="H1068" s="90">
        <v>318.11</v>
      </c>
      <c r="I1068" s="154">
        <v>18</v>
      </c>
      <c r="J1068" s="46">
        <v>0.17480000000000001</v>
      </c>
      <c r="K1068" s="54">
        <v>21.14</v>
      </c>
      <c r="L1068" s="437">
        <v>1.06</v>
      </c>
      <c r="M1068" s="1470"/>
      <c r="N1068" s="47">
        <v>107</v>
      </c>
      <c r="O1068" s="45">
        <v>86</v>
      </c>
      <c r="P1068" s="388">
        <v>18</v>
      </c>
      <c r="Q1068" s="388">
        <v>3</v>
      </c>
      <c r="R1068" s="429">
        <v>1</v>
      </c>
      <c r="S1068" s="92">
        <v>1</v>
      </c>
      <c r="T1068" s="361">
        <v>7</v>
      </c>
      <c r="U1068" s="285">
        <v>6</v>
      </c>
      <c r="V1068" s="438">
        <f t="shared" si="9"/>
        <v>0.2857142857142857</v>
      </c>
      <c r="W1068" s="1016"/>
      <c r="X1068" s="592"/>
    </row>
    <row r="1069" spans="2:24" ht="14.25" customHeight="1">
      <c r="B1069" s="1467">
        <v>201404</v>
      </c>
      <c r="C1069" s="1471" t="s">
        <v>458</v>
      </c>
      <c r="D1069" s="1472" t="s">
        <v>647</v>
      </c>
      <c r="E1069" s="1678" t="s">
        <v>643</v>
      </c>
      <c r="F1069" s="611">
        <v>40.31</v>
      </c>
      <c r="G1069" s="329">
        <v>40.31</v>
      </c>
      <c r="H1069" s="330">
        <v>40.31</v>
      </c>
      <c r="I1069" s="331">
        <v>2</v>
      </c>
      <c r="J1069" s="332">
        <v>2</v>
      </c>
      <c r="K1069" s="333">
        <v>13.44</v>
      </c>
      <c r="L1069" s="436">
        <v>1.5</v>
      </c>
      <c r="M1069" s="1470"/>
      <c r="N1069" s="334">
        <v>2</v>
      </c>
      <c r="O1069" s="335">
        <v>1</v>
      </c>
      <c r="P1069" s="389">
        <v>1</v>
      </c>
      <c r="Q1069" s="389">
        <v>0</v>
      </c>
      <c r="R1069" s="430">
        <v>0</v>
      </c>
      <c r="S1069" s="339">
        <v>1</v>
      </c>
      <c r="T1069" s="362">
        <v>1</v>
      </c>
      <c r="U1069" s="337">
        <v>1</v>
      </c>
      <c r="V1069" s="338">
        <f t="shared" si="9"/>
        <v>1</v>
      </c>
      <c r="W1069" s="1016"/>
      <c r="X1069" s="592"/>
    </row>
    <row r="1070" spans="2:24" ht="14.25" customHeight="1">
      <c r="B1070" s="1467">
        <v>201404</v>
      </c>
      <c r="C1070" s="1471" t="s">
        <v>458</v>
      </c>
      <c r="D1070" s="1472" t="s">
        <v>630</v>
      </c>
      <c r="E1070" s="1678" t="s">
        <v>483</v>
      </c>
      <c r="F1070" s="611">
        <v>149.815</v>
      </c>
      <c r="G1070" s="329">
        <v>58.15</v>
      </c>
      <c r="H1070" s="330">
        <v>58.15</v>
      </c>
      <c r="I1070" s="331">
        <v>6</v>
      </c>
      <c r="J1070" s="332">
        <v>0.24490000000000001</v>
      </c>
      <c r="K1070" s="333">
        <v>9.69</v>
      </c>
      <c r="L1070" s="436">
        <v>1</v>
      </c>
      <c r="M1070" s="1470"/>
      <c r="N1070" s="334">
        <v>31</v>
      </c>
      <c r="O1070" s="335">
        <v>22</v>
      </c>
      <c r="P1070" s="389">
        <v>9</v>
      </c>
      <c r="Q1070" s="389">
        <v>0</v>
      </c>
      <c r="R1070" s="430">
        <v>0</v>
      </c>
      <c r="S1070" s="339">
        <v>3</v>
      </c>
      <c r="T1070" s="362">
        <v>10</v>
      </c>
      <c r="U1070" s="337">
        <v>5</v>
      </c>
      <c r="V1070" s="338">
        <f t="shared" si="9"/>
        <v>0.55555555555555558</v>
      </c>
      <c r="W1070" s="1016"/>
      <c r="X1070" s="592"/>
    </row>
    <row r="1071" spans="2:24" ht="14.25" customHeight="1">
      <c r="B1071" s="1467">
        <v>201404</v>
      </c>
      <c r="C1071" s="1468" t="s">
        <v>458</v>
      </c>
      <c r="D1071" s="1469" t="s">
        <v>648</v>
      </c>
      <c r="E1071" s="1677" t="s">
        <v>644</v>
      </c>
      <c r="F1071" s="610">
        <v>0</v>
      </c>
      <c r="G1071" s="164">
        <v>0</v>
      </c>
      <c r="H1071" s="90">
        <v>0</v>
      </c>
      <c r="I1071" s="154">
        <v>0</v>
      </c>
      <c r="J1071" s="46">
        <v>0</v>
      </c>
      <c r="K1071" s="54">
        <v>0</v>
      </c>
      <c r="L1071" s="437">
        <v>0</v>
      </c>
      <c r="M1071" s="1470"/>
      <c r="N1071" s="47">
        <v>1</v>
      </c>
      <c r="O1071" s="45">
        <v>1</v>
      </c>
      <c r="P1071" s="388">
        <v>0</v>
      </c>
      <c r="Q1071" s="388">
        <v>0</v>
      </c>
      <c r="R1071" s="429">
        <v>0</v>
      </c>
      <c r="S1071" s="92"/>
      <c r="T1071" s="361">
        <v>1</v>
      </c>
      <c r="U1071" s="285"/>
      <c r="V1071" s="438">
        <f t="shared" si="9"/>
        <v>0</v>
      </c>
      <c r="W1071" s="1016"/>
      <c r="X1071" s="592"/>
    </row>
    <row r="1072" spans="2:24" ht="14.25" customHeight="1">
      <c r="B1072" s="1467">
        <v>201404</v>
      </c>
      <c r="C1072" s="1471" t="s">
        <v>459</v>
      </c>
      <c r="D1072" s="1472" t="s">
        <v>661</v>
      </c>
      <c r="E1072" s="325" t="s">
        <v>1950</v>
      </c>
      <c r="F1072" s="611">
        <v>140.489</v>
      </c>
      <c r="G1072" s="329">
        <v>140.49</v>
      </c>
      <c r="H1072" s="330">
        <v>140.49</v>
      </c>
      <c r="I1072" s="331">
        <v>8</v>
      </c>
      <c r="J1072" s="332">
        <v>1.6</v>
      </c>
      <c r="K1072" s="333">
        <v>10.81</v>
      </c>
      <c r="L1072" s="436">
        <v>1.63</v>
      </c>
      <c r="M1072" s="1470"/>
      <c r="N1072" s="334">
        <v>10</v>
      </c>
      <c r="O1072" s="335">
        <v>7</v>
      </c>
      <c r="P1072" s="389">
        <v>3</v>
      </c>
      <c r="Q1072" s="389">
        <v>0</v>
      </c>
      <c r="R1072" s="430">
        <v>0</v>
      </c>
      <c r="S1072" s="339">
        <v>3</v>
      </c>
      <c r="T1072" s="362">
        <v>7</v>
      </c>
      <c r="U1072" s="337">
        <v>3</v>
      </c>
      <c r="V1072" s="338">
        <f t="shared" si="9"/>
        <v>1</v>
      </c>
      <c r="W1072" s="1016"/>
      <c r="X1072" s="592"/>
    </row>
    <row r="1073" spans="2:24" ht="14.25" customHeight="1">
      <c r="B1073" s="1467">
        <v>201404</v>
      </c>
      <c r="C1073" s="1468" t="s">
        <v>459</v>
      </c>
      <c r="D1073" s="1469" t="s">
        <v>179</v>
      </c>
      <c r="E1073" s="1677" t="s">
        <v>191</v>
      </c>
      <c r="F1073" s="610">
        <v>932.23699999999997</v>
      </c>
      <c r="G1073" s="164">
        <v>321.45</v>
      </c>
      <c r="H1073" s="90">
        <v>318.95</v>
      </c>
      <c r="I1073" s="154">
        <v>10</v>
      </c>
      <c r="J1073" s="46">
        <v>0.1099</v>
      </c>
      <c r="K1073" s="54">
        <v>24.73</v>
      </c>
      <c r="L1073" s="437">
        <v>1.3</v>
      </c>
      <c r="M1073" s="1470"/>
      <c r="N1073" s="47">
        <v>88</v>
      </c>
      <c r="O1073" s="45">
        <v>72</v>
      </c>
      <c r="P1073" s="388">
        <v>15</v>
      </c>
      <c r="Q1073" s="388">
        <v>1</v>
      </c>
      <c r="R1073" s="429">
        <v>11</v>
      </c>
      <c r="S1073" s="92">
        <v>1</v>
      </c>
      <c r="T1073" s="361">
        <v>4</v>
      </c>
      <c r="U1073" s="285">
        <v>3</v>
      </c>
      <c r="V1073" s="438">
        <f t="shared" si="9"/>
        <v>0.1875</v>
      </c>
      <c r="W1073" s="1016"/>
      <c r="X1073" s="592"/>
    </row>
    <row r="1074" spans="2:24" ht="14.25" customHeight="1">
      <c r="B1074" s="1467">
        <v>201404</v>
      </c>
      <c r="C1074" s="1471" t="s">
        <v>459</v>
      </c>
      <c r="D1074" s="1472" t="s">
        <v>659</v>
      </c>
      <c r="E1074" s="1678" t="s">
        <v>655</v>
      </c>
      <c r="F1074" s="611">
        <v>58.893000000000001</v>
      </c>
      <c r="G1074" s="329">
        <v>58.89</v>
      </c>
      <c r="H1074" s="330">
        <v>58.89</v>
      </c>
      <c r="I1074" s="331">
        <v>2</v>
      </c>
      <c r="J1074" s="332">
        <v>0.4</v>
      </c>
      <c r="K1074" s="333">
        <v>19.63</v>
      </c>
      <c r="L1074" s="436">
        <v>1.5</v>
      </c>
      <c r="M1074" s="1470"/>
      <c r="N1074" s="334">
        <v>10</v>
      </c>
      <c r="O1074" s="335">
        <v>4</v>
      </c>
      <c r="P1074" s="389">
        <v>6</v>
      </c>
      <c r="Q1074" s="389">
        <v>0</v>
      </c>
      <c r="R1074" s="430">
        <v>0</v>
      </c>
      <c r="S1074" s="339">
        <v>6</v>
      </c>
      <c r="T1074" s="362">
        <v>4</v>
      </c>
      <c r="U1074" s="337">
        <v>3</v>
      </c>
      <c r="V1074" s="338">
        <f t="shared" si="9"/>
        <v>0.5</v>
      </c>
      <c r="W1074" s="1016"/>
      <c r="X1074" s="592"/>
    </row>
    <row r="1075" spans="2:24" ht="14.25" customHeight="1">
      <c r="B1075" s="1467">
        <v>201404</v>
      </c>
      <c r="C1075" s="1468" t="s">
        <v>459</v>
      </c>
      <c r="D1075" s="1469" t="s">
        <v>185</v>
      </c>
      <c r="E1075" s="1677" t="s">
        <v>190</v>
      </c>
      <c r="F1075" s="610">
        <v>327.19799999999998</v>
      </c>
      <c r="G1075" s="164">
        <v>99.07</v>
      </c>
      <c r="H1075" s="90">
        <v>117.23</v>
      </c>
      <c r="I1075" s="154">
        <v>6</v>
      </c>
      <c r="J1075" s="46">
        <v>9.3799999999999994E-2</v>
      </c>
      <c r="K1075" s="54">
        <v>12.38</v>
      </c>
      <c r="L1075" s="437">
        <v>1.33</v>
      </c>
      <c r="M1075" s="1470"/>
      <c r="N1075" s="47">
        <v>69</v>
      </c>
      <c r="O1075" s="45">
        <v>56</v>
      </c>
      <c r="P1075" s="388">
        <v>10</v>
      </c>
      <c r="Q1075" s="388">
        <v>3</v>
      </c>
      <c r="R1075" s="429">
        <v>0</v>
      </c>
      <c r="S1075" s="92">
        <v>2</v>
      </c>
      <c r="T1075" s="361">
        <v>8</v>
      </c>
      <c r="U1075" s="285">
        <v>8</v>
      </c>
      <c r="V1075" s="438">
        <f t="shared" si="9"/>
        <v>0.61538461538461542</v>
      </c>
      <c r="W1075" s="1016"/>
      <c r="X1075" s="592"/>
    </row>
    <row r="1076" spans="2:24" ht="14.25" customHeight="1">
      <c r="B1076" s="1467">
        <v>201404</v>
      </c>
      <c r="C1076" s="1471" t="s">
        <v>459</v>
      </c>
      <c r="D1076" s="1472" t="s">
        <v>660</v>
      </c>
      <c r="E1076" s="1678" t="s">
        <v>656</v>
      </c>
      <c r="F1076" s="611">
        <v>9.3290000000000006</v>
      </c>
      <c r="G1076" s="329">
        <v>9.33</v>
      </c>
      <c r="H1076" s="330">
        <v>9.33</v>
      </c>
      <c r="I1076" s="331">
        <v>1</v>
      </c>
      <c r="J1076" s="332">
        <v>1</v>
      </c>
      <c r="K1076" s="333">
        <v>9.33</v>
      </c>
      <c r="L1076" s="436">
        <v>1</v>
      </c>
      <c r="M1076" s="1470"/>
      <c r="N1076" s="334">
        <v>2</v>
      </c>
      <c r="O1076" s="335">
        <v>1</v>
      </c>
      <c r="P1076" s="389">
        <v>1</v>
      </c>
      <c r="Q1076" s="389">
        <v>0</v>
      </c>
      <c r="R1076" s="430">
        <v>0</v>
      </c>
      <c r="S1076" s="339">
        <v>1</v>
      </c>
      <c r="T1076" s="362">
        <v>1</v>
      </c>
      <c r="U1076" s="337">
        <v>1</v>
      </c>
      <c r="V1076" s="338">
        <f t="shared" si="9"/>
        <v>1</v>
      </c>
      <c r="W1076" s="1016"/>
      <c r="X1076" s="592"/>
    </row>
    <row r="1077" spans="2:24" ht="14.25" customHeight="1">
      <c r="B1077" s="1467">
        <v>201404</v>
      </c>
      <c r="C1077" s="1468" t="s">
        <v>459</v>
      </c>
      <c r="D1077" s="1469" t="s">
        <v>177</v>
      </c>
      <c r="E1077" s="1677" t="s">
        <v>189</v>
      </c>
      <c r="F1077" s="610">
        <v>851.04200000000003</v>
      </c>
      <c r="G1077" s="164">
        <v>416.72</v>
      </c>
      <c r="H1077" s="90">
        <v>435.34</v>
      </c>
      <c r="I1077" s="154">
        <v>23</v>
      </c>
      <c r="J1077" s="46">
        <v>0.2072</v>
      </c>
      <c r="K1077" s="54">
        <v>13.02</v>
      </c>
      <c r="L1077" s="437">
        <v>1.39</v>
      </c>
      <c r="M1077" s="1470"/>
      <c r="N1077" s="47">
        <v>123</v>
      </c>
      <c r="O1077" s="45">
        <v>91</v>
      </c>
      <c r="P1077" s="388">
        <v>23</v>
      </c>
      <c r="Q1077" s="388">
        <v>9</v>
      </c>
      <c r="R1077" s="429">
        <v>1</v>
      </c>
      <c r="S1077" s="92">
        <v>6</v>
      </c>
      <c r="T1077" s="361">
        <v>19</v>
      </c>
      <c r="U1077" s="285">
        <v>10</v>
      </c>
      <c r="V1077" s="438">
        <f t="shared" si="9"/>
        <v>0.3125</v>
      </c>
      <c r="W1077" s="1016"/>
      <c r="X1077" s="592"/>
    </row>
    <row r="1078" spans="2:24" ht="14.25" customHeight="1">
      <c r="B1078" s="1467">
        <v>201404</v>
      </c>
      <c r="C1078" s="1471" t="s">
        <v>459</v>
      </c>
      <c r="D1078" s="1472" t="s">
        <v>176</v>
      </c>
      <c r="E1078" s="1678" t="s">
        <v>188</v>
      </c>
      <c r="F1078" s="611">
        <v>361.70600000000002</v>
      </c>
      <c r="G1078" s="329">
        <v>87.64</v>
      </c>
      <c r="H1078" s="330">
        <v>103.38</v>
      </c>
      <c r="I1078" s="331">
        <v>3</v>
      </c>
      <c r="J1078" s="332">
        <v>3.95E-2</v>
      </c>
      <c r="K1078" s="333">
        <v>12.52</v>
      </c>
      <c r="L1078" s="436">
        <v>2.33</v>
      </c>
      <c r="M1078" s="1470"/>
      <c r="N1078" s="334">
        <v>79</v>
      </c>
      <c r="O1078" s="335">
        <v>67</v>
      </c>
      <c r="P1078" s="389">
        <v>7</v>
      </c>
      <c r="Q1078" s="389">
        <v>5</v>
      </c>
      <c r="R1078" s="430">
        <v>0</v>
      </c>
      <c r="S1078" s="339">
        <v>0</v>
      </c>
      <c r="T1078" s="362">
        <v>6</v>
      </c>
      <c r="U1078" s="337">
        <v>4</v>
      </c>
      <c r="V1078" s="338">
        <f t="shared" si="9"/>
        <v>0.33333333333333331</v>
      </c>
      <c r="W1078" s="1016"/>
      <c r="X1078" s="592"/>
    </row>
    <row r="1079" spans="2:24" ht="14.25" customHeight="1">
      <c r="B1079" s="1467">
        <v>201404</v>
      </c>
      <c r="C1079" s="1468" t="s">
        <v>459</v>
      </c>
      <c r="D1079" s="1469" t="s">
        <v>178</v>
      </c>
      <c r="E1079" s="1677" t="s">
        <v>192</v>
      </c>
      <c r="F1079" s="610">
        <v>615.79999999999995</v>
      </c>
      <c r="G1079" s="164">
        <v>205.95</v>
      </c>
      <c r="H1079" s="90">
        <v>233.16</v>
      </c>
      <c r="I1079" s="154">
        <v>5</v>
      </c>
      <c r="J1079" s="46">
        <v>7.7499999999999999E-2</v>
      </c>
      <c r="K1079" s="54">
        <v>22.88</v>
      </c>
      <c r="L1079" s="437">
        <v>1.8</v>
      </c>
      <c r="M1079" s="1470"/>
      <c r="N1079" s="47">
        <v>66</v>
      </c>
      <c r="O1079" s="45">
        <v>52</v>
      </c>
      <c r="P1079" s="388">
        <v>10</v>
      </c>
      <c r="Q1079" s="388">
        <v>4</v>
      </c>
      <c r="R1079" s="429">
        <v>4</v>
      </c>
      <c r="S1079" s="92">
        <v>0</v>
      </c>
      <c r="T1079" s="361">
        <v>7</v>
      </c>
      <c r="U1079" s="285">
        <v>6</v>
      </c>
      <c r="V1079" s="438">
        <f t="shared" si="9"/>
        <v>0.42857142857142855</v>
      </c>
      <c r="W1079" s="1016"/>
      <c r="X1079" s="592"/>
    </row>
    <row r="1080" spans="2:24" ht="14.25" customHeight="1">
      <c r="B1080" s="1474">
        <v>201403</v>
      </c>
      <c r="C1080" s="1471" t="s">
        <v>458</v>
      </c>
      <c r="D1080" s="1472" t="s">
        <v>91</v>
      </c>
      <c r="E1080" s="1678" t="s">
        <v>92</v>
      </c>
      <c r="F1080" s="611">
        <v>1513.405</v>
      </c>
      <c r="G1080" s="329">
        <v>646.14</v>
      </c>
      <c r="H1080" s="330">
        <v>614.33000000000004</v>
      </c>
      <c r="I1080" s="331">
        <v>30</v>
      </c>
      <c r="J1080" s="332">
        <v>0.27779999999999999</v>
      </c>
      <c r="K1080" s="333">
        <v>17</v>
      </c>
      <c r="L1080" s="436">
        <v>1.27</v>
      </c>
      <c r="M1080" s="1470"/>
      <c r="N1080" s="334">
        <v>115</v>
      </c>
      <c r="O1080" s="335">
        <v>92</v>
      </c>
      <c r="P1080" s="389">
        <v>17</v>
      </c>
      <c r="Q1080" s="389">
        <v>6</v>
      </c>
      <c r="R1080" s="430">
        <v>0</v>
      </c>
      <c r="S1080" s="339">
        <v>0</v>
      </c>
      <c r="T1080" s="362">
        <v>14</v>
      </c>
      <c r="U1080" s="337">
        <v>7</v>
      </c>
      <c r="V1080" s="338">
        <f t="shared" si="9"/>
        <v>0.30434782608695654</v>
      </c>
      <c r="W1080" s="1016"/>
      <c r="X1080" s="592"/>
    </row>
    <row r="1081" spans="2:24" ht="14.25" customHeight="1">
      <c r="B1081" s="1474">
        <v>201403</v>
      </c>
      <c r="C1081" s="1468" t="s">
        <v>458</v>
      </c>
      <c r="D1081" s="1469" t="s">
        <v>187</v>
      </c>
      <c r="E1081" s="1677" t="s">
        <v>194</v>
      </c>
      <c r="F1081" s="610">
        <v>382.839</v>
      </c>
      <c r="G1081" s="164">
        <v>225.87</v>
      </c>
      <c r="H1081" s="90">
        <v>120.38</v>
      </c>
      <c r="I1081" s="154">
        <v>6</v>
      </c>
      <c r="J1081" s="46">
        <v>9.6000000000000002E-2</v>
      </c>
      <c r="K1081" s="54">
        <v>28.23</v>
      </c>
      <c r="L1081" s="437">
        <v>1.33</v>
      </c>
      <c r="M1081" s="1470"/>
      <c r="N1081" s="47">
        <v>63</v>
      </c>
      <c r="O1081" s="45">
        <v>50</v>
      </c>
      <c r="P1081" s="388">
        <v>12</v>
      </c>
      <c r="Q1081" s="388">
        <v>1</v>
      </c>
      <c r="R1081" s="429">
        <v>2</v>
      </c>
      <c r="S1081" s="92">
        <v>0</v>
      </c>
      <c r="T1081" s="361">
        <v>3</v>
      </c>
      <c r="U1081" s="285">
        <v>3</v>
      </c>
      <c r="V1081" s="438">
        <f t="shared" si="9"/>
        <v>0.23076923076923078</v>
      </c>
      <c r="W1081" s="1016"/>
      <c r="X1081" s="592"/>
    </row>
    <row r="1082" spans="2:24" ht="14.25" customHeight="1">
      <c r="B1082" s="1474">
        <v>201403</v>
      </c>
      <c r="C1082" s="1471" t="s">
        <v>458</v>
      </c>
      <c r="D1082" s="1472" t="s">
        <v>628</v>
      </c>
      <c r="E1082" s="1678" t="s">
        <v>629</v>
      </c>
      <c r="F1082" s="611">
        <v>82.826999999999998</v>
      </c>
      <c r="G1082" s="329">
        <v>94.15</v>
      </c>
      <c r="H1082" s="330">
        <v>82.83</v>
      </c>
      <c r="I1082" s="331">
        <v>9</v>
      </c>
      <c r="J1082" s="332">
        <v>0.81820000000000004</v>
      </c>
      <c r="K1082" s="333">
        <v>8.56</v>
      </c>
      <c r="L1082" s="436">
        <v>1.22</v>
      </c>
      <c r="M1082" s="1470"/>
      <c r="N1082" s="334">
        <v>22</v>
      </c>
      <c r="O1082" s="335">
        <v>13</v>
      </c>
      <c r="P1082" s="389">
        <v>9</v>
      </c>
      <c r="Q1082" s="389">
        <v>0</v>
      </c>
      <c r="R1082" s="430">
        <v>0</v>
      </c>
      <c r="S1082" s="339">
        <v>9</v>
      </c>
      <c r="T1082" s="362">
        <v>13</v>
      </c>
      <c r="U1082" s="337">
        <v>6</v>
      </c>
      <c r="V1082" s="338">
        <f t="shared" si="9"/>
        <v>0.66666666666666663</v>
      </c>
      <c r="W1082" s="1016"/>
      <c r="X1082" s="592"/>
    </row>
    <row r="1083" spans="2:24" ht="14.25" customHeight="1">
      <c r="B1083" s="1474">
        <v>201403</v>
      </c>
      <c r="C1083" s="1468" t="s">
        <v>458</v>
      </c>
      <c r="D1083" s="1469" t="s">
        <v>557</v>
      </c>
      <c r="E1083" s="1678" t="s">
        <v>1770</v>
      </c>
      <c r="F1083" s="610">
        <v>13.298</v>
      </c>
      <c r="G1083" s="164">
        <v>7.49</v>
      </c>
      <c r="H1083" s="90">
        <v>7.49</v>
      </c>
      <c r="I1083" s="154">
        <v>1</v>
      </c>
      <c r="J1083" s="46">
        <v>0.22220000000000001</v>
      </c>
      <c r="K1083" s="54">
        <v>7.49</v>
      </c>
      <c r="L1083" s="437">
        <v>1</v>
      </c>
      <c r="M1083" s="1470"/>
      <c r="N1083" s="47">
        <v>6</v>
      </c>
      <c r="O1083" s="45">
        <v>6</v>
      </c>
      <c r="P1083" s="388">
        <v>0</v>
      </c>
      <c r="Q1083" s="388">
        <v>0</v>
      </c>
      <c r="R1083" s="429">
        <v>0</v>
      </c>
      <c r="S1083" s="92"/>
      <c r="T1083" s="361">
        <v>3</v>
      </c>
      <c r="U1083" s="285"/>
      <c r="V1083" s="438">
        <f t="shared" si="9"/>
        <v>0</v>
      </c>
      <c r="W1083" s="1016"/>
      <c r="X1083" s="592"/>
    </row>
    <row r="1084" spans="2:24" ht="14.25" customHeight="1">
      <c r="B1084" s="1474">
        <v>201403</v>
      </c>
      <c r="C1084" s="1471" t="s">
        <v>458</v>
      </c>
      <c r="D1084" s="1472" t="s">
        <v>47</v>
      </c>
      <c r="E1084" s="1678" t="s">
        <v>17</v>
      </c>
      <c r="F1084" s="611">
        <v>545.95699999999999</v>
      </c>
      <c r="G1084" s="329">
        <v>263.73</v>
      </c>
      <c r="H1084" s="330">
        <v>231.15</v>
      </c>
      <c r="I1084" s="331">
        <v>18</v>
      </c>
      <c r="J1084" s="332">
        <v>0.18459999999999999</v>
      </c>
      <c r="K1084" s="333">
        <v>13.19</v>
      </c>
      <c r="L1084" s="436">
        <v>1.1100000000000001</v>
      </c>
      <c r="M1084" s="1470"/>
      <c r="N1084" s="334">
        <v>99</v>
      </c>
      <c r="O1084" s="335">
        <v>79</v>
      </c>
      <c r="P1084" s="389">
        <v>17</v>
      </c>
      <c r="Q1084" s="389">
        <v>3</v>
      </c>
      <c r="R1084" s="430">
        <v>1</v>
      </c>
      <c r="S1084" s="339">
        <v>0</v>
      </c>
      <c r="T1084" s="362">
        <v>4</v>
      </c>
      <c r="U1084" s="337">
        <v>4</v>
      </c>
      <c r="V1084" s="338">
        <f t="shared" si="9"/>
        <v>0.2</v>
      </c>
      <c r="W1084" s="1016"/>
      <c r="X1084" s="592"/>
    </row>
    <row r="1085" spans="2:24" ht="14.25" customHeight="1">
      <c r="B1085" s="1474">
        <v>201403</v>
      </c>
      <c r="C1085" s="1468" t="s">
        <v>458</v>
      </c>
      <c r="D1085" s="1469" t="s">
        <v>630</v>
      </c>
      <c r="E1085" s="1677" t="s">
        <v>483</v>
      </c>
      <c r="F1085" s="610">
        <v>91.662000000000006</v>
      </c>
      <c r="G1085" s="164">
        <v>20.18</v>
      </c>
      <c r="H1085" s="90">
        <v>20.18</v>
      </c>
      <c r="I1085" s="154">
        <v>1</v>
      </c>
      <c r="J1085" s="46">
        <v>6.4500000000000002E-2</v>
      </c>
      <c r="K1085" s="54">
        <v>10.09</v>
      </c>
      <c r="L1085" s="437">
        <v>2</v>
      </c>
      <c r="M1085" s="1470"/>
      <c r="N1085" s="47">
        <v>18</v>
      </c>
      <c r="O1085" s="45">
        <v>12</v>
      </c>
      <c r="P1085" s="388">
        <v>6</v>
      </c>
      <c r="Q1085" s="388">
        <v>0</v>
      </c>
      <c r="R1085" s="429">
        <v>0</v>
      </c>
      <c r="S1085" s="92">
        <v>2</v>
      </c>
      <c r="T1085" s="361">
        <v>3</v>
      </c>
      <c r="U1085" s="285">
        <v>2</v>
      </c>
      <c r="V1085" s="438">
        <f t="shared" si="9"/>
        <v>0.33333333333333331</v>
      </c>
      <c r="W1085" s="1016"/>
      <c r="X1085" s="592"/>
    </row>
    <row r="1086" spans="2:24" ht="14.25" customHeight="1">
      <c r="B1086" s="1474">
        <v>201403</v>
      </c>
      <c r="C1086" s="1471" t="s">
        <v>459</v>
      </c>
      <c r="D1086" s="1472" t="s">
        <v>179</v>
      </c>
      <c r="E1086" s="1678" t="s">
        <v>191</v>
      </c>
      <c r="F1086" s="611">
        <v>613.28700000000003</v>
      </c>
      <c r="G1086" s="329">
        <v>266.57</v>
      </c>
      <c r="H1086" s="330">
        <v>296.36</v>
      </c>
      <c r="I1086" s="331">
        <v>12</v>
      </c>
      <c r="J1086" s="332">
        <v>0.12180000000000001</v>
      </c>
      <c r="K1086" s="333">
        <v>15.68</v>
      </c>
      <c r="L1086" s="436">
        <v>1.42</v>
      </c>
      <c r="M1086" s="1470"/>
      <c r="N1086" s="334">
        <v>94</v>
      </c>
      <c r="O1086" s="335">
        <v>80</v>
      </c>
      <c r="P1086" s="389">
        <v>12</v>
      </c>
      <c r="Q1086" s="389">
        <v>2</v>
      </c>
      <c r="R1086" s="430">
        <v>18</v>
      </c>
      <c r="S1086" s="339">
        <v>1</v>
      </c>
      <c r="T1086" s="362">
        <v>8</v>
      </c>
      <c r="U1086" s="337">
        <v>5</v>
      </c>
      <c r="V1086" s="338">
        <f t="shared" si="9"/>
        <v>0.35714285714285715</v>
      </c>
      <c r="W1086" s="1016"/>
      <c r="X1086" s="592"/>
    </row>
    <row r="1087" spans="2:24" ht="14.25" customHeight="1">
      <c r="B1087" s="1474">
        <v>201403</v>
      </c>
      <c r="C1087" s="1468" t="s">
        <v>459</v>
      </c>
      <c r="D1087" s="1469" t="s">
        <v>185</v>
      </c>
      <c r="E1087" s="1677" t="s">
        <v>190</v>
      </c>
      <c r="F1087" s="610">
        <v>209.96600000000001</v>
      </c>
      <c r="G1087" s="164">
        <v>52.41</v>
      </c>
      <c r="H1087" s="90">
        <v>44.01</v>
      </c>
      <c r="I1087" s="154">
        <v>5</v>
      </c>
      <c r="J1087" s="46">
        <v>8.3299999999999999E-2</v>
      </c>
      <c r="K1087" s="54">
        <v>10.48</v>
      </c>
      <c r="L1087" s="437">
        <v>1</v>
      </c>
      <c r="M1087" s="1470"/>
      <c r="N1087" s="47">
        <v>59</v>
      </c>
      <c r="O1087" s="45">
        <v>47</v>
      </c>
      <c r="P1087" s="388">
        <v>9</v>
      </c>
      <c r="Q1087" s="388">
        <v>3</v>
      </c>
      <c r="R1087" s="429">
        <v>3</v>
      </c>
      <c r="S1087" s="92">
        <v>0</v>
      </c>
      <c r="T1087" s="361">
        <v>1</v>
      </c>
      <c r="U1087" s="285">
        <v>1</v>
      </c>
      <c r="V1087" s="438">
        <f t="shared" si="9"/>
        <v>8.3333333333333329E-2</v>
      </c>
      <c r="W1087" s="1016"/>
      <c r="X1087" s="592"/>
    </row>
    <row r="1088" spans="2:24" ht="14.25" customHeight="1">
      <c r="B1088" s="1474">
        <v>201403</v>
      </c>
      <c r="C1088" s="1471" t="s">
        <v>459</v>
      </c>
      <c r="D1088" s="1472" t="s">
        <v>177</v>
      </c>
      <c r="E1088" s="1678" t="s">
        <v>189</v>
      </c>
      <c r="F1088" s="611">
        <v>415.702</v>
      </c>
      <c r="G1088" s="329">
        <v>62.5</v>
      </c>
      <c r="H1088" s="330">
        <v>70.180000000000007</v>
      </c>
      <c r="I1088" s="331">
        <v>8</v>
      </c>
      <c r="J1088" s="332">
        <v>7.6600000000000001E-2</v>
      </c>
      <c r="K1088" s="333">
        <v>20.83</v>
      </c>
      <c r="L1088" s="436">
        <v>0.38</v>
      </c>
      <c r="M1088" s="1470"/>
      <c r="N1088" s="334">
        <v>99</v>
      </c>
      <c r="O1088" s="335">
        <v>72</v>
      </c>
      <c r="P1088" s="389">
        <v>17</v>
      </c>
      <c r="Q1088" s="389">
        <v>10</v>
      </c>
      <c r="R1088" s="430">
        <v>23</v>
      </c>
      <c r="S1088" s="339">
        <v>3</v>
      </c>
      <c r="T1088" s="362">
        <v>9</v>
      </c>
      <c r="U1088" s="337">
        <v>5</v>
      </c>
      <c r="V1088" s="338">
        <f t="shared" si="9"/>
        <v>0.18518518518518517</v>
      </c>
      <c r="W1088" s="1016"/>
      <c r="X1088" s="592"/>
    </row>
    <row r="1089" spans="2:24" ht="14.25" customHeight="1">
      <c r="B1089" s="1474">
        <v>201403</v>
      </c>
      <c r="C1089" s="1468" t="s">
        <v>459</v>
      </c>
      <c r="D1089" s="1469" t="s">
        <v>176</v>
      </c>
      <c r="E1089" s="1677" t="s">
        <v>188</v>
      </c>
      <c r="F1089" s="610">
        <v>258.32799999999997</v>
      </c>
      <c r="G1089" s="164">
        <v>59.24</v>
      </c>
      <c r="H1089" s="90">
        <v>90.35</v>
      </c>
      <c r="I1089" s="154">
        <v>4</v>
      </c>
      <c r="J1089" s="46">
        <v>5.2999999999999999E-2</v>
      </c>
      <c r="K1089" s="54">
        <v>14.81</v>
      </c>
      <c r="L1089" s="437">
        <v>1</v>
      </c>
      <c r="M1089" s="1470"/>
      <c r="N1089" s="47">
        <v>73</v>
      </c>
      <c r="O1089" s="45">
        <v>58</v>
      </c>
      <c r="P1089" s="388">
        <v>6</v>
      </c>
      <c r="Q1089" s="388">
        <v>9</v>
      </c>
      <c r="R1089" s="429">
        <v>10</v>
      </c>
      <c r="S1089" s="92">
        <v>0</v>
      </c>
      <c r="T1089" s="361">
        <v>5</v>
      </c>
      <c r="U1089" s="285">
        <v>4</v>
      </c>
      <c r="V1089" s="438">
        <f t="shared" si="9"/>
        <v>0.26666666666666666</v>
      </c>
      <c r="W1089" s="1016"/>
      <c r="X1089" s="592"/>
    </row>
    <row r="1090" spans="2:24" ht="14.25" customHeight="1">
      <c r="B1090" s="1474">
        <v>201403</v>
      </c>
      <c r="C1090" s="1471" t="s">
        <v>459</v>
      </c>
      <c r="D1090" s="1472" t="s">
        <v>178</v>
      </c>
      <c r="E1090" s="1678" t="s">
        <v>192</v>
      </c>
      <c r="F1090" s="611">
        <v>382.64400000000001</v>
      </c>
      <c r="G1090" s="329">
        <v>120.18</v>
      </c>
      <c r="H1090" s="330">
        <v>163.13999999999999</v>
      </c>
      <c r="I1090" s="331">
        <v>11</v>
      </c>
      <c r="J1090" s="332">
        <v>0.15490000000000001</v>
      </c>
      <c r="K1090" s="333">
        <v>10.02</v>
      </c>
      <c r="L1090" s="436">
        <v>1.0900000000000001</v>
      </c>
      <c r="M1090" s="1470"/>
      <c r="N1090" s="334">
        <v>63</v>
      </c>
      <c r="O1090" s="335">
        <v>47</v>
      </c>
      <c r="P1090" s="389">
        <v>12</v>
      </c>
      <c r="Q1090" s="389">
        <v>4</v>
      </c>
      <c r="R1090" s="430">
        <v>21</v>
      </c>
      <c r="S1090" s="339">
        <v>0</v>
      </c>
      <c r="T1090" s="362">
        <v>5</v>
      </c>
      <c r="U1090" s="337">
        <v>3</v>
      </c>
      <c r="V1090" s="338">
        <f t="shared" si="9"/>
        <v>0.1875</v>
      </c>
      <c r="W1090" s="1016"/>
      <c r="X1090" s="592"/>
    </row>
    <row r="1091" spans="2:24" ht="14.25" customHeight="1">
      <c r="B1091" s="1475">
        <v>201402</v>
      </c>
      <c r="C1091" s="1471" t="s">
        <v>458</v>
      </c>
      <c r="D1091" s="1472" t="s">
        <v>91</v>
      </c>
      <c r="E1091" s="1678" t="s">
        <v>92</v>
      </c>
      <c r="F1091" s="611">
        <v>899.077</v>
      </c>
      <c r="G1091" s="329">
        <v>513.07000000000005</v>
      </c>
      <c r="H1091" s="330">
        <v>475.69</v>
      </c>
      <c r="I1091" s="331">
        <v>23</v>
      </c>
      <c r="J1091" s="332">
        <v>0.22220000000000001</v>
      </c>
      <c r="K1091" s="333">
        <v>17.100000000000001</v>
      </c>
      <c r="L1091" s="436">
        <v>1.3</v>
      </c>
      <c r="M1091" s="1470"/>
      <c r="N1091" s="334">
        <v>101</v>
      </c>
      <c r="O1091" s="335">
        <v>77</v>
      </c>
      <c r="P1091" s="389">
        <v>20</v>
      </c>
      <c r="Q1091" s="389">
        <v>4</v>
      </c>
      <c r="R1091" s="430">
        <v>15</v>
      </c>
      <c r="S1091" s="339">
        <v>1</v>
      </c>
      <c r="T1091" s="362">
        <v>9</v>
      </c>
      <c r="U1091" s="337">
        <v>7</v>
      </c>
      <c r="V1091" s="338">
        <f t="shared" si="9"/>
        <v>0.29166666666666669</v>
      </c>
      <c r="W1091" s="1016"/>
      <c r="X1091" s="592"/>
    </row>
    <row r="1092" spans="2:24" ht="14.25" customHeight="1">
      <c r="B1092" s="1475">
        <v>201402</v>
      </c>
      <c r="C1092" s="1468" t="s">
        <v>458</v>
      </c>
      <c r="D1092" s="1469" t="s">
        <v>482</v>
      </c>
      <c r="E1092" s="1677" t="s">
        <v>483</v>
      </c>
      <c r="F1092" s="610">
        <v>71.48</v>
      </c>
      <c r="G1092" s="164">
        <v>69.040000000000006</v>
      </c>
      <c r="H1092" s="90">
        <v>20.350000000000001</v>
      </c>
      <c r="I1092" s="154">
        <v>3</v>
      </c>
      <c r="J1092" s="46">
        <v>0.26090000000000002</v>
      </c>
      <c r="K1092" s="54">
        <v>23.01</v>
      </c>
      <c r="L1092" s="437">
        <v>1</v>
      </c>
      <c r="M1092" s="1470"/>
      <c r="N1092" s="47">
        <v>13</v>
      </c>
      <c r="O1092" s="45">
        <v>9</v>
      </c>
      <c r="P1092" s="388">
        <v>4</v>
      </c>
      <c r="Q1092" s="388">
        <v>0</v>
      </c>
      <c r="R1092" s="429">
        <v>0</v>
      </c>
      <c r="S1092" s="92">
        <v>1</v>
      </c>
      <c r="T1092" s="361">
        <v>2</v>
      </c>
      <c r="U1092" s="285">
        <v>1</v>
      </c>
      <c r="V1092" s="438">
        <f t="shared" si="9"/>
        <v>0.25</v>
      </c>
      <c r="W1092" s="1016"/>
      <c r="X1092" s="592"/>
    </row>
    <row r="1093" spans="2:24" ht="14.25" customHeight="1">
      <c r="B1093" s="1475">
        <v>201402</v>
      </c>
      <c r="C1093" s="1471" t="s">
        <v>458</v>
      </c>
      <c r="D1093" s="1472" t="s">
        <v>187</v>
      </c>
      <c r="E1093" s="1678" t="s">
        <v>194</v>
      </c>
      <c r="F1093" s="611">
        <v>262.46100000000001</v>
      </c>
      <c r="G1093" s="329">
        <v>121.1</v>
      </c>
      <c r="H1093" s="330">
        <v>153.55000000000001</v>
      </c>
      <c r="I1093" s="331">
        <v>11</v>
      </c>
      <c r="J1093" s="332">
        <v>0.156</v>
      </c>
      <c r="K1093" s="333">
        <v>10.09</v>
      </c>
      <c r="L1093" s="436">
        <v>1.0900000000000001</v>
      </c>
      <c r="M1093" s="1470"/>
      <c r="N1093" s="334">
        <v>62</v>
      </c>
      <c r="O1093" s="335">
        <v>45</v>
      </c>
      <c r="P1093" s="389">
        <v>16</v>
      </c>
      <c r="Q1093" s="389">
        <v>1</v>
      </c>
      <c r="R1093" s="430">
        <v>20</v>
      </c>
      <c r="S1093" s="339">
        <v>0</v>
      </c>
      <c r="T1093" s="362">
        <v>3</v>
      </c>
      <c r="U1093" s="337">
        <v>1</v>
      </c>
      <c r="V1093" s="338">
        <f t="shared" si="9"/>
        <v>5.8823529411764705E-2</v>
      </c>
      <c r="W1093" s="1016"/>
      <c r="X1093" s="592"/>
    </row>
    <row r="1094" spans="2:24" ht="14.25" customHeight="1">
      <c r="B1094" s="1475">
        <v>201402</v>
      </c>
      <c r="C1094" s="1468" t="s">
        <v>458</v>
      </c>
      <c r="D1094" s="1469" t="s">
        <v>557</v>
      </c>
      <c r="E1094" s="1678" t="s">
        <v>1770</v>
      </c>
      <c r="F1094" s="610">
        <v>5.8129999999999997</v>
      </c>
      <c r="G1094" s="164">
        <v>5.81</v>
      </c>
      <c r="H1094" s="90">
        <v>5.81</v>
      </c>
      <c r="I1094" s="154">
        <v>1</v>
      </c>
      <c r="J1094" s="46">
        <v>0.33329999999999999</v>
      </c>
      <c r="K1094" s="54">
        <v>5.81</v>
      </c>
      <c r="L1094" s="437">
        <v>1</v>
      </c>
      <c r="M1094" s="1470"/>
      <c r="N1094" s="47">
        <v>3</v>
      </c>
      <c r="O1094" s="45">
        <v>3</v>
      </c>
      <c r="P1094" s="388">
        <v>0</v>
      </c>
      <c r="Q1094" s="388">
        <v>0</v>
      </c>
      <c r="R1094" s="429">
        <v>0</v>
      </c>
      <c r="S1094" s="92"/>
      <c r="T1094" s="361">
        <v>0</v>
      </c>
      <c r="U1094" s="285"/>
      <c r="V1094" s="438">
        <f t="shared" ref="V1094:V1101" si="10">IF((P1094+Q1094)&lt;&gt;0,U1094/(P1094+Q1094),0)</f>
        <v>0</v>
      </c>
      <c r="W1094" s="1016"/>
      <c r="X1094" s="592"/>
    </row>
    <row r="1095" spans="2:24" ht="14.25" customHeight="1">
      <c r="B1095" s="1475">
        <v>201402</v>
      </c>
      <c r="C1095" s="1471" t="s">
        <v>458</v>
      </c>
      <c r="D1095" s="1472" t="s">
        <v>47</v>
      </c>
      <c r="E1095" s="1678" t="s">
        <v>17</v>
      </c>
      <c r="F1095" s="611">
        <v>314.80700000000002</v>
      </c>
      <c r="G1095" s="329">
        <v>201.46</v>
      </c>
      <c r="H1095" s="330">
        <v>180.44</v>
      </c>
      <c r="I1095" s="331">
        <v>9</v>
      </c>
      <c r="J1095" s="332">
        <v>9.3799999999999994E-2</v>
      </c>
      <c r="K1095" s="333">
        <v>18.309999999999999</v>
      </c>
      <c r="L1095" s="436">
        <v>1.22</v>
      </c>
      <c r="M1095" s="1470"/>
      <c r="N1095" s="334">
        <v>96</v>
      </c>
      <c r="O1095" s="335">
        <v>75</v>
      </c>
      <c r="P1095" s="389">
        <v>18</v>
      </c>
      <c r="Q1095" s="389">
        <v>3</v>
      </c>
      <c r="R1095" s="430">
        <v>6</v>
      </c>
      <c r="S1095" s="339">
        <v>0</v>
      </c>
      <c r="T1095" s="362">
        <v>6</v>
      </c>
      <c r="U1095" s="337">
        <v>6</v>
      </c>
      <c r="V1095" s="338">
        <f>IF((P1095+Q1095)&lt;&gt;0,U1095/(P1095+Q1095),0)</f>
        <v>0.2857142857142857</v>
      </c>
      <c r="W1095" s="1016"/>
      <c r="X1095" s="592"/>
    </row>
    <row r="1096" spans="2:24" ht="14.25" customHeight="1">
      <c r="B1096" s="1475">
        <v>201402</v>
      </c>
      <c r="C1096" s="1468" t="s">
        <v>458</v>
      </c>
      <c r="D1096" s="1469" t="s">
        <v>48</v>
      </c>
      <c r="E1096" s="1677"/>
      <c r="F1096" s="610"/>
      <c r="G1096" s="164">
        <v>0</v>
      </c>
      <c r="H1096" s="90">
        <v>0</v>
      </c>
      <c r="I1096" s="154">
        <v>0</v>
      </c>
      <c r="J1096" s="46">
        <v>0</v>
      </c>
      <c r="K1096" s="54">
        <v>0</v>
      </c>
      <c r="L1096" s="437">
        <v>0</v>
      </c>
      <c r="M1096" s="1470"/>
      <c r="N1096" s="47">
        <v>2</v>
      </c>
      <c r="O1096" s="45">
        <v>1</v>
      </c>
      <c r="P1096" s="388">
        <v>1</v>
      </c>
      <c r="Q1096" s="388">
        <v>0</v>
      </c>
      <c r="R1096" s="429">
        <v>0</v>
      </c>
      <c r="S1096" s="92">
        <v>0</v>
      </c>
      <c r="T1096" s="361">
        <v>0</v>
      </c>
      <c r="U1096" s="285"/>
      <c r="V1096" s="438">
        <f t="shared" si="10"/>
        <v>0</v>
      </c>
      <c r="W1096" s="1016"/>
      <c r="X1096" s="592"/>
    </row>
    <row r="1097" spans="2:24" ht="14.25" customHeight="1">
      <c r="B1097" s="1475">
        <v>201402</v>
      </c>
      <c r="C1097" s="1471" t="s">
        <v>459</v>
      </c>
      <c r="D1097" s="1472" t="s">
        <v>179</v>
      </c>
      <c r="E1097" s="1678" t="s">
        <v>191</v>
      </c>
      <c r="F1097" s="611">
        <v>316.92500000000001</v>
      </c>
      <c r="G1097" s="329">
        <v>129.93</v>
      </c>
      <c r="H1097" s="330">
        <v>146.26</v>
      </c>
      <c r="I1097" s="331">
        <v>11</v>
      </c>
      <c r="J1097" s="332">
        <v>0.1043</v>
      </c>
      <c r="K1097" s="333">
        <v>11.81</v>
      </c>
      <c r="L1097" s="436">
        <v>1</v>
      </c>
      <c r="M1097" s="1470"/>
      <c r="N1097" s="334">
        <v>103</v>
      </c>
      <c r="O1097" s="335">
        <v>88</v>
      </c>
      <c r="P1097" s="389">
        <v>13</v>
      </c>
      <c r="Q1097" s="389">
        <v>2</v>
      </c>
      <c r="R1097" s="430">
        <v>10</v>
      </c>
      <c r="S1097" s="339">
        <v>0</v>
      </c>
      <c r="T1097" s="362">
        <v>5</v>
      </c>
      <c r="U1097" s="337">
        <v>4</v>
      </c>
      <c r="V1097" s="338">
        <f>IF((P1097+Q1097)&lt;&gt;0,U1097/(P1097+Q1097),0)</f>
        <v>0.26666666666666666</v>
      </c>
      <c r="W1097" s="1016"/>
      <c r="X1097" s="592"/>
    </row>
    <row r="1098" spans="2:24" ht="14.25" customHeight="1">
      <c r="B1098" s="1475">
        <v>201402</v>
      </c>
      <c r="C1098" s="1468" t="s">
        <v>459</v>
      </c>
      <c r="D1098" s="1469" t="s">
        <v>185</v>
      </c>
      <c r="E1098" s="1677" t="s">
        <v>190</v>
      </c>
      <c r="F1098" s="610">
        <v>165.95599999999999</v>
      </c>
      <c r="G1098" s="164">
        <v>131.66999999999999</v>
      </c>
      <c r="H1098" s="90">
        <v>112.59</v>
      </c>
      <c r="I1098" s="154">
        <v>11</v>
      </c>
      <c r="J1098" s="46">
        <v>0.16919999999999999</v>
      </c>
      <c r="K1098" s="54">
        <v>10.97</v>
      </c>
      <c r="L1098" s="437">
        <v>1.0900000000000001</v>
      </c>
      <c r="M1098" s="1470"/>
      <c r="N1098" s="47">
        <v>61</v>
      </c>
      <c r="O1098" s="45">
        <v>46</v>
      </c>
      <c r="P1098" s="388">
        <v>12</v>
      </c>
      <c r="Q1098" s="388">
        <v>3</v>
      </c>
      <c r="R1098" s="429">
        <v>10</v>
      </c>
      <c r="S1098" s="92">
        <v>0</v>
      </c>
      <c r="T1098" s="361">
        <v>2</v>
      </c>
      <c r="U1098" s="285">
        <v>1</v>
      </c>
      <c r="V1098" s="438">
        <f t="shared" si="10"/>
        <v>6.6666666666666666E-2</v>
      </c>
      <c r="W1098" s="1016"/>
      <c r="X1098" s="592"/>
    </row>
    <row r="1099" spans="2:24" ht="14.25" customHeight="1">
      <c r="B1099" s="1475">
        <v>201402</v>
      </c>
      <c r="C1099" s="1471" t="s">
        <v>459</v>
      </c>
      <c r="D1099" s="1472" t="s">
        <v>460</v>
      </c>
      <c r="E1099" s="1678" t="s">
        <v>461</v>
      </c>
      <c r="F1099" s="611">
        <v>171.85499999999999</v>
      </c>
      <c r="G1099" s="329">
        <v>154.78</v>
      </c>
      <c r="H1099" s="330">
        <v>131.25</v>
      </c>
      <c r="I1099" s="331">
        <v>7</v>
      </c>
      <c r="J1099" s="332">
        <v>0.56000000000000005</v>
      </c>
      <c r="K1099" s="333">
        <v>15.48</v>
      </c>
      <c r="L1099" s="436">
        <v>1.43</v>
      </c>
      <c r="M1099" s="1470"/>
      <c r="N1099" s="334">
        <v>14</v>
      </c>
      <c r="O1099" s="335">
        <v>10</v>
      </c>
      <c r="P1099" s="389">
        <v>4</v>
      </c>
      <c r="Q1099" s="389">
        <v>0</v>
      </c>
      <c r="R1099" s="430">
        <v>0</v>
      </c>
      <c r="S1099" s="339">
        <v>0</v>
      </c>
      <c r="T1099" s="362">
        <v>3</v>
      </c>
      <c r="U1099" s="337">
        <v>1</v>
      </c>
      <c r="V1099" s="338">
        <f>IF((P1099+Q1099)&lt;&gt;0,U1099/(P1099+Q1099),0)</f>
        <v>0.25</v>
      </c>
      <c r="W1099" s="1016"/>
      <c r="X1099" s="592"/>
    </row>
    <row r="1100" spans="2:24" ht="14.25" customHeight="1">
      <c r="B1100" s="1475">
        <v>201402</v>
      </c>
      <c r="C1100" s="1468" t="s">
        <v>459</v>
      </c>
      <c r="D1100" s="1469" t="s">
        <v>177</v>
      </c>
      <c r="E1100" s="1677" t="s">
        <v>189</v>
      </c>
      <c r="F1100" s="610">
        <v>345.51799999999997</v>
      </c>
      <c r="G1100" s="164">
        <v>238.11</v>
      </c>
      <c r="H1100" s="90">
        <v>230.57</v>
      </c>
      <c r="I1100" s="154">
        <v>18</v>
      </c>
      <c r="J1100" s="46">
        <v>0.17910000000000001</v>
      </c>
      <c r="K1100" s="54">
        <v>10.35</v>
      </c>
      <c r="L1100" s="437">
        <v>1.28</v>
      </c>
      <c r="M1100" s="1470"/>
      <c r="N1100" s="47">
        <v>96</v>
      </c>
      <c r="O1100" s="45">
        <v>76</v>
      </c>
      <c r="P1100" s="388">
        <v>10</v>
      </c>
      <c r="Q1100" s="388">
        <v>10</v>
      </c>
      <c r="R1100" s="429">
        <v>17</v>
      </c>
      <c r="S1100" s="92">
        <v>0</v>
      </c>
      <c r="T1100" s="361">
        <v>8</v>
      </c>
      <c r="U1100" s="285">
        <v>4</v>
      </c>
      <c r="V1100" s="438">
        <f t="shared" si="10"/>
        <v>0.2</v>
      </c>
      <c r="W1100" s="1016"/>
      <c r="X1100" s="592"/>
    </row>
    <row r="1101" spans="2:24" ht="13.5">
      <c r="B1101" s="1475">
        <v>201402</v>
      </c>
      <c r="C1101" s="1471" t="s">
        <v>459</v>
      </c>
      <c r="D1101" s="1472" t="s">
        <v>176</v>
      </c>
      <c r="E1101" s="1678" t="s">
        <v>188</v>
      </c>
      <c r="F1101" s="611">
        <v>167.977</v>
      </c>
      <c r="G1101" s="329">
        <v>105.77</v>
      </c>
      <c r="H1101" s="330">
        <v>107.03</v>
      </c>
      <c r="I1101" s="331">
        <v>7</v>
      </c>
      <c r="J1101" s="332">
        <v>8.0500000000000002E-2</v>
      </c>
      <c r="K1101" s="333">
        <v>13.22</v>
      </c>
      <c r="L1101" s="436">
        <v>1.1399999999999999</v>
      </c>
      <c r="M1101" s="1470"/>
      <c r="N1101" s="334">
        <v>78</v>
      </c>
      <c r="O1101" s="335">
        <v>63</v>
      </c>
      <c r="P1101" s="389">
        <v>6</v>
      </c>
      <c r="Q1101" s="389">
        <v>9</v>
      </c>
      <c r="R1101" s="430">
        <v>20</v>
      </c>
      <c r="S1101" s="339">
        <v>0</v>
      </c>
      <c r="T1101" s="362">
        <v>2</v>
      </c>
      <c r="U1101" s="337">
        <v>2</v>
      </c>
      <c r="V1101" s="338">
        <f t="shared" si="10"/>
        <v>0.13333333333333333</v>
      </c>
      <c r="W1101" s="1016"/>
      <c r="X1101" s="592"/>
    </row>
    <row r="1102" spans="2:24" ht="13.5">
      <c r="B1102" s="1475">
        <v>201402</v>
      </c>
      <c r="C1102" s="1468" t="s">
        <v>459</v>
      </c>
      <c r="D1102" s="1469" t="s">
        <v>178</v>
      </c>
      <c r="E1102" s="1677" t="s">
        <v>192</v>
      </c>
      <c r="F1102" s="610">
        <v>219.5</v>
      </c>
      <c r="G1102" s="164">
        <v>185.55</v>
      </c>
      <c r="H1102" s="90">
        <v>183.1</v>
      </c>
      <c r="I1102" s="154">
        <v>11</v>
      </c>
      <c r="J1102" s="46">
        <v>0.1366</v>
      </c>
      <c r="K1102" s="54">
        <v>12.37</v>
      </c>
      <c r="L1102" s="437">
        <v>1.36</v>
      </c>
      <c r="M1102" s="1470"/>
      <c r="N1102" s="47">
        <v>79</v>
      </c>
      <c r="O1102" s="45">
        <v>64</v>
      </c>
      <c r="P1102" s="388">
        <v>12</v>
      </c>
      <c r="Q1102" s="388">
        <v>3</v>
      </c>
      <c r="R1102" s="429">
        <v>9</v>
      </c>
      <c r="S1102" s="92">
        <v>0</v>
      </c>
      <c r="T1102" s="361">
        <v>6</v>
      </c>
      <c r="U1102" s="285">
        <v>3</v>
      </c>
      <c r="V1102" s="438">
        <f>IF((P1102+Q1102)&lt;&gt;0,U1102/(P1102+Q1102),0)</f>
        <v>0.2</v>
      </c>
      <c r="W1102" s="1016"/>
      <c r="X1102" s="592"/>
    </row>
    <row r="1103" spans="2:24" ht="13.5">
      <c r="B1103" s="1476">
        <v>201401</v>
      </c>
      <c r="C1103" s="1468" t="s">
        <v>458</v>
      </c>
      <c r="D1103" s="1469" t="s">
        <v>91</v>
      </c>
      <c r="E1103" s="1677" t="s">
        <v>92</v>
      </c>
      <c r="F1103" s="610">
        <f>H1103</f>
        <v>423.38</v>
      </c>
      <c r="G1103" s="164">
        <v>433.96</v>
      </c>
      <c r="H1103" s="90">
        <v>423.38</v>
      </c>
      <c r="I1103" s="154">
        <v>24</v>
      </c>
      <c r="J1103" s="46">
        <v>0.22969999999999999</v>
      </c>
      <c r="K1103" s="54">
        <v>18.87</v>
      </c>
      <c r="L1103" s="437">
        <v>0.96</v>
      </c>
      <c r="M1103" s="1470"/>
      <c r="N1103" s="47">
        <v>106</v>
      </c>
      <c r="O1103" s="45">
        <v>80</v>
      </c>
      <c r="P1103" s="388">
        <v>22</v>
      </c>
      <c r="Q1103" s="388">
        <v>4</v>
      </c>
      <c r="R1103" s="429">
        <v>5</v>
      </c>
      <c r="S1103" s="92">
        <v>0</v>
      </c>
      <c r="T1103" s="361">
        <v>8</v>
      </c>
      <c r="U1103" s="285">
        <v>5</v>
      </c>
      <c r="V1103" s="438">
        <f t="shared" ref="V1103:V1114" si="11">IF((P1103+Q1103)&lt;&gt;0,U1103/(P1103+Q1103),0)</f>
        <v>0.19230769230769232</v>
      </c>
      <c r="W1103" s="1016"/>
      <c r="X1103" s="592"/>
    </row>
    <row r="1104" spans="2:24" ht="13.5">
      <c r="B1104" s="1476">
        <v>201401</v>
      </c>
      <c r="C1104" s="1471" t="s">
        <v>458</v>
      </c>
      <c r="D1104" s="1472" t="s">
        <v>482</v>
      </c>
      <c r="E1104" s="1678" t="s">
        <v>483</v>
      </c>
      <c r="F1104" s="611">
        <f>H1104</f>
        <v>51.13</v>
      </c>
      <c r="G1104" s="329">
        <v>76.52</v>
      </c>
      <c r="H1104" s="330">
        <v>51.13</v>
      </c>
      <c r="I1104" s="331">
        <v>5</v>
      </c>
      <c r="J1104" s="332">
        <v>0.5</v>
      </c>
      <c r="K1104" s="333">
        <v>15.3</v>
      </c>
      <c r="L1104" s="436">
        <v>1</v>
      </c>
      <c r="M1104" s="1470"/>
      <c r="N1104" s="334">
        <v>10</v>
      </c>
      <c r="O1104" s="335">
        <v>7</v>
      </c>
      <c r="P1104" s="389">
        <v>3</v>
      </c>
      <c r="Q1104" s="389">
        <v>0</v>
      </c>
      <c r="R1104" s="430">
        <v>0</v>
      </c>
      <c r="S1104" s="339">
        <v>0</v>
      </c>
      <c r="T1104" s="362">
        <v>0</v>
      </c>
      <c r="U1104" s="337"/>
      <c r="V1104" s="338">
        <f t="shared" si="11"/>
        <v>0</v>
      </c>
      <c r="W1104" s="1016"/>
      <c r="X1104" s="592"/>
    </row>
    <row r="1105" spans="2:24" ht="13.5">
      <c r="B1105" s="1476">
        <v>201401</v>
      </c>
      <c r="C1105" s="1468" t="s">
        <v>458</v>
      </c>
      <c r="D1105" s="1469" t="s">
        <v>187</v>
      </c>
      <c r="E1105" s="1677" t="s">
        <v>194</v>
      </c>
      <c r="F1105" s="610">
        <f>H1105</f>
        <v>108.91</v>
      </c>
      <c r="G1105" s="164">
        <v>119.39</v>
      </c>
      <c r="H1105" s="90">
        <v>108.91</v>
      </c>
      <c r="I1105" s="154">
        <v>7</v>
      </c>
      <c r="J1105" s="46">
        <v>0.12959999999999999</v>
      </c>
      <c r="K1105" s="54">
        <v>17.059999999999999</v>
      </c>
      <c r="L1105" s="437">
        <v>1</v>
      </c>
      <c r="M1105" s="1470"/>
      <c r="N1105" s="47">
        <v>52</v>
      </c>
      <c r="O1105" s="45">
        <v>37</v>
      </c>
      <c r="P1105" s="388">
        <v>14</v>
      </c>
      <c r="Q1105" s="388">
        <v>1</v>
      </c>
      <c r="R1105" s="429">
        <v>4</v>
      </c>
      <c r="S1105" s="92">
        <v>0</v>
      </c>
      <c r="T1105" s="361">
        <v>0</v>
      </c>
      <c r="U1105" s="285"/>
      <c r="V1105" s="438">
        <f t="shared" si="11"/>
        <v>0</v>
      </c>
      <c r="W1105" s="1016"/>
      <c r="X1105" s="592"/>
    </row>
    <row r="1106" spans="2:24" ht="13.5">
      <c r="B1106" s="1476">
        <v>201401</v>
      </c>
      <c r="C1106" s="1471" t="s">
        <v>458</v>
      </c>
      <c r="D1106" s="1472" t="s">
        <v>557</v>
      </c>
      <c r="E1106" s="1678" t="s">
        <v>1770</v>
      </c>
      <c r="F1106" s="611">
        <f>H1106</f>
        <v>0</v>
      </c>
      <c r="G1106" s="329">
        <v>0</v>
      </c>
      <c r="H1106" s="330">
        <v>0</v>
      </c>
      <c r="I1106" s="331">
        <v>0</v>
      </c>
      <c r="J1106" s="332">
        <v>0</v>
      </c>
      <c r="K1106" s="333">
        <v>0</v>
      </c>
      <c r="L1106" s="436">
        <v>0</v>
      </c>
      <c r="M1106" s="1470"/>
      <c r="N1106" s="334">
        <v>3</v>
      </c>
      <c r="O1106" s="335">
        <v>3</v>
      </c>
      <c r="P1106" s="389">
        <v>0</v>
      </c>
      <c r="Q1106" s="389">
        <v>0</v>
      </c>
      <c r="R1106" s="430">
        <v>0</v>
      </c>
      <c r="S1106" s="339"/>
      <c r="T1106" s="362">
        <v>3</v>
      </c>
      <c r="U1106" s="337"/>
      <c r="V1106" s="338">
        <f t="shared" si="11"/>
        <v>0</v>
      </c>
      <c r="W1106" s="1016"/>
      <c r="X1106" s="592"/>
    </row>
    <row r="1107" spans="2:24" ht="13.5">
      <c r="B1107" s="1476">
        <v>201401</v>
      </c>
      <c r="C1107" s="1468" t="s">
        <v>458</v>
      </c>
      <c r="D1107" s="1469" t="s">
        <v>47</v>
      </c>
      <c r="E1107" s="1677" t="s">
        <v>17</v>
      </c>
      <c r="F1107" s="610">
        <f>H1107</f>
        <v>134.36000000000001</v>
      </c>
      <c r="G1107" s="164">
        <v>162.96</v>
      </c>
      <c r="H1107" s="90">
        <v>134.36000000000001</v>
      </c>
      <c r="I1107" s="154">
        <v>10</v>
      </c>
      <c r="J1107" s="46">
        <v>0.1036</v>
      </c>
      <c r="K1107" s="54">
        <v>13.58</v>
      </c>
      <c r="L1107" s="437">
        <v>1.2</v>
      </c>
      <c r="M1107" s="1470"/>
      <c r="N1107" s="47">
        <v>96</v>
      </c>
      <c r="O1107" s="45">
        <v>74</v>
      </c>
      <c r="P1107" s="388">
        <v>19</v>
      </c>
      <c r="Q1107" s="388">
        <v>3</v>
      </c>
      <c r="R1107" s="429">
        <v>5</v>
      </c>
      <c r="S1107" s="92">
        <v>0</v>
      </c>
      <c r="T1107" s="361">
        <v>4</v>
      </c>
      <c r="U1107" s="285">
        <v>4</v>
      </c>
      <c r="V1107" s="438">
        <f t="shared" si="11"/>
        <v>0.18181818181818182</v>
      </c>
      <c r="W1107" s="1016"/>
      <c r="X1107" s="592"/>
    </row>
    <row r="1108" spans="2:24" ht="13.5">
      <c r="B1108" s="1476">
        <v>201401</v>
      </c>
      <c r="C1108" s="1471" t="s">
        <v>458</v>
      </c>
      <c r="D1108" s="1472" t="s">
        <v>48</v>
      </c>
      <c r="E1108" s="1678"/>
      <c r="F1108" s="611"/>
      <c r="G1108" s="329">
        <v>0</v>
      </c>
      <c r="H1108" s="330">
        <v>0</v>
      </c>
      <c r="I1108" s="331">
        <v>0</v>
      </c>
      <c r="J1108" s="332">
        <v>0</v>
      </c>
      <c r="K1108" s="333">
        <v>0</v>
      </c>
      <c r="L1108" s="436">
        <v>0</v>
      </c>
      <c r="M1108" s="1470"/>
      <c r="N1108" s="334">
        <v>2</v>
      </c>
      <c r="O1108" s="335">
        <v>1</v>
      </c>
      <c r="P1108" s="389">
        <v>1</v>
      </c>
      <c r="Q1108" s="389">
        <v>0</v>
      </c>
      <c r="R1108" s="430">
        <v>0</v>
      </c>
      <c r="S1108" s="339">
        <v>0</v>
      </c>
      <c r="T1108" s="362">
        <v>0</v>
      </c>
      <c r="U1108" s="337"/>
      <c r="V1108" s="338">
        <f t="shared" si="11"/>
        <v>0</v>
      </c>
      <c r="W1108" s="1016"/>
      <c r="X1108" s="592"/>
    </row>
    <row r="1109" spans="2:24" ht="13.5">
      <c r="B1109" s="1476">
        <v>201401</v>
      </c>
      <c r="C1109" s="1468" t="s">
        <v>459</v>
      </c>
      <c r="D1109" s="1469" t="s">
        <v>179</v>
      </c>
      <c r="E1109" s="1677" t="s">
        <v>191</v>
      </c>
      <c r="F1109" s="610">
        <f t="shared" ref="F1109:F1114" si="12">H1109</f>
        <v>170.67</v>
      </c>
      <c r="G1109" s="164">
        <v>170.67</v>
      </c>
      <c r="H1109" s="90">
        <v>170.67</v>
      </c>
      <c r="I1109" s="154">
        <v>8</v>
      </c>
      <c r="J1109" s="46">
        <v>7.51E-2</v>
      </c>
      <c r="K1109" s="54">
        <v>13.13</v>
      </c>
      <c r="L1109" s="437">
        <v>1.63</v>
      </c>
      <c r="M1109" s="1470"/>
      <c r="N1109" s="47">
        <v>108</v>
      </c>
      <c r="O1109" s="45">
        <v>93</v>
      </c>
      <c r="P1109" s="388">
        <v>13</v>
      </c>
      <c r="Q1109" s="388">
        <v>2</v>
      </c>
      <c r="R1109" s="429">
        <v>9</v>
      </c>
      <c r="S1109" s="92">
        <v>2</v>
      </c>
      <c r="T1109" s="361">
        <v>10</v>
      </c>
      <c r="U1109" s="285">
        <v>5</v>
      </c>
      <c r="V1109" s="438">
        <f t="shared" si="11"/>
        <v>0.33333333333333331</v>
      </c>
      <c r="W1109" s="1016"/>
      <c r="X1109" s="592"/>
    </row>
    <row r="1110" spans="2:24" ht="13.5">
      <c r="B1110" s="1476">
        <v>201401</v>
      </c>
      <c r="C1110" s="1471" t="s">
        <v>459</v>
      </c>
      <c r="D1110" s="1472" t="s">
        <v>185</v>
      </c>
      <c r="E1110" s="1678" t="s">
        <v>190</v>
      </c>
      <c r="F1110" s="611">
        <f t="shared" si="12"/>
        <v>53.37</v>
      </c>
      <c r="G1110" s="329">
        <v>53.37</v>
      </c>
      <c r="H1110" s="330">
        <v>53.37</v>
      </c>
      <c r="I1110" s="331">
        <v>4</v>
      </c>
      <c r="J1110" s="332">
        <v>5.9299999999999999E-2</v>
      </c>
      <c r="K1110" s="333">
        <v>13.34</v>
      </c>
      <c r="L1110" s="436">
        <v>1</v>
      </c>
      <c r="M1110" s="1470"/>
      <c r="N1110" s="334">
        <v>69</v>
      </c>
      <c r="O1110" s="335">
        <v>54</v>
      </c>
      <c r="P1110" s="389">
        <v>12</v>
      </c>
      <c r="Q1110" s="389">
        <v>3</v>
      </c>
      <c r="R1110" s="430">
        <v>2</v>
      </c>
      <c r="S1110" s="339">
        <v>1</v>
      </c>
      <c r="T1110" s="362">
        <v>4</v>
      </c>
      <c r="U1110" s="337">
        <v>4</v>
      </c>
      <c r="V1110" s="338">
        <f t="shared" si="11"/>
        <v>0.26666666666666666</v>
      </c>
      <c r="W1110" s="1016"/>
      <c r="X1110" s="592"/>
    </row>
    <row r="1111" spans="2:24" ht="13.5">
      <c r="B1111" s="1476">
        <v>201401</v>
      </c>
      <c r="C1111" s="1468" t="s">
        <v>459</v>
      </c>
      <c r="D1111" s="1469" t="s">
        <v>460</v>
      </c>
      <c r="E1111" s="1677" t="s">
        <v>461</v>
      </c>
      <c r="F1111" s="610">
        <f t="shared" si="12"/>
        <v>40.61</v>
      </c>
      <c r="G1111" s="164">
        <v>48.54</v>
      </c>
      <c r="H1111" s="90">
        <v>40.61</v>
      </c>
      <c r="I1111" s="154">
        <v>2</v>
      </c>
      <c r="J1111" s="46">
        <v>0.21049999999999999</v>
      </c>
      <c r="K1111" s="54">
        <v>16.18</v>
      </c>
      <c r="L1111" s="437">
        <v>1.5</v>
      </c>
      <c r="M1111" s="1470"/>
      <c r="N1111" s="47">
        <v>11</v>
      </c>
      <c r="O1111" s="45">
        <v>7</v>
      </c>
      <c r="P1111" s="388">
        <v>4</v>
      </c>
      <c r="Q1111" s="388">
        <v>0</v>
      </c>
      <c r="R1111" s="429">
        <v>0</v>
      </c>
      <c r="S1111" s="92">
        <v>1</v>
      </c>
      <c r="T1111" s="361">
        <v>2</v>
      </c>
      <c r="U1111" s="285">
        <v>2</v>
      </c>
      <c r="V1111" s="438">
        <f t="shared" si="11"/>
        <v>0.5</v>
      </c>
      <c r="W1111" s="1016"/>
      <c r="X1111" s="592"/>
    </row>
    <row r="1112" spans="2:24" ht="13.5">
      <c r="B1112" s="1476">
        <v>201401</v>
      </c>
      <c r="C1112" s="1471" t="s">
        <v>459</v>
      </c>
      <c r="D1112" s="1472" t="s">
        <v>177</v>
      </c>
      <c r="E1112" s="1678" t="s">
        <v>189</v>
      </c>
      <c r="F1112" s="611">
        <f t="shared" si="12"/>
        <v>114.95</v>
      </c>
      <c r="G1112" s="329">
        <v>129.94999999999999</v>
      </c>
      <c r="H1112" s="330">
        <v>114.95</v>
      </c>
      <c r="I1112" s="331">
        <v>8</v>
      </c>
      <c r="J1112" s="332">
        <v>7.6899999999999996E-2</v>
      </c>
      <c r="K1112" s="333">
        <v>14.44</v>
      </c>
      <c r="L1112" s="436">
        <v>1.1299999999999999</v>
      </c>
      <c r="M1112" s="1470"/>
      <c r="N1112" s="334">
        <v>105</v>
      </c>
      <c r="O1112" s="335">
        <v>87</v>
      </c>
      <c r="P1112" s="389">
        <v>11</v>
      </c>
      <c r="Q1112" s="389">
        <v>7</v>
      </c>
      <c r="R1112" s="430">
        <v>3</v>
      </c>
      <c r="S1112" s="339">
        <v>0</v>
      </c>
      <c r="T1112" s="362">
        <v>5</v>
      </c>
      <c r="U1112" s="337">
        <v>3</v>
      </c>
      <c r="V1112" s="338">
        <f t="shared" si="11"/>
        <v>0.16666666666666666</v>
      </c>
      <c r="W1112" s="1016"/>
      <c r="X1112" s="592"/>
    </row>
    <row r="1113" spans="2:24" ht="13.5">
      <c r="B1113" s="1476">
        <v>201401</v>
      </c>
      <c r="C1113" s="1468" t="s">
        <v>459</v>
      </c>
      <c r="D1113" s="1469" t="s">
        <v>176</v>
      </c>
      <c r="E1113" s="1677" t="s">
        <v>188</v>
      </c>
      <c r="F1113" s="610">
        <f t="shared" si="12"/>
        <v>60.95</v>
      </c>
      <c r="G1113" s="164">
        <v>71.290000000000006</v>
      </c>
      <c r="H1113" s="90">
        <v>60.95</v>
      </c>
      <c r="I1113" s="154">
        <v>3</v>
      </c>
      <c r="J1113" s="46">
        <v>3.0499999999999999E-2</v>
      </c>
      <c r="K1113" s="54">
        <v>23.76</v>
      </c>
      <c r="L1113" s="437">
        <v>1</v>
      </c>
      <c r="M1113" s="1470"/>
      <c r="N1113" s="47">
        <v>96</v>
      </c>
      <c r="O1113" s="45">
        <v>79</v>
      </c>
      <c r="P1113" s="388">
        <v>8</v>
      </c>
      <c r="Q1113" s="388">
        <v>9</v>
      </c>
      <c r="R1113" s="429">
        <v>13</v>
      </c>
      <c r="S1113" s="92">
        <v>0</v>
      </c>
      <c r="T1113" s="361">
        <v>8</v>
      </c>
      <c r="U1113" s="285">
        <v>5</v>
      </c>
      <c r="V1113" s="438">
        <f t="shared" si="11"/>
        <v>0.29411764705882354</v>
      </c>
      <c r="W1113" s="1016"/>
      <c r="X1113" s="592"/>
    </row>
    <row r="1114" spans="2:24" ht="13.5">
      <c r="B1114" s="1476">
        <v>201401</v>
      </c>
      <c r="C1114" s="1471" t="s">
        <v>459</v>
      </c>
      <c r="D1114" s="1472" t="s">
        <v>178</v>
      </c>
      <c r="E1114" s="1678" t="s">
        <v>192</v>
      </c>
      <c r="F1114" s="611">
        <f t="shared" si="12"/>
        <v>36.4</v>
      </c>
      <c r="G1114" s="329">
        <v>43.16</v>
      </c>
      <c r="H1114" s="330">
        <v>36.4</v>
      </c>
      <c r="I1114" s="331">
        <v>5</v>
      </c>
      <c r="J1114" s="332">
        <v>5.4600000000000003E-2</v>
      </c>
      <c r="K1114" s="333">
        <v>10.79</v>
      </c>
      <c r="L1114" s="436">
        <v>0.8</v>
      </c>
      <c r="M1114" s="1470"/>
      <c r="N1114" s="334">
        <v>82</v>
      </c>
      <c r="O1114" s="335">
        <v>66</v>
      </c>
      <c r="P1114" s="389">
        <v>13</v>
      </c>
      <c r="Q1114" s="389">
        <v>3</v>
      </c>
      <c r="R1114" s="430">
        <v>21</v>
      </c>
      <c r="S1114" s="339">
        <v>0</v>
      </c>
      <c r="T1114" s="362">
        <v>2</v>
      </c>
      <c r="U1114" s="337">
        <v>2</v>
      </c>
      <c r="V1114" s="338">
        <f t="shared" si="11"/>
        <v>0.125</v>
      </c>
      <c r="W1114" s="1016"/>
      <c r="X1114" s="592"/>
    </row>
    <row r="1115" spans="2:24" ht="13.5">
      <c r="B1115" s="1474">
        <v>201312</v>
      </c>
      <c r="C1115" s="1471" t="s">
        <v>458</v>
      </c>
      <c r="D1115" s="1472" t="s">
        <v>91</v>
      </c>
      <c r="E1115" s="1678" t="s">
        <v>92</v>
      </c>
      <c r="F1115" s="611">
        <v>2931.598</v>
      </c>
      <c r="G1115" s="329">
        <v>584.17999999999995</v>
      </c>
      <c r="H1115" s="330">
        <v>488.79</v>
      </c>
      <c r="I1115" s="331">
        <v>28</v>
      </c>
      <c r="J1115" s="332">
        <v>0.29020000000000001</v>
      </c>
      <c r="K1115" s="333">
        <v>12.17</v>
      </c>
      <c r="L1115" s="436">
        <v>1.71</v>
      </c>
      <c r="M1115" s="1470"/>
      <c r="N1115" s="334">
        <v>103</v>
      </c>
      <c r="O1115" s="335">
        <v>77</v>
      </c>
      <c r="P1115" s="389">
        <v>22</v>
      </c>
      <c r="Q1115" s="389">
        <v>4</v>
      </c>
      <c r="R1115" s="430">
        <v>0</v>
      </c>
      <c r="S1115" s="339">
        <v>2</v>
      </c>
      <c r="T1115" s="362">
        <v>11</v>
      </c>
      <c r="U1115" s="337">
        <v>8</v>
      </c>
      <c r="V1115" s="338">
        <f t="shared" ref="V1115:V1125" si="13">IF((P1115+Q1115)&lt;&gt;0,U1115/(P1115+Q1115),0)</f>
        <v>0.30769230769230771</v>
      </c>
      <c r="W1115" s="1016"/>
      <c r="X1115" s="592"/>
    </row>
    <row r="1116" spans="2:24" ht="13.5">
      <c r="B1116" s="1474">
        <v>201312</v>
      </c>
      <c r="C1116" s="1468" t="s">
        <v>458</v>
      </c>
      <c r="D1116" s="1469" t="s">
        <v>482</v>
      </c>
      <c r="E1116" s="1677" t="s">
        <v>483</v>
      </c>
      <c r="F1116" s="610">
        <v>33.549999999999997</v>
      </c>
      <c r="G1116" s="164">
        <v>43.74</v>
      </c>
      <c r="H1116" s="90">
        <v>33.549999999999997</v>
      </c>
      <c r="I1116" s="154">
        <v>3</v>
      </c>
      <c r="J1116" s="46">
        <v>0.6</v>
      </c>
      <c r="K1116" s="54">
        <v>14.58</v>
      </c>
      <c r="L1116" s="437">
        <v>1</v>
      </c>
      <c r="M1116" s="1470"/>
      <c r="N1116" s="47">
        <v>10</v>
      </c>
      <c r="O1116" s="45">
        <v>7</v>
      </c>
      <c r="P1116" s="388">
        <v>3</v>
      </c>
      <c r="Q1116" s="388">
        <v>0</v>
      </c>
      <c r="R1116" s="429">
        <v>0</v>
      </c>
      <c r="S1116" s="92">
        <v>3</v>
      </c>
      <c r="T1116" s="361">
        <v>7</v>
      </c>
      <c r="U1116" s="285">
        <v>3</v>
      </c>
      <c r="V1116" s="438">
        <f t="shared" si="13"/>
        <v>1</v>
      </c>
      <c r="W1116" s="1016"/>
      <c r="X1116" s="592"/>
    </row>
    <row r="1117" spans="2:24" ht="13.5">
      <c r="B1117" s="1474">
        <v>201312</v>
      </c>
      <c r="C1117" s="1471" t="s">
        <v>458</v>
      </c>
      <c r="D1117" s="1472" t="s">
        <v>187</v>
      </c>
      <c r="E1117" s="1678" t="s">
        <v>194</v>
      </c>
      <c r="F1117" s="611">
        <v>868.80200000000013</v>
      </c>
      <c r="G1117" s="329">
        <v>238.54</v>
      </c>
      <c r="H1117" s="330">
        <v>217.96</v>
      </c>
      <c r="I1117" s="331">
        <v>12</v>
      </c>
      <c r="J1117" s="332">
        <v>0.23300000000000001</v>
      </c>
      <c r="K1117" s="333">
        <v>14.91</v>
      </c>
      <c r="L1117" s="436">
        <v>1.33</v>
      </c>
      <c r="M1117" s="1470"/>
      <c r="N1117" s="334">
        <v>56</v>
      </c>
      <c r="O1117" s="335">
        <v>41</v>
      </c>
      <c r="P1117" s="389">
        <v>14</v>
      </c>
      <c r="Q1117" s="389">
        <v>1</v>
      </c>
      <c r="R1117" s="430">
        <v>0</v>
      </c>
      <c r="S1117" s="339">
        <v>4</v>
      </c>
      <c r="T1117" s="362">
        <v>5</v>
      </c>
      <c r="U1117" s="337">
        <v>3</v>
      </c>
      <c r="V1117" s="338">
        <f t="shared" si="13"/>
        <v>0.2</v>
      </c>
      <c r="W1117" s="1016"/>
      <c r="X1117" s="592"/>
    </row>
    <row r="1118" spans="2:24" ht="13.5">
      <c r="B1118" s="1474">
        <v>201312</v>
      </c>
      <c r="C1118" s="1468" t="s">
        <v>458</v>
      </c>
      <c r="D1118" s="1469" t="s">
        <v>47</v>
      </c>
      <c r="E1118" s="1677" t="s">
        <v>17</v>
      </c>
      <c r="F1118" s="610">
        <v>2120.9629999999997</v>
      </c>
      <c r="G1118" s="164">
        <v>342</v>
      </c>
      <c r="H1118" s="90">
        <v>352.99</v>
      </c>
      <c r="I1118" s="154">
        <v>7</v>
      </c>
      <c r="J1118" s="46">
        <v>0.14430000000000001</v>
      </c>
      <c r="K1118" s="54">
        <v>17.100000000000001</v>
      </c>
      <c r="L1118" s="437">
        <v>2.86</v>
      </c>
      <c r="M1118" s="1470"/>
      <c r="N1118" s="47">
        <v>53</v>
      </c>
      <c r="O1118" s="45">
        <v>41</v>
      </c>
      <c r="P1118" s="388">
        <v>10</v>
      </c>
      <c r="Q1118" s="388">
        <v>2</v>
      </c>
      <c r="R1118" s="429">
        <v>0</v>
      </c>
      <c r="S1118" s="92">
        <v>1</v>
      </c>
      <c r="T1118" s="361">
        <v>8</v>
      </c>
      <c r="U1118" s="285">
        <v>5</v>
      </c>
      <c r="V1118" s="438">
        <f t="shared" si="13"/>
        <v>0.41666666666666669</v>
      </c>
      <c r="W1118" s="1016"/>
      <c r="X1118" s="592"/>
    </row>
    <row r="1119" spans="2:24" ht="13.5">
      <c r="B1119" s="1474">
        <v>201312</v>
      </c>
      <c r="C1119" s="1471" t="s">
        <v>458</v>
      </c>
      <c r="D1119" s="1472" t="s">
        <v>48</v>
      </c>
      <c r="E1119" s="1678"/>
      <c r="F1119" s="611">
        <v>426.59199999999998</v>
      </c>
      <c r="G1119" s="329">
        <v>0</v>
      </c>
      <c r="H1119" s="330">
        <v>0</v>
      </c>
      <c r="I1119" s="331">
        <v>0</v>
      </c>
      <c r="J1119" s="332">
        <v>0</v>
      </c>
      <c r="K1119" s="333">
        <v>0</v>
      </c>
      <c r="L1119" s="436">
        <v>0</v>
      </c>
      <c r="M1119" s="1470"/>
      <c r="N1119" s="334">
        <v>2</v>
      </c>
      <c r="O1119" s="335">
        <v>1</v>
      </c>
      <c r="P1119" s="389">
        <v>1</v>
      </c>
      <c r="Q1119" s="389">
        <v>0</v>
      </c>
      <c r="R1119" s="430">
        <v>0</v>
      </c>
      <c r="S1119" s="339">
        <v>0</v>
      </c>
      <c r="T1119" s="362">
        <v>0</v>
      </c>
      <c r="U1119" s="337"/>
      <c r="V1119" s="338">
        <f t="shared" si="13"/>
        <v>0</v>
      </c>
      <c r="W1119" s="1016"/>
      <c r="X1119" s="592"/>
    </row>
    <row r="1120" spans="2:24" ht="13.5">
      <c r="B1120" s="1474">
        <v>201312</v>
      </c>
      <c r="C1120" s="1468" t="s">
        <v>459</v>
      </c>
      <c r="D1120" s="1469" t="s">
        <v>179</v>
      </c>
      <c r="E1120" s="1677" t="s">
        <v>191</v>
      </c>
      <c r="F1120" s="610">
        <v>2045.0749999999998</v>
      </c>
      <c r="G1120" s="164">
        <v>525.65</v>
      </c>
      <c r="H1120" s="90">
        <v>520.57000000000005</v>
      </c>
      <c r="I1120" s="154">
        <v>15</v>
      </c>
      <c r="J1120" s="46">
        <v>0.18179999999999999</v>
      </c>
      <c r="K1120" s="54">
        <v>19.47</v>
      </c>
      <c r="L1120" s="437">
        <v>1.8</v>
      </c>
      <c r="M1120" s="1470"/>
      <c r="N1120" s="47">
        <v>105</v>
      </c>
      <c r="O1120" s="45">
        <v>90</v>
      </c>
      <c r="P1120" s="388">
        <v>15</v>
      </c>
      <c r="Q1120" s="388">
        <v>0</v>
      </c>
      <c r="R1120" s="429">
        <v>2</v>
      </c>
      <c r="S1120" s="92">
        <v>0</v>
      </c>
      <c r="T1120" s="361">
        <v>47</v>
      </c>
      <c r="U1120" s="285">
        <v>8</v>
      </c>
      <c r="V1120" s="438">
        <f t="shared" si="13"/>
        <v>0.53333333333333333</v>
      </c>
      <c r="W1120" s="1016"/>
      <c r="X1120" s="592"/>
    </row>
    <row r="1121" spans="2:24" ht="13.5">
      <c r="B1121" s="1474">
        <v>201312</v>
      </c>
      <c r="C1121" s="1471" t="s">
        <v>459</v>
      </c>
      <c r="D1121" s="1472" t="s">
        <v>185</v>
      </c>
      <c r="E1121" s="1678" t="s">
        <v>190</v>
      </c>
      <c r="F1121" s="611">
        <v>1559.5969999999998</v>
      </c>
      <c r="G1121" s="329">
        <v>352.49</v>
      </c>
      <c r="H1121" s="330">
        <v>290.14999999999998</v>
      </c>
      <c r="I1121" s="331">
        <v>19</v>
      </c>
      <c r="J1121" s="332">
        <v>0.30399999999999999</v>
      </c>
      <c r="K1121" s="333">
        <v>13.06</v>
      </c>
      <c r="L1121" s="436">
        <v>1.42</v>
      </c>
      <c r="M1121" s="1470"/>
      <c r="N1121" s="334">
        <v>66</v>
      </c>
      <c r="O1121" s="335">
        <v>54</v>
      </c>
      <c r="P1121" s="389">
        <v>11</v>
      </c>
      <c r="Q1121" s="389">
        <v>1</v>
      </c>
      <c r="R1121" s="430">
        <v>1</v>
      </c>
      <c r="S1121" s="339">
        <v>0</v>
      </c>
      <c r="T1121" s="362">
        <v>8</v>
      </c>
      <c r="U1121" s="337">
        <v>4</v>
      </c>
      <c r="V1121" s="338">
        <f t="shared" si="13"/>
        <v>0.33333333333333331</v>
      </c>
      <c r="W1121" s="1016"/>
      <c r="X1121" s="592"/>
    </row>
    <row r="1122" spans="2:24" ht="13.5">
      <c r="B1122" s="1474">
        <v>201312</v>
      </c>
      <c r="C1122" s="1468" t="s">
        <v>459</v>
      </c>
      <c r="D1122" s="1469" t="s">
        <v>460</v>
      </c>
      <c r="E1122" s="1677" t="s">
        <v>461</v>
      </c>
      <c r="F1122" s="610">
        <v>121.54900000000001</v>
      </c>
      <c r="G1122" s="164">
        <v>47.52</v>
      </c>
      <c r="H1122" s="90">
        <v>47.52</v>
      </c>
      <c r="I1122" s="154">
        <v>2</v>
      </c>
      <c r="J1122" s="46">
        <v>0.30769999999999997</v>
      </c>
      <c r="K1122" s="54">
        <v>15.84</v>
      </c>
      <c r="L1122" s="437">
        <v>1.5</v>
      </c>
      <c r="M1122" s="1470"/>
      <c r="N1122" s="47">
        <v>8</v>
      </c>
      <c r="O1122" s="45">
        <v>5</v>
      </c>
      <c r="P1122" s="388">
        <v>3</v>
      </c>
      <c r="Q1122" s="388">
        <v>0</v>
      </c>
      <c r="R1122" s="429">
        <v>0</v>
      </c>
      <c r="S1122" s="92">
        <v>1</v>
      </c>
      <c r="T1122" s="361">
        <v>2</v>
      </c>
      <c r="U1122" s="285">
        <v>2</v>
      </c>
      <c r="V1122" s="438">
        <f t="shared" si="13"/>
        <v>0.66666666666666663</v>
      </c>
      <c r="W1122" s="1016"/>
      <c r="X1122" s="592"/>
    </row>
    <row r="1123" spans="2:24" ht="13.5">
      <c r="B1123" s="1474">
        <v>201312</v>
      </c>
      <c r="C1123" s="1471" t="s">
        <v>459</v>
      </c>
      <c r="D1123" s="1472" t="s">
        <v>177</v>
      </c>
      <c r="E1123" s="1678" t="s">
        <v>189</v>
      </c>
      <c r="F1123" s="611">
        <v>2752.627</v>
      </c>
      <c r="G1123" s="329">
        <v>781.99</v>
      </c>
      <c r="H1123" s="330">
        <v>775.17</v>
      </c>
      <c r="I1123" s="331">
        <v>36</v>
      </c>
      <c r="J1123" s="332">
        <v>0.38300000000000001</v>
      </c>
      <c r="K1123" s="333">
        <v>12.22</v>
      </c>
      <c r="L1123" s="436">
        <v>1.78</v>
      </c>
      <c r="M1123" s="1470"/>
      <c r="N1123" s="334">
        <v>103</v>
      </c>
      <c r="O1123" s="335">
        <v>88</v>
      </c>
      <c r="P1123" s="389">
        <v>11</v>
      </c>
      <c r="Q1123" s="389">
        <v>4</v>
      </c>
      <c r="R1123" s="430">
        <v>1</v>
      </c>
      <c r="S1123" s="339">
        <v>0</v>
      </c>
      <c r="T1123" s="362">
        <v>19</v>
      </c>
      <c r="U1123" s="337">
        <v>8</v>
      </c>
      <c r="V1123" s="338">
        <f t="shared" si="13"/>
        <v>0.53333333333333333</v>
      </c>
      <c r="W1123" s="1016"/>
      <c r="X1123" s="592"/>
    </row>
    <row r="1124" spans="2:24" ht="13.5">
      <c r="B1124" s="1474">
        <v>201312</v>
      </c>
      <c r="C1124" s="1468" t="s">
        <v>459</v>
      </c>
      <c r="D1124" s="1469" t="s">
        <v>176</v>
      </c>
      <c r="E1124" s="1677" t="s">
        <v>188</v>
      </c>
      <c r="F1124" s="610">
        <v>2550.7060000000001</v>
      </c>
      <c r="G1124" s="164">
        <v>604.70000000000005</v>
      </c>
      <c r="H1124" s="90">
        <v>593.71</v>
      </c>
      <c r="I1124" s="154">
        <v>19</v>
      </c>
      <c r="J1124" s="46">
        <v>0.20649999999999999</v>
      </c>
      <c r="K1124" s="54">
        <v>18.899999999999999</v>
      </c>
      <c r="L1124" s="437">
        <v>1.68</v>
      </c>
      <c r="M1124" s="1470"/>
      <c r="N1124" s="47">
        <v>101</v>
      </c>
      <c r="O1124" s="45">
        <v>89</v>
      </c>
      <c r="P1124" s="388">
        <v>8</v>
      </c>
      <c r="Q1124" s="388">
        <v>4</v>
      </c>
      <c r="R1124" s="429">
        <v>0</v>
      </c>
      <c r="S1124" s="92">
        <v>0</v>
      </c>
      <c r="T1124" s="361">
        <v>18</v>
      </c>
      <c r="U1124" s="285">
        <v>6</v>
      </c>
      <c r="V1124" s="438">
        <f t="shared" si="13"/>
        <v>0.5</v>
      </c>
      <c r="W1124" s="1016"/>
      <c r="X1124" s="592"/>
    </row>
    <row r="1125" spans="2:24" ht="13.5">
      <c r="B1125" s="1474">
        <v>201312</v>
      </c>
      <c r="C1125" s="1471" t="s">
        <v>459</v>
      </c>
      <c r="D1125" s="1472" t="s">
        <v>178</v>
      </c>
      <c r="E1125" s="1678" t="s">
        <v>192</v>
      </c>
      <c r="F1125" s="611">
        <v>1664.0349999999999</v>
      </c>
      <c r="G1125" s="329">
        <v>401.9</v>
      </c>
      <c r="H1125" s="330">
        <v>398.75</v>
      </c>
      <c r="I1125" s="331">
        <v>16</v>
      </c>
      <c r="J1125" s="332">
        <v>0.16750000000000001</v>
      </c>
      <c r="K1125" s="333">
        <v>16.079999999999998</v>
      </c>
      <c r="L1125" s="436">
        <v>1.56</v>
      </c>
      <c r="M1125" s="1470"/>
      <c r="N1125" s="334">
        <v>101</v>
      </c>
      <c r="O1125" s="335">
        <v>85</v>
      </c>
      <c r="P1125" s="389">
        <v>13</v>
      </c>
      <c r="Q1125" s="389">
        <v>3</v>
      </c>
      <c r="R1125" s="430">
        <v>0</v>
      </c>
      <c r="S1125" s="339">
        <v>1</v>
      </c>
      <c r="T1125" s="362">
        <v>10</v>
      </c>
      <c r="U1125" s="337">
        <v>6</v>
      </c>
      <c r="V1125" s="338">
        <f t="shared" si="13"/>
        <v>0.375</v>
      </c>
      <c r="W1125" s="1016"/>
      <c r="X1125" s="592"/>
    </row>
    <row r="1126" spans="2:24" ht="13.5">
      <c r="B1126" s="1477">
        <v>201311</v>
      </c>
      <c r="C1126" s="1471" t="s">
        <v>458</v>
      </c>
      <c r="D1126" s="1472" t="s">
        <v>91</v>
      </c>
      <c r="E1126" s="1678" t="s">
        <v>92</v>
      </c>
      <c r="F1126" s="611">
        <f>H1126+F1136</f>
        <v>2442.808</v>
      </c>
      <c r="G1126" s="329">
        <v>439.62099999999998</v>
      </c>
      <c r="H1126" s="330">
        <v>399.99</v>
      </c>
      <c r="I1126" s="331">
        <v>16</v>
      </c>
      <c r="J1126" s="332">
        <v>0.192771</v>
      </c>
      <c r="K1126" s="333">
        <v>17.58484</v>
      </c>
      <c r="L1126" s="436">
        <v>1.5625</v>
      </c>
      <c r="M1126" s="1470"/>
      <c r="N1126" s="334">
        <v>90</v>
      </c>
      <c r="O1126" s="335">
        <v>69</v>
      </c>
      <c r="P1126" s="389">
        <v>20</v>
      </c>
      <c r="Q1126" s="389">
        <v>1</v>
      </c>
      <c r="R1126" s="430">
        <v>1</v>
      </c>
      <c r="S1126" s="339">
        <v>4</v>
      </c>
      <c r="T1126" s="362">
        <v>11</v>
      </c>
      <c r="U1126" s="337">
        <v>6</v>
      </c>
      <c r="V1126" s="338">
        <f>IF((P1126+Q1126)&lt;&gt;0,U1126/(P1126+Q1126),0)</f>
        <v>0.2857142857142857</v>
      </c>
      <c r="W1126" s="1016"/>
      <c r="X1126" s="592"/>
    </row>
    <row r="1127" spans="2:24" ht="13.5">
      <c r="B1127" s="1477">
        <v>201311</v>
      </c>
      <c r="C1127" s="1468" t="s">
        <v>458</v>
      </c>
      <c r="D1127" s="1469" t="s">
        <v>187</v>
      </c>
      <c r="E1127" s="1677" t="s">
        <v>194</v>
      </c>
      <c r="F1127" s="610">
        <f>H1127+F1137</f>
        <v>650.8420000000001</v>
      </c>
      <c r="G1127" s="164">
        <v>111.235</v>
      </c>
      <c r="H1127" s="90">
        <v>95.355000000000004</v>
      </c>
      <c r="I1127" s="154">
        <v>8</v>
      </c>
      <c r="J1127" s="46">
        <v>0.17777799999999999</v>
      </c>
      <c r="K1127" s="54">
        <v>10.112272727273</v>
      </c>
      <c r="L1127" s="437">
        <v>1.375</v>
      </c>
      <c r="M1127" s="1470"/>
      <c r="N1127" s="47">
        <v>47</v>
      </c>
      <c r="O1127" s="45">
        <v>35</v>
      </c>
      <c r="P1127" s="388">
        <v>12</v>
      </c>
      <c r="Q1127" s="388">
        <v>0</v>
      </c>
      <c r="R1127" s="429">
        <v>5</v>
      </c>
      <c r="S1127" s="92">
        <v>2</v>
      </c>
      <c r="T1127" s="361">
        <v>7</v>
      </c>
      <c r="U1127" s="285">
        <v>4</v>
      </c>
      <c r="V1127" s="438">
        <f t="shared" ref="V1127:V1135" si="14">IF((P1127+Q1127)&lt;&gt;0,U1127/(P1127+Q1127),0)</f>
        <v>0.33333333333333331</v>
      </c>
      <c r="W1127" s="1016"/>
      <c r="X1127" s="592"/>
    </row>
    <row r="1128" spans="2:24" ht="13.5">
      <c r="B1128" s="1477">
        <v>201311</v>
      </c>
      <c r="C1128" s="1471" t="s">
        <v>458</v>
      </c>
      <c r="D1128" s="1472" t="s">
        <v>47</v>
      </c>
      <c r="E1128" s="1678" t="s">
        <v>17</v>
      </c>
      <c r="F1128" s="611">
        <f>H1128+F1138</f>
        <v>1767.973</v>
      </c>
      <c r="G1128" s="329">
        <v>119.61199999999999</v>
      </c>
      <c r="H1128" s="330">
        <v>156.047</v>
      </c>
      <c r="I1128" s="331">
        <v>7</v>
      </c>
      <c r="J1128" s="332">
        <v>0.157303</v>
      </c>
      <c r="K1128" s="333">
        <v>17.087428571429001</v>
      </c>
      <c r="L1128" s="436">
        <v>1</v>
      </c>
      <c r="M1128" s="1470"/>
      <c r="N1128" s="334">
        <v>44</v>
      </c>
      <c r="O1128" s="335">
        <v>33</v>
      </c>
      <c r="P1128" s="389">
        <v>9</v>
      </c>
      <c r="Q1128" s="389">
        <v>2</v>
      </c>
      <c r="R1128" s="430">
        <v>2</v>
      </c>
      <c r="S1128" s="339">
        <v>0</v>
      </c>
      <c r="T1128" s="362">
        <v>1</v>
      </c>
      <c r="U1128" s="337">
        <v>1</v>
      </c>
      <c r="V1128" s="338">
        <f t="shared" si="14"/>
        <v>9.0909090909090912E-2</v>
      </c>
      <c r="W1128" s="1016"/>
      <c r="X1128" s="592"/>
    </row>
    <row r="1129" spans="2:24" ht="13.5">
      <c r="B1129" s="1477">
        <v>201311</v>
      </c>
      <c r="C1129" s="1468" t="s">
        <v>458</v>
      </c>
      <c r="D1129" s="1469" t="s">
        <v>48</v>
      </c>
      <c r="E1129" s="1677" t="s">
        <v>227</v>
      </c>
      <c r="F1129" s="610">
        <f>F1139</f>
        <v>426.59199999999998</v>
      </c>
      <c r="G1129" s="164">
        <v>0</v>
      </c>
      <c r="H1129" s="90">
        <v>0</v>
      </c>
      <c r="I1129" s="154">
        <v>0</v>
      </c>
      <c r="J1129" s="46">
        <v>0</v>
      </c>
      <c r="K1129" s="54">
        <v>0</v>
      </c>
      <c r="L1129" s="437">
        <v>0</v>
      </c>
      <c r="M1129" s="1470"/>
      <c r="N1129" s="47">
        <v>2</v>
      </c>
      <c r="O1129" s="45">
        <v>1</v>
      </c>
      <c r="P1129" s="388">
        <v>1</v>
      </c>
      <c r="Q1129" s="388">
        <v>0</v>
      </c>
      <c r="R1129" s="429">
        <v>0</v>
      </c>
      <c r="S1129" s="92">
        <v>0</v>
      </c>
      <c r="T1129" s="361">
        <v>0</v>
      </c>
      <c r="U1129" s="285"/>
      <c r="V1129" s="438">
        <f t="shared" si="14"/>
        <v>0</v>
      </c>
      <c r="W1129" s="1016"/>
      <c r="X1129" s="592"/>
    </row>
    <row r="1130" spans="2:24" ht="13.5">
      <c r="B1130" s="1477">
        <v>201311</v>
      </c>
      <c r="C1130" s="1471" t="s">
        <v>459</v>
      </c>
      <c r="D1130" s="1472" t="s">
        <v>179</v>
      </c>
      <c r="E1130" s="1678" t="s">
        <v>191</v>
      </c>
      <c r="F1130" s="611">
        <f>H1130+F1140</f>
        <v>1524.5049999999999</v>
      </c>
      <c r="G1130" s="329">
        <v>283.92700000000002</v>
      </c>
      <c r="H1130" s="330">
        <v>240.67699999999999</v>
      </c>
      <c r="I1130" s="331">
        <v>6</v>
      </c>
      <c r="J1130" s="332">
        <v>9.6773999999999999E-2</v>
      </c>
      <c r="K1130" s="333">
        <v>25.811545454544998</v>
      </c>
      <c r="L1130" s="436">
        <v>1.8333330000000001</v>
      </c>
      <c r="M1130" s="1470"/>
      <c r="N1130" s="334">
        <v>60</v>
      </c>
      <c r="O1130" s="335">
        <v>42</v>
      </c>
      <c r="P1130" s="389">
        <v>17</v>
      </c>
      <c r="Q1130" s="389">
        <v>1</v>
      </c>
      <c r="R1130" s="430">
        <v>9</v>
      </c>
      <c r="S1130" s="339">
        <v>1</v>
      </c>
      <c r="T1130" s="362">
        <v>4</v>
      </c>
      <c r="U1130" s="337">
        <v>4</v>
      </c>
      <c r="V1130" s="338">
        <f t="shared" si="14"/>
        <v>0.22222222222222221</v>
      </c>
      <c r="W1130" s="1016"/>
      <c r="X1130" s="592"/>
    </row>
    <row r="1131" spans="2:24" ht="13.5">
      <c r="B1131" s="1477">
        <v>201311</v>
      </c>
      <c r="C1131" s="1468" t="s">
        <v>459</v>
      </c>
      <c r="D1131" s="1469" t="s">
        <v>185</v>
      </c>
      <c r="E1131" s="1677" t="s">
        <v>190</v>
      </c>
      <c r="F1131" s="610">
        <f>H1131+F1141</f>
        <v>1269.4469999999999</v>
      </c>
      <c r="G1131" s="164">
        <v>185.214</v>
      </c>
      <c r="H1131" s="90">
        <v>164.25299999999999</v>
      </c>
      <c r="I1131" s="154">
        <v>10</v>
      </c>
      <c r="J1131" s="46">
        <v>0.17391300000000001</v>
      </c>
      <c r="K1131" s="54">
        <v>14.247230769231001</v>
      </c>
      <c r="L1131" s="437">
        <v>1.3</v>
      </c>
      <c r="M1131" s="1470"/>
      <c r="N1131" s="47">
        <v>59</v>
      </c>
      <c r="O1131" s="45">
        <v>46</v>
      </c>
      <c r="P1131" s="388">
        <v>12</v>
      </c>
      <c r="Q1131" s="388">
        <v>1</v>
      </c>
      <c r="R1131" s="429">
        <v>4</v>
      </c>
      <c r="S1131" s="92">
        <v>1</v>
      </c>
      <c r="T1131" s="361">
        <v>6</v>
      </c>
      <c r="U1131" s="285">
        <v>4</v>
      </c>
      <c r="V1131" s="438">
        <f t="shared" si="14"/>
        <v>0.30769230769230771</v>
      </c>
      <c r="W1131" s="1016"/>
      <c r="X1131" s="592"/>
    </row>
    <row r="1132" spans="2:24" ht="13.5">
      <c r="B1132" s="1477">
        <v>201311</v>
      </c>
      <c r="C1132" s="1471" t="s">
        <v>459</v>
      </c>
      <c r="D1132" s="1472" t="s">
        <v>460</v>
      </c>
      <c r="E1132" s="1678" t="s">
        <v>461</v>
      </c>
      <c r="F1132" s="611">
        <f>H1132</f>
        <v>74.028999999999996</v>
      </c>
      <c r="G1132" s="329">
        <v>107.18600000000001</v>
      </c>
      <c r="H1132" s="330">
        <v>74.028999999999996</v>
      </c>
      <c r="I1132" s="331">
        <v>3</v>
      </c>
      <c r="J1132" s="332">
        <v>1.2</v>
      </c>
      <c r="K1132" s="333">
        <v>26.796500000000002</v>
      </c>
      <c r="L1132" s="436">
        <v>1.3333330000000001</v>
      </c>
      <c r="M1132" s="1470"/>
      <c r="N1132" s="334">
        <v>5</v>
      </c>
      <c r="O1132" s="335">
        <v>3</v>
      </c>
      <c r="P1132" s="389">
        <v>2</v>
      </c>
      <c r="Q1132" s="389">
        <v>0</v>
      </c>
      <c r="R1132" s="430">
        <v>0</v>
      </c>
      <c r="S1132" s="339">
        <v>2</v>
      </c>
      <c r="T1132" s="362">
        <v>3</v>
      </c>
      <c r="U1132" s="337">
        <v>2</v>
      </c>
      <c r="V1132" s="338">
        <f t="shared" si="14"/>
        <v>1</v>
      </c>
      <c r="W1132" s="1016"/>
      <c r="X1132" s="592"/>
    </row>
    <row r="1133" spans="2:24" ht="13.5">
      <c r="B1133" s="1477">
        <v>201311</v>
      </c>
      <c r="C1133" s="1468" t="s">
        <v>459</v>
      </c>
      <c r="D1133" s="1469" t="s">
        <v>177</v>
      </c>
      <c r="E1133" s="1677" t="s">
        <v>189</v>
      </c>
      <c r="F1133" s="610">
        <f>H1133+F1142</f>
        <v>1977.4570000000001</v>
      </c>
      <c r="G1133" s="164">
        <v>380.38600000000002</v>
      </c>
      <c r="H1133" s="90">
        <v>354.90100000000001</v>
      </c>
      <c r="I1133" s="154">
        <v>17</v>
      </c>
      <c r="J1133" s="46">
        <v>0.216561</v>
      </c>
      <c r="K1133" s="54">
        <v>14.630230769231002</v>
      </c>
      <c r="L1133" s="437">
        <v>1.529412</v>
      </c>
      <c r="M1133" s="1470"/>
      <c r="N1133" s="47">
        <v>85</v>
      </c>
      <c r="O1133" s="45">
        <v>70</v>
      </c>
      <c r="P1133" s="388">
        <v>12</v>
      </c>
      <c r="Q1133" s="388">
        <v>3</v>
      </c>
      <c r="R1133" s="429">
        <v>4</v>
      </c>
      <c r="S1133" s="92">
        <v>2</v>
      </c>
      <c r="T1133" s="361">
        <v>15</v>
      </c>
      <c r="U1133" s="285">
        <v>9</v>
      </c>
      <c r="V1133" s="438">
        <f t="shared" si="14"/>
        <v>0.6</v>
      </c>
      <c r="W1133" s="1016"/>
      <c r="X1133" s="592"/>
    </row>
    <row r="1134" spans="2:24" ht="13.5">
      <c r="B1134" s="1477">
        <v>201311</v>
      </c>
      <c r="C1134" s="1471" t="s">
        <v>459</v>
      </c>
      <c r="D1134" s="1472" t="s">
        <v>176</v>
      </c>
      <c r="E1134" s="1678" t="s">
        <v>188</v>
      </c>
      <c r="F1134" s="611">
        <f>H1134+F1143</f>
        <v>1956.9959999999999</v>
      </c>
      <c r="G1134" s="329">
        <v>444.16199999999998</v>
      </c>
      <c r="H1134" s="330">
        <v>419.53100000000001</v>
      </c>
      <c r="I1134" s="331">
        <v>16</v>
      </c>
      <c r="J1134" s="332">
        <v>0.20125799999999999</v>
      </c>
      <c r="K1134" s="333">
        <v>18.50675</v>
      </c>
      <c r="L1134" s="436">
        <v>1.5</v>
      </c>
      <c r="M1134" s="1470"/>
      <c r="N1134" s="334">
        <v>83</v>
      </c>
      <c r="O1134" s="335">
        <v>71</v>
      </c>
      <c r="P1134" s="389">
        <v>9</v>
      </c>
      <c r="Q1134" s="389">
        <v>3</v>
      </c>
      <c r="R1134" s="430">
        <v>7</v>
      </c>
      <c r="S1134" s="339">
        <v>0</v>
      </c>
      <c r="T1134" s="362">
        <v>14</v>
      </c>
      <c r="U1134" s="337">
        <v>5</v>
      </c>
      <c r="V1134" s="338">
        <f t="shared" si="14"/>
        <v>0.41666666666666669</v>
      </c>
      <c r="W1134" s="1016"/>
      <c r="X1134" s="592"/>
    </row>
    <row r="1135" spans="2:24" ht="13.5">
      <c r="B1135" s="1477">
        <v>201311</v>
      </c>
      <c r="C1135" s="1468" t="s">
        <v>459</v>
      </c>
      <c r="D1135" s="1469" t="s">
        <v>178</v>
      </c>
      <c r="E1135" s="1677" t="s">
        <v>192</v>
      </c>
      <c r="F1135" s="610">
        <f>H1135+F1144</f>
        <v>1265.2849999999999</v>
      </c>
      <c r="G1135" s="164">
        <v>236.77099999999999</v>
      </c>
      <c r="H1135" s="90">
        <v>218.53399999999999</v>
      </c>
      <c r="I1135" s="154">
        <v>14</v>
      </c>
      <c r="J1135" s="46">
        <v>0.16969699999999999</v>
      </c>
      <c r="K1135" s="54">
        <v>13.153944444444001</v>
      </c>
      <c r="L1135" s="437">
        <v>1.285714</v>
      </c>
      <c r="M1135" s="1470"/>
      <c r="N1135" s="47">
        <v>90</v>
      </c>
      <c r="O1135" s="45">
        <v>75</v>
      </c>
      <c r="P1135" s="388">
        <v>12</v>
      </c>
      <c r="Q1135" s="388">
        <v>3</v>
      </c>
      <c r="R1135" s="429">
        <v>1</v>
      </c>
      <c r="S1135" s="92">
        <v>1</v>
      </c>
      <c r="T1135" s="361">
        <v>15</v>
      </c>
      <c r="U1135" s="285">
        <v>8</v>
      </c>
      <c r="V1135" s="438">
        <f t="shared" si="14"/>
        <v>0.53333333333333333</v>
      </c>
      <c r="W1135" s="1016"/>
      <c r="X1135" s="592"/>
    </row>
    <row r="1136" spans="2:24" ht="13.5">
      <c r="B1136" s="1478">
        <v>201310</v>
      </c>
      <c r="C1136" s="1468" t="s">
        <v>244</v>
      </c>
      <c r="D1136" s="1469" t="s">
        <v>91</v>
      </c>
      <c r="E1136" s="1677" t="s">
        <v>92</v>
      </c>
      <c r="F1136" s="287">
        <v>2042.818</v>
      </c>
      <c r="G1136" s="164">
        <v>659.83900000000006</v>
      </c>
      <c r="H1136" s="90">
        <v>618.01099999999997</v>
      </c>
      <c r="I1136" s="154">
        <v>23</v>
      </c>
      <c r="J1136" s="46">
        <v>0.31506800000000001</v>
      </c>
      <c r="K1136" s="54">
        <v>17.833486486485999</v>
      </c>
      <c r="L1136" s="437">
        <v>1.6086959999999999</v>
      </c>
      <c r="M1136" s="1470"/>
      <c r="N1136" s="47">
        <v>76</v>
      </c>
      <c r="O1136" s="45">
        <v>59</v>
      </c>
      <c r="P1136" s="388">
        <v>16</v>
      </c>
      <c r="Q1136" s="388">
        <v>1</v>
      </c>
      <c r="R1136" s="429">
        <v>8</v>
      </c>
      <c r="S1136" s="92">
        <v>0</v>
      </c>
      <c r="T1136" s="361">
        <v>14</v>
      </c>
      <c r="U1136" s="285">
        <v>10</v>
      </c>
      <c r="V1136" s="438">
        <f t="shared" ref="V1136:V1144" si="15">IF((P1136+Q1136)&lt;&gt;0,U1136/(P1136+Q1136),0)</f>
        <v>0.58823529411764708</v>
      </c>
      <c r="W1136" s="1016"/>
      <c r="X1136" s="592"/>
    </row>
    <row r="1137" spans="2:24" ht="13.5">
      <c r="B1137" s="1479">
        <v>201310</v>
      </c>
      <c r="C1137" s="1471" t="s">
        <v>244</v>
      </c>
      <c r="D1137" s="1472" t="s">
        <v>187</v>
      </c>
      <c r="E1137" s="1678" t="s">
        <v>194</v>
      </c>
      <c r="F1137" s="328">
        <v>555.48700000000008</v>
      </c>
      <c r="G1137" s="329">
        <v>209.85</v>
      </c>
      <c r="H1137" s="330">
        <v>129.858</v>
      </c>
      <c r="I1137" s="331">
        <v>9</v>
      </c>
      <c r="J1137" s="332">
        <v>0.214286</v>
      </c>
      <c r="K1137" s="333">
        <v>13.115625</v>
      </c>
      <c r="L1137" s="436">
        <v>1.7777780000000001</v>
      </c>
      <c r="M1137" s="1470"/>
      <c r="N1137" s="334">
        <v>43</v>
      </c>
      <c r="O1137" s="335">
        <v>31</v>
      </c>
      <c r="P1137" s="389">
        <v>12</v>
      </c>
      <c r="Q1137" s="389">
        <v>0</v>
      </c>
      <c r="R1137" s="430">
        <v>2</v>
      </c>
      <c r="S1137" s="339">
        <v>0</v>
      </c>
      <c r="T1137" s="362">
        <v>4</v>
      </c>
      <c r="U1137" s="337">
        <v>4</v>
      </c>
      <c r="V1137" s="338">
        <f t="shared" si="15"/>
        <v>0.33333333333333331</v>
      </c>
      <c r="W1137" s="1016"/>
      <c r="X1137" s="592"/>
    </row>
    <row r="1138" spans="2:24" ht="13.5">
      <c r="B1138" s="1478">
        <v>201310</v>
      </c>
      <c r="C1138" s="1468" t="s">
        <v>244</v>
      </c>
      <c r="D1138" s="1469" t="s">
        <v>47</v>
      </c>
      <c r="E1138" s="1677" t="s">
        <v>17</v>
      </c>
      <c r="F1138" s="287">
        <v>1611.9259999999999</v>
      </c>
      <c r="G1138" s="164">
        <v>259.22399999999999</v>
      </c>
      <c r="H1138" s="90">
        <v>259.14999999999998</v>
      </c>
      <c r="I1138" s="154">
        <v>10</v>
      </c>
      <c r="J1138" s="46">
        <v>0.222222</v>
      </c>
      <c r="K1138" s="54">
        <v>28.802666666667001</v>
      </c>
      <c r="L1138" s="437">
        <v>0.9</v>
      </c>
      <c r="M1138" s="1470"/>
      <c r="N1138" s="47">
        <v>45</v>
      </c>
      <c r="O1138" s="45">
        <v>34</v>
      </c>
      <c r="P1138" s="388">
        <v>9</v>
      </c>
      <c r="Q1138" s="388">
        <v>2</v>
      </c>
      <c r="R1138" s="429">
        <v>7</v>
      </c>
      <c r="S1138" s="92">
        <v>4</v>
      </c>
      <c r="T1138" s="361">
        <v>3</v>
      </c>
      <c r="U1138" s="285">
        <v>3</v>
      </c>
      <c r="V1138" s="438">
        <f t="shared" si="15"/>
        <v>0.27272727272727271</v>
      </c>
      <c r="W1138" s="1016"/>
      <c r="X1138" s="592"/>
    </row>
    <row r="1139" spans="2:24" ht="13.5">
      <c r="B1139" s="1479">
        <v>201310</v>
      </c>
      <c r="C1139" s="1471" t="s">
        <v>244</v>
      </c>
      <c r="D1139" s="1472" t="s">
        <v>48</v>
      </c>
      <c r="E1139" s="1678" t="s">
        <v>227</v>
      </c>
      <c r="F1139" s="328">
        <v>426.59199999999998</v>
      </c>
      <c r="G1139" s="329">
        <v>0</v>
      </c>
      <c r="H1139" s="330">
        <v>0</v>
      </c>
      <c r="I1139" s="331">
        <v>0</v>
      </c>
      <c r="J1139" s="332">
        <v>0</v>
      </c>
      <c r="K1139" s="333">
        <v>0</v>
      </c>
      <c r="L1139" s="436">
        <v>0</v>
      </c>
      <c r="M1139" s="1470"/>
      <c r="N1139" s="334">
        <v>2</v>
      </c>
      <c r="O1139" s="335">
        <v>1</v>
      </c>
      <c r="P1139" s="389">
        <v>1</v>
      </c>
      <c r="Q1139" s="389">
        <v>0</v>
      </c>
      <c r="R1139" s="430">
        <v>0</v>
      </c>
      <c r="S1139" s="339">
        <v>0</v>
      </c>
      <c r="T1139" s="362">
        <v>0</v>
      </c>
      <c r="U1139" s="337"/>
      <c r="V1139" s="338">
        <f t="shared" si="15"/>
        <v>0</v>
      </c>
      <c r="W1139" s="1016"/>
      <c r="X1139" s="592"/>
    </row>
    <row r="1140" spans="2:24" ht="13.5">
      <c r="B1140" s="1478">
        <v>201310</v>
      </c>
      <c r="C1140" s="1468" t="s">
        <v>135</v>
      </c>
      <c r="D1140" s="1469" t="s">
        <v>179</v>
      </c>
      <c r="E1140" s="1677" t="s">
        <v>191</v>
      </c>
      <c r="F1140" s="287">
        <v>1283.828</v>
      </c>
      <c r="G1140" s="164">
        <v>125.58499999999999</v>
      </c>
      <c r="H1140" s="90">
        <v>125.58499999999999</v>
      </c>
      <c r="I1140" s="154">
        <v>9</v>
      </c>
      <c r="J1140" s="46">
        <v>0.140625</v>
      </c>
      <c r="K1140" s="54">
        <v>17.940714285714002</v>
      </c>
      <c r="L1140" s="437">
        <v>0.77777799999999997</v>
      </c>
      <c r="M1140" s="1470"/>
      <c r="N1140" s="47">
        <v>64</v>
      </c>
      <c r="O1140" s="45">
        <v>47</v>
      </c>
      <c r="P1140" s="388">
        <v>16</v>
      </c>
      <c r="Q1140" s="388">
        <v>1</v>
      </c>
      <c r="R1140" s="429">
        <v>5</v>
      </c>
      <c r="S1140" s="92">
        <v>0</v>
      </c>
      <c r="T1140" s="361">
        <v>5</v>
      </c>
      <c r="U1140" s="285">
        <v>4</v>
      </c>
      <c r="V1140" s="438">
        <f t="shared" si="15"/>
        <v>0.23529411764705882</v>
      </c>
      <c r="W1140" s="1016"/>
      <c r="X1140" s="592"/>
    </row>
    <row r="1141" spans="2:24" ht="13.5">
      <c r="B1141" s="1479">
        <v>201310</v>
      </c>
      <c r="C1141" s="1471" t="s">
        <v>135</v>
      </c>
      <c r="D1141" s="1472" t="s">
        <v>185</v>
      </c>
      <c r="E1141" s="1678" t="s">
        <v>190</v>
      </c>
      <c r="F1141" s="328">
        <v>1105.194</v>
      </c>
      <c r="G1141" s="329">
        <v>138.63300000000001</v>
      </c>
      <c r="H1141" s="330">
        <v>173.77500000000001</v>
      </c>
      <c r="I1141" s="331">
        <v>10</v>
      </c>
      <c r="J1141" s="332">
        <v>0.19802</v>
      </c>
      <c r="K1141" s="333">
        <v>12.603</v>
      </c>
      <c r="L1141" s="436">
        <v>1.1000000000000001</v>
      </c>
      <c r="M1141" s="1470"/>
      <c r="N1141" s="334">
        <v>56</v>
      </c>
      <c r="O1141" s="335">
        <v>44</v>
      </c>
      <c r="P1141" s="389">
        <v>11</v>
      </c>
      <c r="Q1141" s="389">
        <v>1</v>
      </c>
      <c r="R1141" s="430">
        <v>1</v>
      </c>
      <c r="S1141" s="339">
        <v>0</v>
      </c>
      <c r="T1141" s="362">
        <v>12</v>
      </c>
      <c r="U1141" s="337">
        <v>7</v>
      </c>
      <c r="V1141" s="338">
        <f t="shared" si="15"/>
        <v>0.58333333333333337</v>
      </c>
      <c r="W1141" s="1016"/>
      <c r="X1141" s="592"/>
    </row>
    <row r="1142" spans="2:24" ht="13.5">
      <c r="B1142" s="1478">
        <v>201310</v>
      </c>
      <c r="C1142" s="1468" t="s">
        <v>135</v>
      </c>
      <c r="D1142" s="1469" t="s">
        <v>177</v>
      </c>
      <c r="E1142" s="1677" t="s">
        <v>189</v>
      </c>
      <c r="F1142" s="287">
        <v>1622.556</v>
      </c>
      <c r="G1142" s="164">
        <v>322.68400000000003</v>
      </c>
      <c r="H1142" s="90">
        <v>299.40499999999997</v>
      </c>
      <c r="I1142" s="154">
        <v>15</v>
      </c>
      <c r="J1142" s="46">
        <v>0.22058800000000001</v>
      </c>
      <c r="K1142" s="54">
        <v>16.1342</v>
      </c>
      <c r="L1142" s="437">
        <v>1.3333330000000001</v>
      </c>
      <c r="M1142" s="1470"/>
      <c r="N1142" s="47">
        <v>72</v>
      </c>
      <c r="O1142" s="45">
        <v>59</v>
      </c>
      <c r="P1142" s="388">
        <v>11</v>
      </c>
      <c r="Q1142" s="388">
        <v>2</v>
      </c>
      <c r="R1142" s="429">
        <v>5</v>
      </c>
      <c r="S1142" s="92">
        <v>1</v>
      </c>
      <c r="T1142" s="361">
        <v>12</v>
      </c>
      <c r="U1142" s="285">
        <v>7</v>
      </c>
      <c r="V1142" s="438">
        <f t="shared" si="15"/>
        <v>0.53846153846153844</v>
      </c>
      <c r="W1142" s="1016"/>
      <c r="X1142" s="592"/>
    </row>
    <row r="1143" spans="2:24" ht="13.5">
      <c r="B1143" s="1479">
        <v>201310</v>
      </c>
      <c r="C1143" s="1471" t="s">
        <v>135</v>
      </c>
      <c r="D1143" s="1472" t="s">
        <v>176</v>
      </c>
      <c r="E1143" s="1678" t="s">
        <v>188</v>
      </c>
      <c r="F1143" s="328">
        <v>1537.4649999999999</v>
      </c>
      <c r="G1143" s="329">
        <v>299.82400000000001</v>
      </c>
      <c r="H1143" s="330">
        <v>232.22300000000001</v>
      </c>
      <c r="I1143" s="331">
        <v>15</v>
      </c>
      <c r="J1143" s="332">
        <v>0.21126800000000001</v>
      </c>
      <c r="K1143" s="333">
        <v>16.656888888889</v>
      </c>
      <c r="L1143" s="436">
        <v>1.2</v>
      </c>
      <c r="M1143" s="1470"/>
      <c r="N1143" s="334">
        <v>76</v>
      </c>
      <c r="O1143" s="335">
        <v>62</v>
      </c>
      <c r="P1143" s="389">
        <v>12</v>
      </c>
      <c r="Q1143" s="389">
        <v>2</v>
      </c>
      <c r="R1143" s="430">
        <v>6</v>
      </c>
      <c r="S1143" s="339">
        <v>0</v>
      </c>
      <c r="T1143" s="362">
        <v>16</v>
      </c>
      <c r="U1143" s="337">
        <v>4</v>
      </c>
      <c r="V1143" s="338">
        <f t="shared" si="15"/>
        <v>0.2857142857142857</v>
      </c>
      <c r="X1143" s="1235"/>
    </row>
    <row r="1144" spans="2:24" ht="13.5">
      <c r="B1144" s="1478">
        <v>201310</v>
      </c>
      <c r="C1144" s="1468" t="s">
        <v>135</v>
      </c>
      <c r="D1144" s="1469" t="s">
        <v>178</v>
      </c>
      <c r="E1144" s="1677" t="s">
        <v>192</v>
      </c>
      <c r="F1144" s="287">
        <v>1046.751</v>
      </c>
      <c r="G1144" s="164">
        <v>166.79400000000001</v>
      </c>
      <c r="H1144" s="90">
        <v>174.56299999999999</v>
      </c>
      <c r="I1144" s="154">
        <v>17</v>
      </c>
      <c r="J1144" s="46">
        <v>0.24113499999999999</v>
      </c>
      <c r="K1144" s="54">
        <v>9.2663333333329998</v>
      </c>
      <c r="L1144" s="437">
        <v>1.058824</v>
      </c>
      <c r="M1144" s="1470"/>
      <c r="N1144" s="47">
        <v>75</v>
      </c>
      <c r="O1144" s="45">
        <v>62</v>
      </c>
      <c r="P1144" s="388">
        <v>11</v>
      </c>
      <c r="Q1144" s="388">
        <v>2</v>
      </c>
      <c r="R1144" s="429">
        <v>9</v>
      </c>
      <c r="S1144" s="92">
        <v>2</v>
      </c>
      <c r="T1144" s="361">
        <v>16</v>
      </c>
      <c r="U1144" s="285">
        <v>9</v>
      </c>
      <c r="V1144" s="438">
        <f t="shared" si="15"/>
        <v>0.69230769230769229</v>
      </c>
      <c r="X1144" s="1235"/>
    </row>
    <row r="1145" spans="2:24" ht="13.5">
      <c r="B1145" s="1478">
        <v>201309</v>
      </c>
      <c r="C1145" s="1468" t="s">
        <v>134</v>
      </c>
      <c r="D1145" s="1469" t="s">
        <v>91</v>
      </c>
      <c r="E1145" s="1677" t="s">
        <v>92</v>
      </c>
      <c r="F1145" s="287">
        <v>1424.807</v>
      </c>
      <c r="G1145" s="164">
        <v>397.34899999999999</v>
      </c>
      <c r="H1145" s="90">
        <v>397.34899999999999</v>
      </c>
      <c r="I1145" s="154">
        <v>17</v>
      </c>
      <c r="J1145" s="46">
        <v>0.27419354838709697</v>
      </c>
      <c r="K1145" s="54">
        <v>18.061318181818201</v>
      </c>
      <c r="L1145" s="437">
        <v>1.29411764705882</v>
      </c>
      <c r="M1145" s="1470"/>
      <c r="N1145" s="47">
        <v>70</v>
      </c>
      <c r="O1145" s="45">
        <v>53</v>
      </c>
      <c r="P1145" s="388">
        <v>16</v>
      </c>
      <c r="Q1145" s="388">
        <v>1</v>
      </c>
      <c r="R1145" s="429">
        <v>7</v>
      </c>
      <c r="S1145" s="92">
        <v>8</v>
      </c>
      <c r="T1145" s="361">
        <v>15</v>
      </c>
      <c r="U1145" s="285">
        <v>7</v>
      </c>
      <c r="V1145" s="438">
        <f t="shared" ref="V1145:V1153" si="16">IF((P1145+Q1145)&lt;&gt;0,U1145/(P1145+Q1145),0)</f>
        <v>0.41176470588235292</v>
      </c>
      <c r="X1145" s="1235"/>
    </row>
    <row r="1146" spans="2:24" ht="13.5">
      <c r="B1146" s="1479">
        <v>201309</v>
      </c>
      <c r="C1146" s="1471" t="s">
        <v>134</v>
      </c>
      <c r="D1146" s="1472" t="s">
        <v>187</v>
      </c>
      <c r="E1146" s="1678" t="s">
        <v>194</v>
      </c>
      <c r="F1146" s="328">
        <v>425.62900000000002</v>
      </c>
      <c r="G1146" s="329">
        <v>120.167</v>
      </c>
      <c r="H1146" s="330">
        <v>87.792000000000002</v>
      </c>
      <c r="I1146" s="331">
        <v>6</v>
      </c>
      <c r="J1146" s="332">
        <v>0.148148148148148</v>
      </c>
      <c r="K1146" s="333">
        <v>20.027833333333302</v>
      </c>
      <c r="L1146" s="436">
        <v>1</v>
      </c>
      <c r="M1146" s="1470"/>
      <c r="N1146" s="334">
        <v>41</v>
      </c>
      <c r="O1146" s="335">
        <v>28</v>
      </c>
      <c r="P1146" s="389">
        <v>13</v>
      </c>
      <c r="Q1146" s="389">
        <v>0</v>
      </c>
      <c r="R1146" s="430">
        <v>7</v>
      </c>
      <c r="S1146" s="339">
        <v>1</v>
      </c>
      <c r="T1146" s="362">
        <v>7</v>
      </c>
      <c r="U1146" s="337">
        <v>5</v>
      </c>
      <c r="V1146" s="338">
        <f>IF((P1146+Q1146)&lt;&gt;0,U1146/(P1146+Q1146),0)</f>
        <v>0.38461538461538464</v>
      </c>
      <c r="X1146" s="1235"/>
    </row>
    <row r="1147" spans="2:24" ht="13.5">
      <c r="B1147" s="1478">
        <v>201309</v>
      </c>
      <c r="C1147" s="1468" t="s">
        <v>134</v>
      </c>
      <c r="D1147" s="1469" t="s">
        <v>47</v>
      </c>
      <c r="E1147" s="1677" t="s">
        <v>17</v>
      </c>
      <c r="F1147" s="287">
        <v>1352.7760000000001</v>
      </c>
      <c r="G1147" s="164">
        <v>272.76600000000002</v>
      </c>
      <c r="H1147" s="90">
        <v>278.40899999999999</v>
      </c>
      <c r="I1147" s="154">
        <v>11</v>
      </c>
      <c r="J1147" s="46">
        <v>0.23913043478260901</v>
      </c>
      <c r="K1147" s="54">
        <v>16.045058823529398</v>
      </c>
      <c r="L1147" s="437">
        <v>1.5454545454545501</v>
      </c>
      <c r="M1147" s="1470"/>
      <c r="N1147" s="47">
        <v>45</v>
      </c>
      <c r="O1147" s="45">
        <v>37</v>
      </c>
      <c r="P1147" s="388">
        <v>4</v>
      </c>
      <c r="Q1147" s="388">
        <v>4</v>
      </c>
      <c r="R1147" s="429">
        <v>6</v>
      </c>
      <c r="S1147" s="92">
        <v>0</v>
      </c>
      <c r="T1147" s="361">
        <v>3</v>
      </c>
      <c r="U1147" s="285">
        <v>3</v>
      </c>
      <c r="V1147" s="438">
        <f t="shared" si="16"/>
        <v>0.375</v>
      </c>
      <c r="X1147" s="1235"/>
    </row>
    <row r="1148" spans="2:24" ht="13.5">
      <c r="B1148" s="1479">
        <v>201309</v>
      </c>
      <c r="C1148" s="1471" t="s">
        <v>134</v>
      </c>
      <c r="D1148" s="1472" t="s">
        <v>48</v>
      </c>
      <c r="E1148" s="1678"/>
      <c r="F1148" s="328">
        <v>426.59199999999998</v>
      </c>
      <c r="G1148" s="329">
        <v>0</v>
      </c>
      <c r="H1148" s="330">
        <v>0</v>
      </c>
      <c r="I1148" s="331">
        <v>0</v>
      </c>
      <c r="J1148" s="332">
        <v>0</v>
      </c>
      <c r="K1148" s="333"/>
      <c r="L1148" s="436">
        <v>0</v>
      </c>
      <c r="M1148" s="1470"/>
      <c r="N1148" s="334">
        <v>2</v>
      </c>
      <c r="O1148" s="335">
        <v>0</v>
      </c>
      <c r="P1148" s="389">
        <v>2</v>
      </c>
      <c r="Q1148" s="389">
        <v>0</v>
      </c>
      <c r="R1148" s="430">
        <v>1</v>
      </c>
      <c r="S1148" s="339">
        <v>0</v>
      </c>
      <c r="T1148" s="362">
        <v>0</v>
      </c>
      <c r="U1148" s="337"/>
      <c r="V1148" s="338">
        <f t="shared" si="16"/>
        <v>0</v>
      </c>
      <c r="X1148" s="1235"/>
    </row>
    <row r="1149" spans="2:24" ht="13.5">
      <c r="B1149" s="1478">
        <v>201309</v>
      </c>
      <c r="C1149" s="1468" t="s">
        <v>135</v>
      </c>
      <c r="D1149" s="1469" t="s">
        <v>179</v>
      </c>
      <c r="E1149" s="1677" t="s">
        <v>191</v>
      </c>
      <c r="F1149" s="287">
        <v>1158.2429999999999</v>
      </c>
      <c r="G1149" s="164">
        <v>400.43599999999998</v>
      </c>
      <c r="H1149" s="90">
        <v>372.32299999999998</v>
      </c>
      <c r="I1149" s="154">
        <v>12</v>
      </c>
      <c r="J1149" s="46">
        <v>0.19672131147541</v>
      </c>
      <c r="K1149" s="54">
        <v>23.5550588235294</v>
      </c>
      <c r="L1149" s="437">
        <v>1.4166666666666701</v>
      </c>
      <c r="M1149" s="1470"/>
      <c r="N1149" s="47">
        <v>64</v>
      </c>
      <c r="O1149" s="45">
        <v>47</v>
      </c>
      <c r="P1149" s="388">
        <v>16</v>
      </c>
      <c r="Q1149" s="388">
        <v>1</v>
      </c>
      <c r="R1149" s="429">
        <v>5</v>
      </c>
      <c r="S1149" s="92">
        <v>3</v>
      </c>
      <c r="T1149" s="361">
        <v>8</v>
      </c>
      <c r="U1149" s="285">
        <v>5</v>
      </c>
      <c r="V1149" s="438">
        <f t="shared" si="16"/>
        <v>0.29411764705882354</v>
      </c>
      <c r="X1149" s="1235"/>
    </row>
    <row r="1150" spans="2:24" ht="13.5">
      <c r="B1150" s="1479">
        <v>201309</v>
      </c>
      <c r="C1150" s="1471" t="s">
        <v>135</v>
      </c>
      <c r="D1150" s="1472" t="s">
        <v>185</v>
      </c>
      <c r="E1150" s="1678" t="s">
        <v>190</v>
      </c>
      <c r="F1150" s="328">
        <v>931.41899999999998</v>
      </c>
      <c r="G1150" s="329">
        <v>425.27199999999999</v>
      </c>
      <c r="H1150" s="330">
        <v>358.63499999999999</v>
      </c>
      <c r="I1150" s="331">
        <v>20</v>
      </c>
      <c r="J1150" s="332">
        <v>0.476190476190476</v>
      </c>
      <c r="K1150" s="333">
        <v>17.01088</v>
      </c>
      <c r="L1150" s="436">
        <v>1.25</v>
      </c>
      <c r="M1150" s="1470"/>
      <c r="N1150" s="334">
        <v>45</v>
      </c>
      <c r="O1150" s="335">
        <v>31</v>
      </c>
      <c r="P1150" s="389">
        <v>13</v>
      </c>
      <c r="Q1150" s="389">
        <v>1</v>
      </c>
      <c r="R1150" s="430">
        <v>1</v>
      </c>
      <c r="S1150" s="339">
        <v>2</v>
      </c>
      <c r="T1150" s="362">
        <v>5</v>
      </c>
      <c r="U1150" s="337">
        <v>5</v>
      </c>
      <c r="V1150" s="338">
        <f t="shared" si="16"/>
        <v>0.35714285714285715</v>
      </c>
      <c r="X1150" s="1235"/>
    </row>
    <row r="1151" spans="2:24" ht="13.5">
      <c r="B1151" s="1478">
        <v>201309</v>
      </c>
      <c r="C1151" s="1468" t="s">
        <v>135</v>
      </c>
      <c r="D1151" s="1469" t="s">
        <v>177</v>
      </c>
      <c r="E1151" s="1677" t="s">
        <v>189</v>
      </c>
      <c r="F1151" s="287">
        <v>1323.1510000000001</v>
      </c>
      <c r="G1151" s="164">
        <v>427.88299999999998</v>
      </c>
      <c r="H1151" s="90">
        <v>427.88299999999998</v>
      </c>
      <c r="I1151" s="154">
        <v>22</v>
      </c>
      <c r="J1151" s="46">
        <v>0.36666666666666697</v>
      </c>
      <c r="K1151" s="54">
        <v>16.457038461538499</v>
      </c>
      <c r="L1151" s="437">
        <v>1.1818181818181801</v>
      </c>
      <c r="M1151" s="1470"/>
      <c r="N1151" s="47">
        <v>64</v>
      </c>
      <c r="O1151" s="45">
        <v>49</v>
      </c>
      <c r="P1151" s="388">
        <v>15</v>
      </c>
      <c r="Q1151" s="388">
        <v>0</v>
      </c>
      <c r="R1151" s="429">
        <v>6</v>
      </c>
      <c r="S1151" s="92">
        <v>2</v>
      </c>
      <c r="T1151" s="361">
        <v>12</v>
      </c>
      <c r="U1151" s="285">
        <v>6</v>
      </c>
      <c r="V1151" s="438">
        <f>IF((P1151+Q1151)&lt;&gt;0,U1151/(P1151+Q1151),0)</f>
        <v>0.4</v>
      </c>
      <c r="X1151" s="1235"/>
    </row>
    <row r="1152" spans="2:24" ht="13.5">
      <c r="B1152" s="1479">
        <v>201309</v>
      </c>
      <c r="C1152" s="1471" t="s">
        <v>135</v>
      </c>
      <c r="D1152" s="1472" t="s">
        <v>176</v>
      </c>
      <c r="E1152" s="1678" t="s">
        <v>188</v>
      </c>
      <c r="F1152" s="328">
        <v>1305.242</v>
      </c>
      <c r="G1152" s="329">
        <v>538.81700000000001</v>
      </c>
      <c r="H1152" s="330">
        <v>515.625</v>
      </c>
      <c r="I1152" s="331">
        <v>11</v>
      </c>
      <c r="J1152" s="332">
        <v>0.17886178861788599</v>
      </c>
      <c r="K1152" s="333">
        <v>22.450708333333299</v>
      </c>
      <c r="L1152" s="436">
        <v>2.1818181818181799</v>
      </c>
      <c r="M1152" s="1470"/>
      <c r="N1152" s="334">
        <v>66</v>
      </c>
      <c r="O1152" s="335">
        <v>48</v>
      </c>
      <c r="P1152" s="389">
        <v>16</v>
      </c>
      <c r="Q1152" s="389">
        <v>2</v>
      </c>
      <c r="R1152" s="430">
        <v>3</v>
      </c>
      <c r="S1152" s="339">
        <v>0</v>
      </c>
      <c r="T1152" s="362">
        <v>12</v>
      </c>
      <c r="U1152" s="337">
        <v>5</v>
      </c>
      <c r="V1152" s="338">
        <f t="shared" si="16"/>
        <v>0.27777777777777779</v>
      </c>
      <c r="X1152" s="1235"/>
    </row>
    <row r="1153" spans="2:24" ht="13.5">
      <c r="B1153" s="1478">
        <v>201309</v>
      </c>
      <c r="C1153" s="1468" t="s">
        <v>135</v>
      </c>
      <c r="D1153" s="1469" t="s">
        <v>178</v>
      </c>
      <c r="E1153" s="1677" t="s">
        <v>192</v>
      </c>
      <c r="F1153" s="287">
        <v>872.18799999999999</v>
      </c>
      <c r="G1153" s="164">
        <v>301.88099999999997</v>
      </c>
      <c r="H1153" s="90">
        <v>251.62299999999999</v>
      </c>
      <c r="I1153" s="154">
        <v>12</v>
      </c>
      <c r="J1153" s="46">
        <v>0.208695652173913</v>
      </c>
      <c r="K1153" s="54">
        <v>15.888473684210499</v>
      </c>
      <c r="L1153" s="437">
        <v>1.5833333333333299</v>
      </c>
      <c r="M1153" s="1470"/>
      <c r="N1153" s="47">
        <v>66</v>
      </c>
      <c r="O1153" s="45">
        <v>52</v>
      </c>
      <c r="P1153" s="388">
        <v>12</v>
      </c>
      <c r="Q1153" s="388">
        <v>2</v>
      </c>
      <c r="R1153" s="429">
        <v>5</v>
      </c>
      <c r="S1153" s="92">
        <v>1</v>
      </c>
      <c r="T1153" s="361">
        <v>21</v>
      </c>
      <c r="U1153" s="285">
        <v>4</v>
      </c>
      <c r="V1153" s="438">
        <f t="shared" si="16"/>
        <v>0.2857142857142857</v>
      </c>
      <c r="X1153" s="1235"/>
    </row>
    <row r="1154" spans="2:24" ht="13.5">
      <c r="B1154" s="1478">
        <v>201308</v>
      </c>
      <c r="C1154" s="1468" t="s">
        <v>134</v>
      </c>
      <c r="D1154" s="1469" t="s">
        <v>91</v>
      </c>
      <c r="E1154" s="1677" t="s">
        <v>92</v>
      </c>
      <c r="F1154" s="287">
        <v>1027.4580000000001</v>
      </c>
      <c r="G1154" s="164">
        <v>263.52999999999997</v>
      </c>
      <c r="H1154" s="90">
        <v>259.45999999999998</v>
      </c>
      <c r="I1154" s="154">
        <v>9</v>
      </c>
      <c r="J1154" s="46">
        <v>0.1875</v>
      </c>
      <c r="K1154" s="54">
        <v>21.96</v>
      </c>
      <c r="L1154" s="437">
        <v>1.33</v>
      </c>
      <c r="M1154" s="1470"/>
      <c r="N1154" s="47">
        <v>53</v>
      </c>
      <c r="O1154" s="45">
        <v>42</v>
      </c>
      <c r="P1154" s="388">
        <v>7</v>
      </c>
      <c r="Q1154" s="388">
        <v>4</v>
      </c>
      <c r="R1154" s="429">
        <v>0</v>
      </c>
      <c r="S1154" s="92">
        <v>3</v>
      </c>
      <c r="T1154" s="361">
        <v>7</v>
      </c>
      <c r="U1154" s="285">
        <v>5</v>
      </c>
      <c r="V1154" s="438">
        <f t="shared" ref="V1154:V1199" si="17">IF((P1154+Q1154)&lt;&gt;0,U1154/(P1154+Q1154),0)</f>
        <v>0.45454545454545453</v>
      </c>
      <c r="X1154" s="1235"/>
    </row>
    <row r="1155" spans="2:24" ht="13.5">
      <c r="B1155" s="1479">
        <v>201308</v>
      </c>
      <c r="C1155" s="1471" t="s">
        <v>134</v>
      </c>
      <c r="D1155" s="1472" t="s">
        <v>187</v>
      </c>
      <c r="E1155" s="1678" t="s">
        <v>194</v>
      </c>
      <c r="F1155" s="328">
        <v>337.83699999999999</v>
      </c>
      <c r="G1155" s="329">
        <v>45.94</v>
      </c>
      <c r="H1155" s="330">
        <v>39.65</v>
      </c>
      <c r="I1155" s="331">
        <v>3</v>
      </c>
      <c r="J1155" s="332">
        <v>0.08</v>
      </c>
      <c r="K1155" s="333">
        <v>15.31</v>
      </c>
      <c r="L1155" s="436">
        <v>1</v>
      </c>
      <c r="M1155" s="1470"/>
      <c r="N1155" s="334">
        <v>39</v>
      </c>
      <c r="O1155" s="335">
        <v>28</v>
      </c>
      <c r="P1155" s="389">
        <v>11</v>
      </c>
      <c r="Q1155" s="389">
        <v>0</v>
      </c>
      <c r="R1155" s="430">
        <v>6</v>
      </c>
      <c r="S1155" s="339">
        <v>2</v>
      </c>
      <c r="T1155" s="362">
        <v>7</v>
      </c>
      <c r="U1155" s="337">
        <v>5</v>
      </c>
      <c r="V1155" s="338">
        <f t="shared" si="17"/>
        <v>0.45454545454545453</v>
      </c>
      <c r="X1155" s="1235"/>
    </row>
    <row r="1156" spans="2:24" ht="13.5">
      <c r="B1156" s="1478">
        <v>201308</v>
      </c>
      <c r="C1156" s="1468" t="s">
        <v>134</v>
      </c>
      <c r="D1156" s="1469" t="s">
        <v>47</v>
      </c>
      <c r="E1156" s="1677" t="s">
        <v>17</v>
      </c>
      <c r="F1156" s="287">
        <v>1074.367</v>
      </c>
      <c r="G1156" s="164">
        <v>82</v>
      </c>
      <c r="H1156" s="90">
        <v>106.67</v>
      </c>
      <c r="I1156" s="154">
        <v>5</v>
      </c>
      <c r="J1156" s="46">
        <v>0.10204081632653061</v>
      </c>
      <c r="K1156" s="54">
        <v>13.67</v>
      </c>
      <c r="L1156" s="437">
        <v>1.2</v>
      </c>
      <c r="M1156" s="1470"/>
      <c r="N1156" s="47">
        <v>48</v>
      </c>
      <c r="O1156" s="45">
        <v>39</v>
      </c>
      <c r="P1156" s="388">
        <v>4</v>
      </c>
      <c r="Q1156" s="388">
        <v>5</v>
      </c>
      <c r="R1156" s="429">
        <v>3</v>
      </c>
      <c r="S1156" s="92">
        <v>0</v>
      </c>
      <c r="T1156" s="361">
        <v>1</v>
      </c>
      <c r="U1156" s="285">
        <v>1</v>
      </c>
      <c r="V1156" s="438">
        <f t="shared" si="17"/>
        <v>0.1111111111111111</v>
      </c>
      <c r="X1156" s="1235"/>
    </row>
    <row r="1157" spans="2:24" ht="13.5">
      <c r="B1157" s="1479">
        <v>201308</v>
      </c>
      <c r="C1157" s="1471" t="s">
        <v>134</v>
      </c>
      <c r="D1157" s="1472" t="s">
        <v>48</v>
      </c>
      <c r="E1157" s="1678"/>
      <c r="F1157" s="328">
        <v>426.59199999999998</v>
      </c>
      <c r="G1157" s="329">
        <v>0</v>
      </c>
      <c r="H1157" s="330">
        <v>0</v>
      </c>
      <c r="I1157" s="331">
        <v>0</v>
      </c>
      <c r="J1157" s="332">
        <v>0</v>
      </c>
      <c r="K1157" s="333">
        <v>0</v>
      </c>
      <c r="L1157" s="436">
        <v>0</v>
      </c>
      <c r="M1157" s="1470"/>
      <c r="N1157" s="334">
        <v>5</v>
      </c>
      <c r="O1157" s="335">
        <v>1</v>
      </c>
      <c r="P1157" s="389">
        <v>4</v>
      </c>
      <c r="Q1157" s="389">
        <v>0</v>
      </c>
      <c r="R1157" s="430">
        <v>0</v>
      </c>
      <c r="S1157" s="339">
        <v>0</v>
      </c>
      <c r="T1157" s="362">
        <v>0</v>
      </c>
      <c r="U1157" s="337"/>
      <c r="V1157" s="338">
        <f t="shared" si="17"/>
        <v>0</v>
      </c>
      <c r="X1157" s="1235"/>
    </row>
    <row r="1158" spans="2:24" ht="13.5">
      <c r="B1158" s="1478">
        <v>201308</v>
      </c>
      <c r="C1158" s="1468" t="s">
        <v>135</v>
      </c>
      <c r="D1158" s="1469" t="s">
        <v>179</v>
      </c>
      <c r="E1158" s="1677" t="s">
        <v>191</v>
      </c>
      <c r="F1158" s="287">
        <v>785.92</v>
      </c>
      <c r="G1158" s="164">
        <v>180.3</v>
      </c>
      <c r="H1158" s="90">
        <v>162.94</v>
      </c>
      <c r="I1158" s="154">
        <v>8</v>
      </c>
      <c r="J1158" s="46">
        <v>0.14814814814814814</v>
      </c>
      <c r="K1158" s="54">
        <v>22.54</v>
      </c>
      <c r="L1158" s="437">
        <v>1</v>
      </c>
      <c r="M1158" s="1470"/>
      <c r="N1158" s="47">
        <v>58</v>
      </c>
      <c r="O1158" s="45">
        <v>44</v>
      </c>
      <c r="P1158" s="388">
        <v>13</v>
      </c>
      <c r="Q1158" s="388">
        <v>1</v>
      </c>
      <c r="R1158" s="429">
        <v>4</v>
      </c>
      <c r="S1158" s="92">
        <v>1</v>
      </c>
      <c r="T1158" s="361">
        <v>11</v>
      </c>
      <c r="U1158" s="285">
        <v>5</v>
      </c>
      <c r="V1158" s="438">
        <f t="shared" si="17"/>
        <v>0.35714285714285715</v>
      </c>
      <c r="X1158" s="1235"/>
    </row>
    <row r="1159" spans="2:24" ht="13.5">
      <c r="B1159" s="1479">
        <v>201308</v>
      </c>
      <c r="C1159" s="1471" t="s">
        <v>135</v>
      </c>
      <c r="D1159" s="1472" t="s">
        <v>185</v>
      </c>
      <c r="E1159" s="1678" t="s">
        <v>190</v>
      </c>
      <c r="F1159" s="328">
        <v>572.78399999999999</v>
      </c>
      <c r="G1159" s="329">
        <v>69.56</v>
      </c>
      <c r="H1159" s="330">
        <v>65.06</v>
      </c>
      <c r="I1159" s="331">
        <v>7</v>
      </c>
      <c r="J1159" s="332">
        <v>0.19444444444444445</v>
      </c>
      <c r="K1159" s="333">
        <v>9.94</v>
      </c>
      <c r="L1159" s="436">
        <v>1</v>
      </c>
      <c r="M1159" s="1470"/>
      <c r="N1159" s="334">
        <v>39</v>
      </c>
      <c r="O1159" s="335">
        <v>27</v>
      </c>
      <c r="P1159" s="389">
        <v>11</v>
      </c>
      <c r="Q1159" s="389">
        <v>1</v>
      </c>
      <c r="R1159" s="430">
        <v>3</v>
      </c>
      <c r="S1159" s="339">
        <v>2</v>
      </c>
      <c r="T1159" s="362">
        <v>7</v>
      </c>
      <c r="U1159" s="337">
        <v>6</v>
      </c>
      <c r="V1159" s="338">
        <f t="shared" si="17"/>
        <v>0.5</v>
      </c>
      <c r="X1159" s="1235"/>
    </row>
    <row r="1160" spans="2:24" ht="13.5">
      <c r="B1160" s="1478">
        <v>201308</v>
      </c>
      <c r="C1160" s="1468" t="s">
        <v>135</v>
      </c>
      <c r="D1160" s="1469" t="s">
        <v>177</v>
      </c>
      <c r="E1160" s="1677" t="s">
        <v>189</v>
      </c>
      <c r="F1160" s="287">
        <v>895.26800000000003</v>
      </c>
      <c r="G1160" s="164">
        <v>222.56</v>
      </c>
      <c r="H1160" s="90">
        <v>212.56</v>
      </c>
      <c r="I1160" s="154">
        <v>14</v>
      </c>
      <c r="J1160" s="46">
        <v>0.25225225225225223</v>
      </c>
      <c r="K1160" s="54">
        <v>13.09</v>
      </c>
      <c r="L1160" s="437">
        <v>1.21</v>
      </c>
      <c r="M1160" s="1470"/>
      <c r="N1160" s="47">
        <v>56</v>
      </c>
      <c r="O1160" s="45">
        <v>41</v>
      </c>
      <c r="P1160" s="388">
        <v>15</v>
      </c>
      <c r="Q1160" s="388">
        <v>0</v>
      </c>
      <c r="R1160" s="429">
        <v>4</v>
      </c>
      <c r="S1160" s="92">
        <v>0</v>
      </c>
      <c r="T1160" s="361">
        <v>5</v>
      </c>
      <c r="U1160" s="285">
        <v>2</v>
      </c>
      <c r="V1160" s="438">
        <f t="shared" si="17"/>
        <v>0.13333333333333333</v>
      </c>
      <c r="X1160" s="1235"/>
    </row>
    <row r="1161" spans="2:24" ht="13.5">
      <c r="B1161" s="1479">
        <v>201308</v>
      </c>
      <c r="C1161" s="1471" t="s">
        <v>135</v>
      </c>
      <c r="D1161" s="1472" t="s">
        <v>176</v>
      </c>
      <c r="E1161" s="1678" t="s">
        <v>188</v>
      </c>
      <c r="F1161" s="328">
        <v>789.61699999999996</v>
      </c>
      <c r="G1161" s="329">
        <v>197.71</v>
      </c>
      <c r="H1161" s="330">
        <v>185.18</v>
      </c>
      <c r="I1161" s="331">
        <v>8</v>
      </c>
      <c r="J1161" s="332">
        <v>0.15094339622641509</v>
      </c>
      <c r="K1161" s="333">
        <v>14.12</v>
      </c>
      <c r="L1161" s="436">
        <v>1.75</v>
      </c>
      <c r="M1161" s="1470"/>
      <c r="N1161" s="334">
        <v>57</v>
      </c>
      <c r="O1161" s="335">
        <v>39</v>
      </c>
      <c r="P1161" s="389">
        <v>16</v>
      </c>
      <c r="Q1161" s="389">
        <v>2</v>
      </c>
      <c r="R1161" s="430">
        <v>5</v>
      </c>
      <c r="S1161" s="339">
        <v>1</v>
      </c>
      <c r="T1161" s="362">
        <v>12</v>
      </c>
      <c r="U1161" s="337">
        <v>6</v>
      </c>
      <c r="V1161" s="338">
        <f t="shared" si="17"/>
        <v>0.33333333333333331</v>
      </c>
    </row>
    <row r="1162" spans="2:24" ht="13.5">
      <c r="B1162" s="1478">
        <v>201308</v>
      </c>
      <c r="C1162" s="1468" t="s">
        <v>135</v>
      </c>
      <c r="D1162" s="1469" t="s">
        <v>178</v>
      </c>
      <c r="E1162" s="1677" t="s">
        <v>192</v>
      </c>
      <c r="F1162" s="287">
        <v>620.56500000000005</v>
      </c>
      <c r="G1162" s="164">
        <v>131.07</v>
      </c>
      <c r="H1162" s="90">
        <v>114.21</v>
      </c>
      <c r="I1162" s="154">
        <v>9</v>
      </c>
      <c r="J1162" s="46">
        <v>0.19354838709677419</v>
      </c>
      <c r="K1162" s="54">
        <v>9.36</v>
      </c>
      <c r="L1162" s="437">
        <v>1.56</v>
      </c>
      <c r="M1162" s="1470"/>
      <c r="N1162" s="47">
        <v>49</v>
      </c>
      <c r="O1162" s="45">
        <v>37</v>
      </c>
      <c r="P1162" s="388">
        <v>11</v>
      </c>
      <c r="Q1162" s="388">
        <v>1</v>
      </c>
      <c r="R1162" s="429">
        <v>5</v>
      </c>
      <c r="S1162" s="92">
        <v>0</v>
      </c>
      <c r="T1162" s="361">
        <v>10</v>
      </c>
      <c r="U1162" s="285">
        <v>6</v>
      </c>
      <c r="V1162" s="438">
        <f t="shared" si="17"/>
        <v>0.5</v>
      </c>
    </row>
    <row r="1163" spans="2:24" ht="13.5">
      <c r="B1163" s="1479">
        <v>201307</v>
      </c>
      <c r="C1163" s="1471" t="s">
        <v>134</v>
      </c>
      <c r="D1163" s="1472" t="s">
        <v>201</v>
      </c>
      <c r="E1163" s="1678"/>
      <c r="F1163" s="328">
        <v>20.079999999999998</v>
      </c>
      <c r="G1163" s="329">
        <v>0</v>
      </c>
      <c r="H1163" s="330">
        <v>0</v>
      </c>
      <c r="I1163" s="331">
        <v>0</v>
      </c>
      <c r="J1163" s="332"/>
      <c r="K1163" s="333"/>
      <c r="L1163" s="436"/>
      <c r="M1163" s="1470"/>
      <c r="N1163" s="334">
        <v>3</v>
      </c>
      <c r="O1163" s="335">
        <v>1</v>
      </c>
      <c r="P1163" s="389">
        <v>2</v>
      </c>
      <c r="Q1163" s="389"/>
      <c r="R1163" s="430">
        <v>0</v>
      </c>
      <c r="S1163" s="339"/>
      <c r="T1163" s="362"/>
      <c r="U1163" s="337"/>
      <c r="V1163" s="338">
        <f t="shared" si="17"/>
        <v>0</v>
      </c>
    </row>
    <row r="1164" spans="2:24" ht="13.5">
      <c r="B1164" s="1479">
        <v>201307</v>
      </c>
      <c r="C1164" s="1471" t="s">
        <v>134</v>
      </c>
      <c r="D1164" s="1472" t="s">
        <v>91</v>
      </c>
      <c r="E1164" s="1678" t="s">
        <v>92</v>
      </c>
      <c r="F1164" s="328">
        <v>767.995</v>
      </c>
      <c r="G1164" s="329">
        <v>135.31299999999999</v>
      </c>
      <c r="H1164" s="330">
        <v>124.714</v>
      </c>
      <c r="I1164" s="331">
        <v>7</v>
      </c>
      <c r="J1164" s="332">
        <v>0.14893617021276601</v>
      </c>
      <c r="K1164" s="333">
        <v>19.330428571428602</v>
      </c>
      <c r="L1164" s="436">
        <v>1</v>
      </c>
      <c r="M1164" s="1470"/>
      <c r="N1164" s="334">
        <v>43</v>
      </c>
      <c r="O1164" s="335">
        <v>35</v>
      </c>
      <c r="P1164" s="389">
        <v>4</v>
      </c>
      <c r="Q1164" s="389">
        <v>4</v>
      </c>
      <c r="R1164" s="430">
        <v>13</v>
      </c>
      <c r="S1164" s="339">
        <v>1</v>
      </c>
      <c r="T1164" s="362">
        <v>4</v>
      </c>
      <c r="U1164" s="337">
        <v>3</v>
      </c>
      <c r="V1164" s="338">
        <f t="shared" si="17"/>
        <v>0.375</v>
      </c>
    </row>
    <row r="1165" spans="2:24" ht="13.5">
      <c r="B1165" s="1478">
        <v>201307</v>
      </c>
      <c r="C1165" s="1468" t="s">
        <v>134</v>
      </c>
      <c r="D1165" s="1469" t="s">
        <v>187</v>
      </c>
      <c r="E1165" s="1677" t="s">
        <v>194</v>
      </c>
      <c r="F1165" s="287">
        <v>298.19</v>
      </c>
      <c r="G1165" s="164">
        <v>49.758000000000003</v>
      </c>
      <c r="H1165" s="90">
        <v>34.113</v>
      </c>
      <c r="I1165" s="154">
        <v>3</v>
      </c>
      <c r="J1165" s="46">
        <v>8.8235294117647106E-2</v>
      </c>
      <c r="K1165" s="54">
        <v>12.439500000000001</v>
      </c>
      <c r="L1165" s="437">
        <v>1.3333333333333299</v>
      </c>
      <c r="M1165" s="1470"/>
      <c r="N1165" s="47">
        <v>36</v>
      </c>
      <c r="O1165" s="45">
        <v>26</v>
      </c>
      <c r="P1165" s="388">
        <v>10</v>
      </c>
      <c r="Q1165" s="388">
        <v>0</v>
      </c>
      <c r="R1165" s="429">
        <v>1</v>
      </c>
      <c r="S1165" s="92">
        <v>1</v>
      </c>
      <c r="T1165" s="361">
        <v>4</v>
      </c>
      <c r="U1165" s="285">
        <v>2</v>
      </c>
      <c r="V1165" s="438">
        <f t="shared" si="17"/>
        <v>0.2</v>
      </c>
    </row>
    <row r="1166" spans="2:24" ht="13.5">
      <c r="B1166" s="1479">
        <v>201307</v>
      </c>
      <c r="C1166" s="1471" t="s">
        <v>134</v>
      </c>
      <c r="D1166" s="1472" t="s">
        <v>47</v>
      </c>
      <c r="E1166" s="1678" t="s">
        <v>17</v>
      </c>
      <c r="F1166" s="328">
        <v>967.69600000000003</v>
      </c>
      <c r="G1166" s="329">
        <v>177.34299999999999</v>
      </c>
      <c r="H1166" s="330">
        <v>187.95099999999999</v>
      </c>
      <c r="I1166" s="331">
        <v>8</v>
      </c>
      <c r="J1166" s="332">
        <v>0.16</v>
      </c>
      <c r="K1166" s="333">
        <v>14.7785833333333</v>
      </c>
      <c r="L1166" s="436">
        <v>1.5</v>
      </c>
      <c r="M1166" s="1470"/>
      <c r="N1166" s="334">
        <v>50</v>
      </c>
      <c r="O1166" s="335">
        <v>41</v>
      </c>
      <c r="P1166" s="389">
        <v>4</v>
      </c>
      <c r="Q1166" s="389">
        <v>5</v>
      </c>
      <c r="R1166" s="430">
        <v>4</v>
      </c>
      <c r="S1166" s="339"/>
      <c r="T1166" s="362"/>
      <c r="U1166" s="337"/>
      <c r="V1166" s="338">
        <f t="shared" si="17"/>
        <v>0</v>
      </c>
    </row>
    <row r="1167" spans="2:24" ht="13.5">
      <c r="B1167" s="1478">
        <v>201307</v>
      </c>
      <c r="C1167" s="1468" t="s">
        <v>134</v>
      </c>
      <c r="D1167" s="1469" t="s">
        <v>48</v>
      </c>
      <c r="E1167" s="1677"/>
      <c r="F1167" s="287">
        <v>426.59199999999998</v>
      </c>
      <c r="G1167" s="164">
        <v>28.18</v>
      </c>
      <c r="H1167" s="90">
        <v>20.774999999999999</v>
      </c>
      <c r="I1167" s="154">
        <v>1</v>
      </c>
      <c r="J1167" s="46">
        <v>0</v>
      </c>
      <c r="K1167" s="54">
        <v>14.09</v>
      </c>
      <c r="L1167" s="437">
        <v>2</v>
      </c>
      <c r="M1167" s="1470"/>
      <c r="N1167" s="47">
        <v>2</v>
      </c>
      <c r="O1167" s="45">
        <v>0</v>
      </c>
      <c r="P1167" s="388">
        <v>2</v>
      </c>
      <c r="Q1167" s="388">
        <v>0</v>
      </c>
      <c r="R1167" s="429">
        <v>6</v>
      </c>
      <c r="S1167" s="92"/>
      <c r="T1167" s="361"/>
      <c r="U1167" s="285"/>
      <c r="V1167" s="438">
        <f t="shared" si="17"/>
        <v>0</v>
      </c>
    </row>
    <row r="1168" spans="2:24" ht="13.5">
      <c r="B1168" s="1479">
        <v>201307</v>
      </c>
      <c r="C1168" s="1471" t="s">
        <v>135</v>
      </c>
      <c r="D1168" s="1472" t="s">
        <v>179</v>
      </c>
      <c r="E1168" s="1678" t="s">
        <v>191</v>
      </c>
      <c r="F1168" s="328">
        <v>622.98500000000001</v>
      </c>
      <c r="G1168" s="329">
        <v>99.084000000000003</v>
      </c>
      <c r="H1168" s="330">
        <v>99.084000000000003</v>
      </c>
      <c r="I1168" s="331">
        <v>6</v>
      </c>
      <c r="J1168" s="332">
        <v>0.133333333333333</v>
      </c>
      <c r="K1168" s="333">
        <v>16.513999999999999</v>
      </c>
      <c r="L1168" s="436">
        <v>1</v>
      </c>
      <c r="M1168" s="1470"/>
      <c r="N1168" s="334">
        <v>50</v>
      </c>
      <c r="O1168" s="335">
        <v>38</v>
      </c>
      <c r="P1168" s="389">
        <v>12</v>
      </c>
      <c r="Q1168" s="389">
        <v>0</v>
      </c>
      <c r="R1168" s="430">
        <v>0</v>
      </c>
      <c r="S1168" s="339"/>
      <c r="T1168" s="362">
        <v>10</v>
      </c>
      <c r="U1168" s="337">
        <v>7</v>
      </c>
      <c r="V1168" s="338">
        <f t="shared" si="17"/>
        <v>0.58333333333333337</v>
      </c>
    </row>
    <row r="1169" spans="2:22" ht="13.5">
      <c r="B1169" s="1478">
        <v>201307</v>
      </c>
      <c r="C1169" s="1468" t="s">
        <v>135</v>
      </c>
      <c r="D1169" s="1469" t="s">
        <v>185</v>
      </c>
      <c r="E1169" s="1677" t="s">
        <v>190</v>
      </c>
      <c r="F1169" s="287">
        <v>507.721</v>
      </c>
      <c r="G1169" s="164">
        <v>117.51900000000001</v>
      </c>
      <c r="H1169" s="90">
        <v>113.16</v>
      </c>
      <c r="I1169" s="154">
        <v>6</v>
      </c>
      <c r="J1169" s="46">
        <v>0.2</v>
      </c>
      <c r="K1169" s="54">
        <v>16.7884285714286</v>
      </c>
      <c r="L1169" s="437">
        <v>1.1666666666666701</v>
      </c>
      <c r="M1169" s="1470"/>
      <c r="N1169" s="47">
        <v>33</v>
      </c>
      <c r="O1169" s="45">
        <v>22</v>
      </c>
      <c r="P1169" s="388">
        <v>10</v>
      </c>
      <c r="Q1169" s="388">
        <v>1</v>
      </c>
      <c r="R1169" s="429">
        <v>0</v>
      </c>
      <c r="S1169" s="92"/>
      <c r="T1169" s="361">
        <v>6</v>
      </c>
      <c r="U1169" s="285">
        <v>6</v>
      </c>
      <c r="V1169" s="438">
        <f t="shared" si="17"/>
        <v>0.54545454545454541</v>
      </c>
    </row>
    <row r="1170" spans="2:22" ht="13.5">
      <c r="B1170" s="1479">
        <v>201307</v>
      </c>
      <c r="C1170" s="1471" t="s">
        <v>135</v>
      </c>
      <c r="D1170" s="1472" t="s">
        <v>177</v>
      </c>
      <c r="E1170" s="1678" t="s">
        <v>189</v>
      </c>
      <c r="F1170" s="328">
        <v>682.70899999999995</v>
      </c>
      <c r="G1170" s="329">
        <v>154.047</v>
      </c>
      <c r="H1170" s="330">
        <v>154.047</v>
      </c>
      <c r="I1170" s="331">
        <v>11</v>
      </c>
      <c r="J1170" s="332">
        <v>0.21782178217821799</v>
      </c>
      <c r="K1170" s="333">
        <v>11.0033571428571</v>
      </c>
      <c r="L1170" s="436">
        <v>1.27272727272727</v>
      </c>
      <c r="M1170" s="1470"/>
      <c r="N1170" s="334">
        <v>55</v>
      </c>
      <c r="O1170" s="335">
        <v>40</v>
      </c>
      <c r="P1170" s="389">
        <v>15</v>
      </c>
      <c r="Q1170" s="389">
        <v>0</v>
      </c>
      <c r="R1170" s="430">
        <v>2</v>
      </c>
      <c r="S1170" s="339">
        <v>1</v>
      </c>
      <c r="T1170" s="362">
        <v>10</v>
      </c>
      <c r="U1170" s="337">
        <v>6</v>
      </c>
      <c r="V1170" s="338">
        <f t="shared" si="17"/>
        <v>0.4</v>
      </c>
    </row>
    <row r="1171" spans="2:22" ht="13.5">
      <c r="B1171" s="1478">
        <v>201307</v>
      </c>
      <c r="C1171" s="1468" t="s">
        <v>135</v>
      </c>
      <c r="D1171" s="1469" t="s">
        <v>176</v>
      </c>
      <c r="E1171" s="1677" t="s">
        <v>188</v>
      </c>
      <c r="F1171" s="287">
        <v>604.43899999999996</v>
      </c>
      <c r="G1171" s="164">
        <v>68.477000000000004</v>
      </c>
      <c r="H1171" s="90">
        <v>64.096000000000004</v>
      </c>
      <c r="I1171" s="154">
        <v>3</v>
      </c>
      <c r="J1171" s="46">
        <v>6.3829787234042507E-2</v>
      </c>
      <c r="K1171" s="54">
        <v>17.119250000000001</v>
      </c>
      <c r="L1171" s="437">
        <v>1.3333333333333299</v>
      </c>
      <c r="M1171" s="1470"/>
      <c r="N1171" s="47">
        <v>49</v>
      </c>
      <c r="O1171" s="45">
        <v>33</v>
      </c>
      <c r="P1171" s="388">
        <v>15</v>
      </c>
      <c r="Q1171" s="388">
        <v>1</v>
      </c>
      <c r="R1171" s="429">
        <v>3</v>
      </c>
      <c r="S1171" s="92"/>
      <c r="T1171" s="361">
        <v>7</v>
      </c>
      <c r="U1171" s="285">
        <v>5</v>
      </c>
      <c r="V1171" s="438">
        <f t="shared" si="17"/>
        <v>0.3125</v>
      </c>
    </row>
    <row r="1172" spans="2:22" ht="13.5">
      <c r="B1172" s="1479">
        <v>201307</v>
      </c>
      <c r="C1172" s="1471" t="s">
        <v>135</v>
      </c>
      <c r="D1172" s="1472" t="s">
        <v>178</v>
      </c>
      <c r="E1172" s="1678" t="s">
        <v>192</v>
      </c>
      <c r="F1172" s="328">
        <v>506.36</v>
      </c>
      <c r="G1172" s="329">
        <v>185.32</v>
      </c>
      <c r="H1172" s="330">
        <v>107.76</v>
      </c>
      <c r="I1172" s="331">
        <v>6</v>
      </c>
      <c r="J1172" s="332">
        <v>0.13636363636363599</v>
      </c>
      <c r="K1172" s="333">
        <v>18.532</v>
      </c>
      <c r="L1172" s="436">
        <v>1.6666666666666701</v>
      </c>
      <c r="M1172" s="1470"/>
      <c r="N1172" s="334">
        <v>44</v>
      </c>
      <c r="O1172" s="335">
        <v>32</v>
      </c>
      <c r="P1172" s="389">
        <v>11</v>
      </c>
      <c r="Q1172" s="389">
        <v>1</v>
      </c>
      <c r="R1172" s="430">
        <v>2</v>
      </c>
      <c r="S1172" s="339"/>
      <c r="T1172" s="362">
        <v>2</v>
      </c>
      <c r="U1172" s="337">
        <v>2</v>
      </c>
      <c r="V1172" s="338">
        <f t="shared" si="17"/>
        <v>0.16666666666666666</v>
      </c>
    </row>
    <row r="1173" spans="2:22" ht="13.5">
      <c r="B1173" s="1478">
        <v>201306</v>
      </c>
      <c r="C1173" s="1468" t="s">
        <v>134</v>
      </c>
      <c r="D1173" s="1469" t="s">
        <v>91</v>
      </c>
      <c r="E1173" s="1677" t="s">
        <v>92</v>
      </c>
      <c r="F1173" s="287">
        <v>643.28099999999995</v>
      </c>
      <c r="G1173" s="164">
        <v>-41.433999999999997</v>
      </c>
      <c r="H1173" s="90">
        <v>113.01</v>
      </c>
      <c r="I1173" s="154">
        <v>9</v>
      </c>
      <c r="J1173" s="46">
        <v>0.219512195121951</v>
      </c>
      <c r="K1173" s="54">
        <v>-3.4528333333333299</v>
      </c>
      <c r="L1173" s="437">
        <v>1.3333333333333299</v>
      </c>
      <c r="M1173" s="1470"/>
      <c r="N1173" s="47">
        <v>47</v>
      </c>
      <c r="O1173" s="45">
        <v>37</v>
      </c>
      <c r="P1173" s="388">
        <v>6</v>
      </c>
      <c r="Q1173" s="388">
        <v>4</v>
      </c>
      <c r="R1173" s="415">
        <v>0</v>
      </c>
      <c r="S1173" s="92">
        <v>1</v>
      </c>
      <c r="T1173" s="361">
        <v>11</v>
      </c>
      <c r="U1173" s="285">
        <v>3</v>
      </c>
      <c r="V1173" s="438">
        <f t="shared" si="17"/>
        <v>0.3</v>
      </c>
    </row>
    <row r="1174" spans="2:22" ht="13.5">
      <c r="B1174" s="1479">
        <v>201306</v>
      </c>
      <c r="C1174" s="1471" t="s">
        <v>134</v>
      </c>
      <c r="D1174" s="1472" t="s">
        <v>187</v>
      </c>
      <c r="E1174" s="1678" t="s">
        <v>194</v>
      </c>
      <c r="F1174" s="328">
        <v>264.077</v>
      </c>
      <c r="G1174" s="329">
        <v>148.59899999999999</v>
      </c>
      <c r="H1174" s="330">
        <v>115.371</v>
      </c>
      <c r="I1174" s="331">
        <v>4</v>
      </c>
      <c r="J1174" s="332">
        <v>0.133333333333333</v>
      </c>
      <c r="K1174" s="333">
        <v>21.228428571428601</v>
      </c>
      <c r="L1174" s="436">
        <v>1.75</v>
      </c>
      <c r="M1174" s="1470"/>
      <c r="N1174" s="334">
        <v>32</v>
      </c>
      <c r="O1174" s="335">
        <v>22</v>
      </c>
      <c r="P1174" s="389">
        <v>10</v>
      </c>
      <c r="Q1174" s="389">
        <v>0</v>
      </c>
      <c r="R1174" s="414">
        <v>0</v>
      </c>
      <c r="S1174" s="339">
        <v>2</v>
      </c>
      <c r="T1174" s="362">
        <v>2</v>
      </c>
      <c r="U1174" s="337">
        <v>2</v>
      </c>
      <c r="V1174" s="338">
        <f t="shared" si="17"/>
        <v>0.2</v>
      </c>
    </row>
    <row r="1175" spans="2:22" ht="13.5">
      <c r="B1175" s="1479">
        <v>201306</v>
      </c>
      <c r="C1175" s="1471" t="s">
        <v>134</v>
      </c>
      <c r="D1175" s="1472" t="s">
        <v>47</v>
      </c>
      <c r="E1175" s="1678" t="s">
        <v>17</v>
      </c>
      <c r="F1175" s="328">
        <v>779.745</v>
      </c>
      <c r="G1175" s="329">
        <v>128.92099999999999</v>
      </c>
      <c r="H1175" s="330">
        <v>134.98500000000001</v>
      </c>
      <c r="I1175" s="331">
        <v>7</v>
      </c>
      <c r="J1175" s="332">
        <v>0.15730337078651699</v>
      </c>
      <c r="K1175" s="333">
        <v>14.3245555555556</v>
      </c>
      <c r="L1175" s="436">
        <v>1.28571428571429</v>
      </c>
      <c r="M1175" s="1470"/>
      <c r="N1175" s="334">
        <v>49</v>
      </c>
      <c r="O1175" s="335">
        <v>38</v>
      </c>
      <c r="P1175" s="389">
        <v>8</v>
      </c>
      <c r="Q1175" s="389">
        <v>3</v>
      </c>
      <c r="R1175" s="414">
        <v>1</v>
      </c>
      <c r="S1175" s="339">
        <v>0</v>
      </c>
      <c r="T1175" s="362">
        <v>6</v>
      </c>
      <c r="U1175" s="337">
        <v>4</v>
      </c>
      <c r="V1175" s="338">
        <f t="shared" si="17"/>
        <v>0.36363636363636365</v>
      </c>
    </row>
    <row r="1176" spans="2:22" ht="13.5">
      <c r="B1176" s="1479">
        <v>201306</v>
      </c>
      <c r="C1176" s="1471" t="s">
        <v>135</v>
      </c>
      <c r="D1176" s="1472" t="s">
        <v>179</v>
      </c>
      <c r="E1176" s="1678" t="s">
        <v>191</v>
      </c>
      <c r="F1176" s="328">
        <v>523.90099999999995</v>
      </c>
      <c r="G1176" s="329">
        <v>169.68100000000001</v>
      </c>
      <c r="H1176" s="330">
        <v>169.68100000000001</v>
      </c>
      <c r="I1176" s="331">
        <v>11</v>
      </c>
      <c r="J1176" s="332">
        <v>0.328358208955224</v>
      </c>
      <c r="K1176" s="333">
        <v>10.605062500000001</v>
      </c>
      <c r="L1176" s="436">
        <v>1.4545454545454499</v>
      </c>
      <c r="M1176" s="1470"/>
      <c r="N1176" s="334">
        <v>40</v>
      </c>
      <c r="O1176" s="335">
        <v>28</v>
      </c>
      <c r="P1176" s="389">
        <v>12</v>
      </c>
      <c r="Q1176" s="389">
        <v>0</v>
      </c>
      <c r="R1176" s="414">
        <v>0</v>
      </c>
      <c r="S1176" s="339">
        <v>3</v>
      </c>
      <c r="T1176" s="362">
        <v>10</v>
      </c>
      <c r="U1176" s="337">
        <v>6</v>
      </c>
      <c r="V1176" s="338">
        <f t="shared" si="17"/>
        <v>0.5</v>
      </c>
    </row>
    <row r="1177" spans="2:22" ht="13.5">
      <c r="B1177" s="1478">
        <v>201306</v>
      </c>
      <c r="C1177" s="1468" t="s">
        <v>135</v>
      </c>
      <c r="D1177" s="1469" t="s">
        <v>185</v>
      </c>
      <c r="E1177" s="1677" t="s">
        <v>190</v>
      </c>
      <c r="F1177" s="287">
        <v>394.56099999999998</v>
      </c>
      <c r="G1177" s="164">
        <v>126.455</v>
      </c>
      <c r="H1177" s="90">
        <v>111.837</v>
      </c>
      <c r="I1177" s="154">
        <v>9</v>
      </c>
      <c r="J1177" s="46">
        <v>0.40909090909090901</v>
      </c>
      <c r="K1177" s="54">
        <v>9.72730769230769</v>
      </c>
      <c r="L1177" s="437">
        <v>1.44444444444444</v>
      </c>
      <c r="M1177" s="1470"/>
      <c r="N1177" s="47">
        <v>27</v>
      </c>
      <c r="O1177" s="45">
        <v>17</v>
      </c>
      <c r="P1177" s="388">
        <v>10</v>
      </c>
      <c r="Q1177" s="388">
        <v>0</v>
      </c>
      <c r="R1177" s="415">
        <v>1</v>
      </c>
      <c r="S1177" s="92">
        <v>4</v>
      </c>
      <c r="T1177" s="361">
        <v>7</v>
      </c>
      <c r="U1177" s="285">
        <v>4</v>
      </c>
      <c r="V1177" s="438">
        <f t="shared" si="17"/>
        <v>0.4</v>
      </c>
    </row>
    <row r="1178" spans="2:22" ht="13.5">
      <c r="B1178" s="1479">
        <v>201306</v>
      </c>
      <c r="C1178" s="1471" t="s">
        <v>135</v>
      </c>
      <c r="D1178" s="1472" t="s">
        <v>177</v>
      </c>
      <c r="E1178" s="1678" t="s">
        <v>189</v>
      </c>
      <c r="F1178" s="328">
        <v>528.66200000000003</v>
      </c>
      <c r="G1178" s="329">
        <v>199.50899999999999</v>
      </c>
      <c r="H1178" s="330">
        <v>195.928</v>
      </c>
      <c r="I1178" s="331">
        <v>12</v>
      </c>
      <c r="J1178" s="332">
        <v>0.292682926829268</v>
      </c>
      <c r="K1178" s="333">
        <v>10.500473684210499</v>
      </c>
      <c r="L1178" s="436">
        <v>1.5833333333333299</v>
      </c>
      <c r="M1178" s="1470"/>
      <c r="N1178" s="334">
        <v>46</v>
      </c>
      <c r="O1178" s="335">
        <v>32</v>
      </c>
      <c r="P1178" s="389">
        <v>14</v>
      </c>
      <c r="Q1178" s="389">
        <v>0</v>
      </c>
      <c r="R1178" s="414">
        <v>0</v>
      </c>
      <c r="S1178" s="339">
        <v>2</v>
      </c>
      <c r="T1178" s="362">
        <v>8</v>
      </c>
      <c r="U1178" s="337">
        <v>5</v>
      </c>
      <c r="V1178" s="338">
        <f t="shared" si="17"/>
        <v>0.35714285714285715</v>
      </c>
    </row>
    <row r="1179" spans="2:22" ht="13.5">
      <c r="B1179" s="1478">
        <v>201306</v>
      </c>
      <c r="C1179" s="1468" t="s">
        <v>135</v>
      </c>
      <c r="D1179" s="1469" t="s">
        <v>176</v>
      </c>
      <c r="E1179" s="1677" t="s">
        <v>188</v>
      </c>
      <c r="F1179" s="287">
        <v>540.34299999999996</v>
      </c>
      <c r="G1179" s="164">
        <v>143.172</v>
      </c>
      <c r="H1179" s="90">
        <v>123.414</v>
      </c>
      <c r="I1179" s="154">
        <v>10</v>
      </c>
      <c r="J1179" s="46">
        <v>0.24390243902438999</v>
      </c>
      <c r="K1179" s="54">
        <v>11.930999999999999</v>
      </c>
      <c r="L1179" s="437">
        <v>1.2</v>
      </c>
      <c r="M1179" s="1470"/>
      <c r="N1179" s="47">
        <v>45</v>
      </c>
      <c r="O1179" s="45">
        <v>29</v>
      </c>
      <c r="P1179" s="388">
        <v>16</v>
      </c>
      <c r="Q1179" s="388">
        <v>0</v>
      </c>
      <c r="R1179" s="415">
        <v>0</v>
      </c>
      <c r="S1179" s="92">
        <v>0</v>
      </c>
      <c r="T1179" s="361">
        <v>8</v>
      </c>
      <c r="U1179" s="285">
        <v>6</v>
      </c>
      <c r="V1179" s="438">
        <f t="shared" si="17"/>
        <v>0.375</v>
      </c>
    </row>
    <row r="1180" spans="2:22" ht="13.5">
      <c r="B1180" s="1479">
        <v>201306</v>
      </c>
      <c r="C1180" s="1471" t="s">
        <v>135</v>
      </c>
      <c r="D1180" s="1472" t="s">
        <v>178</v>
      </c>
      <c r="E1180" s="1678" t="s">
        <v>192</v>
      </c>
      <c r="F1180" s="328">
        <v>398.6</v>
      </c>
      <c r="G1180" s="329">
        <v>123.072</v>
      </c>
      <c r="H1180" s="330">
        <v>126.90600000000001</v>
      </c>
      <c r="I1180" s="331">
        <v>11</v>
      </c>
      <c r="J1180" s="332">
        <v>0.28571428571428598</v>
      </c>
      <c r="K1180" s="333">
        <v>9.4670769230769203</v>
      </c>
      <c r="L1180" s="436">
        <v>1.1818181818181801</v>
      </c>
      <c r="M1180" s="1470"/>
      <c r="N1180" s="334">
        <v>44</v>
      </c>
      <c r="O1180" s="335">
        <v>32</v>
      </c>
      <c r="P1180" s="389">
        <v>12</v>
      </c>
      <c r="Q1180" s="389">
        <v>0</v>
      </c>
      <c r="R1180" s="414">
        <v>0</v>
      </c>
      <c r="S1180" s="339">
        <v>1</v>
      </c>
      <c r="T1180" s="362">
        <v>10</v>
      </c>
      <c r="U1180" s="337">
        <v>4</v>
      </c>
      <c r="V1180" s="338">
        <f t="shared" si="17"/>
        <v>0.33333333333333331</v>
      </c>
    </row>
    <row r="1181" spans="2:22" ht="13.5">
      <c r="B1181" s="1478">
        <v>201305</v>
      </c>
      <c r="C1181" s="1468" t="s">
        <v>134</v>
      </c>
      <c r="D1181" s="1469" t="s">
        <v>91</v>
      </c>
      <c r="E1181" s="1677" t="s">
        <v>92</v>
      </c>
      <c r="F1181" s="287">
        <v>530.27099999999996</v>
      </c>
      <c r="G1181" s="164">
        <v>306.99</v>
      </c>
      <c r="H1181" s="90">
        <v>142.691</v>
      </c>
      <c r="I1181" s="154">
        <v>7</v>
      </c>
      <c r="J1181" s="46">
        <v>0.22580600000000001</v>
      </c>
      <c r="K1181" s="54">
        <v>34.11</v>
      </c>
      <c r="L1181" s="437">
        <v>1.285714</v>
      </c>
      <c r="M1181" s="1470"/>
      <c r="N1181" s="47">
        <v>35</v>
      </c>
      <c r="O1181" s="45">
        <v>26</v>
      </c>
      <c r="P1181" s="388">
        <v>5</v>
      </c>
      <c r="Q1181" s="388">
        <v>4</v>
      </c>
      <c r="R1181" s="415">
        <v>0</v>
      </c>
      <c r="S1181" s="92">
        <v>1</v>
      </c>
      <c r="T1181" s="361">
        <v>7</v>
      </c>
      <c r="U1181" s="285">
        <v>3</v>
      </c>
      <c r="V1181" s="438">
        <f t="shared" si="17"/>
        <v>0.33333333333333331</v>
      </c>
    </row>
    <row r="1182" spans="2:22" ht="13.5">
      <c r="B1182" s="1479">
        <v>201305</v>
      </c>
      <c r="C1182" s="1471" t="s">
        <v>134</v>
      </c>
      <c r="D1182" s="1472" t="s">
        <v>187</v>
      </c>
      <c r="E1182" s="1678" t="s">
        <v>194</v>
      </c>
      <c r="F1182" s="328">
        <v>148.70600000000002</v>
      </c>
      <c r="G1182" s="329">
        <v>124.464</v>
      </c>
      <c r="H1182" s="330">
        <v>68.903999999999996</v>
      </c>
      <c r="I1182" s="331">
        <v>9</v>
      </c>
      <c r="J1182" s="332">
        <v>0.418605</v>
      </c>
      <c r="K1182" s="333">
        <v>12.446400000000001</v>
      </c>
      <c r="L1182" s="436">
        <v>1.111111</v>
      </c>
      <c r="M1182" s="1470"/>
      <c r="N1182" s="334">
        <v>28</v>
      </c>
      <c r="O1182" s="335">
        <v>20</v>
      </c>
      <c r="P1182" s="389">
        <v>8</v>
      </c>
      <c r="Q1182" s="389">
        <v>0</v>
      </c>
      <c r="R1182" s="414">
        <v>0</v>
      </c>
      <c r="S1182" s="339">
        <v>2</v>
      </c>
      <c r="T1182" s="362">
        <v>11</v>
      </c>
      <c r="U1182" s="337">
        <v>5</v>
      </c>
      <c r="V1182" s="338">
        <f t="shared" si="17"/>
        <v>0.625</v>
      </c>
    </row>
    <row r="1183" spans="2:22" ht="13.5">
      <c r="B1183" s="1479">
        <v>201305</v>
      </c>
      <c r="C1183" s="1471" t="s">
        <v>134</v>
      </c>
      <c r="D1183" s="1472" t="s">
        <v>47</v>
      </c>
      <c r="E1183" s="1678" t="s">
        <v>17</v>
      </c>
      <c r="F1183" s="328">
        <v>644.76</v>
      </c>
      <c r="G1183" s="329">
        <v>172.38900000000001</v>
      </c>
      <c r="H1183" s="330">
        <v>161.88300000000001</v>
      </c>
      <c r="I1183" s="331">
        <v>6</v>
      </c>
      <c r="J1183" s="332">
        <v>0.17391300000000001</v>
      </c>
      <c r="K1183" s="333">
        <v>19.154333333333</v>
      </c>
      <c r="L1183" s="436">
        <v>1.5</v>
      </c>
      <c r="M1183" s="1470"/>
      <c r="N1183" s="334">
        <v>37</v>
      </c>
      <c r="O1183" s="335">
        <v>27</v>
      </c>
      <c r="P1183" s="389">
        <v>7</v>
      </c>
      <c r="Q1183" s="389">
        <v>3</v>
      </c>
      <c r="R1183" s="414">
        <v>1</v>
      </c>
      <c r="S1183" s="339">
        <v>0</v>
      </c>
      <c r="T1183" s="362">
        <v>4</v>
      </c>
      <c r="U1183" s="337">
        <v>3</v>
      </c>
      <c r="V1183" s="338">
        <f t="shared" si="17"/>
        <v>0.3</v>
      </c>
    </row>
    <row r="1184" spans="2:22" ht="13.5">
      <c r="B1184" s="1479">
        <v>201305</v>
      </c>
      <c r="C1184" s="1471" t="s">
        <v>135</v>
      </c>
      <c r="D1184" s="1472" t="s">
        <v>179</v>
      </c>
      <c r="E1184" s="1678" t="s">
        <v>191</v>
      </c>
      <c r="F1184" s="328">
        <v>354.22</v>
      </c>
      <c r="G1184" s="329">
        <v>167.53</v>
      </c>
      <c r="H1184" s="330">
        <v>158.81100000000001</v>
      </c>
      <c r="I1184" s="331">
        <v>11</v>
      </c>
      <c r="J1184" s="332">
        <v>0.5</v>
      </c>
      <c r="K1184" s="333">
        <v>11.966428571428999</v>
      </c>
      <c r="L1184" s="436">
        <v>1.2727269999999999</v>
      </c>
      <c r="M1184" s="1470"/>
      <c r="N1184" s="334">
        <v>27</v>
      </c>
      <c r="O1184" s="335">
        <v>18</v>
      </c>
      <c r="P1184" s="389">
        <v>9</v>
      </c>
      <c r="Q1184" s="389">
        <v>0</v>
      </c>
      <c r="R1184" s="414">
        <v>0</v>
      </c>
      <c r="S1184" s="339">
        <v>0</v>
      </c>
      <c r="T1184" s="362">
        <v>10</v>
      </c>
      <c r="U1184" s="337">
        <v>5</v>
      </c>
      <c r="V1184" s="338">
        <f t="shared" si="17"/>
        <v>0.55555555555555558</v>
      </c>
    </row>
    <row r="1185" spans="2:22" ht="13.5">
      <c r="B1185" s="1478">
        <v>201305</v>
      </c>
      <c r="C1185" s="1468" t="s">
        <v>135</v>
      </c>
      <c r="D1185" s="1469" t="s">
        <v>185</v>
      </c>
      <c r="E1185" s="1677" t="s">
        <v>190</v>
      </c>
      <c r="F1185" s="287">
        <v>282.72399999999999</v>
      </c>
      <c r="G1185" s="164">
        <v>174.745</v>
      </c>
      <c r="H1185" s="90">
        <v>174.745</v>
      </c>
      <c r="I1185" s="154">
        <v>7</v>
      </c>
      <c r="J1185" s="46">
        <v>0.4375</v>
      </c>
      <c r="K1185" s="54">
        <v>17.474499999999999</v>
      </c>
      <c r="L1185" s="437">
        <v>1.428571</v>
      </c>
      <c r="M1185" s="1470"/>
      <c r="N1185" s="47">
        <v>17</v>
      </c>
      <c r="O1185" s="45">
        <v>11</v>
      </c>
      <c r="P1185" s="388">
        <v>6</v>
      </c>
      <c r="Q1185" s="388">
        <v>0</v>
      </c>
      <c r="R1185" s="415">
        <v>0</v>
      </c>
      <c r="S1185" s="92">
        <v>0</v>
      </c>
      <c r="T1185" s="361">
        <v>2</v>
      </c>
      <c r="U1185" s="285">
        <v>2</v>
      </c>
      <c r="V1185" s="438">
        <f t="shared" si="17"/>
        <v>0.33333333333333331</v>
      </c>
    </row>
    <row r="1186" spans="2:22" ht="13.5">
      <c r="B1186" s="1479">
        <v>201305</v>
      </c>
      <c r="C1186" s="1471" t="s">
        <v>135</v>
      </c>
      <c r="D1186" s="1472" t="s">
        <v>177</v>
      </c>
      <c r="E1186" s="1678" t="s">
        <v>189</v>
      </c>
      <c r="F1186" s="328">
        <v>332.73400000000004</v>
      </c>
      <c r="G1186" s="329">
        <v>156.49700000000001</v>
      </c>
      <c r="H1186" s="330">
        <v>146.708</v>
      </c>
      <c r="I1186" s="331">
        <v>10</v>
      </c>
      <c r="J1186" s="332">
        <v>0.32786900000000002</v>
      </c>
      <c r="K1186" s="333">
        <v>11.178357142857001</v>
      </c>
      <c r="L1186" s="436">
        <v>1.4</v>
      </c>
      <c r="M1186" s="1470"/>
      <c r="N1186" s="334">
        <v>36</v>
      </c>
      <c r="O1186" s="335">
        <v>24</v>
      </c>
      <c r="P1186" s="389">
        <v>12</v>
      </c>
      <c r="Q1186" s="389">
        <v>0</v>
      </c>
      <c r="R1186" s="414">
        <v>0</v>
      </c>
      <c r="S1186" s="339">
        <v>3</v>
      </c>
      <c r="T1186" s="362">
        <v>8</v>
      </c>
      <c r="U1186" s="337">
        <v>6</v>
      </c>
      <c r="V1186" s="338">
        <f t="shared" si="17"/>
        <v>0.5</v>
      </c>
    </row>
    <row r="1187" spans="2:22" ht="13.5">
      <c r="B1187" s="1478">
        <v>201305</v>
      </c>
      <c r="C1187" s="1468" t="s">
        <v>135</v>
      </c>
      <c r="D1187" s="1469" t="s">
        <v>176</v>
      </c>
      <c r="E1187" s="1677" t="s">
        <v>188</v>
      </c>
      <c r="F1187" s="287">
        <v>416.92899999999997</v>
      </c>
      <c r="G1187" s="164">
        <v>123.01600000000001</v>
      </c>
      <c r="H1187" s="90">
        <v>105.124</v>
      </c>
      <c r="I1187" s="154">
        <v>12</v>
      </c>
      <c r="J1187" s="46">
        <v>0.4</v>
      </c>
      <c r="K1187" s="54">
        <v>11.183272727273</v>
      </c>
      <c r="L1187" s="437">
        <v>0.91666700000000001</v>
      </c>
      <c r="M1187" s="1470"/>
      <c r="N1187" s="47">
        <v>37</v>
      </c>
      <c r="O1187" s="45">
        <v>21</v>
      </c>
      <c r="P1187" s="388">
        <v>16</v>
      </c>
      <c r="Q1187" s="388">
        <v>0</v>
      </c>
      <c r="R1187" s="415">
        <v>0</v>
      </c>
      <c r="S1187" s="92">
        <v>5</v>
      </c>
      <c r="T1187" s="361">
        <v>9</v>
      </c>
      <c r="U1187" s="285">
        <v>6</v>
      </c>
      <c r="V1187" s="438">
        <f t="shared" si="17"/>
        <v>0.375</v>
      </c>
    </row>
    <row r="1188" spans="2:22" ht="13.5">
      <c r="B1188" s="1479">
        <v>201305</v>
      </c>
      <c r="C1188" s="1471" t="s">
        <v>135</v>
      </c>
      <c r="D1188" s="1472" t="s">
        <v>178</v>
      </c>
      <c r="E1188" s="1678" t="s">
        <v>192</v>
      </c>
      <c r="F1188" s="328">
        <v>271.69399999999996</v>
      </c>
      <c r="G1188" s="329">
        <v>230.75700000000001</v>
      </c>
      <c r="H1188" s="330">
        <v>208.15899999999999</v>
      </c>
      <c r="I1188" s="331">
        <v>10</v>
      </c>
      <c r="J1188" s="332">
        <v>0.43478299999999998</v>
      </c>
      <c r="K1188" s="333">
        <v>14.4223125</v>
      </c>
      <c r="L1188" s="436">
        <v>1.6</v>
      </c>
      <c r="M1188" s="1470"/>
      <c r="N1188" s="334">
        <v>33</v>
      </c>
      <c r="O1188" s="335">
        <v>22</v>
      </c>
      <c r="P1188" s="389">
        <v>11</v>
      </c>
      <c r="Q1188" s="389">
        <v>0</v>
      </c>
      <c r="R1188" s="414">
        <v>0</v>
      </c>
      <c r="S1188" s="339">
        <v>7</v>
      </c>
      <c r="T1188" s="362">
        <v>13</v>
      </c>
      <c r="U1188" s="337">
        <v>6</v>
      </c>
      <c r="V1188" s="338">
        <f t="shared" si="17"/>
        <v>0.54545454545454541</v>
      </c>
    </row>
    <row r="1189" spans="2:22" ht="13.5">
      <c r="B1189" s="1478">
        <v>201304</v>
      </c>
      <c r="C1189" s="1468" t="s">
        <v>134</v>
      </c>
      <c r="D1189" s="1469" t="s">
        <v>91</v>
      </c>
      <c r="E1189" s="1677" t="s">
        <v>92</v>
      </c>
      <c r="F1189" s="287">
        <v>387.58</v>
      </c>
      <c r="G1189" s="164">
        <v>27.625</v>
      </c>
      <c r="H1189" s="90">
        <v>29.414999999999999</v>
      </c>
      <c r="I1189" s="154">
        <v>3</v>
      </c>
      <c r="J1189" s="46">
        <v>0.113207547169811</v>
      </c>
      <c r="K1189" s="54">
        <v>13.8125</v>
      </c>
      <c r="L1189" s="437">
        <v>0.66666666666666696</v>
      </c>
      <c r="M1189" s="1470"/>
      <c r="N1189" s="47">
        <v>27</v>
      </c>
      <c r="O1189" s="45">
        <v>19</v>
      </c>
      <c r="P1189" s="388">
        <v>4</v>
      </c>
      <c r="Q1189" s="388">
        <v>4</v>
      </c>
      <c r="R1189" s="415">
        <v>1</v>
      </c>
      <c r="S1189" s="92">
        <v>0</v>
      </c>
      <c r="T1189" s="361">
        <v>2</v>
      </c>
      <c r="U1189" s="285">
        <v>2</v>
      </c>
      <c r="V1189" s="438">
        <f t="shared" si="17"/>
        <v>0.25</v>
      </c>
    </row>
    <row r="1190" spans="2:22" ht="13.5">
      <c r="B1190" s="1479">
        <v>201304</v>
      </c>
      <c r="C1190" s="1471" t="s">
        <v>134</v>
      </c>
      <c r="D1190" s="1472" t="s">
        <v>187</v>
      </c>
      <c r="E1190" s="1678" t="s">
        <v>194</v>
      </c>
      <c r="F1190" s="328">
        <v>79.802000000000007</v>
      </c>
      <c r="G1190" s="329">
        <v>92.759</v>
      </c>
      <c r="H1190" s="330">
        <v>79.802000000000007</v>
      </c>
      <c r="I1190" s="331">
        <v>6</v>
      </c>
      <c r="J1190" s="332">
        <v>0.8</v>
      </c>
      <c r="K1190" s="333">
        <v>15.4598333333333</v>
      </c>
      <c r="L1190" s="436">
        <v>1</v>
      </c>
      <c r="M1190" s="1470"/>
      <c r="N1190" s="334">
        <v>15</v>
      </c>
      <c r="O1190" s="335">
        <v>9</v>
      </c>
      <c r="P1190" s="389">
        <v>6</v>
      </c>
      <c r="Q1190" s="389">
        <v>0</v>
      </c>
      <c r="R1190" s="414">
        <v>0</v>
      </c>
      <c r="S1190" s="339">
        <v>6</v>
      </c>
      <c r="T1190" s="362">
        <v>9</v>
      </c>
      <c r="U1190" s="337">
        <v>4</v>
      </c>
      <c r="V1190" s="338">
        <f t="shared" si="17"/>
        <v>0.66666666666666663</v>
      </c>
    </row>
    <row r="1191" spans="2:22" ht="13.5">
      <c r="B1191" s="1479">
        <v>201304</v>
      </c>
      <c r="C1191" s="1471" t="s">
        <v>134</v>
      </c>
      <c r="D1191" s="1472" t="s">
        <v>47</v>
      </c>
      <c r="E1191" s="1678" t="s">
        <v>17</v>
      </c>
      <c r="F1191" s="328">
        <v>482.87700000000001</v>
      </c>
      <c r="G1191" s="329">
        <v>164.89500000000001</v>
      </c>
      <c r="H1191" s="330">
        <v>197.31899999999999</v>
      </c>
      <c r="I1191" s="331">
        <v>7</v>
      </c>
      <c r="J1191" s="332">
        <v>0.21212121212121199</v>
      </c>
      <c r="K1191" s="333">
        <v>13.741250000000001</v>
      </c>
      <c r="L1191" s="436">
        <v>1.71428571428571</v>
      </c>
      <c r="M1191" s="1470"/>
      <c r="N1191" s="334">
        <v>34</v>
      </c>
      <c r="O1191" s="335">
        <v>24</v>
      </c>
      <c r="P1191" s="389">
        <v>7</v>
      </c>
      <c r="Q1191" s="389">
        <v>3</v>
      </c>
      <c r="R1191" s="414">
        <v>3</v>
      </c>
      <c r="S1191" s="339">
        <v>0</v>
      </c>
      <c r="T1191" s="362">
        <v>4</v>
      </c>
      <c r="U1191" s="337">
        <v>4</v>
      </c>
      <c r="V1191" s="338">
        <f t="shared" si="17"/>
        <v>0.4</v>
      </c>
    </row>
    <row r="1192" spans="2:22" ht="13.5">
      <c r="B1192" s="1479">
        <v>201304</v>
      </c>
      <c r="C1192" s="1471" t="s">
        <v>135</v>
      </c>
      <c r="D1192" s="1472" t="s">
        <v>179</v>
      </c>
      <c r="E1192" s="1678" t="s">
        <v>191</v>
      </c>
      <c r="F1192" s="328">
        <v>195.40899999999999</v>
      </c>
      <c r="G1192" s="329">
        <v>198.81100000000001</v>
      </c>
      <c r="H1192" s="330">
        <v>174.75899999999999</v>
      </c>
      <c r="I1192" s="331">
        <v>9</v>
      </c>
      <c r="J1192" s="332">
        <v>0.9</v>
      </c>
      <c r="K1192" s="333">
        <v>14.200785714285701</v>
      </c>
      <c r="L1192" s="436">
        <v>1.55555555555556</v>
      </c>
      <c r="M1192" s="1470"/>
      <c r="N1192" s="334">
        <v>17</v>
      </c>
      <c r="O1192" s="335">
        <v>8</v>
      </c>
      <c r="P1192" s="389">
        <v>9</v>
      </c>
      <c r="Q1192" s="389">
        <v>0</v>
      </c>
      <c r="R1192" s="414">
        <v>0</v>
      </c>
      <c r="S1192" s="339">
        <v>8</v>
      </c>
      <c r="T1192" s="362">
        <v>6</v>
      </c>
      <c r="U1192" s="337">
        <v>5</v>
      </c>
      <c r="V1192" s="338">
        <f t="shared" si="17"/>
        <v>0.55555555555555558</v>
      </c>
    </row>
    <row r="1193" spans="2:22" ht="13.5">
      <c r="B1193" s="1478">
        <v>201304</v>
      </c>
      <c r="C1193" s="1468" t="s">
        <v>135</v>
      </c>
      <c r="D1193" s="1469" t="s">
        <v>185</v>
      </c>
      <c r="E1193" s="1677" t="s">
        <v>190</v>
      </c>
      <c r="F1193" s="287">
        <v>107.979</v>
      </c>
      <c r="G1193" s="164">
        <v>79.853999999999999</v>
      </c>
      <c r="H1193" s="90">
        <v>79.853999999999999</v>
      </c>
      <c r="I1193" s="154">
        <v>7</v>
      </c>
      <c r="J1193" s="46">
        <v>0.82352941176470595</v>
      </c>
      <c r="K1193" s="54">
        <v>11.407714285714301</v>
      </c>
      <c r="L1193" s="437">
        <v>1</v>
      </c>
      <c r="M1193" s="1470"/>
      <c r="N1193" s="47">
        <v>15</v>
      </c>
      <c r="O1193" s="45">
        <v>9</v>
      </c>
      <c r="P1193" s="388">
        <v>6</v>
      </c>
      <c r="Q1193" s="388">
        <v>0</v>
      </c>
      <c r="R1193" s="415">
        <v>0</v>
      </c>
      <c r="S1193" s="92">
        <v>6</v>
      </c>
      <c r="T1193" s="361">
        <v>7</v>
      </c>
      <c r="U1193" s="285">
        <v>4</v>
      </c>
      <c r="V1193" s="438">
        <f t="shared" si="17"/>
        <v>0.66666666666666663</v>
      </c>
    </row>
    <row r="1194" spans="2:22" ht="13.5">
      <c r="B1194" s="1479">
        <v>201304</v>
      </c>
      <c r="C1194" s="1471" t="s">
        <v>135</v>
      </c>
      <c r="D1194" s="1472" t="s">
        <v>177</v>
      </c>
      <c r="E1194" s="1678" t="s">
        <v>189</v>
      </c>
      <c r="F1194" s="328">
        <v>186.02600000000001</v>
      </c>
      <c r="G1194" s="329">
        <v>120.736</v>
      </c>
      <c r="H1194" s="330">
        <v>120.736</v>
      </c>
      <c r="I1194" s="331">
        <v>8</v>
      </c>
      <c r="J1194" s="332">
        <v>0.47058823529411797</v>
      </c>
      <c r="K1194" s="333">
        <v>13.4151111111111</v>
      </c>
      <c r="L1194" s="436">
        <v>1.125</v>
      </c>
      <c r="M1194" s="1470"/>
      <c r="N1194" s="334">
        <v>25</v>
      </c>
      <c r="O1194" s="335">
        <v>16</v>
      </c>
      <c r="P1194" s="389">
        <v>9</v>
      </c>
      <c r="Q1194" s="389">
        <v>0</v>
      </c>
      <c r="R1194" s="414">
        <v>0</v>
      </c>
      <c r="S1194" s="339">
        <v>5</v>
      </c>
      <c r="T1194" s="362">
        <v>11</v>
      </c>
      <c r="U1194" s="337">
        <v>5</v>
      </c>
      <c r="V1194" s="338">
        <f t="shared" si="17"/>
        <v>0.55555555555555558</v>
      </c>
    </row>
    <row r="1195" spans="2:22" ht="13.5">
      <c r="B1195" s="1478">
        <v>201304</v>
      </c>
      <c r="C1195" s="1468" t="s">
        <v>135</v>
      </c>
      <c r="D1195" s="1469" t="s">
        <v>176</v>
      </c>
      <c r="E1195" s="1677" t="s">
        <v>188</v>
      </c>
      <c r="F1195" s="287">
        <v>311.80500000000001</v>
      </c>
      <c r="G1195" s="164">
        <v>167.34100000000001</v>
      </c>
      <c r="H1195" s="90">
        <v>167.34100000000001</v>
      </c>
      <c r="I1195" s="154">
        <v>5</v>
      </c>
      <c r="J1195" s="46">
        <v>0.30303030303030298</v>
      </c>
      <c r="K1195" s="54">
        <v>13.945083333333301</v>
      </c>
      <c r="L1195" s="437">
        <v>2.4</v>
      </c>
      <c r="M1195" s="1470"/>
      <c r="N1195" s="47">
        <v>23</v>
      </c>
      <c r="O1195" s="45">
        <v>12</v>
      </c>
      <c r="P1195" s="388">
        <v>11</v>
      </c>
      <c r="Q1195" s="388">
        <v>0</v>
      </c>
      <c r="R1195" s="415">
        <v>0</v>
      </c>
      <c r="S1195" s="92">
        <v>7</v>
      </c>
      <c r="T1195" s="361">
        <v>6</v>
      </c>
      <c r="U1195" s="285">
        <v>4</v>
      </c>
      <c r="V1195" s="438">
        <f t="shared" si="17"/>
        <v>0.36363636363636365</v>
      </c>
    </row>
    <row r="1196" spans="2:22" ht="13.5">
      <c r="B1196" s="1479">
        <v>201304</v>
      </c>
      <c r="C1196" s="1471" t="s">
        <v>135</v>
      </c>
      <c r="D1196" s="1472" t="s">
        <v>178</v>
      </c>
      <c r="E1196" s="1678" t="s">
        <v>192</v>
      </c>
      <c r="F1196" s="328">
        <v>63.534999999999997</v>
      </c>
      <c r="G1196" s="329">
        <v>63.347000000000001</v>
      </c>
      <c r="H1196" s="330">
        <v>43.149000000000001</v>
      </c>
      <c r="I1196" s="331">
        <v>3</v>
      </c>
      <c r="J1196" s="332">
        <v>0.4</v>
      </c>
      <c r="K1196" s="333">
        <v>21.115666666666701</v>
      </c>
      <c r="L1196" s="436">
        <v>1</v>
      </c>
      <c r="M1196" s="1470"/>
      <c r="N1196" s="334">
        <v>13</v>
      </c>
      <c r="O1196" s="335">
        <v>9</v>
      </c>
      <c r="P1196" s="389">
        <v>4</v>
      </c>
      <c r="Q1196" s="389">
        <v>0</v>
      </c>
      <c r="R1196" s="414">
        <v>0</v>
      </c>
      <c r="S1196" s="339">
        <v>2</v>
      </c>
      <c r="T1196" s="362">
        <v>9</v>
      </c>
      <c r="U1196" s="337">
        <v>3</v>
      </c>
      <c r="V1196" s="338">
        <f t="shared" si="17"/>
        <v>0.75</v>
      </c>
    </row>
    <row r="1197" spans="2:22" ht="13.5">
      <c r="B1197" s="1478">
        <v>201303</v>
      </c>
      <c r="C1197" s="1468" t="s">
        <v>135</v>
      </c>
      <c r="D1197" s="1469" t="s">
        <v>179</v>
      </c>
      <c r="E1197" s="1677" t="s">
        <v>191</v>
      </c>
      <c r="F1197" s="287"/>
      <c r="G1197" s="164">
        <v>20.65</v>
      </c>
      <c r="H1197" s="90">
        <v>20.65</v>
      </c>
      <c r="I1197" s="154">
        <v>2</v>
      </c>
      <c r="J1197" s="46">
        <v>1.3333333333333299</v>
      </c>
      <c r="K1197" s="54">
        <v>10.324999999999999</v>
      </c>
      <c r="L1197" s="437">
        <v>1</v>
      </c>
      <c r="M1197" s="1470"/>
      <c r="N1197" s="47">
        <v>3</v>
      </c>
      <c r="O1197" s="45">
        <v>2</v>
      </c>
      <c r="P1197" s="388">
        <v>1</v>
      </c>
      <c r="Q1197" s="388">
        <v>0</v>
      </c>
      <c r="R1197" s="415">
        <v>0</v>
      </c>
      <c r="S1197" s="92">
        <v>1</v>
      </c>
      <c r="T1197" s="361">
        <v>2</v>
      </c>
      <c r="U1197" s="285">
        <v>1</v>
      </c>
      <c r="V1197" s="438">
        <f t="shared" si="17"/>
        <v>1</v>
      </c>
    </row>
    <row r="1198" spans="2:22" ht="13.5">
      <c r="B1198" s="1478">
        <v>201303</v>
      </c>
      <c r="C1198" s="1468" t="s">
        <v>135</v>
      </c>
      <c r="D1198" s="1469" t="s">
        <v>185</v>
      </c>
      <c r="E1198" s="1677" t="s">
        <v>190</v>
      </c>
      <c r="F1198" s="287"/>
      <c r="G1198" s="164">
        <v>28.125</v>
      </c>
      <c r="H1198" s="90">
        <v>28.125</v>
      </c>
      <c r="I1198" s="154">
        <v>1</v>
      </c>
      <c r="J1198" s="46">
        <v>1</v>
      </c>
      <c r="K1198" s="54">
        <v>14.0625</v>
      </c>
      <c r="L1198" s="437">
        <v>2</v>
      </c>
      <c r="M1198" s="1470"/>
      <c r="N1198" s="47">
        <v>2</v>
      </c>
      <c r="O1198" s="45">
        <v>2</v>
      </c>
      <c r="P1198" s="388">
        <v>0</v>
      </c>
      <c r="Q1198" s="388">
        <v>0</v>
      </c>
      <c r="R1198" s="415">
        <v>0</v>
      </c>
      <c r="S1198" s="92"/>
      <c r="T1198" s="361">
        <v>2</v>
      </c>
      <c r="U1198" s="285"/>
      <c r="V1198" s="438">
        <f t="shared" si="17"/>
        <v>0</v>
      </c>
    </row>
    <row r="1199" spans="2:22" ht="13.5">
      <c r="B1199" s="1479">
        <v>201303</v>
      </c>
      <c r="C1199" s="1471" t="s">
        <v>134</v>
      </c>
      <c r="D1199" s="1472" t="s">
        <v>91</v>
      </c>
      <c r="E1199" s="1678" t="s">
        <v>92</v>
      </c>
      <c r="F1199" s="328"/>
      <c r="G1199" s="329">
        <v>107.093</v>
      </c>
      <c r="H1199" s="330">
        <v>102.64400000000001</v>
      </c>
      <c r="I1199" s="331">
        <v>8</v>
      </c>
      <c r="J1199" s="332">
        <v>0.38095238095238099</v>
      </c>
      <c r="K1199" s="333">
        <v>11.8992222222222</v>
      </c>
      <c r="L1199" s="436">
        <v>1.125</v>
      </c>
      <c r="M1199" s="1470"/>
      <c r="N1199" s="334">
        <v>26</v>
      </c>
      <c r="O1199" s="335">
        <v>22</v>
      </c>
      <c r="P1199" s="389">
        <v>4</v>
      </c>
      <c r="Q1199" s="389">
        <v>0</v>
      </c>
      <c r="R1199" s="414">
        <v>1</v>
      </c>
      <c r="S1199" s="339">
        <v>0</v>
      </c>
      <c r="T1199" s="362">
        <v>11</v>
      </c>
      <c r="U1199" s="337">
        <v>4</v>
      </c>
      <c r="V1199" s="338">
        <f t="shared" si="17"/>
        <v>1</v>
      </c>
    </row>
    <row r="1200" spans="2:22" ht="13.5">
      <c r="B1200" s="1478">
        <v>201303</v>
      </c>
      <c r="C1200" s="1468" t="s">
        <v>134</v>
      </c>
      <c r="D1200" s="1469" t="s">
        <v>187</v>
      </c>
      <c r="E1200" s="1677" t="s">
        <v>194</v>
      </c>
      <c r="F1200" s="287"/>
      <c r="G1200" s="164">
        <v>0</v>
      </c>
      <c r="H1200" s="90">
        <v>0</v>
      </c>
      <c r="I1200" s="154"/>
      <c r="J1200" s="46"/>
      <c r="K1200" s="54">
        <v>0</v>
      </c>
      <c r="L1200" s="437">
        <v>0</v>
      </c>
      <c r="M1200" s="1470"/>
      <c r="N1200" s="47"/>
      <c r="O1200" s="45"/>
      <c r="P1200" s="388"/>
      <c r="Q1200" s="388"/>
      <c r="R1200" s="415">
        <v>0</v>
      </c>
      <c r="S1200" s="92"/>
      <c r="T1200" s="361"/>
      <c r="U1200" s="285"/>
      <c r="V1200" s="438">
        <f t="shared" ref="V1200:V1208" si="18">IF((P1200+Q1200)&lt;&gt;0,U1200/(P1200+Q1200),0)</f>
        <v>0</v>
      </c>
    </row>
    <row r="1201" spans="2:22" ht="13.5">
      <c r="B1201" s="1479">
        <v>201303</v>
      </c>
      <c r="C1201" s="1471" t="s">
        <v>134</v>
      </c>
      <c r="D1201" s="1472" t="s">
        <v>47</v>
      </c>
      <c r="E1201" s="1678" t="s">
        <v>17</v>
      </c>
      <c r="F1201" s="328"/>
      <c r="G1201" s="329">
        <v>178.23699999999999</v>
      </c>
      <c r="H1201" s="330">
        <v>138.113</v>
      </c>
      <c r="I1201" s="331">
        <v>6</v>
      </c>
      <c r="J1201" s="332">
        <v>0.19354838709677399</v>
      </c>
      <c r="K1201" s="333">
        <v>16.203363636363601</v>
      </c>
      <c r="L1201" s="436">
        <v>1.8333333333333299</v>
      </c>
      <c r="M1201" s="1470"/>
      <c r="N1201" s="334">
        <v>33</v>
      </c>
      <c r="O1201" s="335">
        <v>25</v>
      </c>
      <c r="P1201" s="389">
        <v>7</v>
      </c>
      <c r="Q1201" s="389">
        <v>1</v>
      </c>
      <c r="R1201" s="414">
        <v>0</v>
      </c>
      <c r="S1201" s="339">
        <v>0</v>
      </c>
      <c r="T1201" s="362">
        <v>4</v>
      </c>
      <c r="U1201" s="337">
        <v>3</v>
      </c>
      <c r="V1201" s="338">
        <f t="shared" si="18"/>
        <v>0.375</v>
      </c>
    </row>
    <row r="1202" spans="2:22" ht="13.5">
      <c r="B1202" s="1479">
        <v>201303</v>
      </c>
      <c r="C1202" s="1471" t="s">
        <v>135</v>
      </c>
      <c r="D1202" s="1472" t="s">
        <v>177</v>
      </c>
      <c r="E1202" s="1678" t="s">
        <v>189</v>
      </c>
      <c r="F1202" s="328"/>
      <c r="G1202" s="329">
        <v>65.290000000000006</v>
      </c>
      <c r="H1202" s="330">
        <v>65.290000000000006</v>
      </c>
      <c r="I1202" s="331">
        <v>5</v>
      </c>
      <c r="J1202" s="332">
        <v>1.1111111111111101</v>
      </c>
      <c r="K1202" s="333">
        <v>10.8816666666667</v>
      </c>
      <c r="L1202" s="436">
        <v>1.2</v>
      </c>
      <c r="M1202" s="1470"/>
      <c r="N1202" s="334">
        <v>9</v>
      </c>
      <c r="O1202" s="335">
        <v>5</v>
      </c>
      <c r="P1202" s="389">
        <v>4</v>
      </c>
      <c r="Q1202" s="389">
        <v>0</v>
      </c>
      <c r="R1202" s="414">
        <v>0</v>
      </c>
      <c r="S1202" s="339">
        <v>4</v>
      </c>
      <c r="T1202" s="362">
        <v>5</v>
      </c>
      <c r="U1202" s="337">
        <v>3</v>
      </c>
      <c r="V1202" s="338">
        <f t="shared" si="18"/>
        <v>0.75</v>
      </c>
    </row>
    <row r="1203" spans="2:22" ht="13.5">
      <c r="B1203" s="1478">
        <v>201303</v>
      </c>
      <c r="C1203" s="1468" t="s">
        <v>135</v>
      </c>
      <c r="D1203" s="1469" t="s">
        <v>176</v>
      </c>
      <c r="E1203" s="1677" t="s">
        <v>188</v>
      </c>
      <c r="F1203" s="287"/>
      <c r="G1203" s="164">
        <v>144.464</v>
      </c>
      <c r="H1203" s="90">
        <v>144.464</v>
      </c>
      <c r="I1203" s="154">
        <v>6</v>
      </c>
      <c r="J1203" s="46">
        <v>1.2</v>
      </c>
      <c r="K1203" s="54">
        <v>20.637714285714299</v>
      </c>
      <c r="L1203" s="437">
        <v>1.1666666666666701</v>
      </c>
      <c r="M1203" s="1470"/>
      <c r="N1203" s="47">
        <v>10</v>
      </c>
      <c r="O1203" s="45">
        <v>6</v>
      </c>
      <c r="P1203" s="388">
        <v>4</v>
      </c>
      <c r="Q1203" s="388">
        <v>0</v>
      </c>
      <c r="R1203" s="415">
        <v>0</v>
      </c>
      <c r="S1203" s="92">
        <v>4</v>
      </c>
      <c r="T1203" s="361">
        <v>6</v>
      </c>
      <c r="U1203" s="285">
        <v>3</v>
      </c>
      <c r="V1203" s="438">
        <f t="shared" si="18"/>
        <v>0.75</v>
      </c>
    </row>
    <row r="1204" spans="2:22" ht="13.5">
      <c r="B1204" s="1479">
        <v>201303</v>
      </c>
      <c r="C1204" s="1471" t="s">
        <v>135</v>
      </c>
      <c r="D1204" s="1472" t="s">
        <v>178</v>
      </c>
      <c r="E1204" s="1678" t="s">
        <v>192</v>
      </c>
      <c r="F1204" s="328"/>
      <c r="G1204" s="329">
        <v>20.385999999999999</v>
      </c>
      <c r="H1204" s="330">
        <v>20.385999999999999</v>
      </c>
      <c r="I1204" s="331">
        <v>2</v>
      </c>
      <c r="J1204" s="332">
        <v>2</v>
      </c>
      <c r="K1204" s="333">
        <v>10.193</v>
      </c>
      <c r="L1204" s="436">
        <v>1</v>
      </c>
      <c r="M1204" s="1470"/>
      <c r="N1204" s="334">
        <v>2</v>
      </c>
      <c r="O1204" s="335">
        <v>0</v>
      </c>
      <c r="P1204" s="389">
        <v>2</v>
      </c>
      <c r="Q1204" s="389">
        <v>0</v>
      </c>
      <c r="R1204" s="414">
        <v>0</v>
      </c>
      <c r="S1204" s="339">
        <v>2</v>
      </c>
      <c r="T1204" s="362"/>
      <c r="U1204" s="337"/>
      <c r="V1204" s="338">
        <f t="shared" si="18"/>
        <v>0</v>
      </c>
    </row>
    <row r="1205" spans="2:22" ht="13.5">
      <c r="B1205" s="1478">
        <v>201302</v>
      </c>
      <c r="C1205" s="1468" t="s">
        <v>134</v>
      </c>
      <c r="D1205" s="1469" t="s">
        <v>91</v>
      </c>
      <c r="E1205" s="1677" t="s">
        <v>92</v>
      </c>
      <c r="F1205" s="287"/>
      <c r="G1205" s="164">
        <v>88.28</v>
      </c>
      <c r="H1205" s="90">
        <v>72.257000000000005</v>
      </c>
      <c r="I1205" s="154">
        <v>5</v>
      </c>
      <c r="J1205" s="46">
        <v>0.32258064516128998</v>
      </c>
      <c r="K1205" s="54">
        <v>12.611428571428601</v>
      </c>
      <c r="L1205" s="437">
        <v>1.4</v>
      </c>
      <c r="M1205" s="1470"/>
      <c r="N1205" s="47">
        <v>16</v>
      </c>
      <c r="O1205" s="45">
        <v>12</v>
      </c>
      <c r="P1205" s="388">
        <v>4</v>
      </c>
      <c r="Q1205" s="388">
        <v>0</v>
      </c>
      <c r="R1205" s="415">
        <v>0</v>
      </c>
      <c r="S1205" s="92">
        <v>0</v>
      </c>
      <c r="T1205" s="361">
        <v>1</v>
      </c>
      <c r="U1205" s="285">
        <v>1</v>
      </c>
      <c r="V1205" s="438">
        <f t="shared" si="18"/>
        <v>0.25</v>
      </c>
    </row>
    <row r="1206" spans="2:22" ht="13.5">
      <c r="B1206" s="1479">
        <v>201302</v>
      </c>
      <c r="C1206" s="1471" t="s">
        <v>134</v>
      </c>
      <c r="D1206" s="1472" t="s">
        <v>47</v>
      </c>
      <c r="E1206" s="1678" t="s">
        <v>17</v>
      </c>
      <c r="F1206" s="328"/>
      <c r="G1206" s="329">
        <v>22.359000000000002</v>
      </c>
      <c r="H1206" s="330">
        <v>36.244999999999997</v>
      </c>
      <c r="I1206" s="331">
        <v>2</v>
      </c>
      <c r="J1206" s="332">
        <v>6.8965517241379296E-2</v>
      </c>
      <c r="K1206" s="333">
        <v>11.179500000000001</v>
      </c>
      <c r="L1206" s="436">
        <v>1</v>
      </c>
      <c r="M1206" s="1470"/>
      <c r="N1206" s="334">
        <v>29</v>
      </c>
      <c r="O1206" s="335">
        <v>21</v>
      </c>
      <c r="P1206" s="389">
        <v>7</v>
      </c>
      <c r="Q1206" s="389">
        <v>1</v>
      </c>
      <c r="R1206" s="414">
        <v>0</v>
      </c>
      <c r="S1206" s="339">
        <v>0</v>
      </c>
      <c r="T1206" s="362">
        <v>0</v>
      </c>
      <c r="U1206" s="337"/>
      <c r="V1206" s="338">
        <f t="shared" si="18"/>
        <v>0</v>
      </c>
    </row>
    <row r="1207" spans="2:22" ht="13.5">
      <c r="B1207" s="1479">
        <v>201301</v>
      </c>
      <c r="C1207" s="1471" t="s">
        <v>134</v>
      </c>
      <c r="D1207" s="1472" t="s">
        <v>91</v>
      </c>
      <c r="E1207" s="1678" t="s">
        <v>92</v>
      </c>
      <c r="F1207" s="328"/>
      <c r="G1207" s="329">
        <v>183.26400000000001</v>
      </c>
      <c r="H1207" s="330">
        <v>183.26400000000001</v>
      </c>
      <c r="I1207" s="331">
        <v>10</v>
      </c>
      <c r="J1207" s="332">
        <v>0.76923076923076905</v>
      </c>
      <c r="K1207" s="333">
        <v>12.217599999999999</v>
      </c>
      <c r="L1207" s="436">
        <v>1.5</v>
      </c>
      <c r="M1207" s="1470"/>
      <c r="N1207" s="334">
        <v>15</v>
      </c>
      <c r="O1207" s="335">
        <v>11</v>
      </c>
      <c r="P1207" s="389">
        <v>4</v>
      </c>
      <c r="Q1207" s="389">
        <v>0</v>
      </c>
      <c r="R1207" s="414">
        <v>0</v>
      </c>
      <c r="S1207" s="339">
        <v>2</v>
      </c>
      <c r="T1207" s="362">
        <v>2</v>
      </c>
      <c r="U1207" s="337">
        <v>1</v>
      </c>
      <c r="V1207" s="338">
        <f t="shared" si="18"/>
        <v>0.25</v>
      </c>
    </row>
    <row r="1208" spans="2:22" ht="13.5">
      <c r="B1208" s="1478">
        <v>201301</v>
      </c>
      <c r="C1208" s="1468" t="s">
        <v>134</v>
      </c>
      <c r="D1208" s="1469" t="s">
        <v>47</v>
      </c>
      <c r="E1208" s="1677" t="s">
        <v>17</v>
      </c>
      <c r="F1208" s="287"/>
      <c r="G1208" s="164">
        <v>99.763000000000005</v>
      </c>
      <c r="H1208" s="90">
        <v>111.2</v>
      </c>
      <c r="I1208" s="154">
        <v>7</v>
      </c>
      <c r="J1208" s="46">
        <v>0.25</v>
      </c>
      <c r="K1208" s="54">
        <v>9.9763000000000002</v>
      </c>
      <c r="L1208" s="437">
        <v>1.4285714285714299</v>
      </c>
      <c r="M1208" s="1470"/>
      <c r="N1208" s="47">
        <v>29</v>
      </c>
      <c r="O1208" s="45">
        <v>21</v>
      </c>
      <c r="P1208" s="388">
        <v>7</v>
      </c>
      <c r="Q1208" s="388">
        <v>1</v>
      </c>
      <c r="R1208" s="415">
        <v>3</v>
      </c>
      <c r="S1208" s="92">
        <v>1</v>
      </c>
      <c r="T1208" s="361">
        <v>4</v>
      </c>
      <c r="U1208" s="285">
        <v>2</v>
      </c>
      <c r="V1208" s="438">
        <f t="shared" si="18"/>
        <v>0.25</v>
      </c>
    </row>
    <row r="1209" spans="2:22" ht="13.5">
      <c r="B1209" s="1479"/>
      <c r="C1209" s="1471"/>
      <c r="D1209" s="1472"/>
      <c r="E1209" s="1678"/>
      <c r="F1209" s="328"/>
      <c r="G1209" s="329"/>
      <c r="H1209" s="330"/>
      <c r="I1209" s="331"/>
      <c r="J1209" s="332"/>
      <c r="K1209" s="333"/>
      <c r="L1209" s="436"/>
      <c r="M1209" s="1470"/>
      <c r="N1209" s="334"/>
      <c r="O1209" s="335"/>
      <c r="P1209" s="389"/>
      <c r="Q1209" s="389"/>
      <c r="R1209" s="414"/>
      <c r="S1209" s="339"/>
      <c r="T1209" s="362"/>
      <c r="U1209" s="337"/>
      <c r="V1209" s="338"/>
    </row>
    <row r="1211" spans="2:22" ht="13.5">
      <c r="C1211" s="1480"/>
      <c r="D1211" s="1481"/>
      <c r="E1211" s="1679"/>
      <c r="F1211" s="1483"/>
      <c r="G1211" s="82"/>
      <c r="H1211" s="1482"/>
      <c r="I1211" s="1484" t="s">
        <v>50</v>
      </c>
      <c r="J1211" s="81">
        <v>0.35</v>
      </c>
      <c r="K1211" s="94">
        <v>14</v>
      </c>
      <c r="L1211" s="159">
        <v>1.7</v>
      </c>
      <c r="M1211" s="1482"/>
      <c r="N1211" s="1481"/>
      <c r="O1211" s="1481"/>
      <c r="P1211" s="1481"/>
      <c r="Q1211" s="1481"/>
      <c r="R1211" s="1481"/>
      <c r="S1211" s="1484"/>
      <c r="T1211" s="1484"/>
      <c r="U1211" s="1484" t="s">
        <v>50</v>
      </c>
      <c r="V1211" s="95">
        <v>0.6</v>
      </c>
    </row>
    <row r="1212" spans="2:22" ht="13.5">
      <c r="C1212" s="1482"/>
      <c r="D1212" s="1482"/>
      <c r="E1212" s="1679"/>
      <c r="F1212" s="1483"/>
      <c r="G1212" s="82"/>
      <c r="H1212" s="1482"/>
      <c r="I1212" s="1484" t="s">
        <v>50</v>
      </c>
      <c r="J1212" s="83">
        <v>0.3</v>
      </c>
      <c r="K1212" s="89">
        <v>10</v>
      </c>
      <c r="L1212" s="160">
        <v>1.4</v>
      </c>
      <c r="M1212" s="1482"/>
      <c r="N1212" s="1481"/>
      <c r="O1212" s="1481"/>
      <c r="P1212" s="1481"/>
      <c r="Q1212" s="1481"/>
      <c r="R1212" s="1481"/>
      <c r="S1212" s="1484"/>
      <c r="T1212" s="1484"/>
      <c r="U1212" s="1484" t="s">
        <v>50</v>
      </c>
      <c r="V1212" s="96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workbookViewId="0"/>
  </sheetViews>
  <sheetFormatPr defaultColWidth="9.140625" defaultRowHeight="12.75" outlineLevelRow="1"/>
  <cols>
    <col min="1" max="1" width="32.85546875" style="1016" customWidth="1"/>
    <col min="2" max="2" width="37.7109375" style="1016" customWidth="1"/>
    <col min="3" max="3" width="17" style="1016" customWidth="1"/>
    <col min="4" max="44" width="7" style="1016" customWidth="1"/>
    <col min="45" max="45" width="11.7109375" style="1016" customWidth="1"/>
    <col min="46" max="16384" width="9.140625" style="1016"/>
  </cols>
  <sheetData>
    <row r="1" spans="1:50">
      <c r="A1" s="1213" t="str">
        <f>VLOOKUP('4.1 BD Review'!L2, BDList!A2:$C$80, 3, 0)</f>
        <v>NGUYỄN HỮU HIỀN</v>
      </c>
      <c r="B1" s="1330">
        <v>1</v>
      </c>
      <c r="C1" s="1330">
        <v>2</v>
      </c>
      <c r="D1" s="1330">
        <v>3</v>
      </c>
      <c r="E1" s="1330">
        <v>4</v>
      </c>
      <c r="F1" s="1330">
        <v>5</v>
      </c>
      <c r="G1" s="1330">
        <v>6</v>
      </c>
      <c r="H1" s="1330">
        <v>7</v>
      </c>
      <c r="I1" s="1330">
        <v>8</v>
      </c>
      <c r="J1" s="1330">
        <v>9</v>
      </c>
      <c r="K1" s="1330">
        <v>10</v>
      </c>
      <c r="L1" s="1330">
        <v>11</v>
      </c>
      <c r="M1" s="1330">
        <v>12</v>
      </c>
      <c r="N1" s="1330">
        <v>13</v>
      </c>
      <c r="O1" s="1330">
        <v>14</v>
      </c>
      <c r="P1" s="1330">
        <v>15</v>
      </c>
      <c r="Q1" s="1330">
        <v>16</v>
      </c>
      <c r="R1" s="1330">
        <v>17</v>
      </c>
      <c r="S1" s="1330">
        <v>18</v>
      </c>
      <c r="T1" s="1330">
        <v>19</v>
      </c>
      <c r="U1" s="1330">
        <v>20</v>
      </c>
      <c r="V1" s="1330">
        <v>21</v>
      </c>
      <c r="W1" s="1330">
        <v>22</v>
      </c>
      <c r="X1" s="1330">
        <v>23</v>
      </c>
      <c r="Y1" s="1330">
        <v>24</v>
      </c>
      <c r="Z1" s="1330">
        <v>25</v>
      </c>
      <c r="AA1" s="1330">
        <v>26</v>
      </c>
      <c r="AB1" s="1330">
        <v>27</v>
      </c>
      <c r="AC1" s="1330">
        <v>28</v>
      </c>
      <c r="AD1" s="1330">
        <v>29</v>
      </c>
      <c r="AE1" s="1330">
        <v>30</v>
      </c>
      <c r="AF1" s="1330">
        <v>31</v>
      </c>
      <c r="AG1" s="1330">
        <v>32</v>
      </c>
      <c r="AH1" s="1330">
        <v>33</v>
      </c>
      <c r="AI1" s="1330">
        <v>34</v>
      </c>
      <c r="AJ1" s="1330">
        <v>35</v>
      </c>
      <c r="AK1" s="1330">
        <v>36</v>
      </c>
      <c r="AL1" s="1330">
        <v>37</v>
      </c>
      <c r="AM1" s="1330">
        <v>38</v>
      </c>
      <c r="AN1" s="1330">
        <v>39</v>
      </c>
      <c r="AO1" s="1330">
        <v>40</v>
      </c>
      <c r="AP1" s="1330">
        <v>41</v>
      </c>
      <c r="AQ1" s="1330">
        <v>42</v>
      </c>
      <c r="AR1" s="1330">
        <v>43</v>
      </c>
      <c r="AS1" s="1330">
        <v>44</v>
      </c>
      <c r="AT1" s="1330">
        <v>45</v>
      </c>
      <c r="AU1" s="1330">
        <v>46</v>
      </c>
      <c r="AV1" s="1330">
        <v>47</v>
      </c>
      <c r="AW1" s="1330">
        <v>48</v>
      </c>
      <c r="AX1" s="1330">
        <v>49</v>
      </c>
    </row>
    <row r="2" spans="1:50">
      <c r="A2" s="1213">
        <f>VLOOKUP(A1, BDList!$C$2:$E$71, 3, 0)</f>
        <v>201501</v>
      </c>
      <c r="B2" s="1330" t="s">
        <v>499</v>
      </c>
      <c r="C2" s="1330">
        <v>201301</v>
      </c>
      <c r="D2" s="1330">
        <v>201302</v>
      </c>
      <c r="E2" s="1330">
        <v>201303</v>
      </c>
      <c r="F2" s="1330">
        <v>201304</v>
      </c>
      <c r="G2" s="1330">
        <v>201305</v>
      </c>
      <c r="H2" s="1330">
        <v>201306</v>
      </c>
      <c r="I2" s="1330">
        <v>201307</v>
      </c>
      <c r="J2" s="1330">
        <v>201308</v>
      </c>
      <c r="K2" s="1330">
        <v>201309</v>
      </c>
      <c r="L2" s="1330">
        <v>201310</v>
      </c>
      <c r="M2" s="1330">
        <v>201311</v>
      </c>
      <c r="N2" s="1330">
        <v>201312</v>
      </c>
      <c r="O2" s="1330">
        <v>201401</v>
      </c>
      <c r="P2" s="1330">
        <v>201402</v>
      </c>
      <c r="Q2" s="1330">
        <v>201403</v>
      </c>
      <c r="R2" s="1330">
        <v>201404</v>
      </c>
      <c r="S2" s="1330">
        <v>201405</v>
      </c>
      <c r="T2" s="1330">
        <v>201406</v>
      </c>
      <c r="U2" s="1330">
        <v>201407</v>
      </c>
      <c r="V2" s="1330">
        <v>201408</v>
      </c>
      <c r="W2" s="1330">
        <v>201409</v>
      </c>
      <c r="X2" s="1330">
        <v>201410</v>
      </c>
      <c r="Y2" s="1330">
        <v>201411</v>
      </c>
      <c r="Z2" s="1330">
        <v>201412</v>
      </c>
      <c r="AA2" s="1330">
        <v>201501</v>
      </c>
      <c r="AB2" s="1330">
        <v>201502</v>
      </c>
      <c r="AC2" s="1330">
        <v>201503</v>
      </c>
      <c r="AD2" s="1330">
        <v>201504</v>
      </c>
      <c r="AE2" s="1330">
        <v>201505</v>
      </c>
      <c r="AF2" s="1330">
        <v>201506</v>
      </c>
      <c r="AG2" s="1330">
        <v>201507</v>
      </c>
      <c r="AH2" s="1330">
        <v>201508</v>
      </c>
      <c r="AI2" s="1330">
        <v>201509</v>
      </c>
      <c r="AJ2" s="1330">
        <v>201510</v>
      </c>
      <c r="AK2" s="1330">
        <v>201511</v>
      </c>
      <c r="AL2" s="1330">
        <v>201512</v>
      </c>
      <c r="AM2" s="1330">
        <v>201601</v>
      </c>
      <c r="AN2" s="1330">
        <v>201602</v>
      </c>
      <c r="AO2" s="1330">
        <v>201603</v>
      </c>
      <c r="AP2" s="1330">
        <v>201604</v>
      </c>
      <c r="AQ2" s="1330">
        <v>201605</v>
      </c>
      <c r="AR2" s="1330">
        <v>201606</v>
      </c>
      <c r="AS2" s="1330">
        <v>201607</v>
      </c>
      <c r="AT2" s="1330">
        <v>201608</v>
      </c>
      <c r="AU2" s="1330">
        <v>201609</v>
      </c>
      <c r="AV2" s="1330">
        <v>201610</v>
      </c>
      <c r="AW2" s="1330">
        <v>201611</v>
      </c>
      <c r="AX2" s="1330">
        <v>201612</v>
      </c>
    </row>
    <row r="3" spans="1:50">
      <c r="A3" s="1331" t="s">
        <v>500</v>
      </c>
      <c r="B3" s="1332">
        <v>201607</v>
      </c>
      <c r="C3" s="1330"/>
      <c r="D3" s="1330"/>
      <c r="E3" s="1330"/>
      <c r="F3" s="1330"/>
      <c r="G3" s="1330"/>
      <c r="H3" s="1330"/>
      <c r="I3" s="1330"/>
      <c r="J3" s="1330"/>
      <c r="K3" s="1330"/>
      <c r="L3" s="1330"/>
      <c r="M3" s="1330"/>
      <c r="N3" s="1330"/>
    </row>
    <row r="4" spans="1:50">
      <c r="A4" s="1333" t="s">
        <v>599</v>
      </c>
      <c r="B4" s="1334">
        <v>7</v>
      </c>
      <c r="C4" s="1330"/>
      <c r="D4" s="1330"/>
      <c r="E4" s="1330"/>
      <c r="F4" s="1330"/>
      <c r="G4" s="1330"/>
      <c r="H4" s="1330"/>
      <c r="I4" s="1330"/>
      <c r="J4" s="1330"/>
      <c r="K4" s="1330"/>
      <c r="L4" s="1330"/>
      <c r="M4" s="1330"/>
      <c r="N4" s="1330"/>
      <c r="P4" s="1208" t="s">
        <v>1285</v>
      </c>
    </row>
    <row r="5" spans="1:50" s="1206" customFormat="1">
      <c r="A5" s="1793"/>
      <c r="B5" s="1335"/>
      <c r="C5" s="1336"/>
      <c r="D5" s="1337"/>
      <c r="E5" s="1337"/>
      <c r="F5" s="1337"/>
      <c r="G5" s="1337"/>
      <c r="H5" s="1337"/>
      <c r="I5" s="1337"/>
      <c r="J5" s="1337"/>
      <c r="K5" s="1337"/>
      <c r="L5" s="1337"/>
      <c r="M5" s="1337"/>
      <c r="N5" s="1337"/>
      <c r="P5" s="1338" t="s">
        <v>227</v>
      </c>
      <c r="Q5" s="1338"/>
      <c r="R5" s="835"/>
      <c r="S5" s="391"/>
    </row>
    <row r="6" spans="1:50" s="1206" customFormat="1">
      <c r="A6" s="1339" t="s">
        <v>598</v>
      </c>
      <c r="B6" s="1335"/>
      <c r="C6" s="1340"/>
      <c r="D6" s="1337"/>
      <c r="E6" s="1337"/>
      <c r="F6" s="1337"/>
      <c r="G6" s="1337"/>
      <c r="H6" s="1337"/>
      <c r="I6" s="1337"/>
      <c r="J6" s="1337"/>
      <c r="K6" s="1337"/>
      <c r="L6" s="1341" t="s">
        <v>596</v>
      </c>
      <c r="M6" s="1337"/>
      <c r="N6" s="1337"/>
    </row>
    <row r="7" spans="1:50" s="1346" customFormat="1" ht="29.25" customHeight="1">
      <c r="A7" s="1342" t="s">
        <v>597</v>
      </c>
      <c r="B7" s="1343"/>
      <c r="C7" s="1344" t="s">
        <v>263</v>
      </c>
      <c r="D7" s="1344" t="s">
        <v>264</v>
      </c>
      <c r="E7" s="1344" t="s">
        <v>265</v>
      </c>
      <c r="F7" s="1344" t="s">
        <v>479</v>
      </c>
      <c r="G7" s="1344" t="s">
        <v>480</v>
      </c>
      <c r="H7" s="1344" t="s">
        <v>481</v>
      </c>
      <c r="I7" s="1345"/>
      <c r="K7" s="1347"/>
      <c r="L7" s="1348" t="s">
        <v>572</v>
      </c>
      <c r="M7" s="1348" t="s">
        <v>551</v>
      </c>
      <c r="N7" s="1349" t="s">
        <v>518</v>
      </c>
      <c r="P7" s="1350" t="s">
        <v>163</v>
      </c>
      <c r="Q7" s="1351" t="s">
        <v>58</v>
      </c>
      <c r="R7" s="1352"/>
      <c r="S7" s="1352"/>
    </row>
    <row r="8" spans="1:50" ht="25.5">
      <c r="A8" s="1353"/>
      <c r="B8" s="1120"/>
      <c r="C8" s="813" t="s">
        <v>2552</v>
      </c>
      <c r="D8" s="813" t="s">
        <v>2647</v>
      </c>
      <c r="E8" s="813" t="s">
        <v>2718</v>
      </c>
      <c r="F8" s="813" t="s">
        <v>2902</v>
      </c>
      <c r="G8" s="813" t="s">
        <v>3192</v>
      </c>
      <c r="H8" s="813" t="s">
        <v>3579</v>
      </c>
      <c r="I8" s="1355"/>
      <c r="J8" s="1330"/>
      <c r="K8" s="1356" t="s">
        <v>58</v>
      </c>
      <c r="L8" s="758">
        <f>Q15 -Q17</f>
        <v>119</v>
      </c>
      <c r="M8" s="758">
        <f>B34</f>
        <v>89</v>
      </c>
      <c r="N8" s="759">
        <f>Q9</f>
        <v>2493.5299999999997</v>
      </c>
      <c r="P8" s="1357" t="s">
        <v>507</v>
      </c>
      <c r="Q8" s="622">
        <f>B31</f>
        <v>2490.2570000000001</v>
      </c>
      <c r="R8" s="1120"/>
      <c r="S8" s="1120"/>
    </row>
    <row r="9" spans="1:50" s="1206" customFormat="1">
      <c r="A9" s="1358" t="s">
        <v>2</v>
      </c>
      <c r="B9" s="1359"/>
      <c r="C9" s="813">
        <f t="shared" ref="C9:C24" si="0">IF(AM$28&gt;=$A$2,AM29,NA())</f>
        <v>126.419</v>
      </c>
      <c r="D9" s="813">
        <f t="shared" ref="D9:D24" si="1">IF(AN$28&gt;=$A$2,AN29,NA())</f>
        <v>261.637</v>
      </c>
      <c r="E9" s="813">
        <f t="shared" ref="E9:E24" si="2">IF(AO$28&gt;=$A$2,AO29,NA())</f>
        <v>493.98200000000003</v>
      </c>
      <c r="F9" s="813">
        <f t="shared" ref="F9:F24" si="3">IF(AP$28&gt;=$A$2,AP29,NA())</f>
        <v>870.803</v>
      </c>
      <c r="G9" s="813">
        <f t="shared" ref="G9:G24" si="4">IF(AQ$28&gt;=$A$2,AQ29,NA())</f>
        <v>412.01</v>
      </c>
      <c r="H9" s="813">
        <f t="shared" ref="H9:H24" si="5">IF(AR$28&gt;=$A$2,AR29,NA())</f>
        <v>328.67899999999997</v>
      </c>
      <c r="I9" s="813"/>
      <c r="J9" s="1337"/>
      <c r="K9" s="1360" t="s">
        <v>519</v>
      </c>
      <c r="L9" s="760">
        <f>L11-L8</f>
        <v>-119</v>
      </c>
      <c r="M9" s="760">
        <f>M11-M8</f>
        <v>131</v>
      </c>
      <c r="N9" s="761">
        <f>N11-N8</f>
        <v>1506.4700000000003</v>
      </c>
      <c r="P9" s="1361" t="s">
        <v>506</v>
      </c>
      <c r="Q9" s="622">
        <f>B29</f>
        <v>2493.5299999999997</v>
      </c>
      <c r="R9" s="1090"/>
      <c r="S9" s="757"/>
    </row>
    <row r="10" spans="1:50">
      <c r="A10" s="1353" t="s">
        <v>352</v>
      </c>
      <c r="B10" s="1354"/>
      <c r="C10" s="798">
        <f t="shared" si="0"/>
        <v>9.4488000000000003E-2</v>
      </c>
      <c r="D10" s="798">
        <f t="shared" si="1"/>
        <v>0.143369</v>
      </c>
      <c r="E10" s="798">
        <f t="shared" si="2"/>
        <v>0.118519</v>
      </c>
      <c r="F10" s="798">
        <f t="shared" si="3"/>
        <v>0.108303</v>
      </c>
      <c r="G10" s="798">
        <f t="shared" si="4"/>
        <v>8.6957000000000007E-2</v>
      </c>
      <c r="H10" s="798">
        <f t="shared" si="5"/>
        <v>0.100719</v>
      </c>
      <c r="I10" s="798"/>
      <c r="J10" s="1330"/>
      <c r="K10" s="1362"/>
      <c r="L10" s="1363"/>
      <c r="M10" s="1363"/>
      <c r="N10" s="1364"/>
      <c r="P10" s="1361" t="s">
        <v>46</v>
      </c>
      <c r="Q10" s="1365">
        <f>B34</f>
        <v>89</v>
      </c>
      <c r="R10" s="1120"/>
      <c r="S10" s="1120"/>
    </row>
    <row r="11" spans="1:50">
      <c r="A11" s="1353" t="s">
        <v>1</v>
      </c>
      <c r="B11" s="1354"/>
      <c r="C11" s="799">
        <f t="shared" si="0"/>
        <v>140.28700000000001</v>
      </c>
      <c r="D11" s="799">
        <f t="shared" si="1"/>
        <v>242.70500000000001</v>
      </c>
      <c r="E11" s="799">
        <f t="shared" si="2"/>
        <v>501.92099999999999</v>
      </c>
      <c r="F11" s="799">
        <f t="shared" si="3"/>
        <v>871.447</v>
      </c>
      <c r="G11" s="799">
        <f t="shared" si="4"/>
        <v>412.56299999999999</v>
      </c>
      <c r="H11" s="799">
        <f t="shared" si="5"/>
        <v>321.334</v>
      </c>
      <c r="I11" s="799"/>
      <c r="J11" s="1330"/>
      <c r="K11" s="1366" t="s">
        <v>52</v>
      </c>
      <c r="L11" s="1367">
        <f>VLOOKUP(A1,Target!$D$45:$G$97,4,0)</f>
        <v>0</v>
      </c>
      <c r="M11" s="1367">
        <f>VLOOKUP(A1,Target!$D$99:$H$163,4,0)</f>
        <v>220</v>
      </c>
      <c r="N11" s="1368">
        <f>VLOOKUP(A1,Target!$D$165:$G$228,4,0)</f>
        <v>4000</v>
      </c>
      <c r="P11" s="1369" t="s">
        <v>21</v>
      </c>
      <c r="Q11" s="623">
        <f>B30</f>
        <v>0.10974106041923551</v>
      </c>
      <c r="R11" s="1120"/>
      <c r="S11" s="1120"/>
    </row>
    <row r="12" spans="1:50">
      <c r="A12" s="1353" t="s">
        <v>383</v>
      </c>
      <c r="B12" s="1354"/>
      <c r="C12" s="800">
        <f t="shared" si="0"/>
        <v>0.91666700000000001</v>
      </c>
      <c r="D12" s="800">
        <f t="shared" si="1"/>
        <v>1.2</v>
      </c>
      <c r="E12" s="800">
        <f t="shared" si="2"/>
        <v>1.625</v>
      </c>
      <c r="F12" s="800">
        <f t="shared" si="3"/>
        <v>1.8666670000000001</v>
      </c>
      <c r="G12" s="800">
        <f t="shared" si="4"/>
        <v>1.5</v>
      </c>
      <c r="H12" s="800">
        <f t="shared" si="5"/>
        <v>1.714286</v>
      </c>
      <c r="I12" s="800"/>
      <c r="J12" s="1330"/>
      <c r="K12" s="1370"/>
      <c r="L12" s="1354"/>
      <c r="M12" s="1120"/>
      <c r="N12" s="1365"/>
      <c r="P12" s="1361" t="s">
        <v>14</v>
      </c>
      <c r="Q12" s="624">
        <f>B33</f>
        <v>19.009595419847329</v>
      </c>
      <c r="R12" s="1120"/>
      <c r="S12" s="1120"/>
    </row>
    <row r="13" spans="1:50">
      <c r="A13" s="1353" t="s">
        <v>162</v>
      </c>
      <c r="B13" s="1354"/>
      <c r="C13" s="800">
        <f t="shared" si="0"/>
        <v>12.753363636364</v>
      </c>
      <c r="D13" s="800">
        <f t="shared" si="1"/>
        <v>10.112708333333</v>
      </c>
      <c r="E13" s="800">
        <f t="shared" si="2"/>
        <v>19.304653846154</v>
      </c>
      <c r="F13" s="800">
        <f t="shared" si="3"/>
        <v>31.123107142857002</v>
      </c>
      <c r="G13" s="800">
        <f t="shared" si="4"/>
        <v>22.920166666667001</v>
      </c>
      <c r="H13" s="800">
        <f t="shared" si="5"/>
        <v>13.388916666666999</v>
      </c>
      <c r="I13" s="800"/>
      <c r="J13" s="1330"/>
      <c r="K13" s="1370" t="s">
        <v>571</v>
      </c>
      <c r="L13" s="798" t="e">
        <f>L8/L11</f>
        <v>#DIV/0!</v>
      </c>
      <c r="M13" s="798">
        <f>M8/M11</f>
        <v>0.40454545454545454</v>
      </c>
      <c r="N13" s="806">
        <f>N8/N11</f>
        <v>0.62338249999999995</v>
      </c>
      <c r="P13" s="1361" t="s">
        <v>22</v>
      </c>
      <c r="Q13" s="625">
        <f>B32</f>
        <v>1.4719101123595506</v>
      </c>
      <c r="R13" s="1120"/>
      <c r="S13" s="1120"/>
    </row>
    <row r="14" spans="1:50">
      <c r="A14" s="1353" t="s">
        <v>78</v>
      </c>
      <c r="B14" s="1354"/>
      <c r="C14" s="1363">
        <f t="shared" si="0"/>
        <v>12</v>
      </c>
      <c r="D14" s="1363">
        <f t="shared" si="1"/>
        <v>20</v>
      </c>
      <c r="E14" s="1363">
        <f t="shared" si="2"/>
        <v>16</v>
      </c>
      <c r="F14" s="1363">
        <f t="shared" si="3"/>
        <v>15</v>
      </c>
      <c r="G14" s="1363">
        <f t="shared" si="4"/>
        <v>12</v>
      </c>
      <c r="H14" s="1363">
        <f t="shared" si="5"/>
        <v>14</v>
      </c>
      <c r="I14" s="1363"/>
      <c r="J14" s="1330"/>
      <c r="K14" s="1371" t="s">
        <v>58</v>
      </c>
      <c r="L14" s="804" t="e">
        <f>IF(L13&gt;100%,100%,L13)</f>
        <v>#DIV/0!</v>
      </c>
      <c r="M14" s="804">
        <f>IF(M13&gt;100%,100%,M13)</f>
        <v>0.40454545454545454</v>
      </c>
      <c r="N14" s="805">
        <f>IF(N13&gt;100%,100%,N13)</f>
        <v>0.62338249999999995</v>
      </c>
      <c r="P14" s="1361"/>
      <c r="Q14" s="1365"/>
      <c r="R14" s="1120"/>
      <c r="S14" s="1120"/>
    </row>
    <row r="15" spans="1:50">
      <c r="A15" s="1353" t="s">
        <v>309</v>
      </c>
      <c r="B15" s="1354"/>
      <c r="C15" s="1363">
        <f t="shared" si="0"/>
        <v>11</v>
      </c>
      <c r="D15" s="1363">
        <f t="shared" si="1"/>
        <v>24</v>
      </c>
      <c r="E15" s="1363">
        <f t="shared" si="2"/>
        <v>26</v>
      </c>
      <c r="F15" s="1363">
        <f t="shared" si="3"/>
        <v>28</v>
      </c>
      <c r="G15" s="1363">
        <f t="shared" si="4"/>
        <v>18</v>
      </c>
      <c r="H15" s="1363">
        <f t="shared" si="5"/>
        <v>24</v>
      </c>
      <c r="I15" s="1363"/>
      <c r="J15" s="1330"/>
      <c r="K15" s="1370"/>
      <c r="L15" s="798" t="e">
        <f>IF(L13&gt;100%, L13 - 100%,0%)</f>
        <v>#DIV/0!</v>
      </c>
      <c r="M15" s="798">
        <f>IF(M13&gt;100%, M13 - 100%,0%)</f>
        <v>0</v>
      </c>
      <c r="N15" s="806">
        <f>IF(N13&gt;100%, N13 - 100%,0%)</f>
        <v>0</v>
      </c>
      <c r="P15" s="1361" t="s">
        <v>18</v>
      </c>
      <c r="Q15" s="1372">
        <f>AR37</f>
        <v>146</v>
      </c>
      <c r="R15" s="1120"/>
      <c r="S15" s="757"/>
    </row>
    <row r="16" spans="1:50">
      <c r="A16" s="1353" t="s">
        <v>96</v>
      </c>
      <c r="B16" s="1354"/>
      <c r="C16" s="1363">
        <f t="shared" si="0"/>
        <v>127</v>
      </c>
      <c r="D16" s="1363">
        <f t="shared" si="1"/>
        <v>133.5</v>
      </c>
      <c r="E16" s="1363">
        <f t="shared" si="2"/>
        <v>135</v>
      </c>
      <c r="F16" s="1363">
        <f t="shared" si="3"/>
        <v>138.5</v>
      </c>
      <c r="G16" s="1363">
        <f t="shared" si="4"/>
        <v>138</v>
      </c>
      <c r="H16" s="1363">
        <f t="shared" si="5"/>
        <v>139</v>
      </c>
      <c r="I16" s="1363"/>
      <c r="J16" s="1330"/>
      <c r="K16" s="1373" t="s">
        <v>519</v>
      </c>
      <c r="L16" s="807" t="e">
        <f>IF(L13&lt;100%,100% - L13, 0%)</f>
        <v>#DIV/0!</v>
      </c>
      <c r="M16" s="807">
        <f>IF(M13&lt;100%,100% - M13, 0%)</f>
        <v>0.59545454545454546</v>
      </c>
      <c r="N16" s="808">
        <f>IF(N13&lt;100%,100% - N13, 0%)</f>
        <v>0.37661750000000005</v>
      </c>
      <c r="P16" s="1361" t="s">
        <v>207</v>
      </c>
      <c r="Q16" s="626">
        <f>Q15-Q17-Q18</f>
        <v>117</v>
      </c>
      <c r="R16" s="1120"/>
      <c r="S16" s="1120"/>
    </row>
    <row r="17" spans="1:62">
      <c r="A17" s="1353" t="s">
        <v>296</v>
      </c>
      <c r="B17" s="1354"/>
      <c r="C17" s="1363">
        <f t="shared" si="0"/>
        <v>130</v>
      </c>
      <c r="D17" s="1363">
        <f t="shared" si="1"/>
        <v>137</v>
      </c>
      <c r="E17" s="1363">
        <f t="shared" si="2"/>
        <v>133</v>
      </c>
      <c r="F17" s="1363">
        <f t="shared" si="3"/>
        <v>144</v>
      </c>
      <c r="G17" s="1363">
        <f t="shared" si="4"/>
        <v>132</v>
      </c>
      <c r="H17" s="1363">
        <f t="shared" si="5"/>
        <v>146</v>
      </c>
      <c r="I17" s="1363"/>
      <c r="J17" s="1330"/>
      <c r="K17" s="1371" t="s">
        <v>58</v>
      </c>
      <c r="L17" s="809" t="e">
        <f>ROUND(L14*L$11, 0)</f>
        <v>#DIV/0!</v>
      </c>
      <c r="M17" s="809">
        <f t="shared" ref="L17:N19" si="6">ROUND(M14*M$11, 0)</f>
        <v>89</v>
      </c>
      <c r="N17" s="810">
        <f t="shared" si="6"/>
        <v>2494</v>
      </c>
      <c r="P17" s="1361" t="s">
        <v>358</v>
      </c>
      <c r="Q17" s="1372">
        <f>AR39</f>
        <v>27</v>
      </c>
      <c r="R17" s="1120"/>
      <c r="S17" s="757"/>
    </row>
    <row r="18" spans="1:62">
      <c r="A18" s="1353" t="s">
        <v>427</v>
      </c>
      <c r="B18" s="1354"/>
      <c r="C18" s="1363">
        <f t="shared" si="0"/>
        <v>31</v>
      </c>
      <c r="D18" s="1363">
        <f t="shared" si="1"/>
        <v>32</v>
      </c>
      <c r="E18" s="1363">
        <f t="shared" si="2"/>
        <v>31</v>
      </c>
      <c r="F18" s="1363">
        <f t="shared" si="3"/>
        <v>32</v>
      </c>
      <c r="G18" s="1363">
        <f t="shared" si="4"/>
        <v>32</v>
      </c>
      <c r="H18" s="1363">
        <f t="shared" si="5"/>
        <v>29</v>
      </c>
      <c r="I18" s="1363"/>
      <c r="J18" s="1330"/>
      <c r="K18" s="1370"/>
      <c r="L18" s="811" t="e">
        <f t="shared" si="6"/>
        <v>#DIV/0!</v>
      </c>
      <c r="M18" s="811">
        <f t="shared" si="6"/>
        <v>0</v>
      </c>
      <c r="N18" s="812">
        <f t="shared" si="6"/>
        <v>0</v>
      </c>
      <c r="P18" s="1361" t="s">
        <v>359</v>
      </c>
      <c r="Q18" s="762">
        <f>AR40</f>
        <v>2</v>
      </c>
      <c r="R18" s="1120"/>
      <c r="S18" s="1120"/>
    </row>
    <row r="19" spans="1:62">
      <c r="A19" s="1353" t="s">
        <v>390</v>
      </c>
      <c r="B19" s="1354"/>
      <c r="C19" s="1363">
        <f t="shared" si="0"/>
        <v>28</v>
      </c>
      <c r="D19" s="1363">
        <f t="shared" si="1"/>
        <v>29</v>
      </c>
      <c r="E19" s="1363">
        <f t="shared" si="2"/>
        <v>28</v>
      </c>
      <c r="F19" s="1363">
        <f t="shared" si="3"/>
        <v>29</v>
      </c>
      <c r="G19" s="1363">
        <f t="shared" si="4"/>
        <v>29</v>
      </c>
      <c r="H19" s="1363">
        <f t="shared" si="5"/>
        <v>27</v>
      </c>
      <c r="I19" s="1363"/>
      <c r="J19" s="1330"/>
      <c r="K19" s="1370" t="s">
        <v>519</v>
      </c>
      <c r="L19" s="811" t="e">
        <f t="shared" si="6"/>
        <v>#DIV/0!</v>
      </c>
      <c r="M19" s="811">
        <f t="shared" si="6"/>
        <v>131</v>
      </c>
      <c r="N19" s="812">
        <f t="shared" si="6"/>
        <v>1506</v>
      </c>
      <c r="P19" s="1361" t="s">
        <v>504</v>
      </c>
      <c r="Q19" s="1365">
        <f>B45</f>
        <v>40</v>
      </c>
      <c r="R19" s="1120"/>
      <c r="S19" s="1120"/>
    </row>
    <row r="20" spans="1:62" ht="38.25" customHeight="1">
      <c r="A20" s="1353" t="s">
        <v>426</v>
      </c>
      <c r="B20" s="1354"/>
      <c r="C20" s="1363">
        <f t="shared" si="0"/>
        <v>3</v>
      </c>
      <c r="D20" s="1363">
        <f t="shared" si="1"/>
        <v>3</v>
      </c>
      <c r="E20" s="1363">
        <f t="shared" si="2"/>
        <v>3</v>
      </c>
      <c r="F20" s="1363">
        <f t="shared" si="3"/>
        <v>3</v>
      </c>
      <c r="G20" s="1363">
        <f t="shared" si="4"/>
        <v>3</v>
      </c>
      <c r="H20" s="1363">
        <f t="shared" si="5"/>
        <v>2</v>
      </c>
      <c r="I20" s="1363"/>
      <c r="J20" s="1330"/>
      <c r="K20" s="1374" t="s">
        <v>550</v>
      </c>
      <c r="L20" s="1343" t="str">
        <f>$K20 &amp; " " &amp; ROUND(L8, 0) &amp; " Agent"</f>
        <v>YTD Actual 119 Agent</v>
      </c>
      <c r="M20" s="1343" t="str">
        <f>$K20 &amp; " " &amp; ROUND(M8, 0) &amp; " Active"</f>
        <v>YTD Actual 89 Active</v>
      </c>
      <c r="N20" s="1345" t="str">
        <f>$K20 &amp; " " &amp; ROUND(N8, 0) &amp; "mil FYP"</f>
        <v>YTD Actual 2494mil FYP</v>
      </c>
      <c r="P20" s="1361" t="s">
        <v>205</v>
      </c>
      <c r="Q20" s="1365">
        <f>B44</f>
        <v>8</v>
      </c>
      <c r="R20" s="1120"/>
      <c r="S20" s="1120"/>
    </row>
    <row r="21" spans="1:62" ht="27.75" customHeight="1">
      <c r="A21" s="1353" t="s">
        <v>389</v>
      </c>
      <c r="B21" s="1354"/>
      <c r="C21" s="820">
        <f t="shared" si="0"/>
        <v>0.12903225806451613</v>
      </c>
      <c r="D21" s="820">
        <f t="shared" si="1"/>
        <v>0.21875</v>
      </c>
      <c r="E21" s="820">
        <f t="shared" si="2"/>
        <v>0.12903225806451613</v>
      </c>
      <c r="F21" s="820">
        <f t="shared" si="3"/>
        <v>0.21875</v>
      </c>
      <c r="G21" s="820">
        <f t="shared" si="4"/>
        <v>3.125E-2</v>
      </c>
      <c r="H21" s="820">
        <f t="shared" si="5"/>
        <v>0.17241379310344829</v>
      </c>
      <c r="I21" s="820"/>
      <c r="J21" s="1330"/>
      <c r="K21" s="1375"/>
      <c r="L21" s="1352" t="e">
        <f>IF(L18&lt;=0,"","(exceed " &amp;$K21&amp;" "&amp;L18&amp;" AG)")</f>
        <v>#DIV/0!</v>
      </c>
      <c r="M21" s="1352" t="str">
        <f>IF(M18&lt;=0,"","(exceed " &amp;$K21&amp;" "&amp;M18&amp;" Active)")</f>
        <v/>
      </c>
      <c r="N21" s="1376" t="str">
        <f>IF(N18&lt;=0,"","(exceed " &amp;$K21&amp;" "&amp;N18&amp;"mil FYP)")</f>
        <v/>
      </c>
      <c r="P21" s="1361" t="s">
        <v>206</v>
      </c>
      <c r="Q21" s="1365">
        <f>B43</f>
        <v>53</v>
      </c>
      <c r="R21" s="1120"/>
      <c r="S21" s="1120"/>
    </row>
    <row r="22" spans="1:62" ht="15" customHeight="1">
      <c r="A22" s="1353" t="s">
        <v>501</v>
      </c>
      <c r="B22" s="1120"/>
      <c r="C22" s="821">
        <f t="shared" si="0"/>
        <v>4</v>
      </c>
      <c r="D22" s="821">
        <f t="shared" si="1"/>
        <v>7</v>
      </c>
      <c r="E22" s="821">
        <f t="shared" si="2"/>
        <v>4</v>
      </c>
      <c r="F22" s="821">
        <f t="shared" si="3"/>
        <v>7</v>
      </c>
      <c r="G22" s="821">
        <f t="shared" si="4"/>
        <v>1</v>
      </c>
      <c r="H22" s="821">
        <f t="shared" si="5"/>
        <v>5</v>
      </c>
      <c r="I22" s="821"/>
      <c r="K22" s="1375" t="s">
        <v>519</v>
      </c>
      <c r="L22" s="1352" t="e">
        <f>IF(L19&lt;=0,"",$K22&amp;" "&amp;L19&amp;" AG")</f>
        <v>#DIV/0!</v>
      </c>
      <c r="M22" s="1647" t="str">
        <f>IF(M19&lt;=0,"",$K22&amp;" "&amp;M19&amp;" Active")</f>
        <v>Shortfall 131 Active</v>
      </c>
      <c r="N22" s="1376" t="str">
        <f>IF(N19&lt;=0,"",$K22&amp;" "&amp;N19&amp;" mil")</f>
        <v>Shortfall 1506 mil</v>
      </c>
      <c r="P22" s="1361" t="s">
        <v>344</v>
      </c>
      <c r="Q22" s="622">
        <f>B42</f>
        <v>28</v>
      </c>
      <c r="R22" s="1120"/>
      <c r="S22" s="1120"/>
      <c r="AF22" s="138"/>
    </row>
    <row r="23" spans="1:62">
      <c r="A23" s="1353" t="s">
        <v>206</v>
      </c>
      <c r="B23" s="1354"/>
      <c r="C23" s="1354">
        <f t="shared" si="0"/>
        <v>5</v>
      </c>
      <c r="D23" s="1354">
        <f t="shared" si="1"/>
        <v>11</v>
      </c>
      <c r="E23" s="1354">
        <f t="shared" si="2"/>
        <v>13</v>
      </c>
      <c r="F23" s="1354">
        <f t="shared" si="3"/>
        <v>9</v>
      </c>
      <c r="G23" s="1354">
        <f t="shared" si="4"/>
        <v>4</v>
      </c>
      <c r="H23" s="1354">
        <f t="shared" si="5"/>
        <v>11</v>
      </c>
      <c r="I23" s="1354"/>
      <c r="J23" s="1330"/>
      <c r="K23" s="1370"/>
      <c r="L23" s="1634" t="e">
        <f>IF(L21="",L22,L21)</f>
        <v>#DIV/0!</v>
      </c>
      <c r="M23" s="1634" t="str">
        <f>IF(M21="",M22,M21)</f>
        <v>Shortfall 131 Active</v>
      </c>
      <c r="N23" s="1635" t="str">
        <f>IF(N21="",N22,N21)</f>
        <v>Shortfall 1506 mil</v>
      </c>
      <c r="P23" s="1361" t="s">
        <v>345</v>
      </c>
      <c r="Q23" s="819">
        <f>B41</f>
        <v>0.14973262032085563</v>
      </c>
      <c r="R23" s="1120"/>
      <c r="S23" s="1120"/>
    </row>
    <row r="24" spans="1:62">
      <c r="A24" s="1377" t="s">
        <v>205</v>
      </c>
      <c r="B24" s="1378"/>
      <c r="C24" s="1378">
        <f t="shared" si="0"/>
        <v>1</v>
      </c>
      <c r="D24" s="1378">
        <f t="shared" si="1"/>
        <v>2</v>
      </c>
      <c r="E24" s="1378">
        <f t="shared" si="2"/>
        <v>0</v>
      </c>
      <c r="F24" s="1378">
        <f t="shared" si="3"/>
        <v>2</v>
      </c>
      <c r="G24" s="1378">
        <f t="shared" si="4"/>
        <v>0</v>
      </c>
      <c r="H24" s="1378">
        <f t="shared" si="5"/>
        <v>3</v>
      </c>
      <c r="I24" s="1378"/>
      <c r="J24" s="1330"/>
      <c r="K24" s="1373"/>
      <c r="L24" s="1378"/>
      <c r="M24" s="1379"/>
      <c r="N24" s="1380"/>
      <c r="P24" s="1377"/>
      <c r="Q24" s="1381"/>
    </row>
    <row r="25" spans="1:62">
      <c r="B25" s="1330"/>
      <c r="I25" s="1330"/>
      <c r="J25" s="1330"/>
      <c r="K25" s="1330"/>
      <c r="L25" s="1330"/>
      <c r="M25" s="1330"/>
      <c r="N25" s="1330"/>
      <c r="P25" s="1208"/>
    </row>
    <row r="26" spans="1:62">
      <c r="A26" s="1382" t="s">
        <v>465</v>
      </c>
      <c r="B26" s="1330"/>
      <c r="I26" s="1330"/>
      <c r="J26" s="1330"/>
      <c r="K26" s="1330"/>
      <c r="L26" s="1330"/>
      <c r="M26" s="1330"/>
      <c r="N26" s="1330"/>
      <c r="P26" s="1208"/>
    </row>
    <row r="27" spans="1:62" outlineLevel="1">
      <c r="B27" s="1383" t="s">
        <v>550</v>
      </c>
      <c r="C27" s="1383" t="s">
        <v>98</v>
      </c>
      <c r="D27" s="1383" t="s">
        <v>34</v>
      </c>
      <c r="E27" s="1383" t="s">
        <v>35</v>
      </c>
      <c r="F27" s="1383" t="s">
        <v>36</v>
      </c>
      <c r="G27" s="1383" t="s">
        <v>37</v>
      </c>
      <c r="H27" s="1383" t="s">
        <v>266</v>
      </c>
      <c r="I27" s="1383" t="s">
        <v>291</v>
      </c>
      <c r="J27" s="1383" t="s">
        <v>40</v>
      </c>
      <c r="K27" s="1383" t="s">
        <v>41</v>
      </c>
      <c r="L27" s="1383" t="s">
        <v>42</v>
      </c>
      <c r="M27" s="1383" t="s">
        <v>43</v>
      </c>
      <c r="N27" s="1383" t="s">
        <v>44</v>
      </c>
      <c r="O27" s="1383" t="s">
        <v>552</v>
      </c>
      <c r="P27" s="1383" t="s">
        <v>34</v>
      </c>
      <c r="Q27" s="1383" t="s">
        <v>35</v>
      </c>
      <c r="R27" s="1383" t="s">
        <v>36</v>
      </c>
      <c r="S27" s="1383" t="s">
        <v>37</v>
      </c>
      <c r="T27" s="1383" t="s">
        <v>266</v>
      </c>
      <c r="U27" s="1383" t="s">
        <v>291</v>
      </c>
      <c r="V27" s="1383" t="s">
        <v>40</v>
      </c>
      <c r="W27" s="1383" t="s">
        <v>41</v>
      </c>
      <c r="X27" s="1383" t="s">
        <v>42</v>
      </c>
      <c r="Y27" s="1383" t="s">
        <v>43</v>
      </c>
      <c r="Z27" s="1383" t="s">
        <v>44</v>
      </c>
      <c r="AA27" s="1383" t="s">
        <v>1097</v>
      </c>
      <c r="AB27" s="1383" t="s">
        <v>34</v>
      </c>
      <c r="AC27" s="1383" t="s">
        <v>35</v>
      </c>
      <c r="AD27" s="1383" t="s">
        <v>36</v>
      </c>
      <c r="AE27" s="1383" t="s">
        <v>37</v>
      </c>
      <c r="AF27" s="1383" t="s">
        <v>266</v>
      </c>
      <c r="AG27" s="1383" t="s">
        <v>291</v>
      </c>
      <c r="AH27" s="1383" t="s">
        <v>40</v>
      </c>
      <c r="AI27" s="1383" t="s">
        <v>41</v>
      </c>
      <c r="AJ27" s="1383" t="s">
        <v>42</v>
      </c>
      <c r="AK27" s="1383" t="s">
        <v>43</v>
      </c>
      <c r="AL27" s="1383" t="s">
        <v>44</v>
      </c>
      <c r="AM27" s="1383" t="s">
        <v>2552</v>
      </c>
      <c r="AN27" s="1383" t="s">
        <v>34</v>
      </c>
      <c r="AO27" s="1383" t="s">
        <v>35</v>
      </c>
      <c r="AP27" s="1383" t="s">
        <v>36</v>
      </c>
      <c r="AQ27" s="1383" t="s">
        <v>37</v>
      </c>
      <c r="AR27" s="1383" t="s">
        <v>266</v>
      </c>
      <c r="AS27" s="1383" t="s">
        <v>291</v>
      </c>
      <c r="AT27" s="1383" t="s">
        <v>40</v>
      </c>
      <c r="AU27" s="1383" t="s">
        <v>41</v>
      </c>
      <c r="AV27" s="1383" t="s">
        <v>42</v>
      </c>
      <c r="AW27" s="1383" t="s">
        <v>43</v>
      </c>
      <c r="AX27" s="1383" t="s">
        <v>44</v>
      </c>
      <c r="AY27" s="1383" t="s">
        <v>4133</v>
      </c>
      <c r="AZ27" s="1383" t="s">
        <v>34</v>
      </c>
      <c r="BA27" s="1383" t="s">
        <v>35</v>
      </c>
      <c r="BB27" s="1383" t="s">
        <v>36</v>
      </c>
      <c r="BC27" s="1383" t="s">
        <v>37</v>
      </c>
      <c r="BD27" s="1383" t="s">
        <v>266</v>
      </c>
      <c r="BE27" s="1383" t="s">
        <v>291</v>
      </c>
      <c r="BF27" s="1383" t="s">
        <v>40</v>
      </c>
      <c r="BG27" s="1383" t="s">
        <v>41</v>
      </c>
      <c r="BH27" s="1383" t="s">
        <v>42</v>
      </c>
      <c r="BI27" s="1383" t="s">
        <v>43</v>
      </c>
      <c r="BJ27" s="1383" t="s">
        <v>44</v>
      </c>
    </row>
    <row r="28" spans="1:62" outlineLevel="1">
      <c r="B28" s="1383"/>
      <c r="C28" s="1383">
        <v>201301</v>
      </c>
      <c r="D28" s="1383">
        <v>201302</v>
      </c>
      <c r="E28" s="1383">
        <v>201303</v>
      </c>
      <c r="F28" s="1383">
        <v>201304</v>
      </c>
      <c r="G28" s="1383">
        <v>201305</v>
      </c>
      <c r="H28" s="1383">
        <v>201306</v>
      </c>
      <c r="I28" s="1383">
        <v>201307</v>
      </c>
      <c r="J28" s="1383">
        <v>201308</v>
      </c>
      <c r="K28" s="1383">
        <v>201309</v>
      </c>
      <c r="L28" s="1383">
        <v>201310</v>
      </c>
      <c r="M28" s="1383">
        <v>201311</v>
      </c>
      <c r="N28" s="1383">
        <v>201312</v>
      </c>
      <c r="O28" s="1383">
        <v>201401</v>
      </c>
      <c r="P28" s="1383">
        <v>201402</v>
      </c>
      <c r="Q28" s="1383">
        <v>201403</v>
      </c>
      <c r="R28" s="1383">
        <v>201404</v>
      </c>
      <c r="S28" s="1383">
        <v>201405</v>
      </c>
      <c r="T28" s="1383">
        <v>201406</v>
      </c>
      <c r="U28" s="1383">
        <v>201407</v>
      </c>
      <c r="V28" s="1383">
        <v>201408</v>
      </c>
      <c r="W28" s="1383">
        <v>201409</v>
      </c>
      <c r="X28" s="1383">
        <v>201410</v>
      </c>
      <c r="Y28" s="1383">
        <v>201411</v>
      </c>
      <c r="Z28" s="1383">
        <v>201412</v>
      </c>
      <c r="AA28" s="1383">
        <v>201501</v>
      </c>
      <c r="AB28" s="1383">
        <v>201502</v>
      </c>
      <c r="AC28" s="1383">
        <v>201503</v>
      </c>
      <c r="AD28" s="1383">
        <v>201504</v>
      </c>
      <c r="AE28" s="1383">
        <v>201505</v>
      </c>
      <c r="AF28" s="1639">
        <v>201506</v>
      </c>
      <c r="AG28" s="1383">
        <v>201507</v>
      </c>
      <c r="AH28" s="1383">
        <v>201508</v>
      </c>
      <c r="AI28" s="1383">
        <v>201509</v>
      </c>
      <c r="AJ28" s="1383">
        <v>201510</v>
      </c>
      <c r="AK28" s="1383">
        <v>201511</v>
      </c>
      <c r="AL28" s="1383">
        <v>201512</v>
      </c>
      <c r="AM28" s="1383">
        <v>201601</v>
      </c>
      <c r="AN28" s="1383">
        <v>201602</v>
      </c>
      <c r="AO28" s="1383">
        <v>201603</v>
      </c>
      <c r="AP28" s="1383">
        <v>201604</v>
      </c>
      <c r="AQ28" s="1383">
        <v>201605</v>
      </c>
      <c r="AR28" s="1639">
        <v>201606</v>
      </c>
      <c r="AS28" s="1383">
        <v>201607</v>
      </c>
      <c r="AT28" s="1383">
        <v>201608</v>
      </c>
      <c r="AU28" s="1383">
        <v>201609</v>
      </c>
      <c r="AV28" s="1383">
        <v>201610</v>
      </c>
      <c r="AW28" s="1383">
        <v>201611</v>
      </c>
      <c r="AX28" s="1383">
        <v>201612</v>
      </c>
    </row>
    <row r="29" spans="1:62" outlineLevel="1">
      <c r="A29" s="1016" t="s">
        <v>2</v>
      </c>
      <c r="B29" s="894">
        <f>SUMIFS($AM$29:$AX$29,$AA$2:$AL$2, "&lt;=" &amp; $B$3, $AM$29:$AX$29,"&lt;&gt;#N/A")</f>
        <v>2493.5299999999997</v>
      </c>
      <c r="C29" s="782">
        <f t="shared" ref="C29:AC29" si="7">VLOOKUP($A$1, $B$1055:$AC$1107, C$1, 0)</f>
        <v>0</v>
      </c>
      <c r="D29" s="782">
        <f t="shared" si="7"/>
        <v>0</v>
      </c>
      <c r="E29" s="782">
        <f t="shared" si="7"/>
        <v>0</v>
      </c>
      <c r="F29" s="782">
        <f t="shared" si="7"/>
        <v>0</v>
      </c>
      <c r="G29" s="782">
        <f t="shared" si="7"/>
        <v>0</v>
      </c>
      <c r="H29" s="782">
        <f t="shared" si="7"/>
        <v>0</v>
      </c>
      <c r="I29" s="782">
        <f t="shared" si="7"/>
        <v>0</v>
      </c>
      <c r="J29" s="782">
        <f t="shared" si="7"/>
        <v>0</v>
      </c>
      <c r="K29" s="782">
        <f t="shared" si="7"/>
        <v>0</v>
      </c>
      <c r="L29" s="782">
        <f t="shared" si="7"/>
        <v>0</v>
      </c>
      <c r="M29" s="782">
        <f t="shared" si="7"/>
        <v>0</v>
      </c>
      <c r="N29" s="782">
        <f t="shared" si="7"/>
        <v>0</v>
      </c>
      <c r="O29" s="782">
        <f t="shared" si="7"/>
        <v>0</v>
      </c>
      <c r="P29" s="782">
        <f t="shared" si="7"/>
        <v>0</v>
      </c>
      <c r="Q29" s="782">
        <f t="shared" si="7"/>
        <v>0</v>
      </c>
      <c r="R29" s="782">
        <f t="shared" si="7"/>
        <v>0</v>
      </c>
      <c r="S29" s="782">
        <f t="shared" si="7"/>
        <v>0</v>
      </c>
      <c r="T29" s="782">
        <f t="shared" si="7"/>
        <v>0</v>
      </c>
      <c r="U29" s="782">
        <f t="shared" si="7"/>
        <v>0</v>
      </c>
      <c r="V29" s="782">
        <f t="shared" si="7"/>
        <v>0</v>
      </c>
      <c r="W29" s="782">
        <f t="shared" si="7"/>
        <v>0</v>
      </c>
      <c r="X29" s="782">
        <f t="shared" si="7"/>
        <v>0</v>
      </c>
      <c r="Y29" s="782">
        <f t="shared" si="7"/>
        <v>0</v>
      </c>
      <c r="Z29" s="782">
        <f t="shared" si="7"/>
        <v>0</v>
      </c>
      <c r="AA29" s="782">
        <f t="shared" si="7"/>
        <v>57.008000000000003</v>
      </c>
      <c r="AB29" s="782">
        <f t="shared" si="7"/>
        <v>120.90300000000001</v>
      </c>
      <c r="AC29" s="782">
        <f t="shared" si="7"/>
        <v>260.24099999999999</v>
      </c>
      <c r="AD29" s="782">
        <f>VLOOKUP($A$1, $B$1055:$AD$1107, AD$1, 0)</f>
        <v>532.76400000000001</v>
      </c>
      <c r="AE29" s="782">
        <f>VLOOKUP($A$1, $B$1055:$AE$1107, AE$1, 0)</f>
        <v>267.44200000000001</v>
      </c>
      <c r="AF29" s="782">
        <f>VLOOKUP($A$1, $B$1055:$AF$1107, AF$1, 0)</f>
        <v>833.07399999999996</v>
      </c>
      <c r="AG29" s="782">
        <f>VLOOKUP($A$1, $B$1055:AG$1107, AG$1, 0)</f>
        <v>650.87400000000002</v>
      </c>
      <c r="AH29" s="782">
        <f>VLOOKUP($A$1, $B$1055:AH$1107, AH$1, 0)</f>
        <v>382.608</v>
      </c>
      <c r="AI29" s="782">
        <f>VLOOKUP($A$1, $B$1055:AI$1110, AI$1, 0)</f>
        <v>1190.604</v>
      </c>
      <c r="AJ29" s="782">
        <f>VLOOKUP($A$1, $B$1055:AJ$1110, AJ$1, 0)</f>
        <v>364.565</v>
      </c>
      <c r="AK29" s="782">
        <f>VLOOKUP($A$1, $B$1055:AK$1110, AK$1, 0)</f>
        <v>707.06299999999999</v>
      </c>
      <c r="AL29" s="782">
        <f>VLOOKUP($A$1, $B$1055:AL$1110, AL$1, 0)</f>
        <v>1414.0530000000001</v>
      </c>
      <c r="AM29" s="1756">
        <f>VLOOKUP($A$1, $B$1055:AM$1112, 38, 0)</f>
        <v>126.419</v>
      </c>
      <c r="AN29" s="1756">
        <f>VLOOKUP($A$1, $B$1055:AN$1110, 39, 0)</f>
        <v>261.637</v>
      </c>
      <c r="AO29" s="1756">
        <f>VLOOKUP($A$1, $B$1055:AO$1112, 40, 0)</f>
        <v>493.98200000000003</v>
      </c>
      <c r="AP29" s="1756">
        <f>VLOOKUP($A$1, $B$1055:AP$1112, 41, 0)</f>
        <v>870.803</v>
      </c>
      <c r="AQ29" s="1756">
        <f>VLOOKUP($A$1, $B$1055:AQ$1120, 42, 0)</f>
        <v>412.01</v>
      </c>
      <c r="AR29" s="1756">
        <f>VLOOKUP($A$1, $B$1055:AS$1129, 43, 0)</f>
        <v>328.67899999999997</v>
      </c>
    </row>
    <row r="30" spans="1:62" outlineLevel="1">
      <c r="A30" s="1016" t="s">
        <v>55</v>
      </c>
      <c r="B30" s="895">
        <f>IF(B36 &gt; 0,B34/(B36*B4), 0)</f>
        <v>0.10974106041923551</v>
      </c>
      <c r="C30" s="801" t="e">
        <f>VLOOKUP($A$1, $B$50:$S$77, C$1, 0)</f>
        <v>#N/A</v>
      </c>
      <c r="D30" s="801" t="e">
        <f t="shared" ref="D30:S30" si="8">VLOOKUP($A$1, $B$50:$S$77, D$1, 0)</f>
        <v>#N/A</v>
      </c>
      <c r="E30" s="801" t="e">
        <f t="shared" si="8"/>
        <v>#N/A</v>
      </c>
      <c r="F30" s="801" t="e">
        <f t="shared" si="8"/>
        <v>#N/A</v>
      </c>
      <c r="G30" s="801" t="e">
        <f t="shared" si="8"/>
        <v>#N/A</v>
      </c>
      <c r="H30" s="801" t="e">
        <f t="shared" si="8"/>
        <v>#N/A</v>
      </c>
      <c r="I30" s="801" t="e">
        <f t="shared" si="8"/>
        <v>#N/A</v>
      </c>
      <c r="J30" s="801" t="e">
        <f t="shared" si="8"/>
        <v>#N/A</v>
      </c>
      <c r="K30" s="801" t="e">
        <f t="shared" si="8"/>
        <v>#N/A</v>
      </c>
      <c r="L30" s="801" t="e">
        <f t="shared" si="8"/>
        <v>#N/A</v>
      </c>
      <c r="M30" s="801" t="e">
        <f t="shared" si="8"/>
        <v>#N/A</v>
      </c>
      <c r="N30" s="801" t="e">
        <f t="shared" si="8"/>
        <v>#N/A</v>
      </c>
      <c r="O30" s="801" t="e">
        <f t="shared" si="8"/>
        <v>#N/A</v>
      </c>
      <c r="P30" s="801" t="e">
        <f t="shared" si="8"/>
        <v>#N/A</v>
      </c>
      <c r="Q30" s="801" t="e">
        <f t="shared" si="8"/>
        <v>#N/A</v>
      </c>
      <c r="R30" s="801" t="e">
        <f t="shared" si="8"/>
        <v>#N/A</v>
      </c>
      <c r="S30" s="801" t="e">
        <f t="shared" si="8"/>
        <v>#N/A</v>
      </c>
      <c r="T30" s="801" t="e">
        <f>VLOOKUP($A$1, $B$50:$AA$77, T$1, 0)</f>
        <v>#N/A</v>
      </c>
      <c r="U30" s="801" t="e">
        <f>VLOOKUP($A$1, $B$50:$AA$80, U$1, 0)</f>
        <v>#N/A</v>
      </c>
      <c r="V30" s="801">
        <f>VLOOKUP($A$1, $B$50:$AA$81, V$1, 0)</f>
        <v>0</v>
      </c>
      <c r="W30" s="801">
        <f>VLOOKUP($A$1, $B$50:$AA$81, W$1, 0)</f>
        <v>0</v>
      </c>
      <c r="X30" s="801">
        <f>VLOOKUP($A$1, $B$50:$AA$86, X$1, 0)</f>
        <v>0</v>
      </c>
      <c r="Y30" s="801">
        <f>VLOOKUP($A$1, $B$50:$AA$86, Y$1, 0)</f>
        <v>0</v>
      </c>
      <c r="Z30" s="801">
        <f>VLOOKUP($A$1, $B$50:$AA$86, Z$1, 0)</f>
        <v>0</v>
      </c>
      <c r="AA30" s="801">
        <f>VLOOKUP($A$1, $B$50:$AA$89, AA$1, 0)</f>
        <v>0.90909090909090895</v>
      </c>
      <c r="AB30" s="801">
        <f>VLOOKUP($A$1, $B$50:$AB$92, AB$1, 0)</f>
        <v>0.19354838709677399</v>
      </c>
      <c r="AC30" s="801">
        <f>VLOOKUP($A$1, $B$50:$AC$93, AC$1, 0)</f>
        <v>0.36363636363636398</v>
      </c>
      <c r="AD30" s="801">
        <f>VLOOKUP($A$1, $B$50:$AD$102, AD$1, 0)</f>
        <v>0.27906999999999998</v>
      </c>
      <c r="AE30" s="801">
        <f>VLOOKUP($A$1, $B$50:$AE$146, AE$1, 0)</f>
        <v>0.27450999999999998</v>
      </c>
      <c r="AF30" s="801">
        <f>VLOOKUP($A$1, $B$50:AF$146, AF$1, 0)</f>
        <v>0.390625</v>
      </c>
      <c r="AG30" s="801">
        <f>VLOOKUP($A$1, $B$50:AG$146, AG$1, 0)</f>
        <v>0.33734900000000001</v>
      </c>
      <c r="AH30" s="801">
        <f>VLOOKUP($A$1, $B$50:AH$102, AH$1, 0)</f>
        <v>0.24870500000000001</v>
      </c>
      <c r="AI30" s="801">
        <f>VLOOKUP($A$1, $B$50:AI$105, AI$1, 0)</f>
        <v>0.290155</v>
      </c>
      <c r="AJ30" s="801">
        <f>VLOOKUP($A$1, $B$50:AJ$105, AJ$1, 0)</f>
        <v>0.25555600000000001</v>
      </c>
      <c r="AK30" s="801">
        <f>VLOOKUP($A$1, $B$50:AK$105, AK$1, 0)</f>
        <v>0.3125</v>
      </c>
      <c r="AL30" s="801">
        <f>VLOOKUP($A$1, $B$50:AL$105, AL$1, 0)</f>
        <v>0.493392</v>
      </c>
      <c r="AM30" s="1757">
        <f>VLOOKUP($A$1, $B$50:AM$107, 38, 0)</f>
        <v>9.4488000000000003E-2</v>
      </c>
      <c r="AN30" s="1757">
        <f>VLOOKUP($A$1, $B$50:AN$105, 39, 0)</f>
        <v>0.143369</v>
      </c>
      <c r="AO30" s="1757">
        <f>VLOOKUP($A$1, $B$50:AO$107, 40, 0)</f>
        <v>0.118519</v>
      </c>
      <c r="AP30" s="1757">
        <f>VLOOKUP($A$1, $B$50:AP$107, 41, 0)</f>
        <v>0.108303</v>
      </c>
      <c r="AQ30" s="1757">
        <f>VLOOKUP($A$1, $B$50:AQ$115, 42, 0)</f>
        <v>8.6957000000000007E-2</v>
      </c>
      <c r="AR30" s="1757">
        <f>VLOOKUP($A$1, $B$50:AR$124, 43, 0)</f>
        <v>0.100719</v>
      </c>
    </row>
    <row r="31" spans="1:62" outlineLevel="1">
      <c r="A31" s="1016" t="s">
        <v>1</v>
      </c>
      <c r="B31" s="894">
        <f>SUMIFS($AM$31:$AX$31,$AA$2:$AL$2, "&lt;=" &amp; $B$3, $AM$31:$AX$31,"&lt;&gt;#N/A")</f>
        <v>2490.2570000000001</v>
      </c>
      <c r="C31" s="520" t="e">
        <f>VLOOKUP($A$1, $B$144:$AA$171, C$1, 0)</f>
        <v>#N/A</v>
      </c>
      <c r="D31" s="520" t="e">
        <f>VLOOKUP($A$1, $B$144:$AA$171, D$1, 0)</f>
        <v>#N/A</v>
      </c>
      <c r="E31" s="520" t="e">
        <f t="shared" ref="E31:S31" si="9">VLOOKUP($A$1, $B$144:$S$171, E$1, 0)</f>
        <v>#N/A</v>
      </c>
      <c r="F31" s="520" t="e">
        <f t="shared" si="9"/>
        <v>#N/A</v>
      </c>
      <c r="G31" s="520" t="e">
        <f t="shared" si="9"/>
        <v>#N/A</v>
      </c>
      <c r="H31" s="520" t="e">
        <f t="shared" si="9"/>
        <v>#N/A</v>
      </c>
      <c r="I31" s="520" t="e">
        <f t="shared" si="9"/>
        <v>#N/A</v>
      </c>
      <c r="J31" s="520" t="e">
        <f t="shared" si="9"/>
        <v>#N/A</v>
      </c>
      <c r="K31" s="520" t="e">
        <f t="shared" si="9"/>
        <v>#N/A</v>
      </c>
      <c r="L31" s="520" t="e">
        <f t="shared" si="9"/>
        <v>#N/A</v>
      </c>
      <c r="M31" s="520" t="e">
        <f t="shared" si="9"/>
        <v>#N/A</v>
      </c>
      <c r="N31" s="520" t="e">
        <f t="shared" si="9"/>
        <v>#N/A</v>
      </c>
      <c r="O31" s="520" t="e">
        <f t="shared" si="9"/>
        <v>#N/A</v>
      </c>
      <c r="P31" s="520" t="e">
        <f t="shared" si="9"/>
        <v>#N/A</v>
      </c>
      <c r="Q31" s="520" t="e">
        <f t="shared" si="9"/>
        <v>#N/A</v>
      </c>
      <c r="R31" s="520" t="e">
        <f t="shared" si="9"/>
        <v>#N/A</v>
      </c>
      <c r="S31" s="520" t="e">
        <f t="shared" si="9"/>
        <v>#N/A</v>
      </c>
      <c r="T31" s="520" t="e">
        <f>VLOOKUP($A$1, $B$144:$AA$174, T$1, 0)</f>
        <v>#N/A</v>
      </c>
      <c r="U31" s="520" t="e">
        <f>VLOOKUP($A$1, $B$144:$AA$174, U$1, 0)</f>
        <v>#N/A</v>
      </c>
      <c r="V31" s="520">
        <f>VLOOKUP($A$1, $B$144:$AA$175, V$1, 0)</f>
        <v>0</v>
      </c>
      <c r="W31" s="520">
        <f>VLOOKUP($A$1, $B$144:$AA$175, W$1, 0)</f>
        <v>0</v>
      </c>
      <c r="X31" s="520">
        <f>VLOOKUP($A$1, $B$144:$AA$181, X$1, 0)</f>
        <v>0</v>
      </c>
      <c r="Y31" s="520">
        <f>VLOOKUP($A$1, $B$144:$AA$181, Y$1, 0)</f>
        <v>0</v>
      </c>
      <c r="Z31" s="520">
        <f>VLOOKUP($A$1, $B$144:$AA$181, Z$1, 0)</f>
        <v>0</v>
      </c>
      <c r="AA31" s="520">
        <f>VLOOKUP($A$1, $B$144:$AA$184, AA$1, 0)</f>
        <v>63.914999999999999</v>
      </c>
      <c r="AB31" s="520">
        <f>VLOOKUP($A$1, $B$144:$AB$186, AB$1, 0)</f>
        <v>120.90300000000001</v>
      </c>
      <c r="AC31" s="520">
        <f>VLOOKUP($A$1, $B$144:$AC$187, AC$1, 0)</f>
        <v>342.59399999999999</v>
      </c>
      <c r="AD31" s="520">
        <f>VLOOKUP($A$1, $B$144:$AD$196, AD$1, 0)</f>
        <v>577.98800000000006</v>
      </c>
      <c r="AE31" s="520">
        <f>VLOOKUP($A$1, $B$144:$AE$196, AE$1, 0)</f>
        <v>267.70499999999998</v>
      </c>
      <c r="AF31" s="520">
        <f>VLOOKUP($A$1, $B$144:AF$196, AF$1, 0)</f>
        <v>856.73199999999997</v>
      </c>
      <c r="AG31" s="520">
        <f>VLOOKUP($A$1, $B$144:AG$196, AG$1, 0)</f>
        <v>677.529</v>
      </c>
      <c r="AH31" s="520">
        <f>VLOOKUP($A$1, $B$144:AH$196, AH$1, 0)</f>
        <v>410.30200000000002</v>
      </c>
      <c r="AI31" s="520">
        <f>VLOOKUP($A$1, $B$144:AI$199, AI$1, 0)</f>
        <v>1173.6289999999999</v>
      </c>
      <c r="AJ31" s="520">
        <f>VLOOKUP($A$1, $B$144:AJ$199, AJ$1, 0)</f>
        <v>396.83300000000003</v>
      </c>
      <c r="AK31" s="520">
        <f>VLOOKUP($A$1, $B$144:AK$199, AK$1, 0)</f>
        <v>774.68299999999999</v>
      </c>
      <c r="AL31" s="520">
        <f>VLOOKUP($A$1, $B$144:AL$199, AL$1, 0)</f>
        <v>1361.9459999999999</v>
      </c>
      <c r="AM31" s="1758">
        <f>VLOOKUP($A$1, $B$144:AM$201, 38, 0)</f>
        <v>140.28700000000001</v>
      </c>
      <c r="AN31" s="1758">
        <f>VLOOKUP($A$1, $B$144:AN$199, 39, 0)</f>
        <v>242.70500000000001</v>
      </c>
      <c r="AO31" s="1758">
        <f>VLOOKUP($A$1, $B$144:AO$201, 40, 0)</f>
        <v>501.92099999999999</v>
      </c>
      <c r="AP31" s="1758">
        <f>VLOOKUP($A$1, $B$144:AP$201, 41, 0)</f>
        <v>871.447</v>
      </c>
      <c r="AQ31" s="1758">
        <f>VLOOKUP($A$1, $B$144:AQ$209, 42, 0)</f>
        <v>412.56299999999999</v>
      </c>
      <c r="AR31" s="1758">
        <f>VLOOKUP($A$1, $B$144:AR$218, 43, 0)</f>
        <v>321.334</v>
      </c>
    </row>
    <row r="32" spans="1:62" outlineLevel="1">
      <c r="A32" s="1016" t="s">
        <v>383</v>
      </c>
      <c r="B32" s="896">
        <f>B35/B34</f>
        <v>1.4719101123595506</v>
      </c>
      <c r="C32" s="802" t="e">
        <f>VLOOKUP($A$1, $B$325:$S$352, C$1, 0)</f>
        <v>#N/A</v>
      </c>
      <c r="D32" s="802" t="e">
        <f t="shared" ref="D32:S32" si="10">VLOOKUP($A$1, $B$325:$S$352, D$1, 0)</f>
        <v>#N/A</v>
      </c>
      <c r="E32" s="802" t="e">
        <f t="shared" si="10"/>
        <v>#N/A</v>
      </c>
      <c r="F32" s="802" t="e">
        <f t="shared" si="10"/>
        <v>#N/A</v>
      </c>
      <c r="G32" s="802" t="e">
        <f t="shared" si="10"/>
        <v>#N/A</v>
      </c>
      <c r="H32" s="802" t="e">
        <f>VLOOKUP($A$1, $B$325:$S$352, H$1, 0)</f>
        <v>#N/A</v>
      </c>
      <c r="I32" s="802" t="e">
        <f t="shared" si="10"/>
        <v>#N/A</v>
      </c>
      <c r="J32" s="802" t="e">
        <f t="shared" si="10"/>
        <v>#N/A</v>
      </c>
      <c r="K32" s="802" t="e">
        <f t="shared" si="10"/>
        <v>#N/A</v>
      </c>
      <c r="L32" s="802" t="e">
        <f t="shared" si="10"/>
        <v>#N/A</v>
      </c>
      <c r="M32" s="802" t="e">
        <f t="shared" si="10"/>
        <v>#N/A</v>
      </c>
      <c r="N32" s="802" t="e">
        <f t="shared" si="10"/>
        <v>#N/A</v>
      </c>
      <c r="O32" s="802" t="e">
        <f t="shared" si="10"/>
        <v>#N/A</v>
      </c>
      <c r="P32" s="802" t="e">
        <f t="shared" si="10"/>
        <v>#N/A</v>
      </c>
      <c r="Q32" s="802" t="e">
        <f t="shared" si="10"/>
        <v>#N/A</v>
      </c>
      <c r="R32" s="802" t="e">
        <f t="shared" si="10"/>
        <v>#N/A</v>
      </c>
      <c r="S32" s="802" t="e">
        <f t="shared" si="10"/>
        <v>#N/A</v>
      </c>
      <c r="T32" s="802" t="e">
        <f>VLOOKUP($A$1, $B$325:$AA$355, T$1, 0)</f>
        <v>#N/A</v>
      </c>
      <c r="U32" s="802" t="e">
        <f>VLOOKUP($A$1, $B$325:$AA$355, U$1, 0)</f>
        <v>#N/A</v>
      </c>
      <c r="V32" s="802">
        <f>VLOOKUP($A$1, $B$325:$AA$356, V$1, 0)</f>
        <v>0</v>
      </c>
      <c r="W32" s="802">
        <f>VLOOKUP($A$1, $B$325:$AA$356, W$1, 0)</f>
        <v>0</v>
      </c>
      <c r="X32" s="802">
        <f>VLOOKUP($A$1, $B$325:$AA$363, X$1, 0)</f>
        <v>0</v>
      </c>
      <c r="Y32" s="802">
        <f>VLOOKUP($A$1, $B$325:$AA$363, Y$1, 0)</f>
        <v>0</v>
      </c>
      <c r="Z32" s="802">
        <f>VLOOKUP($A$1, $B$325:$AA$363, Z$1, 0)</f>
        <v>0</v>
      </c>
      <c r="AA32" s="802">
        <f>VLOOKUP($A$1, $B$325:$AA$366, AA$1, 0)</f>
        <v>1.2</v>
      </c>
      <c r="AB32" s="802">
        <f>VLOOKUP($A$1, $B$325:$AB$367, AB$1, 0)</f>
        <v>1</v>
      </c>
      <c r="AC32" s="802">
        <f>VLOOKUP($A$1, $B$325:$AC$368, AC$1, 0)</f>
        <v>1.4</v>
      </c>
      <c r="AD32" s="802">
        <f>VLOOKUP($A$1, $B$325:$AD$377, AD$1, 0)</f>
        <v>1.8333330000000001</v>
      </c>
      <c r="AE32" s="802">
        <f>VLOOKUP($A$1, $B$325:$AE$377, AE$1, 0)</f>
        <v>1.642857</v>
      </c>
      <c r="AF32" s="802">
        <f>VLOOKUP($A$1, $B$325:AF$377, AF$1, 0)</f>
        <v>1.28</v>
      </c>
      <c r="AG32" s="802">
        <f>VLOOKUP($A$1, $B$325:AG$377, AG$1, 0)</f>
        <v>1.321429</v>
      </c>
      <c r="AH32" s="802">
        <f>VLOOKUP($A$1, $B$325:AH$377, AH$1, 0)</f>
        <v>1.5833330000000001</v>
      </c>
      <c r="AI32" s="802">
        <f>VLOOKUP($A$1, $B$325:AI$380, AI$1, 0)</f>
        <v>2.214286</v>
      </c>
      <c r="AJ32" s="802">
        <f>VLOOKUP($A$1, $B$325:AJ$380, AJ$1, 0)</f>
        <v>1.2173909999999999</v>
      </c>
      <c r="AK32" s="802">
        <f>VLOOKUP($A$1, $B$325:AK$380, AK$1, 0)</f>
        <v>1.733333</v>
      </c>
      <c r="AL32" s="802">
        <f>VLOOKUP($A$1, $B$325:AL$380, AL$1, 0)</f>
        <v>1.267857</v>
      </c>
      <c r="AM32" s="1759">
        <f>VLOOKUP($A$1, $B$325:AM$382, 38, 0)</f>
        <v>0.91666700000000001</v>
      </c>
      <c r="AN32" s="1759">
        <f>VLOOKUP($A$1, $B$325:AN$380, 39, 0)</f>
        <v>1.2</v>
      </c>
      <c r="AO32" s="1759">
        <f>VLOOKUP($A$1, $B$325:AO$382, 40, 0)</f>
        <v>1.625</v>
      </c>
      <c r="AP32" s="1759">
        <f>VLOOKUP($A$1, $B$325:AP$382, 41, 0)</f>
        <v>1.8666670000000001</v>
      </c>
      <c r="AQ32" s="1759">
        <f>VLOOKUP($A$1, $B$325:AQ$390, 42, 0)</f>
        <v>1.5</v>
      </c>
      <c r="AR32" s="1759">
        <f>VLOOKUP($A$1, $B$325:AR$399, 43, 0)</f>
        <v>1.714286</v>
      </c>
    </row>
    <row r="33" spans="1:44" outlineLevel="1">
      <c r="A33" s="1016" t="s">
        <v>162</v>
      </c>
      <c r="B33" s="897">
        <f>B31/B35</f>
        <v>19.009595419847329</v>
      </c>
      <c r="C33" s="802" t="e">
        <f>VLOOKUP($A$1, $B$235:$S$262, C$1, 0)</f>
        <v>#N/A</v>
      </c>
      <c r="D33" s="802" t="e">
        <f t="shared" ref="D33:S33" si="11">VLOOKUP($A$1, $B$235:$S$262, D$1, 0)</f>
        <v>#N/A</v>
      </c>
      <c r="E33" s="802" t="e">
        <f t="shared" si="11"/>
        <v>#N/A</v>
      </c>
      <c r="F33" s="802" t="e">
        <f t="shared" si="11"/>
        <v>#N/A</v>
      </c>
      <c r="G33" s="802" t="e">
        <f t="shared" si="11"/>
        <v>#N/A</v>
      </c>
      <c r="H33" s="802" t="e">
        <f t="shared" si="11"/>
        <v>#N/A</v>
      </c>
      <c r="I33" s="802" t="e">
        <f t="shared" si="11"/>
        <v>#N/A</v>
      </c>
      <c r="J33" s="802" t="e">
        <f t="shared" si="11"/>
        <v>#N/A</v>
      </c>
      <c r="K33" s="802" t="e">
        <f t="shared" si="11"/>
        <v>#N/A</v>
      </c>
      <c r="L33" s="802" t="e">
        <f t="shared" si="11"/>
        <v>#N/A</v>
      </c>
      <c r="M33" s="802" t="e">
        <f t="shared" si="11"/>
        <v>#N/A</v>
      </c>
      <c r="N33" s="802" t="e">
        <f t="shared" si="11"/>
        <v>#N/A</v>
      </c>
      <c r="O33" s="802" t="e">
        <f t="shared" si="11"/>
        <v>#N/A</v>
      </c>
      <c r="P33" s="802" t="e">
        <f t="shared" si="11"/>
        <v>#N/A</v>
      </c>
      <c r="Q33" s="802" t="e">
        <f t="shared" si="11"/>
        <v>#N/A</v>
      </c>
      <c r="R33" s="802" t="e">
        <f t="shared" si="11"/>
        <v>#N/A</v>
      </c>
      <c r="S33" s="802" t="e">
        <f t="shared" si="11"/>
        <v>#N/A</v>
      </c>
      <c r="T33" s="802" t="e">
        <f>VLOOKUP($A$1, $B$235:$AA$262, T$1, 0)</f>
        <v>#N/A</v>
      </c>
      <c r="U33" s="802" t="e">
        <f>VLOOKUP($A$1, $B$235:$AA$265, U$1, 0)</f>
        <v>#N/A</v>
      </c>
      <c r="V33" s="802">
        <f>VLOOKUP($A$1, $B$235:$AA$266, V$1, 0)</f>
        <v>0</v>
      </c>
      <c r="W33" s="802">
        <f>VLOOKUP($A$1, $B$235:$AA$266, W$1, 0)</f>
        <v>0</v>
      </c>
      <c r="X33" s="802">
        <f>VLOOKUP($A$1, $B$235:$AA$275, X$1, 0)</f>
        <v>0</v>
      </c>
      <c r="Y33" s="802">
        <f>VLOOKUP($A$1, $B$235:$AA$275, Y$1, 0)</f>
        <v>0</v>
      </c>
      <c r="Z33" s="802">
        <f>VLOOKUP($A$1, $B$235:$AA$275, Z$1, 0)</f>
        <v>0</v>
      </c>
      <c r="AA33" s="802">
        <f>VLOOKUP($A$1, $B$235:$AA$278, AA$1, 0)</f>
        <v>10.6525</v>
      </c>
      <c r="AB33" s="802">
        <f>VLOOKUP($A$1, $B$235:$AB$278, AB$1, 0)</f>
        <v>40.301000000000002</v>
      </c>
      <c r="AC33" s="802">
        <f>VLOOKUP($A$1, $B$235:$AC$278, AC$1, 0)</f>
        <v>24.471</v>
      </c>
      <c r="AD33" s="802">
        <f>VLOOKUP($A$1, $B$235:$AD$287, AD$1, 0)</f>
        <v>26.272181818181998</v>
      </c>
      <c r="AE33" s="802">
        <f>VLOOKUP($A$1, $B$235:$AE$287, AE$1, 0)</f>
        <v>11.639347826087</v>
      </c>
      <c r="AF33" s="802">
        <f>VLOOKUP($A$1, $B$235:AF$287, AF$1, 0)</f>
        <v>26.772874999999999</v>
      </c>
      <c r="AG33" s="802">
        <f>VLOOKUP($A$1, $B$235:AG$287, AG$1, 0)</f>
        <v>18.311594589999999</v>
      </c>
      <c r="AH33" s="802">
        <f>VLOOKUP($A$1, $B$235:AH$287, AH$1, 0)</f>
        <v>10.797421052632</v>
      </c>
      <c r="AI33" s="802">
        <f>VLOOKUP($A$1, $B$235:AI$290, AI$1, 0)</f>
        <v>18.929500000000001</v>
      </c>
      <c r="AJ33" s="802">
        <f>VLOOKUP($A$1, $B$235:AJ$290, AJ$1, 0)</f>
        <v>14.172607142857</v>
      </c>
      <c r="AK33" s="802">
        <f>VLOOKUP($A$1, $B$235:AK$290, AK$1, 0)</f>
        <v>14.89775</v>
      </c>
      <c r="AL33" s="802">
        <f>VLOOKUP($A$1, $B$235:AL$290, AL$1, 0)</f>
        <v>19.182338028168999</v>
      </c>
      <c r="AM33" s="1759">
        <f>VLOOKUP($A$1, $B$235:AM$292,38, 0)</f>
        <v>12.753363636364</v>
      </c>
      <c r="AN33" s="1759">
        <f>VLOOKUP($A$1, $B$235:AN$290,39, 0)</f>
        <v>10.112708333333</v>
      </c>
      <c r="AO33" s="1759">
        <f>VLOOKUP($A$1, $B$235:AO$292,40, 0)</f>
        <v>19.304653846154</v>
      </c>
      <c r="AP33" s="1759">
        <f>VLOOKUP($A$1, $B$235:AP$292,41, 0)</f>
        <v>31.123107142857002</v>
      </c>
      <c r="AQ33" s="1759">
        <f>VLOOKUP($A$1, $B$235:AQ$300,42, 0)</f>
        <v>22.920166666667001</v>
      </c>
      <c r="AR33" s="1759">
        <f>VLOOKUP($A$1, $B$235:AR$309,43, 0)</f>
        <v>13.388916666666999</v>
      </c>
    </row>
    <row r="34" spans="1:44" outlineLevel="1">
      <c r="A34" s="1016" t="s">
        <v>78</v>
      </c>
      <c r="B34" s="990">
        <f>SUMIFS($AM$34:$AX$34,$AA$2:$AL$2, "&lt;=" &amp; $B$3, $AM$34:$AX$34,"&lt;&gt;#N/A")</f>
        <v>89</v>
      </c>
      <c r="C34" s="1330">
        <f t="shared" ref="C34:AD34" si="12">VLOOKUP($A$1,$B$968:$AD$1053, C$1, 0)</f>
        <v>0</v>
      </c>
      <c r="D34" s="1330">
        <f t="shared" si="12"/>
        <v>0</v>
      </c>
      <c r="E34" s="1330">
        <f t="shared" si="12"/>
        <v>0</v>
      </c>
      <c r="F34" s="1330">
        <f t="shared" si="12"/>
        <v>0</v>
      </c>
      <c r="G34" s="1330">
        <f t="shared" si="12"/>
        <v>0</v>
      </c>
      <c r="H34" s="1330">
        <f t="shared" si="12"/>
        <v>0</v>
      </c>
      <c r="I34" s="1330">
        <f t="shared" si="12"/>
        <v>0</v>
      </c>
      <c r="J34" s="1330">
        <f t="shared" si="12"/>
        <v>0</v>
      </c>
      <c r="K34" s="1330">
        <f t="shared" si="12"/>
        <v>0</v>
      </c>
      <c r="L34" s="1330">
        <f t="shared" si="12"/>
        <v>0</v>
      </c>
      <c r="M34" s="1330">
        <f t="shared" si="12"/>
        <v>0</v>
      </c>
      <c r="N34" s="1330">
        <f t="shared" si="12"/>
        <v>0</v>
      </c>
      <c r="O34" s="1330">
        <f t="shared" si="12"/>
        <v>0</v>
      </c>
      <c r="P34" s="1330">
        <f t="shared" si="12"/>
        <v>0</v>
      </c>
      <c r="Q34" s="1330">
        <f t="shared" si="12"/>
        <v>0</v>
      </c>
      <c r="R34" s="1330">
        <f t="shared" si="12"/>
        <v>0</v>
      </c>
      <c r="S34" s="1330">
        <f t="shared" si="12"/>
        <v>0</v>
      </c>
      <c r="T34" s="1330">
        <f t="shared" si="12"/>
        <v>0</v>
      </c>
      <c r="U34" s="1330">
        <f t="shared" si="12"/>
        <v>0</v>
      </c>
      <c r="V34" s="1330">
        <f t="shared" si="12"/>
        <v>0</v>
      </c>
      <c r="W34" s="1330">
        <f t="shared" si="12"/>
        <v>0</v>
      </c>
      <c r="X34" s="1330">
        <f t="shared" si="12"/>
        <v>0</v>
      </c>
      <c r="Y34" s="1330">
        <f t="shared" si="12"/>
        <v>0</v>
      </c>
      <c r="Z34" s="1330">
        <f t="shared" si="12"/>
        <v>0</v>
      </c>
      <c r="AA34" s="1330">
        <f t="shared" si="12"/>
        <v>5</v>
      </c>
      <c r="AB34" s="1330">
        <f t="shared" si="12"/>
        <v>3</v>
      </c>
      <c r="AC34" s="1330">
        <f t="shared" si="12"/>
        <v>10</v>
      </c>
      <c r="AD34" s="1330">
        <f t="shared" si="12"/>
        <v>12</v>
      </c>
      <c r="AE34" s="1330">
        <f>VLOOKUP($A$1,$B$968:$AE$1020, AE1, 0)</f>
        <v>14</v>
      </c>
      <c r="AF34" s="1330">
        <f>VLOOKUP($A$1,$B$968:AF$1020, AF1, 0)</f>
        <v>25</v>
      </c>
      <c r="AG34" s="1330">
        <f>VLOOKUP($A$1,$B$968:AG$1020, AG1, 0)</f>
        <v>28</v>
      </c>
      <c r="AH34" s="1330">
        <f>VLOOKUP($A$1,$B$968:AH$1020, AH1, 0)</f>
        <v>24</v>
      </c>
      <c r="AI34" s="1330">
        <f>VLOOKUP($A$1,$B$968:AI$1023, AI1, 0)</f>
        <v>28</v>
      </c>
      <c r="AJ34" s="1330">
        <f>VLOOKUP($A$1,$B$968:AJ$1023, AJ1, 0)</f>
        <v>23</v>
      </c>
      <c r="AK34" s="1330">
        <f>VLOOKUP($A$1,$B$968:AK$1023, AK1, 0)</f>
        <v>30</v>
      </c>
      <c r="AL34" s="1330">
        <f>VLOOKUP($A$1,$B$968:AL$1023, AL1, 0)</f>
        <v>56</v>
      </c>
      <c r="AM34" s="1760">
        <f>VLOOKUP($A$1,$B$968:AM$1023,38, 0)</f>
        <v>12</v>
      </c>
      <c r="AN34" s="1760">
        <f>VLOOKUP($A$1,$B$968:AN$1023,39, 0)</f>
        <v>20</v>
      </c>
      <c r="AO34" s="1760">
        <f>VLOOKUP($A$1,$B$968:AO$1025,40, 0)</f>
        <v>16</v>
      </c>
      <c r="AP34" s="1760">
        <f>VLOOKUP($A$1,$B$968:AP$1025,41, 0)</f>
        <v>15</v>
      </c>
      <c r="AQ34" s="1760">
        <f>VLOOKUP($A$1,$B$968:AQ$1033,42, 0)</f>
        <v>12</v>
      </c>
      <c r="AR34" s="1760">
        <f>VLOOKUP($A$1,$B$968:AR$1042,43, 0)</f>
        <v>14</v>
      </c>
    </row>
    <row r="35" spans="1:44" s="1235" customFormat="1" outlineLevel="1">
      <c r="A35" s="1235" t="s">
        <v>309</v>
      </c>
      <c r="B35" s="990">
        <f>SUMIFS($AM$35:$AX$35,$AA$2:$AL$2, "&lt;=" &amp; $B$3, $AM$35:$AX$35,"&lt;&gt;#N/A")</f>
        <v>131</v>
      </c>
      <c r="C35" s="1384" t="e">
        <f t="shared" ref="C35:P35" si="13">ROUND(C32*C34, 0)</f>
        <v>#N/A</v>
      </c>
      <c r="D35" s="1384" t="e">
        <f t="shared" si="13"/>
        <v>#N/A</v>
      </c>
      <c r="E35" s="1384" t="e">
        <f t="shared" si="13"/>
        <v>#N/A</v>
      </c>
      <c r="F35" s="1384" t="e">
        <f t="shared" si="13"/>
        <v>#N/A</v>
      </c>
      <c r="G35" s="1384" t="e">
        <f t="shared" si="13"/>
        <v>#N/A</v>
      </c>
      <c r="H35" s="1384" t="e">
        <f t="shared" si="13"/>
        <v>#N/A</v>
      </c>
      <c r="I35" s="1384" t="e">
        <f t="shared" si="13"/>
        <v>#N/A</v>
      </c>
      <c r="J35" s="1384" t="e">
        <f t="shared" si="13"/>
        <v>#N/A</v>
      </c>
      <c r="K35" s="1384" t="e">
        <f t="shared" si="13"/>
        <v>#N/A</v>
      </c>
      <c r="L35" s="1384" t="e">
        <f t="shared" si="13"/>
        <v>#N/A</v>
      </c>
      <c r="M35" s="1384" t="e">
        <f t="shared" si="13"/>
        <v>#N/A</v>
      </c>
      <c r="N35" s="1384" t="e">
        <f t="shared" si="13"/>
        <v>#N/A</v>
      </c>
      <c r="O35" s="1384" t="e">
        <f t="shared" si="13"/>
        <v>#N/A</v>
      </c>
      <c r="P35" s="1384" t="e">
        <f t="shared" si="13"/>
        <v>#N/A</v>
      </c>
      <c r="Q35" s="1384" t="e">
        <f t="shared" ref="Q35:Z35" si="14">ROUND(Q32*Q34, 0)</f>
        <v>#N/A</v>
      </c>
      <c r="R35" s="1384" t="e">
        <f t="shared" si="14"/>
        <v>#N/A</v>
      </c>
      <c r="S35" s="1384" t="e">
        <f t="shared" si="14"/>
        <v>#N/A</v>
      </c>
      <c r="T35" s="1384" t="e">
        <f t="shared" si="14"/>
        <v>#N/A</v>
      </c>
      <c r="U35" s="1384" t="e">
        <f t="shared" si="14"/>
        <v>#N/A</v>
      </c>
      <c r="V35" s="1384">
        <f t="shared" si="14"/>
        <v>0</v>
      </c>
      <c r="W35" s="1384">
        <f t="shared" si="14"/>
        <v>0</v>
      </c>
      <c r="X35" s="1384">
        <f t="shared" si="14"/>
        <v>0</v>
      </c>
      <c r="Y35" s="1384">
        <f t="shared" si="14"/>
        <v>0</v>
      </c>
      <c r="Z35" s="1384">
        <f t="shared" si="14"/>
        <v>0</v>
      </c>
      <c r="AA35" s="1384">
        <f t="shared" ref="AA35:AL35" si="15">ROUND(AA32*AA34, 0)</f>
        <v>6</v>
      </c>
      <c r="AB35" s="1384">
        <f t="shared" si="15"/>
        <v>3</v>
      </c>
      <c r="AC35" s="1384">
        <f t="shared" si="15"/>
        <v>14</v>
      </c>
      <c r="AD35" s="1384">
        <f t="shared" si="15"/>
        <v>22</v>
      </c>
      <c r="AE35" s="1384">
        <f t="shared" si="15"/>
        <v>23</v>
      </c>
      <c r="AF35" s="1384">
        <f t="shared" si="15"/>
        <v>32</v>
      </c>
      <c r="AG35" s="1384">
        <f t="shared" si="15"/>
        <v>37</v>
      </c>
      <c r="AH35" s="1384">
        <f t="shared" si="15"/>
        <v>38</v>
      </c>
      <c r="AI35" s="1384">
        <f t="shared" si="15"/>
        <v>62</v>
      </c>
      <c r="AJ35" s="1384">
        <f t="shared" si="15"/>
        <v>28</v>
      </c>
      <c r="AK35" s="1384">
        <f t="shared" si="15"/>
        <v>52</v>
      </c>
      <c r="AL35" s="1384">
        <f t="shared" si="15"/>
        <v>71</v>
      </c>
      <c r="AM35" s="1761">
        <f t="shared" ref="AM35:AR35" si="16">ROUND(AM32*AM34, 0)</f>
        <v>11</v>
      </c>
      <c r="AN35" s="1761">
        <f t="shared" si="16"/>
        <v>24</v>
      </c>
      <c r="AO35" s="1761">
        <f t="shared" si="16"/>
        <v>26</v>
      </c>
      <c r="AP35" s="1761">
        <f t="shared" si="16"/>
        <v>28</v>
      </c>
      <c r="AQ35" s="1761">
        <f t="shared" si="16"/>
        <v>18</v>
      </c>
      <c r="AR35" s="1761">
        <f t="shared" si="16"/>
        <v>24</v>
      </c>
    </row>
    <row r="36" spans="1:44" s="1235" customFormat="1" outlineLevel="1">
      <c r="A36" s="1016" t="s">
        <v>96</v>
      </c>
      <c r="B36" s="894">
        <f>SUMIFS( $AM$36:$AX$36,$AA$2:$AL$2, "&lt;=" &amp; $B$3, $AM$36:$AX$36,"&lt;&gt;#N/A") /B4</f>
        <v>115.85714285714286</v>
      </c>
      <c r="C36" s="1385" t="e">
        <f t="shared" ref="C36:P36" si="17">IF(ISNA(B37),AVERAGE(C37,0),AVERAGE(C37,B37))</f>
        <v>#N/A</v>
      </c>
      <c r="D36" s="1385" t="e">
        <f t="shared" si="17"/>
        <v>#N/A</v>
      </c>
      <c r="E36" s="1385" t="e">
        <f t="shared" si="17"/>
        <v>#N/A</v>
      </c>
      <c r="F36" s="1385" t="e">
        <f t="shared" si="17"/>
        <v>#N/A</v>
      </c>
      <c r="G36" s="1385" t="e">
        <f t="shared" si="17"/>
        <v>#N/A</v>
      </c>
      <c r="H36" s="1385" t="e">
        <f t="shared" si="17"/>
        <v>#N/A</v>
      </c>
      <c r="I36" s="1385" t="e">
        <f t="shared" si="17"/>
        <v>#N/A</v>
      </c>
      <c r="J36" s="1385" t="e">
        <f t="shared" si="17"/>
        <v>#N/A</v>
      </c>
      <c r="K36" s="1385" t="e">
        <f t="shared" si="17"/>
        <v>#N/A</v>
      </c>
      <c r="L36" s="1385" t="e">
        <f t="shared" si="17"/>
        <v>#N/A</v>
      </c>
      <c r="M36" s="1385" t="e">
        <f t="shared" si="17"/>
        <v>#N/A</v>
      </c>
      <c r="N36" s="1385" t="e">
        <f t="shared" si="17"/>
        <v>#N/A</v>
      </c>
      <c r="O36" s="1385" t="e">
        <f t="shared" si="17"/>
        <v>#N/A</v>
      </c>
      <c r="P36" s="1385" t="e">
        <f t="shared" si="17"/>
        <v>#N/A</v>
      </c>
      <c r="Q36" s="1385" t="e">
        <f t="shared" ref="Q36:Z36" si="18">IF(ISNA(P37),AVERAGE(Q37,0),AVERAGE(Q37,P37))</f>
        <v>#N/A</v>
      </c>
      <c r="R36" s="1385" t="e">
        <f t="shared" si="18"/>
        <v>#N/A</v>
      </c>
      <c r="S36" s="1385" t="e">
        <f t="shared" si="18"/>
        <v>#N/A</v>
      </c>
      <c r="T36" s="1385" t="e">
        <f t="shared" si="18"/>
        <v>#N/A</v>
      </c>
      <c r="U36" s="1385" t="e">
        <f t="shared" si="18"/>
        <v>#N/A</v>
      </c>
      <c r="V36" s="1385">
        <f t="shared" si="18"/>
        <v>0</v>
      </c>
      <c r="W36" s="1385">
        <f t="shared" si="18"/>
        <v>0</v>
      </c>
      <c r="X36" s="1385">
        <f t="shared" si="18"/>
        <v>0</v>
      </c>
      <c r="Y36" s="1385">
        <f t="shared" si="18"/>
        <v>0</v>
      </c>
      <c r="Z36" s="1385">
        <f t="shared" si="18"/>
        <v>0</v>
      </c>
      <c r="AA36" s="1385">
        <f t="shared" ref="AA36:AJ36" si="19">IF(ISNA(Z37),AVERAGE(AA37,0),AVERAGE(AA37,Z37))</f>
        <v>5.5</v>
      </c>
      <c r="AB36" s="1385">
        <f t="shared" si="19"/>
        <v>15.5</v>
      </c>
      <c r="AC36" s="1385">
        <f t="shared" si="19"/>
        <v>27.5</v>
      </c>
      <c r="AD36" s="1385">
        <f t="shared" si="19"/>
        <v>43</v>
      </c>
      <c r="AE36" s="1385">
        <f t="shared" si="19"/>
        <v>51</v>
      </c>
      <c r="AF36" s="1385">
        <f t="shared" si="19"/>
        <v>64</v>
      </c>
      <c r="AG36" s="1385">
        <f t="shared" si="19"/>
        <v>83</v>
      </c>
      <c r="AH36" s="1385">
        <f t="shared" si="19"/>
        <v>96.5</v>
      </c>
      <c r="AI36" s="1385">
        <f t="shared" si="19"/>
        <v>96.5</v>
      </c>
      <c r="AJ36" s="1385">
        <f t="shared" si="19"/>
        <v>90</v>
      </c>
      <c r="AK36" s="1385">
        <f>IF(ISNA(AJ37),AVERAGE(AK37,0),AVERAGE(AK37,AJ37))</f>
        <v>96</v>
      </c>
      <c r="AL36" s="1385">
        <f>IF(ISNA(AK37),AVERAGE(AL37,0),AVERAGE(AL37,AK37))</f>
        <v>112.5</v>
      </c>
      <c r="AM36" s="1762">
        <f t="shared" ref="AM36:AR36" si="20">IF(ISNA(AL37),AVERAGE(AM37,0),AVERAGE(AM37,AL37))</f>
        <v>127</v>
      </c>
      <c r="AN36" s="1762">
        <f t="shared" si="20"/>
        <v>133.5</v>
      </c>
      <c r="AO36" s="1762">
        <f t="shared" si="20"/>
        <v>135</v>
      </c>
      <c r="AP36" s="1762">
        <f t="shared" si="20"/>
        <v>138.5</v>
      </c>
      <c r="AQ36" s="1762">
        <f t="shared" si="20"/>
        <v>138</v>
      </c>
      <c r="AR36" s="1762">
        <f t="shared" si="20"/>
        <v>139</v>
      </c>
    </row>
    <row r="37" spans="1:44" outlineLevel="1">
      <c r="A37" s="1016" t="s">
        <v>296</v>
      </c>
      <c r="B37" s="990"/>
      <c r="C37" s="1330" t="e">
        <f>VLOOKUP($A$1, $B$421:$S$448, C$1, 0)</f>
        <v>#N/A</v>
      </c>
      <c r="D37" s="1330" t="e">
        <f t="shared" ref="D37:S37" si="21">VLOOKUP($A$1, $B$421:$S$448, D$1, 0)</f>
        <v>#N/A</v>
      </c>
      <c r="E37" s="1330" t="e">
        <f t="shared" si="21"/>
        <v>#N/A</v>
      </c>
      <c r="F37" s="1330" t="e">
        <f t="shared" si="21"/>
        <v>#N/A</v>
      </c>
      <c r="G37" s="1330" t="e">
        <f t="shared" si="21"/>
        <v>#N/A</v>
      </c>
      <c r="H37" s="1330" t="e">
        <f t="shared" si="21"/>
        <v>#N/A</v>
      </c>
      <c r="I37" s="1330" t="e">
        <f t="shared" si="21"/>
        <v>#N/A</v>
      </c>
      <c r="J37" s="1330" t="e">
        <f t="shared" si="21"/>
        <v>#N/A</v>
      </c>
      <c r="K37" s="1330" t="e">
        <f t="shared" si="21"/>
        <v>#N/A</v>
      </c>
      <c r="L37" s="1330" t="e">
        <f t="shared" si="21"/>
        <v>#N/A</v>
      </c>
      <c r="M37" s="1330" t="e">
        <f t="shared" si="21"/>
        <v>#N/A</v>
      </c>
      <c r="N37" s="1330" t="e">
        <f t="shared" si="21"/>
        <v>#N/A</v>
      </c>
      <c r="O37" s="1330" t="e">
        <f t="shared" si="21"/>
        <v>#N/A</v>
      </c>
      <c r="P37" s="1330" t="e">
        <f t="shared" si="21"/>
        <v>#N/A</v>
      </c>
      <c r="Q37" s="1330" t="e">
        <f>VLOOKUP($A$1, $B$421:$S$448, Q$1, 0)</f>
        <v>#N/A</v>
      </c>
      <c r="R37" s="1330" t="e">
        <f t="shared" si="21"/>
        <v>#N/A</v>
      </c>
      <c r="S37" s="1330" t="e">
        <f t="shared" si="21"/>
        <v>#N/A</v>
      </c>
      <c r="T37" s="1330" t="e">
        <f>VLOOKUP($A$1, $B$421:$AA$448, T$1, 0)</f>
        <v>#N/A</v>
      </c>
      <c r="U37" s="1330" t="e">
        <f>VLOOKUP($A$1, $B$421:$AA$451, U$1, 0)</f>
        <v>#N/A</v>
      </c>
      <c r="V37" s="1330">
        <f>VLOOKUP($A$1, $B$421:$AA$452, V$1, 0)</f>
        <v>0</v>
      </c>
      <c r="W37" s="1330">
        <f>VLOOKUP($A$1, $B$421:$AA$452, W$1, 0)</f>
        <v>0</v>
      </c>
      <c r="X37" s="1330">
        <f>VLOOKUP($A$1, $B$421:$AA$462, X$1, 0)</f>
        <v>0</v>
      </c>
      <c r="Y37" s="1330">
        <f>VLOOKUP($A$1, $B$421:$AA$462, Y$1, 0)</f>
        <v>0</v>
      </c>
      <c r="Z37" s="1330">
        <f>VLOOKUP($A$1, $B$421:$AA$462, Z$1, 0)</f>
        <v>0</v>
      </c>
      <c r="AA37" s="1330">
        <f>VLOOKUP($A$1, $B$421:$AA$460, AA$1, 0)</f>
        <v>11</v>
      </c>
      <c r="AB37" s="1330">
        <f>VLOOKUP($A$1, $B$421:$AB$463, AB$1, 0)</f>
        <v>20</v>
      </c>
      <c r="AC37" s="1330">
        <f>VLOOKUP($A$1, $B$421:$AC$464, AC$1, 0)</f>
        <v>35</v>
      </c>
      <c r="AD37" s="1330">
        <f>VLOOKUP($A$1, $B$421:$AD$473, AD$1, 0)</f>
        <v>51</v>
      </c>
      <c r="AE37" s="1330">
        <f>VLOOKUP($A$1, $B$421:$AE$473, AE$1, 0)</f>
        <v>51</v>
      </c>
      <c r="AF37" s="1330">
        <f>VLOOKUP($A$1, $B$421:AF$473, AF$1, 0)</f>
        <v>77</v>
      </c>
      <c r="AG37" s="1330">
        <f>VLOOKUP($A$1, $B$421:AG$473, AG$1, 0)</f>
        <v>89</v>
      </c>
      <c r="AH37" s="1330">
        <f>VLOOKUP($A$1, $B$421:AH$473, AH$1, 0)</f>
        <v>104</v>
      </c>
      <c r="AI37" s="1330">
        <f>VLOOKUP($A$1, $B$421:AI$476, AI$1, 0)</f>
        <v>89</v>
      </c>
      <c r="AJ37" s="1330">
        <f>VLOOKUP($A$1, $B$421:AJ$476, AJ$1, 0)</f>
        <v>91</v>
      </c>
      <c r="AK37" s="1330">
        <f>VLOOKUP($A$1, $B$421:AK$476, AK$1, 0)</f>
        <v>101</v>
      </c>
      <c r="AL37" s="1330">
        <f>VLOOKUP($A$1, $B$421:AL$476, AL$1, 0)</f>
        <v>124</v>
      </c>
      <c r="AM37" s="1760">
        <f>VLOOKUP($A$1, $B$421:AM$476,38, 0)</f>
        <v>130</v>
      </c>
      <c r="AN37" s="1760">
        <f>VLOOKUP($A$1, $B$421:AN$476,39, 0)</f>
        <v>137</v>
      </c>
      <c r="AO37" s="1760">
        <f>VLOOKUP($A$1, $B$421:AO$478,40, 0)</f>
        <v>133</v>
      </c>
      <c r="AP37" s="1760">
        <f>VLOOKUP($A$1, $B$421:AP$478,41, 0)</f>
        <v>144</v>
      </c>
      <c r="AQ37" s="1760">
        <f>VLOOKUP($A$1, $B$421:AQ$486,42, 0)</f>
        <v>132</v>
      </c>
      <c r="AR37" s="1760">
        <f>VLOOKUP($A$1, $B$421:AR$495,43, 0)</f>
        <v>146</v>
      </c>
    </row>
    <row r="38" spans="1:44" outlineLevel="1">
      <c r="A38" s="1016" t="s">
        <v>427</v>
      </c>
      <c r="B38" s="898">
        <f>B39+B40</f>
        <v>26.714285714285712</v>
      </c>
      <c r="C38" s="1330" t="e">
        <f t="shared" ref="C38:P38" si="22">SUM(C39:C40)</f>
        <v>#N/A</v>
      </c>
      <c r="D38" s="1330" t="e">
        <f t="shared" si="22"/>
        <v>#N/A</v>
      </c>
      <c r="E38" s="1330" t="e">
        <f t="shared" si="22"/>
        <v>#N/A</v>
      </c>
      <c r="F38" s="1330" t="e">
        <f t="shared" si="22"/>
        <v>#N/A</v>
      </c>
      <c r="G38" s="1330" t="e">
        <f t="shared" si="22"/>
        <v>#N/A</v>
      </c>
      <c r="H38" s="1330" t="e">
        <f t="shared" si="22"/>
        <v>#N/A</v>
      </c>
      <c r="I38" s="1330" t="e">
        <f t="shared" si="22"/>
        <v>#N/A</v>
      </c>
      <c r="J38" s="1330" t="e">
        <f t="shared" si="22"/>
        <v>#N/A</v>
      </c>
      <c r="K38" s="1330" t="e">
        <f t="shared" si="22"/>
        <v>#N/A</v>
      </c>
      <c r="L38" s="1330" t="e">
        <f t="shared" si="22"/>
        <v>#N/A</v>
      </c>
      <c r="M38" s="1330" t="e">
        <f t="shared" si="22"/>
        <v>#N/A</v>
      </c>
      <c r="N38" s="1330" t="e">
        <f t="shared" si="22"/>
        <v>#N/A</v>
      </c>
      <c r="O38" s="1330" t="e">
        <f t="shared" si="22"/>
        <v>#N/A</v>
      </c>
      <c r="P38" s="1330" t="e">
        <f t="shared" si="22"/>
        <v>#N/A</v>
      </c>
      <c r="Q38" s="1330" t="e">
        <f>SUM(Q39:Q40)</f>
        <v>#N/A</v>
      </c>
      <c r="R38" s="1330" t="e">
        <f>SUM(R39:R40)</f>
        <v>#N/A</v>
      </c>
      <c r="S38" s="1330" t="e">
        <f>SUM(S39:S40)</f>
        <v>#N/A</v>
      </c>
      <c r="T38" s="1330" t="e">
        <f>SUM(T39:T40)</f>
        <v>#N/A</v>
      </c>
      <c r="U38" s="1330" t="e">
        <f>SUM(U39:U40)</f>
        <v>#N/A</v>
      </c>
      <c r="V38" s="1330">
        <f t="shared" ref="V38:AA38" si="23">SUM(V39:V40)</f>
        <v>0</v>
      </c>
      <c r="W38" s="1330">
        <f t="shared" si="23"/>
        <v>0</v>
      </c>
      <c r="X38" s="1330">
        <f t="shared" si="23"/>
        <v>0</v>
      </c>
      <c r="Y38" s="1330">
        <f t="shared" si="23"/>
        <v>0</v>
      </c>
      <c r="Z38" s="1330">
        <f t="shared" si="23"/>
        <v>0</v>
      </c>
      <c r="AA38" s="1330">
        <f t="shared" si="23"/>
        <v>8</v>
      </c>
      <c r="AB38" s="1330">
        <f>SUM(AB39:AB40)</f>
        <v>7</v>
      </c>
      <c r="AC38" s="1330">
        <f>SUM(AC39:AC40)</f>
        <v>12</v>
      </c>
      <c r="AD38" s="1330">
        <f t="shared" ref="AD38:AI38" si="24">SUM(AD39:AD40)</f>
        <v>16</v>
      </c>
      <c r="AE38" s="1330">
        <f t="shared" si="24"/>
        <v>16</v>
      </c>
      <c r="AF38" s="1330">
        <f t="shared" si="24"/>
        <v>27</v>
      </c>
      <c r="AG38" s="1330">
        <f t="shared" si="24"/>
        <v>28</v>
      </c>
      <c r="AH38" s="1330">
        <f t="shared" si="24"/>
        <v>24</v>
      </c>
      <c r="AI38" s="1330">
        <f t="shared" si="24"/>
        <v>18</v>
      </c>
      <c r="AJ38" s="1330">
        <f t="shared" ref="AJ38:AR38" si="25">SUM(AJ39:AJ40)</f>
        <v>20</v>
      </c>
      <c r="AK38" s="1330">
        <f t="shared" si="25"/>
        <v>25</v>
      </c>
      <c r="AL38" s="1330">
        <f t="shared" si="25"/>
        <v>29</v>
      </c>
      <c r="AM38" s="1760">
        <f t="shared" si="25"/>
        <v>31</v>
      </c>
      <c r="AN38" s="1760">
        <f t="shared" si="25"/>
        <v>32</v>
      </c>
      <c r="AO38" s="1760">
        <f t="shared" si="25"/>
        <v>31</v>
      </c>
      <c r="AP38" s="1760">
        <f t="shared" si="25"/>
        <v>32</v>
      </c>
      <c r="AQ38" s="1760">
        <f t="shared" si="25"/>
        <v>32</v>
      </c>
      <c r="AR38" s="1760">
        <f t="shared" si="25"/>
        <v>29</v>
      </c>
    </row>
    <row r="39" spans="1:44" outlineLevel="1">
      <c r="A39" s="1016" t="s">
        <v>390</v>
      </c>
      <c r="B39" s="898">
        <f>SUMIFS($AM$39:$AX$39,$AA$2:$AL$2, "&lt;=" &amp; $B$3,$AM$39:$AX$39,"&lt;&gt;#N/A")/B4</f>
        <v>24.285714285714285</v>
      </c>
      <c r="C39" s="1330" t="e">
        <f>VLOOKUP($A$1, $B$607:$S$634, C$1, 0)</f>
        <v>#N/A</v>
      </c>
      <c r="D39" s="1330" t="e">
        <f t="shared" ref="D39:S39" si="26">VLOOKUP($A$1, $B$607:$S$634, D$1, 0)</f>
        <v>#N/A</v>
      </c>
      <c r="E39" s="1330" t="e">
        <f t="shared" si="26"/>
        <v>#N/A</v>
      </c>
      <c r="F39" s="1330" t="e">
        <f t="shared" si="26"/>
        <v>#N/A</v>
      </c>
      <c r="G39" s="1330" t="e">
        <f t="shared" si="26"/>
        <v>#N/A</v>
      </c>
      <c r="H39" s="1330" t="e">
        <f t="shared" si="26"/>
        <v>#N/A</v>
      </c>
      <c r="I39" s="1330" t="e">
        <f t="shared" si="26"/>
        <v>#N/A</v>
      </c>
      <c r="J39" s="1330" t="e">
        <f t="shared" si="26"/>
        <v>#N/A</v>
      </c>
      <c r="K39" s="1330" t="e">
        <f t="shared" si="26"/>
        <v>#N/A</v>
      </c>
      <c r="L39" s="1330" t="e">
        <f t="shared" si="26"/>
        <v>#N/A</v>
      </c>
      <c r="M39" s="1330" t="e">
        <f t="shared" si="26"/>
        <v>#N/A</v>
      </c>
      <c r="N39" s="1330" t="e">
        <f t="shared" si="26"/>
        <v>#N/A</v>
      </c>
      <c r="O39" s="1330" t="e">
        <f t="shared" si="26"/>
        <v>#N/A</v>
      </c>
      <c r="P39" s="1330" t="e">
        <f t="shared" si="26"/>
        <v>#N/A</v>
      </c>
      <c r="Q39" s="1330" t="e">
        <f t="shared" si="26"/>
        <v>#N/A</v>
      </c>
      <c r="R39" s="1330" t="e">
        <f t="shared" si="26"/>
        <v>#N/A</v>
      </c>
      <c r="S39" s="1330" t="e">
        <f t="shared" si="26"/>
        <v>#N/A</v>
      </c>
      <c r="T39" s="1330" t="e">
        <f>VLOOKUP($A$1, $B$607:$AA$634, T$1, 0)</f>
        <v>#N/A</v>
      </c>
      <c r="U39" s="1330" t="e">
        <f>VLOOKUP($A$1, $B$607:$AA$637, U$1, 0)</f>
        <v>#N/A</v>
      </c>
      <c r="V39" s="1330">
        <f>VLOOKUP($A$1, $B$607:$AA$638, V$1, 0)</f>
        <v>0</v>
      </c>
      <c r="W39" s="1330">
        <f>VLOOKUP($A$1, $B$607:$AA$638, W$1, 0)</f>
        <v>0</v>
      </c>
      <c r="X39" s="1330">
        <f>VLOOKUP($A$1, $B$607:$AA$648, X$1, 0)</f>
        <v>0</v>
      </c>
      <c r="Y39" s="1330">
        <f>VLOOKUP($A$1, $B$607:$AA$648, Y$1, 0)</f>
        <v>0</v>
      </c>
      <c r="Z39" s="1330">
        <f>VLOOKUP($A$1, $B$607:$AA$648, Z$1, 0)</f>
        <v>0</v>
      </c>
      <c r="AA39" s="1330">
        <f>VLOOKUP($A$1, $B$607:$AA$646, AA$1, 0)</f>
        <v>7</v>
      </c>
      <c r="AB39" s="1330">
        <f>VLOOKUP($A$1, $B$607:$AB$649, AB$1, 0)</f>
        <v>6</v>
      </c>
      <c r="AC39" s="1330">
        <f>VLOOKUP($A$1, $B$607:$AC$650, AC$1, 0)</f>
        <v>10</v>
      </c>
      <c r="AD39" s="1330">
        <f>VLOOKUP($A$1, $B$607:$AD$659, AD$1, 0)</f>
        <v>15</v>
      </c>
      <c r="AE39" s="1330">
        <f>VLOOKUP($A$1, $B$607:$AE$659, AE$1, 0)</f>
        <v>15</v>
      </c>
      <c r="AF39" s="1330">
        <f>VLOOKUP($A$1, $B$607:AF$659, AF$1, 0)</f>
        <v>26</v>
      </c>
      <c r="AG39" s="1330">
        <f>VLOOKUP($A$1, $B$607:AG$659, AG$1, 0)</f>
        <v>28</v>
      </c>
      <c r="AH39" s="1330">
        <f>VLOOKUP($A$1, $B$607:AH$659, AH$1, 0)</f>
        <v>24</v>
      </c>
      <c r="AI39" s="1330">
        <f>VLOOKUP($A$1, $B$607:AI$662, AI$1, 0)</f>
        <v>18</v>
      </c>
      <c r="AJ39" s="1330">
        <f>VLOOKUP($A$1, $B$607:AJ$662, AJ$1, 0)</f>
        <v>20</v>
      </c>
      <c r="AK39" s="1330">
        <f>VLOOKUP($A$1, $B$607:AK$662, AK$1, 0)</f>
        <v>23</v>
      </c>
      <c r="AL39" s="1330">
        <f>VLOOKUP($A$1, $B$607:AL$662, AL$1, 0)</f>
        <v>27</v>
      </c>
      <c r="AM39" s="1760">
        <f>VLOOKUP($A$1, $B$607:AM$662, 38, 0)</f>
        <v>28</v>
      </c>
      <c r="AN39" s="1760">
        <f>VLOOKUP($A$1, $B$607:AN$662, 39, 0)</f>
        <v>29</v>
      </c>
      <c r="AO39" s="1760">
        <f>VLOOKUP($A$1, $B$607:AO$664, 40, 0)</f>
        <v>28</v>
      </c>
      <c r="AP39" s="1760">
        <f>VLOOKUP($A$1, $B$607:AP$664, 41, 0)</f>
        <v>29</v>
      </c>
      <c r="AQ39" s="1760">
        <f>VLOOKUP($A$1, $B$607:AQ$672, 42, 0)</f>
        <v>29</v>
      </c>
      <c r="AR39" s="1760">
        <f>VLOOKUP($A$1, $B$607:AR$681, 43, 0)</f>
        <v>27</v>
      </c>
    </row>
    <row r="40" spans="1:44" outlineLevel="1">
      <c r="A40" s="1016" t="s">
        <v>426</v>
      </c>
      <c r="B40" s="898">
        <f>SUMIFS( $AM$40:$AX$40,$AM$2:$AX$2, "&lt;=" &amp; $B$3, $AM$40:$AX$40,"&lt;&gt;#N/A")/B4</f>
        <v>2.4285714285714284</v>
      </c>
      <c r="C40" s="1330" t="e">
        <f>VLOOKUP($A$1, $B$700:$S$727, C$1, 0)</f>
        <v>#N/A</v>
      </c>
      <c r="D40" s="1330" t="e">
        <f t="shared" ref="D40:S40" si="27">VLOOKUP($A$1, $B$700:$S$727, D$1, 0)</f>
        <v>#N/A</v>
      </c>
      <c r="E40" s="1330" t="e">
        <f t="shared" si="27"/>
        <v>#N/A</v>
      </c>
      <c r="F40" s="1330" t="e">
        <f t="shared" si="27"/>
        <v>#N/A</v>
      </c>
      <c r="G40" s="1330" t="e">
        <f t="shared" si="27"/>
        <v>#N/A</v>
      </c>
      <c r="H40" s="1330" t="e">
        <f t="shared" si="27"/>
        <v>#N/A</v>
      </c>
      <c r="I40" s="1330" t="e">
        <f t="shared" si="27"/>
        <v>#N/A</v>
      </c>
      <c r="J40" s="1330" t="e">
        <f t="shared" si="27"/>
        <v>#N/A</v>
      </c>
      <c r="K40" s="1330" t="e">
        <f t="shared" si="27"/>
        <v>#N/A</v>
      </c>
      <c r="L40" s="1330" t="e">
        <f t="shared" si="27"/>
        <v>#N/A</v>
      </c>
      <c r="M40" s="1330" t="e">
        <f t="shared" si="27"/>
        <v>#N/A</v>
      </c>
      <c r="N40" s="1330" t="e">
        <f t="shared" si="27"/>
        <v>#N/A</v>
      </c>
      <c r="O40" s="1330" t="e">
        <f t="shared" si="27"/>
        <v>#N/A</v>
      </c>
      <c r="P40" s="1330" t="e">
        <f t="shared" si="27"/>
        <v>#N/A</v>
      </c>
      <c r="Q40" s="1330" t="e">
        <f t="shared" si="27"/>
        <v>#N/A</v>
      </c>
      <c r="R40" s="1330" t="e">
        <f>VLOOKUP($A$1, $B$700:$S$727, R$1, 0)</f>
        <v>#N/A</v>
      </c>
      <c r="S40" s="1330" t="e">
        <f t="shared" si="27"/>
        <v>#N/A</v>
      </c>
      <c r="T40" s="1330" t="e">
        <f>VLOOKUP($A$1, $B$700:$AA$727, T$1, 0)</f>
        <v>#N/A</v>
      </c>
      <c r="U40" s="1330" t="e">
        <f>VLOOKUP($A$1, $B$700:$AA$730, U$1, 0)</f>
        <v>#N/A</v>
      </c>
      <c r="V40" s="1330">
        <f>VLOOKUP($A$1, $B$700:$AA$731, V$1, 0)</f>
        <v>0</v>
      </c>
      <c r="W40" s="1330">
        <f>VLOOKUP($A$1, $B$700:$AA$731, W$1, 0)</f>
        <v>0</v>
      </c>
      <c r="X40" s="1330">
        <f>VLOOKUP($A$1, $B$700:$AA$741, X$1, 0)</f>
        <v>0</v>
      </c>
      <c r="Y40" s="1330">
        <f>VLOOKUP($A$1, $B$700:$AA$741, Y$1, 0)</f>
        <v>0</v>
      </c>
      <c r="Z40" s="1330">
        <f>VLOOKUP($A$1, $B$700:$AA$741, Z$1, 0)</f>
        <v>0</v>
      </c>
      <c r="AA40" s="1330">
        <f>VLOOKUP($A$1, $B$700:$AA$739, AA$1, 0)</f>
        <v>1</v>
      </c>
      <c r="AB40" s="1330">
        <f>VLOOKUP($A$1, $B$700:$AB$742, AB$1, 0)</f>
        <v>1</v>
      </c>
      <c r="AC40" s="1330">
        <f>VLOOKUP($A$1, $B$700:$AC$743, AC$1, 0)</f>
        <v>2</v>
      </c>
      <c r="AD40" s="1330">
        <f>VLOOKUP($A$1, $B$700:$AD$753, AD$1, 0)</f>
        <v>1</v>
      </c>
      <c r="AE40" s="1330">
        <f>VLOOKUP($A$1, $B$700:$AE$752, AE$1, 0)</f>
        <v>1</v>
      </c>
      <c r="AF40" s="1330">
        <f>VLOOKUP($A$1, $B$700:AF$752, AF$1, 0)</f>
        <v>1</v>
      </c>
      <c r="AG40" s="1330">
        <f>VLOOKUP($A$1, $B$700:AG$752, AG$1, 0)</f>
        <v>0</v>
      </c>
      <c r="AH40" s="1330">
        <f>VLOOKUP($A$1, $B$700:AH$752, AH$1, 0)</f>
        <v>0</v>
      </c>
      <c r="AI40" s="1330">
        <f>VLOOKUP($A$1, $B$700:AI$755, AI$1, 0)</f>
        <v>0</v>
      </c>
      <c r="AJ40" s="1330">
        <f>VLOOKUP($A$1, $B$700:AJ$755, AJ$1, 0)</f>
        <v>0</v>
      </c>
      <c r="AK40" s="1330">
        <f>VLOOKUP($A$1, $B$700:AK$755, AK$1, 0)</f>
        <v>2</v>
      </c>
      <c r="AL40" s="1330">
        <f>VLOOKUP($A$1, $B$700:AL$755, AL$1, 0)</f>
        <v>2</v>
      </c>
      <c r="AM40" s="1760">
        <f>VLOOKUP($A$1, $B$700:AM$755,38, 0)</f>
        <v>3</v>
      </c>
      <c r="AN40" s="1760">
        <f>VLOOKUP($A$1, $B$700:AN$755,39, 0)</f>
        <v>3</v>
      </c>
      <c r="AO40" s="1760">
        <f>VLOOKUP($A$1, $B$700:AO$757,40, 0)</f>
        <v>3</v>
      </c>
      <c r="AP40" s="1760">
        <f>VLOOKUP($A$1, $B$700:AP$757,41, 0)</f>
        <v>3</v>
      </c>
      <c r="AQ40" s="1760">
        <f>VLOOKUP($A$1, $B$700:AQ$765,42, 0)</f>
        <v>3</v>
      </c>
      <c r="AR40" s="1760">
        <f>VLOOKUP($A$1, $B$700:AR$774,43, 0)</f>
        <v>2</v>
      </c>
    </row>
    <row r="41" spans="1:44" outlineLevel="1">
      <c r="A41" s="1016" t="s">
        <v>389</v>
      </c>
      <c r="B41" s="895">
        <f>B42/ (B38*B4)</f>
        <v>0.14973262032085563</v>
      </c>
      <c r="C41" s="801" t="e">
        <f>VLOOKUP($A$1, $B$518:$S$545, C$1, 0)</f>
        <v>#N/A</v>
      </c>
      <c r="D41" s="801" t="e">
        <f t="shared" ref="D41:S41" si="28">VLOOKUP($A$1, $B$518:$S$545, D$1, 0)</f>
        <v>#N/A</v>
      </c>
      <c r="E41" s="801" t="e">
        <f t="shared" si="28"/>
        <v>#N/A</v>
      </c>
      <c r="F41" s="801" t="e">
        <f t="shared" si="28"/>
        <v>#N/A</v>
      </c>
      <c r="G41" s="801" t="e">
        <f t="shared" si="28"/>
        <v>#N/A</v>
      </c>
      <c r="H41" s="801" t="e">
        <f t="shared" si="28"/>
        <v>#N/A</v>
      </c>
      <c r="I41" s="801" t="e">
        <f t="shared" si="28"/>
        <v>#N/A</v>
      </c>
      <c r="J41" s="801" t="e">
        <f t="shared" si="28"/>
        <v>#N/A</v>
      </c>
      <c r="K41" s="801" t="e">
        <f t="shared" si="28"/>
        <v>#N/A</v>
      </c>
      <c r="L41" s="801" t="e">
        <f t="shared" si="28"/>
        <v>#N/A</v>
      </c>
      <c r="M41" s="801" t="e">
        <f t="shared" si="28"/>
        <v>#N/A</v>
      </c>
      <c r="N41" s="801" t="e">
        <f t="shared" si="28"/>
        <v>#N/A</v>
      </c>
      <c r="O41" s="801" t="e">
        <f t="shared" si="28"/>
        <v>#N/A</v>
      </c>
      <c r="P41" s="801" t="e">
        <f t="shared" si="28"/>
        <v>#N/A</v>
      </c>
      <c r="Q41" s="801" t="e">
        <f t="shared" si="28"/>
        <v>#N/A</v>
      </c>
      <c r="R41" s="801" t="e">
        <f t="shared" si="28"/>
        <v>#N/A</v>
      </c>
      <c r="S41" s="801" t="e">
        <f t="shared" si="28"/>
        <v>#N/A</v>
      </c>
      <c r="T41" s="801" t="e">
        <f>VLOOKUP($A$1, $B$518:$AA$545, T$1, 0)</f>
        <v>#N/A</v>
      </c>
      <c r="U41" s="801" t="e">
        <f>VLOOKUP($A$1, $B$518:$AA$548, U$1, 0)</f>
        <v>#N/A</v>
      </c>
      <c r="V41" s="801">
        <f>VLOOKUP($A$1, $B$518:$AA$549, V$1, 0)</f>
        <v>0</v>
      </c>
      <c r="W41" s="801">
        <f>VLOOKUP($A$1, $B$518:$AA$549, W$1, 0)</f>
        <v>0</v>
      </c>
      <c r="X41" s="801">
        <f>VLOOKUP($A$1, $B$518:$AA$559, X$1, 0)</f>
        <v>0</v>
      </c>
      <c r="Y41" s="801">
        <f>VLOOKUP($A$1, $B$518:$AA$559, Y$1, 0)</f>
        <v>0</v>
      </c>
      <c r="Z41" s="801">
        <f>VLOOKUP($A$1, $B$518:$AA$559, Z$1, 0)</f>
        <v>0</v>
      </c>
      <c r="AA41" s="801">
        <f>VLOOKUP($A$1, $B$518:$AA$557, AA$1, 0)</f>
        <v>0.25</v>
      </c>
      <c r="AB41" s="801">
        <f>VLOOKUP($A$1, $B$518:$AB$560, AB$1, 0)</f>
        <v>0.71428571428571397</v>
      </c>
      <c r="AC41" s="801">
        <f>VLOOKUP($A$1, $B$518:$AC$561, AC$1, 0)</f>
        <v>0.5</v>
      </c>
      <c r="AD41" s="801" t="e">
        <f>VLOOKUP($A$1, $B$474:$AD$536, AD$1, 0)</f>
        <v>#N/A</v>
      </c>
      <c r="AE41" s="801">
        <f>VLOOKUP($A$1, $B$518:$AE$570, AE$1, 0)</f>
        <v>0.4375</v>
      </c>
      <c r="AF41" s="801">
        <f>VLOOKUP($A$1, $B$518:AF$570, AF$1, 0)</f>
        <v>0.44444444444444398</v>
      </c>
      <c r="AG41" s="801">
        <f>VLOOKUP($A$1, $B$518:AG$570, AG$1, 0)</f>
        <v>0.35714285714285698</v>
      </c>
      <c r="AH41" s="801">
        <f>VLOOKUP($A$1, $B$518:AH$570, AH$1, 0)</f>
        <v>0.29166666666666702</v>
      </c>
      <c r="AI41" s="801">
        <f>VLOOKUP($A$1, $B$518:AI$573, AI$1, 0)</f>
        <v>0.27777777777777801</v>
      </c>
      <c r="AJ41" s="801">
        <f>VLOOKUP($A$1, $B$518:AJ$573, AJ$1, 0)</f>
        <v>0.45</v>
      </c>
      <c r="AK41" s="801">
        <f>VLOOKUP($A$1, $B$518:AK$573, AK$1, 0)</f>
        <v>0.44</v>
      </c>
      <c r="AL41" s="801">
        <f>VLOOKUP($A$1, $B$518:AL$573, AL$1, 0)</f>
        <v>0.37931034482758619</v>
      </c>
      <c r="AM41" s="1757">
        <f>VLOOKUP($A$1, $B$518:AM$573,38, 0)</f>
        <v>0.12903225806451613</v>
      </c>
      <c r="AN41" s="1757">
        <f>VLOOKUP($A$1, $B$518:AN$573,39, 0)</f>
        <v>0.21875</v>
      </c>
      <c r="AO41" s="1757">
        <f>VLOOKUP($A$1, $B$518:AO$575,40, 0)</f>
        <v>0.12903225806451613</v>
      </c>
      <c r="AP41" s="1757">
        <f>VLOOKUP($A$1, $B$518:AP$575,41, 0)</f>
        <v>0.21875</v>
      </c>
      <c r="AQ41" s="1757">
        <f>VLOOKUP($A$1, $B$518:AQ$583,42, 0)</f>
        <v>3.125E-2</v>
      </c>
      <c r="AR41" s="1757">
        <f>VLOOKUP($A$1, $B$518:AR$592,43, 0)</f>
        <v>0.17241379310344829</v>
      </c>
    </row>
    <row r="42" spans="1:44" outlineLevel="1">
      <c r="A42" s="1235" t="s">
        <v>501</v>
      </c>
      <c r="B42" s="898">
        <f>SUMIFS($AM$42:$AX$42,$AA$2:$AL$2, "&lt;=" &amp; $B$3, $AM$42:$AX$42,"&lt;&gt;#N/A")</f>
        <v>28</v>
      </c>
      <c r="C42" s="803" t="e">
        <f t="shared" ref="C42:P42" si="29">C41* SUM(C39:C41)</f>
        <v>#N/A</v>
      </c>
      <c r="D42" s="803" t="e">
        <f t="shared" si="29"/>
        <v>#N/A</v>
      </c>
      <c r="E42" s="803" t="e">
        <f t="shared" si="29"/>
        <v>#N/A</v>
      </c>
      <c r="F42" s="803" t="e">
        <f t="shared" si="29"/>
        <v>#N/A</v>
      </c>
      <c r="G42" s="803" t="e">
        <f t="shared" si="29"/>
        <v>#N/A</v>
      </c>
      <c r="H42" s="803" t="e">
        <f t="shared" si="29"/>
        <v>#N/A</v>
      </c>
      <c r="I42" s="803" t="e">
        <f t="shared" si="29"/>
        <v>#N/A</v>
      </c>
      <c r="J42" s="803" t="e">
        <f t="shared" si="29"/>
        <v>#N/A</v>
      </c>
      <c r="K42" s="803" t="e">
        <f t="shared" si="29"/>
        <v>#N/A</v>
      </c>
      <c r="L42" s="803" t="e">
        <f t="shared" si="29"/>
        <v>#N/A</v>
      </c>
      <c r="M42" s="803" t="e">
        <f t="shared" si="29"/>
        <v>#N/A</v>
      </c>
      <c r="N42" s="803" t="e">
        <f t="shared" si="29"/>
        <v>#N/A</v>
      </c>
      <c r="O42" s="803" t="e">
        <f t="shared" si="29"/>
        <v>#N/A</v>
      </c>
      <c r="P42" s="803" t="e">
        <f t="shared" si="29"/>
        <v>#N/A</v>
      </c>
      <c r="Q42" s="803" t="e">
        <f>Q41* SUM(Q39:Q41)</f>
        <v>#N/A</v>
      </c>
      <c r="R42" s="803" t="e">
        <f>R41* SUM(R39:R41)</f>
        <v>#N/A</v>
      </c>
      <c r="S42" s="803" t="e">
        <f>S41* SUM(S39:S41)</f>
        <v>#N/A</v>
      </c>
      <c r="T42" s="803" t="e">
        <f t="shared" ref="T42:Z42" si="30">T41* SUM(T39:T40)</f>
        <v>#N/A</v>
      </c>
      <c r="U42" s="803" t="e">
        <f t="shared" si="30"/>
        <v>#N/A</v>
      </c>
      <c r="V42" s="803">
        <f t="shared" si="30"/>
        <v>0</v>
      </c>
      <c r="W42" s="803">
        <f t="shared" si="30"/>
        <v>0</v>
      </c>
      <c r="X42" s="803">
        <f t="shared" si="30"/>
        <v>0</v>
      </c>
      <c r="Y42" s="803">
        <f t="shared" si="30"/>
        <v>0</v>
      </c>
      <c r="Z42" s="803">
        <f t="shared" si="30"/>
        <v>0</v>
      </c>
      <c r="AA42" s="803">
        <f>AA41* SUM(AA39:AA40)</f>
        <v>2</v>
      </c>
      <c r="AB42" s="803">
        <f>AB41* SUM(AB39:AB40)</f>
        <v>4.9999999999999982</v>
      </c>
      <c r="AC42" s="803">
        <f>AC41* SUM(AC39:AC40)</f>
        <v>6</v>
      </c>
      <c r="AD42" s="803" t="e">
        <f>AD41* SUM(AD39:AD40)</f>
        <v>#N/A</v>
      </c>
      <c r="AE42" s="803">
        <f t="shared" ref="AE42:AJ42" si="31">AE41* SUM(AE39:AE40)</f>
        <v>7</v>
      </c>
      <c r="AF42" s="803">
        <f t="shared" si="31"/>
        <v>11.999999999999988</v>
      </c>
      <c r="AG42" s="803">
        <f t="shared" si="31"/>
        <v>9.9999999999999964</v>
      </c>
      <c r="AH42" s="803">
        <f t="shared" si="31"/>
        <v>7.0000000000000089</v>
      </c>
      <c r="AI42" s="803">
        <f t="shared" si="31"/>
        <v>5.0000000000000044</v>
      </c>
      <c r="AJ42" s="803">
        <f t="shared" si="31"/>
        <v>9</v>
      </c>
      <c r="AK42" s="803">
        <f t="shared" ref="AK42:AR42" si="32">AK41* SUM(AK39:AK40)</f>
        <v>11</v>
      </c>
      <c r="AL42" s="803">
        <f t="shared" si="32"/>
        <v>11</v>
      </c>
      <c r="AM42" s="1763">
        <f t="shared" si="32"/>
        <v>4</v>
      </c>
      <c r="AN42" s="1763">
        <f t="shared" si="32"/>
        <v>7</v>
      </c>
      <c r="AO42" s="1763">
        <f t="shared" si="32"/>
        <v>4</v>
      </c>
      <c r="AP42" s="1763">
        <f t="shared" si="32"/>
        <v>7</v>
      </c>
      <c r="AQ42" s="1763">
        <f t="shared" si="32"/>
        <v>1</v>
      </c>
      <c r="AR42" s="1763">
        <f t="shared" si="32"/>
        <v>5</v>
      </c>
    </row>
    <row r="43" spans="1:44" outlineLevel="1">
      <c r="A43" s="1016" t="s">
        <v>206</v>
      </c>
      <c r="B43" s="990">
        <f>SUMIFS($AM$43:$AX$43,$AA$2:$AL$2, "&lt;=" &amp; $B$3, $AM$43:$AX$43,"&lt;&gt;#N/A")</f>
        <v>53</v>
      </c>
      <c r="C43" s="1330" t="e">
        <f>VLOOKUP($A$1, $B$793:$S$820, C$1, 0)</f>
        <v>#N/A</v>
      </c>
      <c r="D43" s="1330" t="e">
        <f t="shared" ref="D43:S43" si="33">VLOOKUP($A$1, $B$793:$S$820, D$1, 0)</f>
        <v>#N/A</v>
      </c>
      <c r="E43" s="1330" t="e">
        <f t="shared" si="33"/>
        <v>#N/A</v>
      </c>
      <c r="F43" s="1330" t="e">
        <f t="shared" si="33"/>
        <v>#N/A</v>
      </c>
      <c r="G43" s="1330" t="e">
        <f t="shared" si="33"/>
        <v>#N/A</v>
      </c>
      <c r="H43" s="1330" t="e">
        <f t="shared" si="33"/>
        <v>#N/A</v>
      </c>
      <c r="I43" s="1330" t="e">
        <f t="shared" si="33"/>
        <v>#N/A</v>
      </c>
      <c r="J43" s="1330" t="e">
        <f t="shared" si="33"/>
        <v>#N/A</v>
      </c>
      <c r="K43" s="1330" t="e">
        <f t="shared" si="33"/>
        <v>#N/A</v>
      </c>
      <c r="L43" s="1330" t="e">
        <f t="shared" si="33"/>
        <v>#N/A</v>
      </c>
      <c r="M43" s="1330" t="e">
        <f t="shared" si="33"/>
        <v>#N/A</v>
      </c>
      <c r="N43" s="1330" t="e">
        <f t="shared" si="33"/>
        <v>#N/A</v>
      </c>
      <c r="O43" s="1330" t="e">
        <f t="shared" si="33"/>
        <v>#N/A</v>
      </c>
      <c r="P43" s="1330" t="e">
        <f t="shared" si="33"/>
        <v>#N/A</v>
      </c>
      <c r="Q43" s="1330" t="e">
        <f t="shared" si="33"/>
        <v>#N/A</v>
      </c>
      <c r="R43" s="1330" t="e">
        <f t="shared" si="33"/>
        <v>#N/A</v>
      </c>
      <c r="S43" s="1330" t="e">
        <f t="shared" si="33"/>
        <v>#N/A</v>
      </c>
      <c r="T43" s="1330" t="e">
        <f>VLOOKUP($A$1, $B$793:$AA$820, T$1, 0)</f>
        <v>#N/A</v>
      </c>
      <c r="U43" s="1330" t="e">
        <f>VLOOKUP($A$1, $B$793:$AA$823, U$1, 0)</f>
        <v>#N/A</v>
      </c>
      <c r="V43" s="1330">
        <f>VLOOKUP($A$1, $B$793:$AA$824, V$1, 0)</f>
        <v>0</v>
      </c>
      <c r="W43" s="1330">
        <f>VLOOKUP($A$1, $B$793:$AA$824, W$1, 0)</f>
        <v>0</v>
      </c>
      <c r="X43" s="1330">
        <f>VLOOKUP($A$1, $B$793:$AA$834, X$1, 0)</f>
        <v>0</v>
      </c>
      <c r="Y43" s="1330">
        <f>VLOOKUP($A$1, $B$793:$AA$834, Y$1, 0)</f>
        <v>0</v>
      </c>
      <c r="Z43" s="1330">
        <f>VLOOKUP($A$1, $B$793:$AA$834, Z$1, 0)</f>
        <v>0</v>
      </c>
      <c r="AA43" s="1330">
        <f>VLOOKUP($A$1, $B$793:$AA$832, AA$1, 0)</f>
        <v>3</v>
      </c>
      <c r="AB43" s="1330">
        <f>VLOOKUP($A$1, $B$793:$AB$835, AB$1, 0)</f>
        <v>8</v>
      </c>
      <c r="AC43" s="1330">
        <f>VLOOKUP($A$1, $B$793:$AC$836, AC$1, 0)</f>
        <v>10</v>
      </c>
      <c r="AD43" s="1330">
        <f>VLOOKUP($A$1, $B$793:$AD$839, AD$1, 0)</f>
        <v>11</v>
      </c>
      <c r="AE43" s="1330">
        <f>VLOOKUP($A$1, $B$793:$AE$845, AE$1, 0)</f>
        <v>8</v>
      </c>
      <c r="AF43" s="1330">
        <f>VLOOKUP($A$1, $B$793:AF$845, AF$1, 0)</f>
        <v>23</v>
      </c>
      <c r="AG43" s="1330">
        <f>VLOOKUP($A$1, $B$793:AG$845, AG$1, 0)</f>
        <v>17</v>
      </c>
      <c r="AH43" s="1330">
        <f>VLOOKUP($A$1, $B$793:AH$845, AH$1, 0)</f>
        <v>15</v>
      </c>
      <c r="AI43" s="1330">
        <f>VLOOKUP($A$1, $B$793:AI$848, AI$1, 0)</f>
        <v>6</v>
      </c>
      <c r="AJ43" s="1330">
        <f>VLOOKUP($A$1, $B$793:AJ$848, AJ$1, 0)</f>
        <v>16</v>
      </c>
      <c r="AK43" s="1330">
        <f>VLOOKUP($A$1, $B$793:AK$848, AK$1, 0)</f>
        <v>26</v>
      </c>
      <c r="AL43" s="1330">
        <f>VLOOKUP($A$1, $B$793:AL$848, AL$1, 0)</f>
        <v>32</v>
      </c>
      <c r="AM43" s="1760">
        <f>VLOOKUP($A$1, $B$793:AM$848, 38, 0)</f>
        <v>5</v>
      </c>
      <c r="AN43" s="1760">
        <f>VLOOKUP($A$1, $B$793:AN$848, 39, 0)</f>
        <v>11</v>
      </c>
      <c r="AO43" s="1760">
        <f>VLOOKUP($A$1, $B$793:AO$850, 40, 0)</f>
        <v>13</v>
      </c>
      <c r="AP43" s="1760">
        <f>VLOOKUP($A$1, $B$793:AP$850, 41, 0)</f>
        <v>9</v>
      </c>
      <c r="AQ43" s="1760">
        <f>VLOOKUP($A$1, $B$793:AQ$858, 42, 0)</f>
        <v>4</v>
      </c>
      <c r="AR43" s="1760">
        <f>VLOOKUP($A$1, $B$793:AR$867, 43, 0)</f>
        <v>11</v>
      </c>
    </row>
    <row r="44" spans="1:44" outlineLevel="1">
      <c r="A44" s="1016" t="s">
        <v>205</v>
      </c>
      <c r="B44" s="990">
        <f>SUMIFS($AM$44:$AX$44,$AA$2:$AL$2, "&lt;=" &amp; $B$3, $AM$44:$AX$44,"&lt;&gt;#N/A")</f>
        <v>8</v>
      </c>
      <c r="C44" s="1330" t="e">
        <f t="shared" ref="C44:S44" si="34">VLOOKUP($A$1, $B$883:$S$910, C$1, 0)</f>
        <v>#N/A</v>
      </c>
      <c r="D44" s="1330" t="e">
        <f t="shared" si="34"/>
        <v>#N/A</v>
      </c>
      <c r="E44" s="1330" t="e">
        <f t="shared" si="34"/>
        <v>#N/A</v>
      </c>
      <c r="F44" s="1330" t="e">
        <f t="shared" si="34"/>
        <v>#N/A</v>
      </c>
      <c r="G44" s="1330" t="e">
        <f t="shared" si="34"/>
        <v>#N/A</v>
      </c>
      <c r="H44" s="1330" t="e">
        <f t="shared" si="34"/>
        <v>#N/A</v>
      </c>
      <c r="I44" s="1330" t="e">
        <f t="shared" si="34"/>
        <v>#N/A</v>
      </c>
      <c r="J44" s="1330" t="e">
        <f t="shared" si="34"/>
        <v>#N/A</v>
      </c>
      <c r="K44" s="1330" t="e">
        <f t="shared" si="34"/>
        <v>#N/A</v>
      </c>
      <c r="L44" s="1330" t="e">
        <f t="shared" si="34"/>
        <v>#N/A</v>
      </c>
      <c r="M44" s="1330" t="e">
        <f t="shared" si="34"/>
        <v>#N/A</v>
      </c>
      <c r="N44" s="1330" t="e">
        <f t="shared" si="34"/>
        <v>#N/A</v>
      </c>
      <c r="O44" s="1330" t="e">
        <f t="shared" si="34"/>
        <v>#N/A</v>
      </c>
      <c r="P44" s="1330" t="e">
        <f t="shared" si="34"/>
        <v>#N/A</v>
      </c>
      <c r="Q44" s="1330" t="e">
        <f t="shared" si="34"/>
        <v>#N/A</v>
      </c>
      <c r="R44" s="1330" t="e">
        <f t="shared" si="34"/>
        <v>#N/A</v>
      </c>
      <c r="S44" s="1330" t="e">
        <f t="shared" si="34"/>
        <v>#N/A</v>
      </c>
      <c r="T44" s="1330" t="e">
        <f>VLOOKUP($A$1, $B$883:$AA$910, T$1, 0)</f>
        <v>#N/A</v>
      </c>
      <c r="U44" s="1330" t="e">
        <f>VLOOKUP($A$1, $B$883:$AA$913, U$1, 0)</f>
        <v>#N/A</v>
      </c>
      <c r="V44" s="1330">
        <f>VLOOKUP($A$1, $B$883:$AA$914, V$1, 0)</f>
        <v>0</v>
      </c>
      <c r="W44" s="1330">
        <f>VLOOKUP($A$1, $B$883:$AA$914, W$1, 0)</f>
        <v>0</v>
      </c>
      <c r="X44" s="1330">
        <f>VLOOKUP($A$1, $B$883:$AA$924, X$1, 0)</f>
        <v>0</v>
      </c>
      <c r="Y44" s="1330">
        <f>VLOOKUP($A$1, $B$883:$AA$924, Y$1, 0)</f>
        <v>0</v>
      </c>
      <c r="Z44" s="1330">
        <f>VLOOKUP($A$1, $B$883:$AA$924, Z$1, 0)</f>
        <v>0</v>
      </c>
      <c r="AA44" s="1330">
        <f>VLOOKUP($A$1, $B$883:$AA$924, AA$1, 0)</f>
        <v>8</v>
      </c>
      <c r="AB44" s="1330">
        <f>VLOOKUP($A$1, $B$883:$AB$925, AB$1, 0)</f>
        <v>1</v>
      </c>
      <c r="AC44" s="1330">
        <f>VLOOKUP($A$1, $B$883:$AC$926, AC$1, 0)</f>
        <v>5</v>
      </c>
      <c r="AD44" s="1330">
        <f>VLOOKUP($A$1, $B$883:$AD$929, AD$1, 0)</f>
        <v>5</v>
      </c>
      <c r="AE44" s="1330">
        <f>VLOOKUP($A$1, $B$883:$AE$935, AE$1, 0)</f>
        <v>0</v>
      </c>
      <c r="AF44" s="1330">
        <f>VLOOKUP($A$1, $B$883:AF$935, AF$1, 0)</f>
        <v>12</v>
      </c>
      <c r="AG44" s="1330">
        <f>VLOOKUP($A$1, $B$883:AG$935, AG$1, 0)</f>
        <v>2</v>
      </c>
      <c r="AH44" s="1330">
        <f>VLOOKUP($A$1, $B$883:AH$935, AH$1, 0)</f>
        <v>2</v>
      </c>
      <c r="AI44" s="1330">
        <f>VLOOKUP($A$1, $B$883:AI$938, AI$1, 0)</f>
        <v>0</v>
      </c>
      <c r="AJ44" s="1330">
        <f>VLOOKUP($A$1, $B$883:AJ$938, AJ$1, 0)</f>
        <v>2</v>
      </c>
      <c r="AK44" s="1330">
        <f>VLOOKUP($A$1, $B$883:AK$938, AK$1, 0)</f>
        <v>3</v>
      </c>
      <c r="AL44" s="1330">
        <f>VLOOKUP($A$1, $B$883:AL$938, AL$1, 0)</f>
        <v>6</v>
      </c>
      <c r="AM44" s="1760">
        <f>VLOOKUP($A$1, $B$883:AM$938,38, 0)</f>
        <v>1</v>
      </c>
      <c r="AN44" s="1760">
        <f>VLOOKUP($A$1, $B$883:AN$938,39, 0)</f>
        <v>2</v>
      </c>
      <c r="AO44" s="1760">
        <f>VLOOKUP($A$1, $B$883:AO$940,40, 0)</f>
        <v>0</v>
      </c>
      <c r="AP44" s="1760">
        <f>VLOOKUP($A$1, $B$883:AP$940,41, 0)</f>
        <v>2</v>
      </c>
      <c r="AQ44" s="1760">
        <f>VLOOKUP($A$1, $B$883:AQ$948,42, 0)</f>
        <v>0</v>
      </c>
      <c r="AR44" s="1760">
        <f>VLOOKUP($A$1, $B$883:AR$957,43, 0)</f>
        <v>3</v>
      </c>
    </row>
    <row r="45" spans="1:44" outlineLevel="1">
      <c r="A45" s="1016" t="s">
        <v>341</v>
      </c>
      <c r="B45" s="1386">
        <f>SUMIFS( $AM$45:$AX$45,$AA$2:$AL$2, "&lt;=" &amp; $B$3, $AM$45:$AX$45,"&lt;&gt;#N/A")</f>
        <v>40</v>
      </c>
      <c r="C45" s="1330" t="e">
        <f t="shared" ref="C45:S45" si="35">VLOOKUP($A$1, $B$1144:$S$1171, C$1, 0)</f>
        <v>#N/A</v>
      </c>
      <c r="D45" s="1330" t="e">
        <f t="shared" si="35"/>
        <v>#N/A</v>
      </c>
      <c r="E45" s="1330" t="e">
        <f t="shared" si="35"/>
        <v>#N/A</v>
      </c>
      <c r="F45" s="1330" t="e">
        <f t="shared" si="35"/>
        <v>#N/A</v>
      </c>
      <c r="G45" s="1330" t="e">
        <f t="shared" si="35"/>
        <v>#N/A</v>
      </c>
      <c r="H45" s="1330" t="e">
        <f t="shared" si="35"/>
        <v>#N/A</v>
      </c>
      <c r="I45" s="1330" t="e">
        <f t="shared" si="35"/>
        <v>#N/A</v>
      </c>
      <c r="J45" s="1330" t="e">
        <f t="shared" si="35"/>
        <v>#N/A</v>
      </c>
      <c r="K45" s="1330" t="e">
        <f t="shared" si="35"/>
        <v>#N/A</v>
      </c>
      <c r="L45" s="1330" t="e">
        <f t="shared" si="35"/>
        <v>#N/A</v>
      </c>
      <c r="M45" s="1330" t="e">
        <f t="shared" si="35"/>
        <v>#N/A</v>
      </c>
      <c r="N45" s="1330" t="e">
        <f t="shared" si="35"/>
        <v>#N/A</v>
      </c>
      <c r="O45" s="1330" t="e">
        <f t="shared" si="35"/>
        <v>#N/A</v>
      </c>
      <c r="P45" s="1330" t="e">
        <f t="shared" si="35"/>
        <v>#N/A</v>
      </c>
      <c r="Q45" s="1330" t="e">
        <f t="shared" si="35"/>
        <v>#N/A</v>
      </c>
      <c r="R45" s="1330" t="e">
        <f t="shared" si="35"/>
        <v>#N/A</v>
      </c>
      <c r="S45" s="1330" t="e">
        <f t="shared" si="35"/>
        <v>#N/A</v>
      </c>
      <c r="T45" s="1330" t="e">
        <f>VLOOKUP($A$1, $B$1144:$AA$1171, T$1, 0)</f>
        <v>#N/A</v>
      </c>
      <c r="U45" s="1330" t="e">
        <f>VLOOKUP($A$1, $B$1144:$AA$1174, U$1, 0)</f>
        <v>#N/A</v>
      </c>
      <c r="V45" s="1330">
        <f>VLOOKUP($A$1, $B$1144:$AA$1175, V$1, 0)</f>
        <v>0</v>
      </c>
      <c r="W45" s="1330">
        <f>VLOOKUP($A$1, $B$1144:$AA$1175, W$1, 0)</f>
        <v>0</v>
      </c>
      <c r="X45" s="1330">
        <f>VLOOKUP($A$1, $B$1144:$AA$1185, X$1, 0)</f>
        <v>0</v>
      </c>
      <c r="Y45" s="1330">
        <f>VLOOKUP($A$1, $B$1144:$AA$1185, Y$1, 0)</f>
        <v>0</v>
      </c>
      <c r="Z45" s="1330">
        <f>VLOOKUP($A$1, $B$1144:$AA$1185, Z$1, 0)</f>
        <v>0</v>
      </c>
      <c r="AA45" s="1330">
        <f>VLOOKUP($A$1, $B$1144:$AA$1185, AA$1, 0)</f>
        <v>0</v>
      </c>
      <c r="AB45" s="1330">
        <f>VLOOKUP($A$1, $B$1144:$AB$1186, AB$1, 0)</f>
        <v>0</v>
      </c>
      <c r="AC45" s="1330">
        <f>VLOOKUP($A$1, $B$1144:$AC$1187, AC$1, 0)</f>
        <v>0</v>
      </c>
      <c r="AD45" s="1330">
        <f>VLOOKUP($A$1, $B$1144:$AD$1190, AD$1, 0)</f>
        <v>0</v>
      </c>
      <c r="AE45" s="1330">
        <f>VLOOKUP($A$1, $B$1144:$AE$1196, AE$1, 0)</f>
        <v>8</v>
      </c>
      <c r="AF45" s="1330">
        <f>VLOOKUP($A$1, $B$1144:AF$1196, AF$1, 0)</f>
        <v>9</v>
      </c>
      <c r="AG45" s="1330">
        <f>VLOOKUP($A$1, $B$1144:AG$1196, AG$1, 0)</f>
        <v>7</v>
      </c>
      <c r="AH45" s="1330">
        <f>VLOOKUP($A$1, $B$1144:AH$1196, AH$1, 0)</f>
        <v>2</v>
      </c>
      <c r="AI45" s="1330">
        <f>VLOOKUP($A$1, $B$1144:AI$1199, AI$1, 0)</f>
        <v>21</v>
      </c>
      <c r="AJ45" s="1330">
        <f>VLOOKUP($A$1, $B$1144:AJ$1199, AJ$1, 0)</f>
        <v>16</v>
      </c>
      <c r="AK45" s="1330">
        <f>VLOOKUP($A$1, $B$1144:AK$1199, AK$1, 0)</f>
        <v>19</v>
      </c>
      <c r="AL45" s="1330">
        <f>VLOOKUP($A$1, $B$1144:AL$1199, AL$1, 0)</f>
        <v>15</v>
      </c>
      <c r="AM45" s="1760">
        <f>VLOOKUP($A$1, $B$1144:AM$1199, 38, 0)</f>
        <v>0</v>
      </c>
      <c r="AN45" s="1760">
        <f>VLOOKUP($A$1, $B$1144:AN$1199, 39, 0)</f>
        <v>7</v>
      </c>
      <c r="AO45" s="1760">
        <f>VLOOKUP($A$1, $B$1144:AO$1201, 40, 0)</f>
        <v>17</v>
      </c>
      <c r="AP45" s="1760">
        <f>VLOOKUP($A$1, $B$1144:AP$1201, 41, 0)</f>
        <v>0</v>
      </c>
      <c r="AQ45" s="1760">
        <f>VLOOKUP($A$1, $B$1144:AQ$1209, 42, 0)</f>
        <v>16</v>
      </c>
      <c r="AR45" s="1760">
        <f>VLOOKUP($A$1, $B$1144:AR$1218, 43, 0)</f>
        <v>0</v>
      </c>
    </row>
    <row r="46" spans="1:44" outlineLevel="1">
      <c r="AM46" s="782"/>
    </row>
    <row r="47" spans="1:44" outlineLevel="1"/>
    <row r="48" spans="1:44" outlineLevel="1">
      <c r="B48" s="476" t="s">
        <v>382</v>
      </c>
      <c r="C48" s="1487" t="s">
        <v>275</v>
      </c>
    </row>
    <row r="49" spans="2:45" outlineLevel="1">
      <c r="B49" s="341" t="s">
        <v>253</v>
      </c>
      <c r="C49" s="1016">
        <v>201301</v>
      </c>
      <c r="D49" s="1016">
        <v>201302</v>
      </c>
      <c r="E49" s="1016">
        <v>201303</v>
      </c>
      <c r="F49" s="1016">
        <v>201304</v>
      </c>
      <c r="G49" s="1016">
        <v>201305</v>
      </c>
      <c r="H49" s="1016">
        <v>201306</v>
      </c>
      <c r="I49" s="1016">
        <v>201307</v>
      </c>
      <c r="J49" s="1016">
        <v>201308</v>
      </c>
      <c r="K49" s="1016">
        <v>201309</v>
      </c>
      <c r="L49" s="1016">
        <v>201310</v>
      </c>
      <c r="M49" s="1016">
        <v>201311</v>
      </c>
      <c r="N49" s="1016">
        <v>201312</v>
      </c>
      <c r="O49" s="1016">
        <v>201401</v>
      </c>
      <c r="P49" s="1016">
        <v>201402</v>
      </c>
      <c r="Q49" s="1016">
        <v>201403</v>
      </c>
      <c r="R49" s="1016">
        <v>201404</v>
      </c>
      <c r="S49" s="1016">
        <v>201405</v>
      </c>
      <c r="T49" s="1016">
        <v>201406</v>
      </c>
      <c r="U49" s="1016">
        <v>201407</v>
      </c>
      <c r="V49" s="1016">
        <v>201408</v>
      </c>
      <c r="W49" s="1016">
        <v>201409</v>
      </c>
      <c r="X49" s="1016">
        <v>201410</v>
      </c>
      <c r="Y49" s="1016">
        <v>201411</v>
      </c>
      <c r="Z49" s="1016">
        <v>201412</v>
      </c>
      <c r="AA49" s="1016">
        <v>201501</v>
      </c>
      <c r="AB49" s="1016">
        <v>201502</v>
      </c>
      <c r="AC49" s="1016">
        <v>201503</v>
      </c>
      <c r="AD49" s="1016">
        <v>201504</v>
      </c>
      <c r="AE49" s="1016">
        <v>201505</v>
      </c>
      <c r="AF49" s="1016">
        <v>201506</v>
      </c>
      <c r="AG49" s="1016">
        <v>201507</v>
      </c>
      <c r="AH49" s="1016">
        <v>201508</v>
      </c>
      <c r="AI49" s="1016">
        <v>201509</v>
      </c>
      <c r="AJ49" s="1016">
        <v>201510</v>
      </c>
      <c r="AK49" s="1016">
        <v>201511</v>
      </c>
      <c r="AL49" s="1016">
        <v>201512</v>
      </c>
      <c r="AM49" s="1016">
        <v>201601</v>
      </c>
      <c r="AN49" s="1016">
        <v>201602</v>
      </c>
      <c r="AO49" s="1016">
        <v>201603</v>
      </c>
      <c r="AP49" s="1016">
        <v>201604</v>
      </c>
      <c r="AQ49" s="1016">
        <v>201605</v>
      </c>
      <c r="AR49" s="1016">
        <v>201606</v>
      </c>
      <c r="AS49" s="1016" t="s">
        <v>274</v>
      </c>
    </row>
    <row r="50" spans="2:45" outlineLevel="1">
      <c r="B50" s="1444" t="s">
        <v>191</v>
      </c>
      <c r="C50" s="475"/>
      <c r="D50" s="475"/>
      <c r="E50" s="475">
        <v>1.3333333333333299</v>
      </c>
      <c r="F50" s="475">
        <v>0.9</v>
      </c>
      <c r="G50" s="475">
        <v>0.5</v>
      </c>
      <c r="H50" s="475">
        <v>0.328358208955224</v>
      </c>
      <c r="I50" s="475">
        <v>0.133333333333333</v>
      </c>
      <c r="J50" s="475">
        <v>0.14814814814814814</v>
      </c>
      <c r="K50" s="475">
        <v>0.19672131147541</v>
      </c>
      <c r="L50" s="475">
        <v>0.140625</v>
      </c>
      <c r="M50" s="475">
        <v>9.6773999999999999E-2</v>
      </c>
      <c r="N50" s="475">
        <v>0.18179999999999999</v>
      </c>
      <c r="O50" s="475">
        <v>7.51E-2</v>
      </c>
      <c r="P50" s="475">
        <v>0.1043</v>
      </c>
      <c r="Q50" s="475">
        <v>0.12180000000000001</v>
      </c>
      <c r="R50" s="475">
        <v>0.1099</v>
      </c>
      <c r="S50" s="475">
        <v>0.1019</v>
      </c>
      <c r="T50" s="475">
        <v>0.32608700000000002</v>
      </c>
      <c r="U50" s="475">
        <v>0.28235300000000002</v>
      </c>
      <c r="V50" s="475">
        <v>0.32608700000000002</v>
      </c>
      <c r="W50" s="475">
        <v>0.30275200000000002</v>
      </c>
      <c r="X50" s="475">
        <v>0.22317600000000001</v>
      </c>
      <c r="Y50" s="475">
        <v>0.21774199999999999</v>
      </c>
      <c r="Z50" s="475">
        <v>0.37681199999999998</v>
      </c>
      <c r="AA50" s="475">
        <v>0.16413373860182401</v>
      </c>
      <c r="AB50" s="475">
        <v>0.20596205962059599</v>
      </c>
      <c r="AC50" s="475">
        <v>0.36499999999999999</v>
      </c>
      <c r="AD50" s="475">
        <v>0.19736799999999999</v>
      </c>
      <c r="AE50" s="475">
        <v>0.196078</v>
      </c>
      <c r="AF50" s="475">
        <v>0.29767399999999999</v>
      </c>
      <c r="AG50" s="475">
        <v>0.16580300000000001</v>
      </c>
      <c r="AH50" s="475">
        <v>0.27741900000000003</v>
      </c>
      <c r="AI50" s="475">
        <v>0.46268700000000001</v>
      </c>
      <c r="AJ50" s="475">
        <v>0.50387599999999999</v>
      </c>
      <c r="AK50" s="475">
        <v>0.37142900000000001</v>
      </c>
      <c r="AL50" s="475">
        <v>0.38730199999999998</v>
      </c>
      <c r="AM50" s="475">
        <v>0.15757599999999999</v>
      </c>
      <c r="AN50" s="475">
        <v>8.9172000000000001E-2</v>
      </c>
      <c r="AO50" s="475">
        <v>0.51773000000000002</v>
      </c>
      <c r="AP50" s="475">
        <v>0.26760600000000001</v>
      </c>
      <c r="AQ50" s="475">
        <v>0.38586999999999999</v>
      </c>
      <c r="AR50" s="475">
        <v>0.54316500000000001</v>
      </c>
      <c r="AS50" s="475">
        <v>0.30207382833669671</v>
      </c>
    </row>
    <row r="51" spans="2:45" outlineLevel="1">
      <c r="B51" s="1444" t="s">
        <v>189</v>
      </c>
      <c r="C51" s="475"/>
      <c r="D51" s="475"/>
      <c r="E51" s="475">
        <v>1.1111111111111101</v>
      </c>
      <c r="F51" s="475">
        <v>0.47058823529411797</v>
      </c>
      <c r="G51" s="475">
        <v>0.32786900000000002</v>
      </c>
      <c r="H51" s="475">
        <v>0.292682926829268</v>
      </c>
      <c r="I51" s="475">
        <v>0.21782178217821799</v>
      </c>
      <c r="J51" s="475">
        <v>0.25225225225225223</v>
      </c>
      <c r="K51" s="475">
        <v>0.36666666666666697</v>
      </c>
      <c r="L51" s="475">
        <v>0.22058800000000001</v>
      </c>
      <c r="M51" s="475">
        <v>0.216561</v>
      </c>
      <c r="N51" s="475">
        <v>0.38300000000000001</v>
      </c>
      <c r="O51" s="475">
        <v>7.6899999999999996E-2</v>
      </c>
      <c r="P51" s="475">
        <v>0.17910000000000001</v>
      </c>
      <c r="Q51" s="475">
        <v>7.6600000000000001E-2</v>
      </c>
      <c r="R51" s="475">
        <v>0.2072</v>
      </c>
      <c r="S51" s="475">
        <v>0.23810000000000001</v>
      </c>
      <c r="T51" s="475">
        <v>0.33201599999999998</v>
      </c>
      <c r="U51" s="475">
        <v>0.15261</v>
      </c>
      <c r="V51" s="475">
        <v>0.242678</v>
      </c>
      <c r="W51" s="475">
        <v>0.31390099999999999</v>
      </c>
      <c r="X51" s="475">
        <v>0.42016799999999999</v>
      </c>
      <c r="Y51" s="475">
        <v>0.42253499999999999</v>
      </c>
      <c r="Z51" s="475">
        <v>0.40462399999999998</v>
      </c>
      <c r="AA51" s="475">
        <v>0.28426395939086302</v>
      </c>
      <c r="AB51" s="475">
        <v>0.164251207729469</v>
      </c>
      <c r="AC51" s="475">
        <v>0.18779342723004699</v>
      </c>
      <c r="AD51" s="475">
        <v>0.37944699999999998</v>
      </c>
      <c r="AE51" s="475">
        <v>0.36129</v>
      </c>
      <c r="AF51" s="475">
        <v>0.23255799999999999</v>
      </c>
      <c r="AG51" s="475">
        <v>0.30057800000000001</v>
      </c>
      <c r="AH51" s="475">
        <v>0.29545500000000002</v>
      </c>
      <c r="AI51" s="475">
        <v>0.36871500000000001</v>
      </c>
      <c r="AJ51" s="475">
        <v>0.29447899999999999</v>
      </c>
      <c r="AK51" s="475">
        <v>0.37241400000000002</v>
      </c>
      <c r="AL51" s="475">
        <v>0.39416099999999998</v>
      </c>
      <c r="AM51" s="475">
        <v>0.14388500000000001</v>
      </c>
      <c r="AN51" s="475">
        <v>0.244898</v>
      </c>
      <c r="AO51" s="475">
        <v>0.32894699999999999</v>
      </c>
      <c r="AP51" s="475">
        <v>0.30065399999999998</v>
      </c>
      <c r="AQ51" s="475">
        <v>0.261438</v>
      </c>
      <c r="AR51" s="475"/>
      <c r="AS51" s="475">
        <v>0.30361027099184645</v>
      </c>
    </row>
    <row r="52" spans="2:45" outlineLevel="1">
      <c r="B52" s="1444" t="s">
        <v>192</v>
      </c>
      <c r="C52" s="475"/>
      <c r="D52" s="475"/>
      <c r="E52" s="475">
        <v>2</v>
      </c>
      <c r="F52" s="475">
        <v>0.4</v>
      </c>
      <c r="G52" s="475">
        <v>0.43478299999999998</v>
      </c>
      <c r="H52" s="475">
        <v>0.28571428571428598</v>
      </c>
      <c r="I52" s="475">
        <v>0.13636363636363599</v>
      </c>
      <c r="J52" s="475">
        <v>0.19354838709677419</v>
      </c>
      <c r="K52" s="475">
        <v>0.208695652173913</v>
      </c>
      <c r="L52" s="475">
        <v>0.24113499999999999</v>
      </c>
      <c r="M52" s="475">
        <v>0.16969699999999999</v>
      </c>
      <c r="N52" s="475">
        <v>0.16750000000000001</v>
      </c>
      <c r="O52" s="475">
        <v>5.4600000000000003E-2</v>
      </c>
      <c r="P52" s="475">
        <v>0.1366</v>
      </c>
      <c r="Q52" s="475">
        <v>0.15490000000000001</v>
      </c>
      <c r="R52" s="475">
        <v>7.7499999999999999E-2</v>
      </c>
      <c r="S52" s="475">
        <v>6.3E-2</v>
      </c>
      <c r="T52" s="475"/>
      <c r="U52" s="475"/>
      <c r="V52" s="475"/>
      <c r="W52" s="475"/>
      <c r="X52" s="475"/>
      <c r="Y52" s="475"/>
      <c r="Z52" s="475"/>
      <c r="AA52" s="475"/>
      <c r="AB52" s="475"/>
      <c r="AC52" s="475"/>
      <c r="AD52" s="475"/>
      <c r="AE52" s="475"/>
      <c r="AF52" s="475"/>
      <c r="AG52" s="475"/>
      <c r="AH52" s="475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>
        <v>0.31493579742324052</v>
      </c>
    </row>
    <row r="53" spans="2:45" outlineLevel="1">
      <c r="B53" s="1444" t="s">
        <v>194</v>
      </c>
      <c r="C53" s="475"/>
      <c r="D53" s="475"/>
      <c r="E53" s="475"/>
      <c r="F53" s="475">
        <v>0.8</v>
      </c>
      <c r="G53" s="475">
        <v>0.418605</v>
      </c>
      <c r="H53" s="475">
        <v>0.133333333333333</v>
      </c>
      <c r="I53" s="475">
        <v>8.8235294117647106E-2</v>
      </c>
      <c r="J53" s="475">
        <v>0.08</v>
      </c>
      <c r="K53" s="475">
        <v>0.148148148148148</v>
      </c>
      <c r="L53" s="475">
        <v>0.214286</v>
      </c>
      <c r="M53" s="475">
        <v>0.17777799999999999</v>
      </c>
      <c r="N53" s="475">
        <v>0.23300000000000001</v>
      </c>
      <c r="O53" s="475">
        <v>0.12959999999999999</v>
      </c>
      <c r="P53" s="475">
        <v>0.156</v>
      </c>
      <c r="Q53" s="475">
        <v>9.6000000000000002E-2</v>
      </c>
      <c r="R53" s="475">
        <v>0.13739999999999999</v>
      </c>
      <c r="S53" s="475">
        <v>0.17649999999999999</v>
      </c>
      <c r="T53" s="475">
        <v>0.23880599999999999</v>
      </c>
      <c r="U53" s="475">
        <v>0.32758599999999999</v>
      </c>
      <c r="V53" s="475">
        <v>0.31481500000000001</v>
      </c>
      <c r="W53" s="475">
        <v>0.12069000000000001</v>
      </c>
      <c r="X53" s="475">
        <v>0.305085</v>
      </c>
      <c r="Y53" s="475">
        <v>0.24590200000000001</v>
      </c>
      <c r="Z53" s="475">
        <v>0.293103</v>
      </c>
      <c r="AA53" s="475">
        <v>0.17142857142857101</v>
      </c>
      <c r="AB53" s="475">
        <v>0.12631578947368399</v>
      </c>
      <c r="AC53" s="475">
        <v>0.15730337078651699</v>
      </c>
      <c r="AD53" s="475">
        <v>0.242424</v>
      </c>
      <c r="AE53" s="475">
        <v>0.22018299999999999</v>
      </c>
      <c r="AF53" s="475">
        <v>0.224</v>
      </c>
      <c r="AG53" s="475">
        <v>0.44444400000000001</v>
      </c>
      <c r="AH53" s="475">
        <v>0.25210100000000002</v>
      </c>
      <c r="AI53" s="475">
        <v>0.4</v>
      </c>
      <c r="AJ53" s="475">
        <v>0.33576600000000001</v>
      </c>
      <c r="AK53" s="475">
        <v>0.246753</v>
      </c>
      <c r="AL53" s="475">
        <v>0.37662299999999999</v>
      </c>
      <c r="AM53" s="475">
        <v>0.139241</v>
      </c>
      <c r="AN53" s="475">
        <v>0.100629</v>
      </c>
      <c r="AO53" s="475">
        <v>0.16883100000000001</v>
      </c>
      <c r="AP53" s="475">
        <v>0.17808199999999999</v>
      </c>
      <c r="AQ53" s="475">
        <v>0.141844</v>
      </c>
      <c r="AR53" s="475">
        <v>0</v>
      </c>
      <c r="AS53" s="475">
        <v>0.22463696172533082</v>
      </c>
    </row>
    <row r="54" spans="2:45" outlineLevel="1">
      <c r="B54" s="1444" t="s">
        <v>190</v>
      </c>
      <c r="C54" s="475"/>
      <c r="D54" s="475"/>
      <c r="E54" s="475">
        <v>1</v>
      </c>
      <c r="F54" s="475">
        <v>0.82352941176470595</v>
      </c>
      <c r="G54" s="475">
        <v>0.4375</v>
      </c>
      <c r="H54" s="475">
        <v>0.40909090909090901</v>
      </c>
      <c r="I54" s="475">
        <v>0.2</v>
      </c>
      <c r="J54" s="475">
        <v>0.19444444444444445</v>
      </c>
      <c r="K54" s="475">
        <v>0.476190476190476</v>
      </c>
      <c r="L54" s="475">
        <v>0.19802</v>
      </c>
      <c r="M54" s="475">
        <v>0.17391300000000001</v>
      </c>
      <c r="N54" s="475">
        <v>0.30399999999999999</v>
      </c>
      <c r="O54" s="475">
        <v>5.9299999999999999E-2</v>
      </c>
      <c r="P54" s="475">
        <v>0.16919999999999999</v>
      </c>
      <c r="Q54" s="475">
        <v>8.3299999999999999E-2</v>
      </c>
      <c r="R54" s="475">
        <v>9.3799999999999994E-2</v>
      </c>
      <c r="S54" s="475">
        <v>9.9299999999999999E-2</v>
      </c>
      <c r="T54" s="475">
        <v>0.26865699999999998</v>
      </c>
      <c r="U54" s="475">
        <v>8.3333000000000004E-2</v>
      </c>
      <c r="V54" s="475">
        <v>8.4746000000000002E-2</v>
      </c>
      <c r="W54" s="475">
        <v>0.15789500000000001</v>
      </c>
      <c r="X54" s="475">
        <v>0.141732</v>
      </c>
      <c r="Y54" s="475">
        <v>0.21238899999999999</v>
      </c>
      <c r="Z54" s="475">
        <v>0.42857099999999998</v>
      </c>
      <c r="AA54" s="475">
        <v>0.28571428571428598</v>
      </c>
      <c r="AB54" s="475">
        <v>0.2</v>
      </c>
      <c r="AC54" s="475">
        <v>0.26262626262626299</v>
      </c>
      <c r="AD54" s="475">
        <v>0.17821799999999999</v>
      </c>
      <c r="AE54" s="475">
        <v>0.316832</v>
      </c>
      <c r="AF54" s="475">
        <v>0.36363600000000001</v>
      </c>
      <c r="AG54" s="475">
        <v>0.40366999999999997</v>
      </c>
      <c r="AH54" s="475">
        <v>0.375</v>
      </c>
      <c r="AI54" s="475">
        <v>0.58108099999999996</v>
      </c>
      <c r="AJ54" s="475">
        <v>0.305732</v>
      </c>
      <c r="AK54" s="475">
        <v>0.51428600000000002</v>
      </c>
      <c r="AL54" s="475">
        <v>0.45226100000000002</v>
      </c>
      <c r="AM54" s="475">
        <v>0.294931</v>
      </c>
      <c r="AN54" s="475">
        <v>0.18884100000000001</v>
      </c>
      <c r="AO54" s="475">
        <v>0.37398399999999998</v>
      </c>
      <c r="AP54" s="475">
        <v>0.139706</v>
      </c>
      <c r="AQ54" s="475"/>
      <c r="AR54" s="475"/>
      <c r="AS54" s="475">
        <v>0.29830078394292331</v>
      </c>
    </row>
    <row r="55" spans="2:45" outlineLevel="1">
      <c r="B55" s="1444" t="s">
        <v>92</v>
      </c>
      <c r="C55" s="475">
        <v>0.76923076923076905</v>
      </c>
      <c r="D55" s="475">
        <v>0.32258064516128998</v>
      </c>
      <c r="E55" s="475">
        <v>0.38095238095238099</v>
      </c>
      <c r="F55" s="475">
        <v>0.113207547169811</v>
      </c>
      <c r="G55" s="475">
        <v>0.22580600000000001</v>
      </c>
      <c r="H55" s="475">
        <v>0.219512195121951</v>
      </c>
      <c r="I55" s="475">
        <v>0.14893617021276601</v>
      </c>
      <c r="J55" s="475">
        <v>0.1875</v>
      </c>
      <c r="K55" s="475">
        <v>0.27419354838709697</v>
      </c>
      <c r="L55" s="475">
        <v>0.31506800000000001</v>
      </c>
      <c r="M55" s="475">
        <v>0.192771</v>
      </c>
      <c r="N55" s="475">
        <v>0.29020000000000001</v>
      </c>
      <c r="O55" s="475">
        <v>0.22969999999999999</v>
      </c>
      <c r="P55" s="475">
        <v>0.22220000000000001</v>
      </c>
      <c r="Q55" s="475">
        <v>0.27779999999999999</v>
      </c>
      <c r="R55" s="475">
        <v>0.251</v>
      </c>
      <c r="S55" s="475">
        <v>0.2868</v>
      </c>
      <c r="T55" s="475">
        <v>0.34782600000000002</v>
      </c>
      <c r="U55" s="475">
        <v>0.26794299999999999</v>
      </c>
      <c r="V55" s="475">
        <v>0.32710299999999998</v>
      </c>
      <c r="W55" s="475">
        <v>0.324324</v>
      </c>
      <c r="X55" s="475">
        <v>0.30973499999999998</v>
      </c>
      <c r="Y55" s="475">
        <v>0.26363599999999998</v>
      </c>
      <c r="Z55" s="475">
        <v>0.42922399999999999</v>
      </c>
      <c r="AA55" s="475">
        <v>0.22608695652173899</v>
      </c>
      <c r="AB55" s="475">
        <v>0.16239316239316201</v>
      </c>
      <c r="AC55" s="475">
        <v>0.14285714285714299</v>
      </c>
      <c r="AD55" s="475">
        <v>0.222222</v>
      </c>
      <c r="AE55" s="475">
        <v>0.32748500000000003</v>
      </c>
      <c r="AF55" s="475">
        <v>0.36363600000000001</v>
      </c>
      <c r="AG55" s="475">
        <v>0.36199100000000001</v>
      </c>
      <c r="AH55" s="475">
        <v>0.28985499999999997</v>
      </c>
      <c r="AI55" s="475">
        <v>0.42364499999999999</v>
      </c>
      <c r="AJ55" s="475">
        <v>0.26794299999999999</v>
      </c>
      <c r="AK55" s="475">
        <v>0.49074099999999998</v>
      </c>
      <c r="AL55" s="475">
        <v>0.456621</v>
      </c>
      <c r="AM55" s="475">
        <v>0.116592</v>
      </c>
      <c r="AN55" s="475">
        <v>0.141593</v>
      </c>
      <c r="AO55" s="475">
        <v>0.24576300000000001</v>
      </c>
      <c r="AP55" s="475">
        <v>0.28215800000000002</v>
      </c>
      <c r="AQ55" s="475">
        <v>0.154472</v>
      </c>
      <c r="AR55" s="475"/>
      <c r="AS55" s="475">
        <v>0.28422691507336856</v>
      </c>
    </row>
    <row r="56" spans="2:45" outlineLevel="1">
      <c r="B56" s="1444" t="s">
        <v>17</v>
      </c>
      <c r="C56" s="475">
        <v>0.25</v>
      </c>
      <c r="D56" s="475">
        <v>6.8965517241379296E-2</v>
      </c>
      <c r="E56" s="475">
        <v>0.19354838709677399</v>
      </c>
      <c r="F56" s="475">
        <v>0.21212121212121199</v>
      </c>
      <c r="G56" s="475">
        <v>0.17391300000000001</v>
      </c>
      <c r="H56" s="475">
        <v>0.15730337078651699</v>
      </c>
      <c r="I56" s="475">
        <v>0.16</v>
      </c>
      <c r="J56" s="475">
        <v>0.10204081632653061</v>
      </c>
      <c r="K56" s="475">
        <v>0.23913043478260901</v>
      </c>
      <c r="L56" s="475">
        <v>0.222222</v>
      </c>
      <c r="M56" s="475">
        <v>0.157303</v>
      </c>
      <c r="N56" s="475">
        <v>0.14430000000000001</v>
      </c>
      <c r="O56" s="475">
        <v>0.1036</v>
      </c>
      <c r="P56" s="475">
        <v>9.3799999999999994E-2</v>
      </c>
      <c r="Q56" s="475">
        <v>0.18459999999999999</v>
      </c>
      <c r="R56" s="475">
        <v>0.17480000000000001</v>
      </c>
      <c r="S56" s="475">
        <v>0.17269999999999999</v>
      </c>
      <c r="T56" s="475">
        <v>0.27884599999999998</v>
      </c>
      <c r="U56" s="475">
        <v>0.143646</v>
      </c>
      <c r="V56" s="475">
        <v>0.105882</v>
      </c>
      <c r="W56" s="475">
        <v>0.16867499999999999</v>
      </c>
      <c r="X56" s="475">
        <v>0.18987299999999999</v>
      </c>
      <c r="Y56" s="475">
        <v>0.346667</v>
      </c>
      <c r="Z56" s="475">
        <v>0.36363600000000001</v>
      </c>
      <c r="AA56" s="475">
        <v>0.18300653594771199</v>
      </c>
      <c r="AB56" s="475">
        <v>0.13986013986014001</v>
      </c>
      <c r="AC56" s="475">
        <v>0.125874125874126</v>
      </c>
      <c r="AD56" s="475">
        <v>0.17391300000000001</v>
      </c>
      <c r="AE56" s="475">
        <v>0.33613399999999999</v>
      </c>
      <c r="AF56" s="475">
        <v>0.28301900000000002</v>
      </c>
      <c r="AG56" s="475">
        <v>0.27722799999999997</v>
      </c>
      <c r="AH56" s="475">
        <v>0.30612200000000001</v>
      </c>
      <c r="AI56" s="475">
        <v>0.35416700000000001</v>
      </c>
      <c r="AJ56" s="475">
        <v>0.35164800000000002</v>
      </c>
      <c r="AK56" s="475">
        <v>0.4</v>
      </c>
      <c r="AL56" s="475">
        <v>0.33333299999999999</v>
      </c>
      <c r="AM56" s="475">
        <v>0.119048</v>
      </c>
      <c r="AN56" s="475">
        <v>0.16470599999999999</v>
      </c>
      <c r="AO56" s="475">
        <v>0.24719099999999999</v>
      </c>
      <c r="AP56" s="475">
        <v>8.7912000000000004E-2</v>
      </c>
      <c r="AQ56" s="475">
        <v>0.24444399999999999</v>
      </c>
      <c r="AR56" s="475">
        <v>0.33707900000000002</v>
      </c>
      <c r="AS56" s="475">
        <v>0.21124422714373803</v>
      </c>
    </row>
    <row r="57" spans="2:45" outlineLevel="1">
      <c r="B57" s="1444" t="s">
        <v>188</v>
      </c>
      <c r="C57" s="475"/>
      <c r="D57" s="475"/>
      <c r="E57" s="475">
        <v>1.2</v>
      </c>
      <c r="F57" s="475">
        <v>0.30303030303030298</v>
      </c>
      <c r="G57" s="475">
        <v>0.4</v>
      </c>
      <c r="H57" s="475">
        <v>0.24390243902438999</v>
      </c>
      <c r="I57" s="475">
        <v>6.3829787234042507E-2</v>
      </c>
      <c r="J57" s="475">
        <v>0.15094339622641509</v>
      </c>
      <c r="K57" s="475">
        <v>0.17886178861788599</v>
      </c>
      <c r="L57" s="475">
        <v>0.21126800000000001</v>
      </c>
      <c r="M57" s="475">
        <v>0.20125799999999999</v>
      </c>
      <c r="N57" s="475">
        <v>0.20649999999999999</v>
      </c>
      <c r="O57" s="475">
        <v>3.0499999999999999E-2</v>
      </c>
      <c r="P57" s="475">
        <v>8.0500000000000002E-2</v>
      </c>
      <c r="Q57" s="475">
        <v>5.2999999999999999E-2</v>
      </c>
      <c r="R57" s="475">
        <v>3.95E-2</v>
      </c>
      <c r="S57" s="475">
        <v>0.13020000000000001</v>
      </c>
      <c r="T57" s="475">
        <v>0.27710800000000002</v>
      </c>
      <c r="U57" s="475">
        <v>0.31788100000000002</v>
      </c>
      <c r="V57" s="475">
        <v>0.46060600000000002</v>
      </c>
      <c r="W57" s="475">
        <v>0.45263199999999998</v>
      </c>
      <c r="X57" s="475">
        <v>0.323625</v>
      </c>
      <c r="Y57" s="475">
        <v>0.29325499999999999</v>
      </c>
      <c r="Z57" s="475">
        <v>0.4375</v>
      </c>
      <c r="AA57" s="475">
        <v>0.23163841807909599</v>
      </c>
      <c r="AB57" s="475">
        <v>0.20963172804532601</v>
      </c>
      <c r="AC57" s="475">
        <v>0.35362318840579698</v>
      </c>
      <c r="AD57" s="475">
        <v>0.34402300000000002</v>
      </c>
      <c r="AE57" s="475">
        <v>0.31268400000000002</v>
      </c>
      <c r="AF57" s="475">
        <v>0.36036000000000001</v>
      </c>
      <c r="AG57" s="475">
        <v>0.34891</v>
      </c>
      <c r="AH57" s="475">
        <v>0.36551699999999998</v>
      </c>
      <c r="AI57" s="475">
        <v>0.54545500000000002</v>
      </c>
      <c r="AJ57" s="475">
        <v>0.38461499999999998</v>
      </c>
      <c r="AK57" s="475">
        <v>0.38144299999999998</v>
      </c>
      <c r="AL57" s="475">
        <v>0.39045600000000003</v>
      </c>
      <c r="AM57" s="475">
        <v>0.119048</v>
      </c>
      <c r="AN57" s="475">
        <v>0.123667</v>
      </c>
      <c r="AO57" s="475">
        <v>0.238095</v>
      </c>
      <c r="AP57" s="475">
        <v>0.14043600000000001</v>
      </c>
      <c r="AQ57" s="475"/>
      <c r="AR57" s="475"/>
      <c r="AS57" s="475">
        <v>0.28698692233324352</v>
      </c>
    </row>
    <row r="58" spans="2:45" outlineLevel="1">
      <c r="B58" s="1444" t="s">
        <v>381</v>
      </c>
      <c r="C58" s="475"/>
      <c r="D58" s="475"/>
      <c r="E58" s="475"/>
      <c r="F58" s="475"/>
      <c r="G58" s="475"/>
      <c r="H58" s="475"/>
      <c r="I58" s="475">
        <v>0</v>
      </c>
      <c r="J58" s="475">
        <v>0</v>
      </c>
      <c r="K58" s="475">
        <v>0</v>
      </c>
      <c r="L58" s="475"/>
      <c r="M58" s="475"/>
      <c r="N58" s="475">
        <v>0</v>
      </c>
      <c r="O58" s="475">
        <v>0</v>
      </c>
      <c r="P58" s="475">
        <v>0</v>
      </c>
      <c r="Q58" s="475"/>
      <c r="R58" s="475"/>
      <c r="S58" s="475">
        <v>1.0909</v>
      </c>
      <c r="T58" s="475">
        <v>0.58518500000000007</v>
      </c>
      <c r="U58" s="475">
        <v>0.4272725</v>
      </c>
      <c r="V58" s="475">
        <v>0.35085500000000003</v>
      </c>
      <c r="W58" s="475">
        <v>0.46052650000000001</v>
      </c>
      <c r="X58" s="475">
        <v>0.34603150000000005</v>
      </c>
      <c r="Y58" s="475">
        <v>0.38883500000000004</v>
      </c>
      <c r="Z58" s="475">
        <v>0.41216200000000003</v>
      </c>
      <c r="AA58" s="475">
        <v>0.30830039525691699</v>
      </c>
      <c r="AB58" s="475">
        <v>0.34623188405797101</v>
      </c>
      <c r="AC58" s="475">
        <v>0.25459459459459449</v>
      </c>
      <c r="AD58" s="475">
        <v>0.14398849999999999</v>
      </c>
      <c r="AE58" s="475">
        <v>0.32267699999999999</v>
      </c>
      <c r="AF58" s="475">
        <v>0.1365005</v>
      </c>
      <c r="AG58" s="475">
        <v>6.25E-2</v>
      </c>
      <c r="AH58" s="475">
        <v>0</v>
      </c>
      <c r="AI58" s="475">
        <v>0</v>
      </c>
      <c r="AJ58" s="475">
        <v>0</v>
      </c>
      <c r="AK58" s="475"/>
      <c r="AL58" s="475"/>
      <c r="AM58" s="475"/>
      <c r="AN58" s="475"/>
      <c r="AO58" s="475"/>
      <c r="AP58" s="475"/>
      <c r="AQ58" s="475"/>
      <c r="AR58" s="475"/>
      <c r="AS58" s="475">
        <v>0.2679531775741833</v>
      </c>
    </row>
    <row r="59" spans="2:45" outlineLevel="1">
      <c r="B59" s="1444"/>
      <c r="C59" s="475"/>
      <c r="D59" s="475"/>
      <c r="E59" s="475"/>
      <c r="F59" s="475"/>
      <c r="G59" s="475"/>
      <c r="H59" s="475"/>
      <c r="I59" s="475"/>
      <c r="J59" s="475"/>
      <c r="K59" s="475"/>
      <c r="L59" s="475">
        <v>0</v>
      </c>
      <c r="M59" s="475">
        <v>0</v>
      </c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475"/>
      <c r="AA59" s="475"/>
      <c r="AB59" s="475"/>
      <c r="AC59" s="475"/>
      <c r="AD59" s="475"/>
      <c r="AE59" s="475"/>
      <c r="AF59" s="475"/>
      <c r="AG59" s="475"/>
      <c r="AH59" s="475"/>
      <c r="AI59" s="475"/>
      <c r="AJ59" s="475"/>
      <c r="AK59" s="475"/>
      <c r="AL59" s="475"/>
      <c r="AM59" s="475"/>
      <c r="AN59" s="475"/>
      <c r="AO59" s="475"/>
      <c r="AP59" s="475"/>
      <c r="AQ59" s="475"/>
      <c r="AR59" s="475"/>
      <c r="AS59" s="475">
        <v>0</v>
      </c>
    </row>
    <row r="60" spans="2:45" outlineLevel="1">
      <c r="B60" s="1444" t="s">
        <v>461</v>
      </c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>
        <v>1.2</v>
      </c>
      <c r="N60" s="475">
        <v>0.30769999999999997</v>
      </c>
      <c r="O60" s="475">
        <v>0.21049999999999999</v>
      </c>
      <c r="P60" s="475">
        <v>0.56000000000000005</v>
      </c>
      <c r="Q60" s="475"/>
      <c r="R60" s="475"/>
      <c r="S60" s="475"/>
      <c r="T60" s="475"/>
      <c r="U60" s="475"/>
      <c r="V60" s="475"/>
      <c r="W60" s="475"/>
      <c r="X60" s="475"/>
      <c r="Y60" s="475"/>
      <c r="Z60" s="475"/>
      <c r="AA60" s="475"/>
      <c r="AB60" s="475"/>
      <c r="AC60" s="475"/>
      <c r="AD60" s="475"/>
      <c r="AE60" s="475"/>
      <c r="AF60" s="475"/>
      <c r="AG60" s="475"/>
      <c r="AH60" s="475"/>
      <c r="AI60" s="475"/>
      <c r="AJ60" s="475"/>
      <c r="AK60" s="475"/>
      <c r="AL60" s="475"/>
      <c r="AM60" s="475"/>
      <c r="AN60" s="475"/>
      <c r="AO60" s="475"/>
      <c r="AP60" s="475"/>
      <c r="AQ60" s="475"/>
      <c r="AR60" s="475"/>
      <c r="AS60" s="475">
        <v>0.56955</v>
      </c>
    </row>
    <row r="61" spans="2:45" outlineLevel="1">
      <c r="B61" s="1444" t="s">
        <v>483</v>
      </c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>
        <v>0.6</v>
      </c>
      <c r="O61" s="475">
        <v>0.5</v>
      </c>
      <c r="P61" s="475">
        <v>0.26090000000000002</v>
      </c>
      <c r="Q61" s="475">
        <v>6.4500000000000002E-2</v>
      </c>
      <c r="R61" s="475">
        <v>0.24490000000000001</v>
      </c>
      <c r="S61" s="475">
        <v>0.1096</v>
      </c>
      <c r="T61" s="475">
        <v>0.289157</v>
      </c>
      <c r="U61" s="475">
        <v>0.19047600000000001</v>
      </c>
      <c r="V61" s="475">
        <v>0.172043</v>
      </c>
      <c r="W61" s="475">
        <v>0.26415100000000002</v>
      </c>
      <c r="X61" s="475">
        <v>0.38938099999999998</v>
      </c>
      <c r="Y61" s="475">
        <v>0.288136</v>
      </c>
      <c r="Z61" s="475">
        <v>0.45833299999999999</v>
      </c>
      <c r="AA61" s="475">
        <v>0.22857142857142901</v>
      </c>
      <c r="AB61" s="475">
        <v>0.11891891891891899</v>
      </c>
      <c r="AC61" s="475">
        <v>0.22702702702702701</v>
      </c>
      <c r="AD61" s="475">
        <v>0.324324</v>
      </c>
      <c r="AE61" s="475">
        <v>0.258824</v>
      </c>
      <c r="AF61" s="475">
        <v>0.305732</v>
      </c>
      <c r="AG61" s="475">
        <v>0.28571400000000002</v>
      </c>
      <c r="AH61" s="475">
        <v>0.151724</v>
      </c>
      <c r="AI61" s="475">
        <v>0.32352900000000001</v>
      </c>
      <c r="AJ61" s="475">
        <v>0.296875</v>
      </c>
      <c r="AK61" s="475">
        <v>0.2</v>
      </c>
      <c r="AL61" s="475">
        <v>0.33613399999999999</v>
      </c>
      <c r="AM61" s="475">
        <v>0.05</v>
      </c>
      <c r="AN61" s="475">
        <v>0</v>
      </c>
      <c r="AO61" s="475">
        <v>0</v>
      </c>
      <c r="AP61" s="475">
        <v>0</v>
      </c>
      <c r="AQ61" s="475"/>
      <c r="AR61" s="475"/>
      <c r="AS61" s="475">
        <v>0.23927415084542669</v>
      </c>
    </row>
    <row r="62" spans="2:45" outlineLevel="1">
      <c r="B62" s="1444" t="s">
        <v>629</v>
      </c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>
        <v>0.81820000000000004</v>
      </c>
      <c r="R62" s="475">
        <v>0.41270000000000001</v>
      </c>
      <c r="S62" s="475">
        <v>0.2697</v>
      </c>
      <c r="T62" s="475">
        <v>0.37606800000000001</v>
      </c>
      <c r="U62" s="475">
        <v>0.21897800000000001</v>
      </c>
      <c r="V62" s="475">
        <v>0.104478</v>
      </c>
      <c r="W62" s="475">
        <v>0.32061099999999998</v>
      </c>
      <c r="X62" s="475">
        <v>0.269841</v>
      </c>
      <c r="Y62" s="475">
        <v>0.209677</v>
      </c>
      <c r="Z62" s="475">
        <v>0.40944900000000001</v>
      </c>
      <c r="AA62" s="475">
        <v>0.19847328244274801</v>
      </c>
      <c r="AB62" s="475">
        <v>0.21212121212121199</v>
      </c>
      <c r="AC62" s="475">
        <v>0.13740458015267201</v>
      </c>
      <c r="AD62" s="475">
        <v>0.21538499999999999</v>
      </c>
      <c r="AE62" s="475">
        <v>0.25396800000000003</v>
      </c>
      <c r="AF62" s="475">
        <v>0.243478</v>
      </c>
      <c r="AG62" s="475">
        <v>0.24</v>
      </c>
      <c r="AH62" s="475">
        <v>0.19148899999999999</v>
      </c>
      <c r="AI62" s="475">
        <v>0.45161299999999999</v>
      </c>
      <c r="AJ62" s="475">
        <v>0.24444399999999999</v>
      </c>
      <c r="AK62" s="475">
        <v>0.375</v>
      </c>
      <c r="AL62" s="475">
        <v>0.44230799999999998</v>
      </c>
      <c r="AM62" s="475">
        <v>9.4339999999999993E-2</v>
      </c>
      <c r="AN62" s="475">
        <v>0</v>
      </c>
      <c r="AO62" s="475">
        <v>0.16822400000000001</v>
      </c>
      <c r="AP62" s="475">
        <v>7.2071999999999997E-2</v>
      </c>
      <c r="AQ62" s="475"/>
      <c r="AR62" s="475"/>
      <c r="AS62" s="475">
        <v>0.26730854133525511</v>
      </c>
    </row>
    <row r="63" spans="2:45" outlineLevel="1">
      <c r="B63" s="1444" t="s">
        <v>645</v>
      </c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>
        <v>0.875</v>
      </c>
      <c r="S63" s="475">
        <v>0.26319999999999999</v>
      </c>
      <c r="T63" s="475">
        <v>0.408163</v>
      </c>
      <c r="U63" s="475">
        <v>0.40625</v>
      </c>
      <c r="V63" s="475">
        <v>0.21333299999999999</v>
      </c>
      <c r="W63" s="475">
        <v>0.33766200000000002</v>
      </c>
      <c r="X63" s="475">
        <v>0.35443000000000002</v>
      </c>
      <c r="Y63" s="475">
        <v>0.26086999999999999</v>
      </c>
      <c r="Z63" s="475">
        <v>0.46296300000000001</v>
      </c>
      <c r="AA63" s="475">
        <v>9.375E-2</v>
      </c>
      <c r="AB63" s="475">
        <v>8.4507042253521097E-2</v>
      </c>
      <c r="AC63" s="475">
        <v>8.7591240875912399E-2</v>
      </c>
      <c r="AD63" s="475">
        <v>0.17777799999999999</v>
      </c>
      <c r="AE63" s="475">
        <v>0.31496099999999999</v>
      </c>
      <c r="AF63" s="475">
        <v>0.35714299999999999</v>
      </c>
      <c r="AG63" s="475">
        <v>0.36363600000000001</v>
      </c>
      <c r="AH63" s="475">
        <v>0.18032799999999999</v>
      </c>
      <c r="AI63" s="475">
        <v>0.38461499999999998</v>
      </c>
      <c r="AJ63" s="475">
        <v>0.30434800000000001</v>
      </c>
      <c r="AK63" s="475">
        <v>0.33556999999999998</v>
      </c>
      <c r="AL63" s="475">
        <v>0.32</v>
      </c>
      <c r="AM63" s="475">
        <v>8.2192000000000001E-2</v>
      </c>
      <c r="AN63" s="475">
        <v>6.0606E-2</v>
      </c>
      <c r="AO63" s="475">
        <v>0.19512199999999999</v>
      </c>
      <c r="AP63" s="475">
        <v>0.110236</v>
      </c>
      <c r="AQ63" s="475">
        <v>8.4905999999999995E-2</v>
      </c>
      <c r="AR63" s="475">
        <v>0.17431199999999999</v>
      </c>
      <c r="AS63" s="475">
        <v>0.27012860307886782</v>
      </c>
    </row>
    <row r="64" spans="2:45" outlineLevel="1">
      <c r="B64" s="1444" t="s">
        <v>641</v>
      </c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>
        <v>0</v>
      </c>
      <c r="S64" s="475">
        <v>0.32</v>
      </c>
      <c r="T64" s="475">
        <v>0.31578899999999999</v>
      </c>
      <c r="U64" s="475">
        <v>0.320988</v>
      </c>
      <c r="V64" s="475">
        <v>0.234043</v>
      </c>
      <c r="W64" s="475">
        <v>0.24299100000000001</v>
      </c>
      <c r="X64" s="475">
        <v>0.19298199999999999</v>
      </c>
      <c r="Y64" s="475">
        <v>0.13913</v>
      </c>
      <c r="Z64" s="475">
        <v>0.25862099999999999</v>
      </c>
      <c r="AA64" s="475">
        <v>0.15686274509803899</v>
      </c>
      <c r="AB64" s="475">
        <v>0.11111111111111099</v>
      </c>
      <c r="AC64" s="475">
        <v>0.116279069767442</v>
      </c>
      <c r="AD64" s="475">
        <v>0.21052599999999999</v>
      </c>
      <c r="AE64" s="475">
        <v>0.373832</v>
      </c>
      <c r="AF64" s="475">
        <v>0.37113400000000002</v>
      </c>
      <c r="AG64" s="475">
        <v>0.38297900000000001</v>
      </c>
      <c r="AH64" s="475">
        <v>0.25</v>
      </c>
      <c r="AI64" s="475">
        <v>0.46601900000000002</v>
      </c>
      <c r="AJ64" s="475">
        <v>0.38834999999999997</v>
      </c>
      <c r="AK64" s="475">
        <v>0.48</v>
      </c>
      <c r="AL64" s="475">
        <v>0.41666700000000001</v>
      </c>
      <c r="AM64" s="475">
        <v>0.187919</v>
      </c>
      <c r="AN64" s="475">
        <v>0.207792</v>
      </c>
      <c r="AO64" s="475">
        <v>0.28571400000000002</v>
      </c>
      <c r="AP64" s="475">
        <v>0.31395299999999998</v>
      </c>
      <c r="AQ64" s="475">
        <v>0.24277499999999999</v>
      </c>
      <c r="AR64" s="475">
        <v>0.320442</v>
      </c>
      <c r="AS64" s="475">
        <v>0.27062588614728122</v>
      </c>
    </row>
    <row r="65" spans="2:45" outlineLevel="1">
      <c r="B65" s="1444" t="s">
        <v>643</v>
      </c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>
        <v>2</v>
      </c>
      <c r="S65" s="475">
        <v>0.5</v>
      </c>
      <c r="T65" s="475">
        <v>0.44897999999999999</v>
      </c>
      <c r="U65" s="475">
        <v>0.46875</v>
      </c>
      <c r="V65" s="475">
        <v>0.33707900000000002</v>
      </c>
      <c r="W65" s="475">
        <v>0.28037400000000001</v>
      </c>
      <c r="X65" s="475">
        <v>0.21621599999999999</v>
      </c>
      <c r="Y65" s="475">
        <v>0.111111</v>
      </c>
      <c r="Z65" s="475">
        <v>0.2</v>
      </c>
      <c r="AA65" s="475">
        <v>0.13592233009708701</v>
      </c>
      <c r="AB65" s="475">
        <v>0.17857142857142899</v>
      </c>
      <c r="AC65" s="475">
        <v>0.123893805309735</v>
      </c>
      <c r="AD65" s="475">
        <v>0.15254200000000001</v>
      </c>
      <c r="AE65" s="475">
        <v>0.117647</v>
      </c>
      <c r="AF65" s="475">
        <v>0</v>
      </c>
      <c r="AG65" s="475"/>
      <c r="AH65" s="475"/>
      <c r="AI65" s="475"/>
      <c r="AJ65" s="475"/>
      <c r="AK65" s="475"/>
      <c r="AL65" s="475"/>
      <c r="AM65" s="475"/>
      <c r="AN65" s="475"/>
      <c r="AO65" s="475"/>
      <c r="AP65" s="475"/>
      <c r="AQ65" s="475"/>
      <c r="AR65" s="475"/>
      <c r="AS65" s="475">
        <v>0.35140577093188347</v>
      </c>
    </row>
    <row r="66" spans="2:45" outlineLevel="1">
      <c r="B66" s="1444" t="s">
        <v>644</v>
      </c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>
        <v>0</v>
      </c>
      <c r="S66" s="475">
        <v>0.54549999999999998</v>
      </c>
      <c r="T66" s="475">
        <v>0.62068999999999996</v>
      </c>
      <c r="U66" s="475">
        <v>0.46808499999999997</v>
      </c>
      <c r="V66" s="475">
        <v>0.24615400000000001</v>
      </c>
      <c r="W66" s="475">
        <v>0.222222</v>
      </c>
      <c r="X66" s="475">
        <v>0.26086999999999999</v>
      </c>
      <c r="Y66" s="475">
        <v>0.36619699999999999</v>
      </c>
      <c r="Z66" s="475">
        <v>0.44705899999999998</v>
      </c>
      <c r="AA66" s="475">
        <v>0.32</v>
      </c>
      <c r="AB66" s="475">
        <v>0.18518518518518501</v>
      </c>
      <c r="AC66" s="475">
        <v>0.24347826086956501</v>
      </c>
      <c r="AD66" s="475">
        <v>0.46551700000000001</v>
      </c>
      <c r="AE66" s="475">
        <v>0.37606800000000001</v>
      </c>
      <c r="AF66" s="475">
        <v>0.25806499999999999</v>
      </c>
      <c r="AG66" s="475">
        <v>0.30769200000000002</v>
      </c>
      <c r="AH66" s="475">
        <v>0.34234199999999998</v>
      </c>
      <c r="AI66" s="475">
        <v>0.27027000000000001</v>
      </c>
      <c r="AJ66" s="475">
        <v>0.30769200000000002</v>
      </c>
      <c r="AK66" s="475">
        <v>0.39215699999999998</v>
      </c>
      <c r="AL66" s="475">
        <v>0.38095200000000001</v>
      </c>
      <c r="AM66" s="475">
        <v>0.113208</v>
      </c>
      <c r="AN66" s="475">
        <v>0.16666700000000001</v>
      </c>
      <c r="AO66" s="475">
        <v>0.17543900000000001</v>
      </c>
      <c r="AP66" s="475">
        <v>0.20155000000000001</v>
      </c>
      <c r="AQ66" s="475">
        <v>0.235294</v>
      </c>
      <c r="AR66" s="475">
        <v>8.4506999999999999E-2</v>
      </c>
      <c r="AS66" s="475">
        <v>0.29640223874276855</v>
      </c>
    </row>
    <row r="67" spans="2:45" outlineLevel="1">
      <c r="B67" s="1444" t="s">
        <v>655</v>
      </c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>
        <v>0.4</v>
      </c>
      <c r="S67" s="475">
        <v>0.4516</v>
      </c>
      <c r="T67" s="475">
        <v>0.34375</v>
      </c>
      <c r="U67" s="475">
        <v>0.41758200000000001</v>
      </c>
      <c r="V67" s="475">
        <v>0.29703000000000002</v>
      </c>
      <c r="W67" s="475">
        <v>0.33613399999999999</v>
      </c>
      <c r="X67" s="475">
        <v>0.35211300000000001</v>
      </c>
      <c r="Y67" s="475">
        <v>0.461538</v>
      </c>
      <c r="Z67" s="475">
        <v>0.46590900000000002</v>
      </c>
      <c r="AA67" s="475">
        <v>0.17346938775510201</v>
      </c>
      <c r="AB67" s="475">
        <v>0.10752688172043</v>
      </c>
      <c r="AC67" s="475">
        <v>0.155555555555556</v>
      </c>
      <c r="AD67" s="475">
        <v>0.32124399999999997</v>
      </c>
      <c r="AE67" s="475">
        <v>0.29126200000000002</v>
      </c>
      <c r="AF67" s="475">
        <v>0.30392200000000003</v>
      </c>
      <c r="AG67" s="475">
        <v>0.40860200000000002</v>
      </c>
      <c r="AH67" s="475">
        <v>0.18390799999999999</v>
      </c>
      <c r="AI67" s="475">
        <v>0.45508999999999999</v>
      </c>
      <c r="AJ67" s="475">
        <v>0.38036799999999998</v>
      </c>
      <c r="AK67" s="475">
        <v>0.418605</v>
      </c>
      <c r="AL67" s="475">
        <v>0.483871</v>
      </c>
      <c r="AM67" s="475">
        <v>0.134715</v>
      </c>
      <c r="AN67" s="475">
        <v>0.247312</v>
      </c>
      <c r="AO67" s="475">
        <v>0.301508</v>
      </c>
      <c r="AP67" s="475">
        <v>0.16037699999999999</v>
      </c>
      <c r="AQ67" s="475">
        <v>0.25</v>
      </c>
      <c r="AR67" s="475"/>
      <c r="AS67" s="475">
        <v>0.31934583942427258</v>
      </c>
    </row>
    <row r="68" spans="2:45" outlineLevel="1">
      <c r="B68" s="1444" t="s">
        <v>656</v>
      </c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>
        <v>1</v>
      </c>
      <c r="S68" s="475">
        <v>0.88890000000000002</v>
      </c>
      <c r="T68" s="475">
        <v>0.38095200000000001</v>
      </c>
      <c r="U68" s="475">
        <v>0.27118599999999998</v>
      </c>
      <c r="V68" s="475">
        <v>0.26865699999999998</v>
      </c>
      <c r="W68" s="475">
        <v>0.33333299999999999</v>
      </c>
      <c r="X68" s="475">
        <v>0.4</v>
      </c>
      <c r="Y68" s="475">
        <v>0.25</v>
      </c>
      <c r="Z68" s="475">
        <v>0.14285700000000001</v>
      </c>
      <c r="AA68" s="475">
        <v>0.38167938931297701</v>
      </c>
      <c r="AB68" s="475">
        <v>0.19428571428571401</v>
      </c>
      <c r="AC68" s="475">
        <v>0.28440366972477099</v>
      </c>
      <c r="AD68" s="475">
        <v>0.17910400000000001</v>
      </c>
      <c r="AE68" s="475">
        <v>0.18587400000000001</v>
      </c>
      <c r="AF68" s="475">
        <v>0.213115</v>
      </c>
      <c r="AG68" s="475">
        <v>0.20853099999999999</v>
      </c>
      <c r="AH68" s="475">
        <v>0.18181800000000001</v>
      </c>
      <c r="AI68" s="475">
        <v>0.40851100000000001</v>
      </c>
      <c r="AJ68" s="475">
        <v>0.40154400000000001</v>
      </c>
      <c r="AK68" s="475">
        <v>0.28676499999999999</v>
      </c>
      <c r="AL68" s="475">
        <v>0.28352500000000003</v>
      </c>
      <c r="AM68" s="475">
        <v>0.33064500000000002</v>
      </c>
      <c r="AN68" s="475">
        <v>6.7511000000000002E-2</v>
      </c>
      <c r="AO68" s="475">
        <v>0.16460900000000001</v>
      </c>
      <c r="AP68" s="475">
        <v>0.23754800000000001</v>
      </c>
      <c r="AQ68" s="475"/>
      <c r="AR68" s="475"/>
      <c r="AS68" s="475">
        <v>0.31781415093293847</v>
      </c>
    </row>
    <row r="69" spans="2:45" outlineLevel="1">
      <c r="B69" s="1444" t="s">
        <v>697</v>
      </c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>
        <v>0</v>
      </c>
      <c r="T69" s="475">
        <v>0.59259300000000004</v>
      </c>
      <c r="U69" s="475">
        <v>0.66666700000000001</v>
      </c>
      <c r="V69" s="475">
        <v>0.44444400000000001</v>
      </c>
      <c r="W69" s="475">
        <v>0.32061099999999998</v>
      </c>
      <c r="X69" s="475">
        <v>0.36363600000000001</v>
      </c>
      <c r="Y69" s="475">
        <v>0.28571400000000002</v>
      </c>
      <c r="Z69" s="475">
        <v>0.33160600000000001</v>
      </c>
      <c r="AA69" s="475">
        <v>0.17910447761194001</v>
      </c>
      <c r="AB69" s="475">
        <v>0.105769230769231</v>
      </c>
      <c r="AC69" s="475">
        <v>0.16080402010050299</v>
      </c>
      <c r="AD69" s="475">
        <v>0.21649499999999999</v>
      </c>
      <c r="AE69" s="475">
        <v>0.256158</v>
      </c>
      <c r="AF69" s="475">
        <v>0.36815900000000001</v>
      </c>
      <c r="AG69" s="475">
        <v>0.26738000000000001</v>
      </c>
      <c r="AH69" s="475">
        <v>0.17977499999999999</v>
      </c>
      <c r="AI69" s="475">
        <v>0.46067399999999997</v>
      </c>
      <c r="AJ69" s="475">
        <v>0.26666699999999999</v>
      </c>
      <c r="AK69" s="475">
        <v>0.33155099999999998</v>
      </c>
      <c r="AL69" s="475">
        <v>0.483871</v>
      </c>
      <c r="AM69" s="475">
        <v>0.13953499999999999</v>
      </c>
      <c r="AN69" s="475">
        <v>7.2727E-2</v>
      </c>
      <c r="AO69" s="475">
        <v>0.27933000000000002</v>
      </c>
      <c r="AP69" s="475">
        <v>0.22680400000000001</v>
      </c>
      <c r="AQ69" s="475">
        <v>0.134715</v>
      </c>
      <c r="AR69" s="475">
        <v>0.22334999999999999</v>
      </c>
      <c r="AS69" s="475">
        <v>0.28300537417237209</v>
      </c>
    </row>
    <row r="70" spans="2:45" outlineLevel="1">
      <c r="B70" s="1444" t="s">
        <v>658</v>
      </c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475"/>
      <c r="AI70" s="475"/>
      <c r="AJ70" s="475"/>
      <c r="AK70" s="475">
        <v>0</v>
      </c>
      <c r="AL70" s="475">
        <v>0</v>
      </c>
      <c r="AM70" s="475">
        <v>0</v>
      </c>
      <c r="AN70" s="475">
        <v>0</v>
      </c>
      <c r="AO70" s="475">
        <v>0</v>
      </c>
      <c r="AP70" s="475">
        <v>0</v>
      </c>
      <c r="AQ70" s="475"/>
      <c r="AR70" s="475"/>
      <c r="AS70" s="475">
        <v>0</v>
      </c>
    </row>
    <row r="71" spans="2:45" outlineLevel="1">
      <c r="B71" s="1444" t="s">
        <v>698</v>
      </c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>
        <v>1.066667</v>
      </c>
      <c r="U71" s="475">
        <v>0.625</v>
      </c>
      <c r="V71" s="475">
        <v>0.35</v>
      </c>
      <c r="W71" s="475">
        <v>0.46428599999999998</v>
      </c>
      <c r="X71" s="475">
        <v>0.44117600000000001</v>
      </c>
      <c r="Y71" s="475">
        <v>0.31707299999999999</v>
      </c>
      <c r="Z71" s="475">
        <v>0.351852</v>
      </c>
      <c r="AA71" s="475">
        <v>0.19512195121951201</v>
      </c>
      <c r="AB71" s="475">
        <v>0.18181818181818199</v>
      </c>
      <c r="AC71" s="475">
        <v>0.146341463414634</v>
      </c>
      <c r="AD71" s="475">
        <v>0.17599999999999999</v>
      </c>
      <c r="AE71" s="475">
        <v>0.245614</v>
      </c>
      <c r="AF71" s="475">
        <v>0.29411799999999999</v>
      </c>
      <c r="AG71" s="475">
        <v>0.47191</v>
      </c>
      <c r="AH71" s="475">
        <v>0.158416</v>
      </c>
      <c r="AI71" s="475">
        <v>0.38383800000000001</v>
      </c>
      <c r="AJ71" s="475">
        <v>0.27083299999999999</v>
      </c>
      <c r="AK71" s="475">
        <v>0.17777799999999999</v>
      </c>
      <c r="AL71" s="475">
        <v>0.15789500000000001</v>
      </c>
      <c r="AM71" s="475">
        <v>0.121212</v>
      </c>
      <c r="AN71" s="475">
        <v>0.25396800000000003</v>
      </c>
      <c r="AO71" s="475">
        <v>0.137931</v>
      </c>
      <c r="AP71" s="475">
        <v>0.18181800000000001</v>
      </c>
      <c r="AQ71" s="475">
        <v>0.41509400000000002</v>
      </c>
      <c r="AR71" s="475"/>
      <c r="AS71" s="475">
        <v>0.31607335818551369</v>
      </c>
    </row>
    <row r="72" spans="2:45" outlineLevel="1">
      <c r="B72" s="1444" t="s">
        <v>790</v>
      </c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>
        <v>1</v>
      </c>
      <c r="U72" s="475">
        <v>0.769231</v>
      </c>
      <c r="V72" s="475">
        <v>0.58333299999999999</v>
      </c>
      <c r="W72" s="475">
        <v>0.48275899999999999</v>
      </c>
      <c r="X72" s="475">
        <v>0.57142899999999996</v>
      </c>
      <c r="Y72" s="475">
        <v>0.38961000000000001</v>
      </c>
      <c r="Z72" s="475">
        <v>0.44185999999999998</v>
      </c>
      <c r="AA72" s="475">
        <v>0.34782608695652201</v>
      </c>
      <c r="AB72" s="475">
        <v>0.340425531914894</v>
      </c>
      <c r="AC72" s="475">
        <v>0.39175257731958801</v>
      </c>
      <c r="AD72" s="475">
        <v>0.30630600000000002</v>
      </c>
      <c r="AE72" s="475">
        <v>0.483871</v>
      </c>
      <c r="AF72" s="475">
        <v>0.461538</v>
      </c>
      <c r="AG72" s="475">
        <v>0.37410100000000002</v>
      </c>
      <c r="AH72" s="475">
        <v>0.38095200000000001</v>
      </c>
      <c r="AI72" s="475">
        <v>0.33112599999999998</v>
      </c>
      <c r="AJ72" s="475">
        <v>0.28169</v>
      </c>
      <c r="AK72" s="475">
        <v>0.40298499999999998</v>
      </c>
      <c r="AL72" s="475">
        <v>0.5</v>
      </c>
      <c r="AM72" s="475">
        <v>0.264706</v>
      </c>
      <c r="AN72" s="475">
        <v>0.162963</v>
      </c>
      <c r="AO72" s="475">
        <v>0.58015300000000003</v>
      </c>
      <c r="AP72" s="475">
        <v>0.25396800000000003</v>
      </c>
      <c r="AQ72" s="475">
        <v>0.19875799999999999</v>
      </c>
      <c r="AR72" s="475">
        <v>0.47142899999999999</v>
      </c>
      <c r="AS72" s="475">
        <v>0.4309108878476402</v>
      </c>
    </row>
    <row r="73" spans="2:45" outlineLevel="1">
      <c r="B73" s="1444" t="s">
        <v>797</v>
      </c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5">
        <v>1</v>
      </c>
      <c r="V73" s="475">
        <v>0.51851899999999995</v>
      </c>
      <c r="W73" s="475">
        <v>0.34615400000000002</v>
      </c>
      <c r="X73" s="475">
        <v>0.32876699999999998</v>
      </c>
      <c r="Y73" s="475">
        <v>0.32608700000000002</v>
      </c>
      <c r="Z73" s="475">
        <v>0.35593200000000003</v>
      </c>
      <c r="AA73" s="475">
        <v>0.26865671641791</v>
      </c>
      <c r="AB73" s="475">
        <v>0.160583941605839</v>
      </c>
      <c r="AC73" s="475">
        <v>0.20437956204379601</v>
      </c>
      <c r="AD73" s="475">
        <v>0.33871000000000001</v>
      </c>
      <c r="AE73" s="475">
        <v>0.305085</v>
      </c>
      <c r="AF73" s="475">
        <v>0.36257299999999998</v>
      </c>
      <c r="AG73" s="475">
        <v>0.225352</v>
      </c>
      <c r="AH73" s="475">
        <v>0.24285699999999999</v>
      </c>
      <c r="AI73" s="475">
        <v>0.34782600000000002</v>
      </c>
      <c r="AJ73" s="475">
        <v>0.17266200000000001</v>
      </c>
      <c r="AK73" s="475">
        <v>0.32061099999999998</v>
      </c>
      <c r="AL73" s="475">
        <v>0.43809500000000001</v>
      </c>
      <c r="AM73" s="475">
        <v>6.5216999999999997E-2</v>
      </c>
      <c r="AN73" s="475">
        <v>0.193548</v>
      </c>
      <c r="AO73" s="475">
        <v>0.25806499999999999</v>
      </c>
      <c r="AP73" s="475">
        <v>0.14583299999999999</v>
      </c>
      <c r="AQ73" s="475">
        <v>0.203704</v>
      </c>
      <c r="AR73" s="475">
        <v>0.25600000000000001</v>
      </c>
      <c r="AS73" s="475">
        <v>0.30771738416948097</v>
      </c>
    </row>
    <row r="74" spans="2:45" outlineLevel="1">
      <c r="B74" s="1444" t="s">
        <v>800</v>
      </c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5">
        <v>2</v>
      </c>
      <c r="V74" s="475">
        <v>1.142857</v>
      </c>
      <c r="W74" s="475">
        <v>0.68292699999999995</v>
      </c>
      <c r="X74" s="475">
        <v>0.54545500000000002</v>
      </c>
      <c r="Y74" s="475">
        <v>0.47887299999999999</v>
      </c>
      <c r="Z74" s="475">
        <v>0.42222199999999999</v>
      </c>
      <c r="AA74" s="475">
        <v>0.183673469387755</v>
      </c>
      <c r="AB74" s="475">
        <v>0.22680412371134001</v>
      </c>
      <c r="AC74" s="475">
        <v>0.18181818181818199</v>
      </c>
      <c r="AD74" s="475">
        <v>0.235294</v>
      </c>
      <c r="AE74" s="475">
        <v>0.31068000000000001</v>
      </c>
      <c r="AF74" s="475">
        <v>0.34090900000000002</v>
      </c>
      <c r="AG74" s="475">
        <v>0.46808499999999997</v>
      </c>
      <c r="AH74" s="475">
        <v>0.34</v>
      </c>
      <c r="AI74" s="475">
        <v>0.59321999999999997</v>
      </c>
      <c r="AJ74" s="475">
        <v>0.34210499999999999</v>
      </c>
      <c r="AK74" s="475">
        <v>0.44897999999999999</v>
      </c>
      <c r="AL74" s="475">
        <v>0.25806499999999999</v>
      </c>
      <c r="AM74" s="475">
        <v>0.147783</v>
      </c>
      <c r="AN74" s="475">
        <v>0.28571400000000002</v>
      </c>
      <c r="AO74" s="475">
        <v>0.38461499999999998</v>
      </c>
      <c r="AP74" s="475">
        <v>0.33466099999999999</v>
      </c>
      <c r="AQ74" s="475">
        <v>0.32450299999999999</v>
      </c>
      <c r="AR74" s="475">
        <v>0.368421</v>
      </c>
      <c r="AS74" s="475">
        <v>0.46031936562155323</v>
      </c>
    </row>
    <row r="75" spans="2:45" outlineLevel="1">
      <c r="B75" s="1444" t="s">
        <v>904</v>
      </c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>
        <v>0.66666700000000001</v>
      </c>
      <c r="Y75" s="475">
        <v>0.71428599999999998</v>
      </c>
      <c r="Z75" s="475">
        <v>0.54545500000000002</v>
      </c>
      <c r="AA75" s="475">
        <v>0.41791044776119401</v>
      </c>
      <c r="AB75" s="475">
        <v>0.28571428571428598</v>
      </c>
      <c r="AC75" s="475">
        <v>0.49019607843137297</v>
      </c>
      <c r="AD75" s="475">
        <v>0.43421100000000001</v>
      </c>
      <c r="AE75" s="475">
        <v>0.29834300000000002</v>
      </c>
      <c r="AF75" s="475">
        <v>0.324324</v>
      </c>
      <c r="AG75" s="475">
        <v>0.39784900000000001</v>
      </c>
      <c r="AH75" s="475">
        <v>0.33155099999999998</v>
      </c>
      <c r="AI75" s="475">
        <v>0.39583299999999999</v>
      </c>
      <c r="AJ75" s="475">
        <v>0.31472099999999997</v>
      </c>
      <c r="AK75" s="475">
        <v>0.38383800000000001</v>
      </c>
      <c r="AL75" s="475">
        <v>0.43137300000000001</v>
      </c>
      <c r="AM75" s="475">
        <v>0.193548</v>
      </c>
      <c r="AN75" s="475">
        <v>0.141593</v>
      </c>
      <c r="AO75" s="475">
        <v>0.25210100000000002</v>
      </c>
      <c r="AP75" s="475">
        <v>0.27234000000000003</v>
      </c>
      <c r="AQ75" s="475">
        <v>0.30578499999999997</v>
      </c>
      <c r="AR75" s="475">
        <v>0.34538200000000002</v>
      </c>
      <c r="AS75" s="475">
        <v>0.37823908628127867</v>
      </c>
    </row>
    <row r="76" spans="2:45" outlineLevel="1">
      <c r="B76" s="1444" t="s">
        <v>906</v>
      </c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5"/>
      <c r="V76" s="475"/>
      <c r="W76" s="475"/>
      <c r="X76" s="475">
        <v>0.66666700000000001</v>
      </c>
      <c r="Y76" s="475">
        <v>0.31578899999999999</v>
      </c>
      <c r="Z76" s="475">
        <v>0.44827600000000001</v>
      </c>
      <c r="AA76" s="475">
        <v>0.18918918918918901</v>
      </c>
      <c r="AB76" s="475">
        <v>0.17499999999999999</v>
      </c>
      <c r="AC76" s="475">
        <v>0.47499999999999998</v>
      </c>
      <c r="AD76" s="475">
        <v>0.27160499999999999</v>
      </c>
      <c r="AE76" s="475">
        <v>0.36585400000000001</v>
      </c>
      <c r="AF76" s="475">
        <v>0.235294</v>
      </c>
      <c r="AG76" s="475">
        <v>0.41071400000000002</v>
      </c>
      <c r="AH76" s="475">
        <v>0.23300999999999999</v>
      </c>
      <c r="AI76" s="475">
        <v>0.446602</v>
      </c>
      <c r="AJ76" s="475">
        <v>0.31068000000000001</v>
      </c>
      <c r="AK76" s="475">
        <v>0.37623800000000002</v>
      </c>
      <c r="AL76" s="475">
        <v>0.37735800000000003</v>
      </c>
      <c r="AM76" s="475">
        <v>0.17391300000000001</v>
      </c>
      <c r="AN76" s="475">
        <v>7.0795999999999998E-2</v>
      </c>
      <c r="AO76" s="475">
        <v>0.127273</v>
      </c>
      <c r="AP76" s="475">
        <v>9.3457999999999999E-2</v>
      </c>
      <c r="AQ76" s="475">
        <v>6.25E-2</v>
      </c>
      <c r="AR76" s="475"/>
      <c r="AS76" s="475">
        <v>0.29126080945945942</v>
      </c>
    </row>
    <row r="77" spans="2:45" outlineLevel="1">
      <c r="B77" s="1444" t="s">
        <v>901</v>
      </c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5"/>
      <c r="V77" s="475"/>
      <c r="W77" s="475"/>
      <c r="X77" s="475"/>
      <c r="Y77" s="475">
        <v>0</v>
      </c>
      <c r="Z77" s="475">
        <v>0.94444399999999995</v>
      </c>
      <c r="AA77" s="475">
        <v>0.449438202247191</v>
      </c>
      <c r="AB77" s="475">
        <v>8.6956521739130405E-2</v>
      </c>
      <c r="AC77" s="475">
        <v>0.24561403508771901</v>
      </c>
      <c r="AD77" s="475">
        <v>0.28070200000000001</v>
      </c>
      <c r="AE77" s="475">
        <v>0.33333299999999999</v>
      </c>
      <c r="AF77" s="475">
        <v>0.44444400000000001</v>
      </c>
      <c r="AG77" s="475">
        <v>0.35483900000000002</v>
      </c>
      <c r="AH77" s="475">
        <v>0.23188400000000001</v>
      </c>
      <c r="AI77" s="475">
        <v>0.40476200000000001</v>
      </c>
      <c r="AJ77" s="475">
        <v>0.29885099999999998</v>
      </c>
      <c r="AK77" s="475">
        <v>0.38297900000000001</v>
      </c>
      <c r="AL77" s="475">
        <v>0.41509400000000002</v>
      </c>
      <c r="AM77" s="475">
        <v>1.8519000000000001E-2</v>
      </c>
      <c r="AN77" s="475">
        <v>0.25925900000000002</v>
      </c>
      <c r="AO77" s="475">
        <v>0.18348600000000001</v>
      </c>
      <c r="AP77" s="475">
        <v>0.29230800000000001</v>
      </c>
      <c r="AQ77" s="475">
        <v>0.21052599999999999</v>
      </c>
      <c r="AR77" s="475">
        <v>0.25641000000000003</v>
      </c>
      <c r="AS77" s="475">
        <v>0.30469243795370204</v>
      </c>
    </row>
    <row r="78" spans="2:45" outlineLevel="1">
      <c r="B78" s="1444" t="s">
        <v>950</v>
      </c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5"/>
      <c r="V78" s="475"/>
      <c r="W78" s="475"/>
      <c r="X78" s="475"/>
      <c r="Y78" s="475">
        <v>0.33333299999999999</v>
      </c>
      <c r="Z78" s="475">
        <v>0.38709700000000002</v>
      </c>
      <c r="AA78" s="475">
        <v>0.194444444444444</v>
      </c>
      <c r="AB78" s="475">
        <v>0.22448979591836701</v>
      </c>
      <c r="AC78" s="475">
        <v>0.3</v>
      </c>
      <c r="AD78" s="475">
        <v>0.27672999999999998</v>
      </c>
      <c r="AE78" s="475">
        <v>0.32142900000000002</v>
      </c>
      <c r="AF78" s="475">
        <v>0.41717799999999999</v>
      </c>
      <c r="AG78" s="475">
        <v>0.21052599999999999</v>
      </c>
      <c r="AH78" s="475">
        <v>0.24598900000000001</v>
      </c>
      <c r="AI78" s="475">
        <v>0.20202000000000001</v>
      </c>
      <c r="AJ78" s="475">
        <v>0.31794899999999998</v>
      </c>
      <c r="AK78" s="475">
        <v>0.26455000000000001</v>
      </c>
      <c r="AL78" s="475">
        <v>0.379888</v>
      </c>
      <c r="AM78" s="475">
        <v>0.149425</v>
      </c>
      <c r="AN78" s="475">
        <v>0.16666700000000001</v>
      </c>
      <c r="AO78" s="475">
        <v>0.26136399999999999</v>
      </c>
      <c r="AP78" s="475">
        <v>0.28723399999999999</v>
      </c>
      <c r="AQ78" s="475">
        <v>0.25</v>
      </c>
      <c r="AR78" s="475">
        <v>0.24598900000000001</v>
      </c>
      <c r="AS78" s="475">
        <v>0.27181511201814057</v>
      </c>
    </row>
    <row r="79" spans="2:45" outlineLevel="1">
      <c r="B79" s="1444" t="s">
        <v>1014</v>
      </c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>
        <v>0</v>
      </c>
      <c r="Y79" s="475">
        <v>0.66666700000000001</v>
      </c>
      <c r="Z79" s="475">
        <v>0.55555600000000005</v>
      </c>
      <c r="AA79" s="475">
        <v>0.37037037037037002</v>
      </c>
      <c r="AB79" s="475">
        <v>0.36666666666666697</v>
      </c>
      <c r="AC79" s="475">
        <v>0.415584415584416</v>
      </c>
      <c r="AD79" s="475">
        <v>0.31372499999999998</v>
      </c>
      <c r="AE79" s="475">
        <v>0.319328</v>
      </c>
      <c r="AF79" s="475">
        <v>0.25954199999999999</v>
      </c>
      <c r="AG79" s="475">
        <v>0.36363600000000001</v>
      </c>
      <c r="AH79" s="475">
        <v>0.36363600000000001</v>
      </c>
      <c r="AI79" s="475">
        <v>0.39097700000000002</v>
      </c>
      <c r="AJ79" s="475">
        <v>0.31654700000000002</v>
      </c>
      <c r="AK79" s="475">
        <v>0.343949</v>
      </c>
      <c r="AL79" s="475">
        <v>0.43428600000000001</v>
      </c>
      <c r="AM79" s="475">
        <v>0.15384600000000001</v>
      </c>
      <c r="AN79" s="475">
        <v>0.122905</v>
      </c>
      <c r="AO79" s="475">
        <v>0.240838</v>
      </c>
      <c r="AP79" s="475">
        <v>0.245283</v>
      </c>
      <c r="AQ79" s="475">
        <v>0.217195</v>
      </c>
      <c r="AR79" s="475">
        <v>0.42152499999999998</v>
      </c>
      <c r="AS79" s="475">
        <v>0.32771725964864062</v>
      </c>
    </row>
    <row r="80" spans="2:45" outlineLevel="1">
      <c r="B80" s="1444" t="s">
        <v>1162</v>
      </c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>
        <v>1.2307692307692299</v>
      </c>
      <c r="AB80" s="475">
        <v>0.28571428571428598</v>
      </c>
      <c r="AC80" s="475">
        <v>0.18181818181818199</v>
      </c>
      <c r="AD80" s="475">
        <v>0.19780200000000001</v>
      </c>
      <c r="AE80" s="475">
        <v>0.16666700000000001</v>
      </c>
      <c r="AF80" s="475">
        <v>0.34883700000000001</v>
      </c>
      <c r="AG80" s="475">
        <v>0.40506300000000001</v>
      </c>
      <c r="AH80" s="475">
        <v>0.24761900000000001</v>
      </c>
      <c r="AI80" s="475">
        <v>0.15625</v>
      </c>
      <c r="AJ80" s="475">
        <v>0.105263</v>
      </c>
      <c r="AK80" s="475">
        <v>0.195489</v>
      </c>
      <c r="AL80" s="475">
        <v>0.132353</v>
      </c>
      <c r="AM80" s="475">
        <v>4.9180000000000001E-2</v>
      </c>
      <c r="AN80" s="475">
        <v>5.4053999999999998E-2</v>
      </c>
      <c r="AO80" s="475">
        <v>0.108108</v>
      </c>
      <c r="AP80" s="475">
        <v>0.213115</v>
      </c>
      <c r="AQ80" s="475"/>
      <c r="AR80" s="475"/>
      <c r="AS80" s="475">
        <v>0.2548813561438561</v>
      </c>
    </row>
    <row r="81" spans="2:45" outlineLevel="1">
      <c r="B81" s="1444" t="s">
        <v>1163</v>
      </c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>
        <v>0.90909090909090895</v>
      </c>
      <c r="AB81" s="475">
        <v>0.19354838709677399</v>
      </c>
      <c r="AC81" s="475">
        <v>0.36363636363636398</v>
      </c>
      <c r="AD81" s="475">
        <v>0.27906999999999998</v>
      </c>
      <c r="AE81" s="475">
        <v>0.27450999999999998</v>
      </c>
      <c r="AF81" s="475">
        <v>0.390625</v>
      </c>
      <c r="AG81" s="475">
        <v>0.33734900000000001</v>
      </c>
      <c r="AH81" s="475">
        <v>0.24870500000000001</v>
      </c>
      <c r="AI81" s="475">
        <v>0.290155</v>
      </c>
      <c r="AJ81" s="475">
        <v>0.25555600000000001</v>
      </c>
      <c r="AK81" s="475">
        <v>0.3125</v>
      </c>
      <c r="AL81" s="475">
        <v>0.493392</v>
      </c>
      <c r="AM81" s="475">
        <v>9.4488000000000003E-2</v>
      </c>
      <c r="AN81" s="475">
        <v>0.143369</v>
      </c>
      <c r="AO81" s="475">
        <v>0.118519</v>
      </c>
      <c r="AP81" s="475">
        <v>0.108303</v>
      </c>
      <c r="AQ81" s="475">
        <v>8.6957000000000007E-2</v>
      </c>
      <c r="AR81" s="475">
        <v>0.100719</v>
      </c>
      <c r="AS81" s="475">
        <v>0.27780514776800258</v>
      </c>
    </row>
    <row r="82" spans="2:45" outlineLevel="1">
      <c r="B82" s="1444" t="s">
        <v>1286</v>
      </c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5"/>
      <c r="V82" s="475"/>
      <c r="W82" s="475"/>
      <c r="X82" s="475"/>
      <c r="Y82" s="475"/>
      <c r="Z82" s="475"/>
      <c r="AA82" s="475"/>
      <c r="AB82" s="475">
        <v>0.337662337662338</v>
      </c>
      <c r="AC82" s="475">
        <v>0.33707865168539303</v>
      </c>
      <c r="AD82" s="475">
        <v>0.31481500000000001</v>
      </c>
      <c r="AE82" s="475">
        <v>0.47787600000000002</v>
      </c>
      <c r="AF82" s="475">
        <v>0.44036700000000001</v>
      </c>
      <c r="AG82" s="475">
        <v>0.39655200000000002</v>
      </c>
      <c r="AH82" s="475">
        <v>0.42623</v>
      </c>
      <c r="AI82" s="475">
        <v>0.49206299999999997</v>
      </c>
      <c r="AJ82" s="475">
        <v>0.30075200000000002</v>
      </c>
      <c r="AK82" s="475">
        <v>0.31292500000000001</v>
      </c>
      <c r="AL82" s="475">
        <v>0.44444400000000001</v>
      </c>
      <c r="AM82" s="475">
        <v>0.12903200000000001</v>
      </c>
      <c r="AN82" s="475">
        <v>8.5889999999999994E-2</v>
      </c>
      <c r="AO82" s="475">
        <v>0.222222</v>
      </c>
      <c r="AP82" s="475">
        <v>0.157303</v>
      </c>
      <c r="AQ82" s="475">
        <v>0.14444399999999999</v>
      </c>
      <c r="AR82" s="475">
        <v>0.25609799999999999</v>
      </c>
      <c r="AS82" s="475">
        <v>0.31033846996163122</v>
      </c>
    </row>
    <row r="83" spans="2:45" outlineLevel="1">
      <c r="B83" s="1444" t="s">
        <v>1161</v>
      </c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475">
        <v>0</v>
      </c>
      <c r="AD83" s="475">
        <v>0.352941</v>
      </c>
      <c r="AE83" s="475">
        <v>0.72727299999999995</v>
      </c>
      <c r="AF83" s="475">
        <v>0.44444400000000001</v>
      </c>
      <c r="AG83" s="475">
        <v>0.45833299999999999</v>
      </c>
      <c r="AH83" s="475">
        <v>0.22641500000000001</v>
      </c>
      <c r="AI83" s="475">
        <v>0.55737700000000001</v>
      </c>
      <c r="AJ83" s="475">
        <v>0.38095200000000001</v>
      </c>
      <c r="AK83" s="475">
        <v>0.483516</v>
      </c>
      <c r="AL83" s="475">
        <v>0.26548699999999997</v>
      </c>
      <c r="AM83" s="475">
        <v>0.148148</v>
      </c>
      <c r="AN83" s="475">
        <v>0.18018000000000001</v>
      </c>
      <c r="AO83" s="475">
        <v>0.20869599999999999</v>
      </c>
      <c r="AP83" s="475">
        <v>0.11666700000000001</v>
      </c>
      <c r="AQ83" s="475">
        <v>0.137931</v>
      </c>
      <c r="AR83" s="475">
        <v>8.6957000000000007E-2</v>
      </c>
      <c r="AS83" s="475">
        <v>0.29845731249999996</v>
      </c>
    </row>
    <row r="84" spans="2:45" outlineLevel="1">
      <c r="B84" s="1444" t="s">
        <v>1287</v>
      </c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5"/>
      <c r="V84" s="475"/>
      <c r="W84" s="475"/>
      <c r="X84" s="475"/>
      <c r="Y84" s="475"/>
      <c r="Z84" s="475"/>
      <c r="AA84" s="475"/>
      <c r="AB84" s="475">
        <v>0.43076923076923102</v>
      </c>
      <c r="AC84" s="475">
        <v>0.29411764705882398</v>
      </c>
      <c r="AD84" s="475">
        <v>0.26950400000000002</v>
      </c>
      <c r="AE84" s="475">
        <v>0.29050300000000001</v>
      </c>
      <c r="AF84" s="475">
        <v>0.28421099999999999</v>
      </c>
      <c r="AG84" s="475">
        <v>0.27225100000000002</v>
      </c>
      <c r="AH84" s="475">
        <v>0.29145700000000002</v>
      </c>
      <c r="AI84" s="475">
        <v>0.36448599999999998</v>
      </c>
      <c r="AJ84" s="475">
        <v>0.30188700000000002</v>
      </c>
      <c r="AK84" s="475">
        <v>0.36866399999999999</v>
      </c>
      <c r="AL84" s="475">
        <v>0.38260899999999998</v>
      </c>
      <c r="AM84" s="475">
        <v>0.17948700000000001</v>
      </c>
      <c r="AN84" s="475">
        <v>0.152</v>
      </c>
      <c r="AO84" s="475">
        <v>0.302817</v>
      </c>
      <c r="AP84" s="475">
        <v>0.25078400000000001</v>
      </c>
      <c r="AQ84" s="475">
        <v>0.20114899999999999</v>
      </c>
      <c r="AR84" s="475">
        <v>0.269841</v>
      </c>
      <c r="AS84" s="475">
        <v>0.28861981634282674</v>
      </c>
    </row>
    <row r="85" spans="2:45" outlineLevel="1">
      <c r="B85" s="1444" t="s">
        <v>1348</v>
      </c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5"/>
      <c r="V85" s="475"/>
      <c r="W85" s="475"/>
      <c r="X85" s="475"/>
      <c r="Y85" s="475"/>
      <c r="Z85" s="475"/>
      <c r="AA85" s="475"/>
      <c r="AB85" s="475">
        <v>0.24</v>
      </c>
      <c r="AC85" s="475">
        <v>0.186046511627907</v>
      </c>
      <c r="AD85" s="475">
        <v>0.147059</v>
      </c>
      <c r="AE85" s="475">
        <v>0.32967000000000002</v>
      </c>
      <c r="AF85" s="475">
        <v>0.20833299999999999</v>
      </c>
      <c r="AG85" s="475">
        <v>0.28000000000000003</v>
      </c>
      <c r="AH85" s="475">
        <v>0.25757600000000003</v>
      </c>
      <c r="AI85" s="475">
        <v>0.47368399999999999</v>
      </c>
      <c r="AJ85" s="475">
        <v>0.52830200000000005</v>
      </c>
      <c r="AK85" s="475">
        <v>0.36363600000000001</v>
      </c>
      <c r="AL85" s="475">
        <v>0.25490200000000002</v>
      </c>
      <c r="AM85" s="475">
        <v>0.129353</v>
      </c>
      <c r="AN85" s="475">
        <v>0.13658500000000001</v>
      </c>
      <c r="AO85" s="475">
        <v>0.197183</v>
      </c>
      <c r="AP85" s="475">
        <v>0.143541</v>
      </c>
      <c r="AQ85" s="475">
        <v>0.25490200000000002</v>
      </c>
      <c r="AR85" s="475">
        <v>0.27826099999999998</v>
      </c>
      <c r="AS85" s="475">
        <v>0.2593549124487004</v>
      </c>
    </row>
    <row r="86" spans="2:45" outlineLevel="1">
      <c r="B86" s="1444" t="s">
        <v>1420</v>
      </c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5"/>
      <c r="AA86" s="475"/>
      <c r="AB86" s="475"/>
      <c r="AC86" s="475"/>
      <c r="AD86" s="475">
        <v>0.48148099999999999</v>
      </c>
      <c r="AE86" s="475">
        <v>0.37606800000000001</v>
      </c>
      <c r="AF86" s="475">
        <v>0.348993</v>
      </c>
      <c r="AG86" s="475">
        <v>0.34883700000000001</v>
      </c>
      <c r="AH86" s="475">
        <v>0.235955</v>
      </c>
      <c r="AI86" s="475">
        <v>0.43478299999999998</v>
      </c>
      <c r="AJ86" s="475">
        <v>0.33879799999999999</v>
      </c>
      <c r="AK86" s="475">
        <v>0.46560800000000002</v>
      </c>
      <c r="AL86" s="475">
        <v>0.42926799999999998</v>
      </c>
      <c r="AM86" s="475">
        <v>0.15740699999999999</v>
      </c>
      <c r="AN86" s="475">
        <v>8.9286000000000004E-2</v>
      </c>
      <c r="AO86" s="475">
        <v>0.25550699999999998</v>
      </c>
      <c r="AP86" s="475">
        <v>0.20091300000000001</v>
      </c>
      <c r="AQ86" s="475">
        <v>0.24107100000000001</v>
      </c>
      <c r="AR86" s="475">
        <v>0.35205999999999998</v>
      </c>
      <c r="AS86" s="475">
        <v>0.31706899999999999</v>
      </c>
    </row>
    <row r="87" spans="2:45" outlineLevel="1">
      <c r="B87" s="1444" t="s">
        <v>1566</v>
      </c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5"/>
      <c r="V87" s="475"/>
      <c r="W87" s="475"/>
      <c r="X87" s="475"/>
      <c r="Y87" s="475"/>
      <c r="Z87" s="475"/>
      <c r="AA87" s="475"/>
      <c r="AB87" s="475"/>
      <c r="AC87" s="475"/>
      <c r="AD87" s="475"/>
      <c r="AE87" s="475"/>
      <c r="AF87" s="475">
        <v>0.57142899999999996</v>
      </c>
      <c r="AG87" s="475">
        <v>0.91666700000000001</v>
      </c>
      <c r="AH87" s="475">
        <v>0.45454499999999998</v>
      </c>
      <c r="AI87" s="475">
        <v>0.26666699999999999</v>
      </c>
      <c r="AJ87" s="475">
        <v>0.23188400000000001</v>
      </c>
      <c r="AK87" s="475">
        <v>0.19178100000000001</v>
      </c>
      <c r="AL87" s="475">
        <v>0.37837799999999999</v>
      </c>
      <c r="AM87" s="475">
        <v>0.112676</v>
      </c>
      <c r="AN87" s="475"/>
      <c r="AO87" s="475"/>
      <c r="AP87" s="475"/>
      <c r="AQ87" s="475"/>
      <c r="AR87" s="475"/>
      <c r="AS87" s="475">
        <v>0.39050337500000004</v>
      </c>
    </row>
    <row r="88" spans="2:45" outlineLevel="1">
      <c r="B88" s="1444" t="s">
        <v>1670</v>
      </c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5"/>
      <c r="V88" s="475"/>
      <c r="W88" s="475"/>
      <c r="X88" s="475"/>
      <c r="Y88" s="475"/>
      <c r="Z88" s="475"/>
      <c r="AA88" s="475"/>
      <c r="AB88" s="475"/>
      <c r="AC88" s="475"/>
      <c r="AD88" s="475"/>
      <c r="AE88" s="475"/>
      <c r="AF88" s="475">
        <v>0.33333299999999999</v>
      </c>
      <c r="AG88" s="475">
        <v>0.47619</v>
      </c>
      <c r="AH88" s="475">
        <v>0.12903200000000001</v>
      </c>
      <c r="AI88" s="475">
        <v>0.375</v>
      </c>
      <c r="AJ88" s="475">
        <v>0.375</v>
      </c>
      <c r="AK88" s="475">
        <v>0.41025600000000001</v>
      </c>
      <c r="AL88" s="475">
        <v>0.40909099999999998</v>
      </c>
      <c r="AM88" s="475">
        <v>0.05</v>
      </c>
      <c r="AN88" s="475">
        <v>7.6923000000000005E-2</v>
      </c>
      <c r="AO88" s="475">
        <v>0.21768699999999999</v>
      </c>
      <c r="AP88" s="475"/>
      <c r="AQ88" s="475"/>
      <c r="AR88" s="475"/>
      <c r="AS88" s="475">
        <v>0.28525119999999998</v>
      </c>
    </row>
    <row r="89" spans="2:45" outlineLevel="1">
      <c r="B89" s="1444" t="s">
        <v>1571</v>
      </c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5"/>
      <c r="V89" s="475"/>
      <c r="W89" s="475"/>
      <c r="X89" s="475"/>
      <c r="Y89" s="475"/>
      <c r="Z89" s="475"/>
      <c r="AA89" s="475"/>
      <c r="AB89" s="475"/>
      <c r="AC89" s="475"/>
      <c r="AD89" s="475"/>
      <c r="AE89" s="475"/>
      <c r="AF89" s="475">
        <v>0.625</v>
      </c>
      <c r="AG89" s="475">
        <v>0.41666700000000001</v>
      </c>
      <c r="AH89" s="475">
        <v>0.30769200000000002</v>
      </c>
      <c r="AI89" s="475">
        <v>0.35384599999999999</v>
      </c>
      <c r="AJ89" s="475">
        <v>0.29585800000000001</v>
      </c>
      <c r="AK89" s="475">
        <v>0.37142900000000001</v>
      </c>
      <c r="AL89" s="475">
        <v>0.39830500000000002</v>
      </c>
      <c r="AM89" s="475">
        <v>0.21621599999999999</v>
      </c>
      <c r="AN89" s="475">
        <v>0.16254399999999999</v>
      </c>
      <c r="AO89" s="475">
        <v>0.22939100000000001</v>
      </c>
      <c r="AP89" s="475">
        <v>0.237705</v>
      </c>
      <c r="AQ89" s="475">
        <v>0.17467199999999999</v>
      </c>
      <c r="AR89" s="475">
        <v>0.23321600000000001</v>
      </c>
      <c r="AS89" s="475">
        <v>0.30942623076923081</v>
      </c>
    </row>
    <row r="90" spans="2:45" outlineLevel="1">
      <c r="B90" s="1444" t="s">
        <v>1564</v>
      </c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5"/>
      <c r="V90" s="475"/>
      <c r="W90" s="475"/>
      <c r="X90" s="475"/>
      <c r="Y90" s="475"/>
      <c r="Z90" s="475"/>
      <c r="AA90" s="475"/>
      <c r="AB90" s="475"/>
      <c r="AC90" s="475"/>
      <c r="AD90" s="475">
        <v>0.33333299999999999</v>
      </c>
      <c r="AE90" s="475">
        <v>0.58823499999999995</v>
      </c>
      <c r="AF90" s="475">
        <v>0.4375</v>
      </c>
      <c r="AG90" s="475">
        <v>0.29787200000000003</v>
      </c>
      <c r="AH90" s="475">
        <v>0.33333299999999999</v>
      </c>
      <c r="AI90" s="475">
        <v>0.42307699999999998</v>
      </c>
      <c r="AJ90" s="475">
        <v>0.33333299999999999</v>
      </c>
      <c r="AK90" s="475">
        <v>0.48275899999999999</v>
      </c>
      <c r="AL90" s="475">
        <v>0.54054100000000005</v>
      </c>
      <c r="AM90" s="475">
        <v>0.261905</v>
      </c>
      <c r="AN90" s="475">
        <v>0.17391300000000001</v>
      </c>
      <c r="AO90" s="475">
        <v>0.15789500000000001</v>
      </c>
      <c r="AP90" s="475">
        <v>0.21582699999999999</v>
      </c>
      <c r="AQ90" s="475">
        <v>0.08</v>
      </c>
      <c r="AR90" s="475">
        <v>0.33333299999999999</v>
      </c>
      <c r="AS90" s="475">
        <v>0.33285706666666665</v>
      </c>
    </row>
    <row r="91" spans="2:45" outlineLevel="1">
      <c r="B91" s="1444" t="s">
        <v>1766</v>
      </c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>
        <v>0.4</v>
      </c>
      <c r="U91" s="475">
        <v>0.42857099999999998</v>
      </c>
      <c r="V91" s="475">
        <v>0.21621599999999999</v>
      </c>
      <c r="W91" s="475">
        <v>0.27777800000000002</v>
      </c>
      <c r="X91" s="475">
        <v>0.27777800000000002</v>
      </c>
      <c r="Y91" s="475">
        <v>0.30215799999999998</v>
      </c>
      <c r="Z91" s="475">
        <v>0.19653200000000001</v>
      </c>
      <c r="AA91" s="475">
        <v>0.168224299065421</v>
      </c>
      <c r="AB91" s="475">
        <v>0.16666666666666699</v>
      </c>
      <c r="AC91" s="475">
        <v>0.17004048582996001</v>
      </c>
      <c r="AD91" s="475">
        <v>0.18181800000000001</v>
      </c>
      <c r="AE91" s="475">
        <v>9.0615000000000001E-2</v>
      </c>
      <c r="AF91" s="475">
        <v>0.17508399999999999</v>
      </c>
      <c r="AG91" s="475">
        <v>0.19406999999999999</v>
      </c>
      <c r="AH91" s="475">
        <v>0.149871</v>
      </c>
      <c r="AI91" s="475">
        <v>0.26415100000000002</v>
      </c>
      <c r="AJ91" s="475">
        <v>0.23631099999999999</v>
      </c>
      <c r="AK91" s="475">
        <v>0.18604699999999999</v>
      </c>
      <c r="AL91" s="475">
        <v>0.28656700000000002</v>
      </c>
      <c r="AM91" s="475">
        <v>8.7774000000000005E-2</v>
      </c>
      <c r="AN91" s="475">
        <v>6.3492000000000007E-2</v>
      </c>
      <c r="AO91" s="475">
        <v>0.203593</v>
      </c>
      <c r="AP91" s="475">
        <v>0.14577300000000001</v>
      </c>
      <c r="AQ91" s="475">
        <v>0.104615</v>
      </c>
      <c r="AR91" s="475">
        <v>0.15331</v>
      </c>
      <c r="AS91" s="475">
        <v>0.20508221806248192</v>
      </c>
    </row>
    <row r="92" spans="2:45" outlineLevel="1">
      <c r="B92" s="1444" t="s">
        <v>1768</v>
      </c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5">
        <v>1.6666669999999999</v>
      </c>
      <c r="V92" s="475">
        <v>0.70588200000000001</v>
      </c>
      <c r="W92" s="475">
        <v>0.43478299999999998</v>
      </c>
      <c r="X92" s="475">
        <v>0.58333299999999999</v>
      </c>
      <c r="Y92" s="475">
        <v>0.4375</v>
      </c>
      <c r="Z92" s="475">
        <v>0.52173899999999995</v>
      </c>
      <c r="AA92" s="475">
        <v>0.33333333333333298</v>
      </c>
      <c r="AB92" s="475">
        <v>0.21052631578947401</v>
      </c>
      <c r="AC92" s="475">
        <v>0.13559322033898299</v>
      </c>
      <c r="AD92" s="475">
        <v>0.33333299999999999</v>
      </c>
      <c r="AE92" s="475">
        <v>0.324324</v>
      </c>
      <c r="AF92" s="475">
        <v>0.48648599999999997</v>
      </c>
      <c r="AG92" s="475">
        <v>0.42499999999999999</v>
      </c>
      <c r="AH92" s="475">
        <v>0.215054</v>
      </c>
      <c r="AI92" s="475">
        <v>0.47916700000000001</v>
      </c>
      <c r="AJ92" s="475">
        <v>0.25263200000000002</v>
      </c>
      <c r="AK92" s="475">
        <v>0.344086</v>
      </c>
      <c r="AL92" s="475">
        <v>0.449438</v>
      </c>
      <c r="AM92" s="475">
        <v>0.13636400000000001</v>
      </c>
      <c r="AN92" s="475">
        <v>0.18181800000000001</v>
      </c>
      <c r="AO92" s="475">
        <v>0.30232599999999998</v>
      </c>
      <c r="AP92" s="475">
        <v>0.144068</v>
      </c>
      <c r="AQ92" s="475">
        <v>0.20325199999999999</v>
      </c>
      <c r="AR92" s="475"/>
      <c r="AS92" s="475">
        <v>0.40463934215051273</v>
      </c>
    </row>
    <row r="93" spans="2:45" outlineLevel="1">
      <c r="B93" s="1444" t="s">
        <v>1771</v>
      </c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5"/>
      <c r="V93" s="475"/>
      <c r="W93" s="475"/>
      <c r="X93" s="475"/>
      <c r="Y93" s="475"/>
      <c r="Z93" s="475"/>
      <c r="AA93" s="475"/>
      <c r="AB93" s="475"/>
      <c r="AC93" s="475"/>
      <c r="AD93" s="475">
        <v>0.44444400000000001</v>
      </c>
      <c r="AE93" s="475">
        <v>0.43243199999999998</v>
      </c>
      <c r="AF93" s="475">
        <v>0.38709700000000002</v>
      </c>
      <c r="AG93" s="475">
        <v>0.35135100000000002</v>
      </c>
      <c r="AH93" s="475">
        <v>0.235294</v>
      </c>
      <c r="AI93" s="475">
        <v>0.35714299999999999</v>
      </c>
      <c r="AJ93" s="475">
        <v>0.35555599999999998</v>
      </c>
      <c r="AK93" s="475">
        <v>0.351852</v>
      </c>
      <c r="AL93" s="475">
        <v>0.44642900000000002</v>
      </c>
      <c r="AM93" s="475">
        <v>7.2727E-2</v>
      </c>
      <c r="AN93" s="475">
        <v>5.7471000000000001E-2</v>
      </c>
      <c r="AO93" s="475">
        <v>5.1612999999999999E-2</v>
      </c>
      <c r="AP93" s="475">
        <v>0.14388500000000001</v>
      </c>
      <c r="AQ93" s="475">
        <v>0.225352</v>
      </c>
      <c r="AR93" s="475"/>
      <c r="AS93" s="475">
        <v>0.2794747142857143</v>
      </c>
    </row>
    <row r="94" spans="2:45" outlineLevel="1">
      <c r="B94" s="1444" t="s">
        <v>1774</v>
      </c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5"/>
      <c r="V94" s="475"/>
      <c r="W94" s="475"/>
      <c r="X94" s="475"/>
      <c r="Y94" s="475"/>
      <c r="Z94" s="475"/>
      <c r="AA94" s="475">
        <v>0.42944785276073599</v>
      </c>
      <c r="AB94" s="475">
        <v>0.244131455399061</v>
      </c>
      <c r="AC94" s="475">
        <v>0.2734375</v>
      </c>
      <c r="AD94" s="475">
        <v>0.25</v>
      </c>
      <c r="AE94" s="475">
        <v>0.15849099999999999</v>
      </c>
      <c r="AF94" s="475">
        <v>0.38983099999999998</v>
      </c>
      <c r="AG94" s="475">
        <v>0.54320999999999997</v>
      </c>
      <c r="AH94" s="475">
        <v>0.24727299999999999</v>
      </c>
      <c r="AI94" s="475">
        <v>0.454849</v>
      </c>
      <c r="AJ94" s="475">
        <v>0.206897</v>
      </c>
      <c r="AK94" s="475">
        <v>0.32484099999999999</v>
      </c>
      <c r="AL94" s="475">
        <v>0.28956199999999999</v>
      </c>
      <c r="AM94" s="475">
        <v>9.5940999999999999E-2</v>
      </c>
      <c r="AN94" s="475">
        <v>0.151394</v>
      </c>
      <c r="AO94" s="475">
        <v>0.19672100000000001</v>
      </c>
      <c r="AP94" s="475">
        <v>0.16309000000000001</v>
      </c>
      <c r="AQ94" s="475">
        <v>0.19730900000000001</v>
      </c>
      <c r="AR94" s="475">
        <v>0.33103399999999999</v>
      </c>
      <c r="AS94" s="475">
        <v>0.27485887823109983</v>
      </c>
    </row>
    <row r="95" spans="2:45" outlineLevel="1">
      <c r="B95" s="1444" t="s">
        <v>1028</v>
      </c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5"/>
      <c r="V95" s="475"/>
      <c r="W95" s="475"/>
      <c r="X95" s="475"/>
      <c r="Y95" s="475"/>
      <c r="Z95" s="475"/>
      <c r="AA95" s="475"/>
      <c r="AB95" s="475"/>
      <c r="AC95" s="475"/>
      <c r="AD95" s="475"/>
      <c r="AE95" s="475">
        <v>0.55319099999999999</v>
      </c>
      <c r="AF95" s="475">
        <v>0.493506</v>
      </c>
      <c r="AG95" s="475">
        <v>0.50505100000000003</v>
      </c>
      <c r="AH95" s="475">
        <v>0.29921300000000001</v>
      </c>
      <c r="AI95" s="475">
        <v>0.53164599999999995</v>
      </c>
      <c r="AJ95" s="475">
        <v>0.38202199999999997</v>
      </c>
      <c r="AK95" s="475">
        <v>0.43601899999999999</v>
      </c>
      <c r="AL95" s="475">
        <v>0.56799999999999995</v>
      </c>
      <c r="AM95" s="475">
        <v>0.34328399999999998</v>
      </c>
      <c r="AN95" s="475">
        <v>0.25964900000000002</v>
      </c>
      <c r="AO95" s="475">
        <v>0.411215</v>
      </c>
      <c r="AP95" s="475">
        <v>0.374332</v>
      </c>
      <c r="AQ95" s="475">
        <v>0.32195099999999999</v>
      </c>
      <c r="AR95" s="475">
        <v>0.31381700000000001</v>
      </c>
      <c r="AS95" s="475">
        <v>0.41377828571428571</v>
      </c>
    </row>
    <row r="96" spans="2:45" outlineLevel="1">
      <c r="B96" s="1444" t="s">
        <v>1569</v>
      </c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5"/>
      <c r="V96" s="475"/>
      <c r="W96" s="475"/>
      <c r="X96" s="475"/>
      <c r="Y96" s="475"/>
      <c r="Z96" s="475"/>
      <c r="AA96" s="475"/>
      <c r="AB96" s="475"/>
      <c r="AC96" s="475"/>
      <c r="AD96" s="475"/>
      <c r="AE96" s="475">
        <v>0.44642900000000002</v>
      </c>
      <c r="AF96" s="475">
        <v>0.45378200000000002</v>
      </c>
      <c r="AG96" s="475">
        <v>0.46478900000000001</v>
      </c>
      <c r="AH96" s="475">
        <v>0.344086</v>
      </c>
      <c r="AI96" s="475">
        <v>0.57723599999999997</v>
      </c>
      <c r="AJ96" s="475">
        <v>0.47619</v>
      </c>
      <c r="AK96" s="475">
        <v>0.39234400000000003</v>
      </c>
      <c r="AL96" s="475">
        <v>0.41150399999999998</v>
      </c>
      <c r="AM96" s="475">
        <v>0.163717</v>
      </c>
      <c r="AN96" s="475">
        <v>0.205128</v>
      </c>
      <c r="AO96" s="475">
        <v>0.33898299999999998</v>
      </c>
      <c r="AP96" s="475">
        <v>0.31140400000000001</v>
      </c>
      <c r="AQ96" s="475">
        <v>0.24904200000000001</v>
      </c>
      <c r="AR96" s="475">
        <v>0.36152600000000001</v>
      </c>
      <c r="AS96" s="475">
        <v>0.37115428571428577</v>
      </c>
    </row>
    <row r="97" spans="2:45" outlineLevel="1">
      <c r="B97" s="1444" t="s">
        <v>1573</v>
      </c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5"/>
      <c r="V97" s="475"/>
      <c r="W97" s="475"/>
      <c r="X97" s="475"/>
      <c r="Y97" s="475"/>
      <c r="Z97" s="475"/>
      <c r="AA97" s="475"/>
      <c r="AB97" s="475"/>
      <c r="AC97" s="475"/>
      <c r="AD97" s="475"/>
      <c r="AE97" s="475">
        <v>2</v>
      </c>
      <c r="AF97" s="475">
        <v>0.4</v>
      </c>
      <c r="AG97" s="475">
        <v>0.51428600000000002</v>
      </c>
      <c r="AH97" s="475">
        <v>0.20224700000000001</v>
      </c>
      <c r="AI97" s="475">
        <v>0.46728999999999998</v>
      </c>
      <c r="AJ97" s="475">
        <v>0.23255799999999999</v>
      </c>
      <c r="AK97" s="475">
        <v>0.42758600000000002</v>
      </c>
      <c r="AL97" s="475">
        <v>0.38418099999999999</v>
      </c>
      <c r="AM97" s="475">
        <v>6.7960999999999994E-2</v>
      </c>
      <c r="AN97" s="475">
        <v>0.3125</v>
      </c>
      <c r="AO97" s="475">
        <v>0.275862</v>
      </c>
      <c r="AP97" s="475">
        <v>0.261905</v>
      </c>
      <c r="AQ97" s="475">
        <v>0.31111100000000003</v>
      </c>
      <c r="AR97" s="475">
        <v>0.26890799999999998</v>
      </c>
      <c r="AS97" s="475">
        <v>0.43759964285714281</v>
      </c>
    </row>
    <row r="98" spans="2:45" outlineLevel="1">
      <c r="B98" s="1444" t="s">
        <v>1770</v>
      </c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>
        <v>0</v>
      </c>
      <c r="P98" s="475">
        <v>0.33329999999999999</v>
      </c>
      <c r="Q98" s="475">
        <v>0.22220000000000001</v>
      </c>
      <c r="R98" s="475">
        <v>0.45450000000000002</v>
      </c>
      <c r="S98" s="475">
        <v>0.1081</v>
      </c>
      <c r="T98" s="475">
        <v>0.272727</v>
      </c>
      <c r="U98" s="475">
        <v>0.227273</v>
      </c>
      <c r="V98" s="475">
        <v>0.38297900000000001</v>
      </c>
      <c r="W98" s="475">
        <v>0.44117600000000001</v>
      </c>
      <c r="X98" s="475">
        <v>0.47191</v>
      </c>
      <c r="Y98" s="475">
        <v>0.43103399999999997</v>
      </c>
      <c r="Z98" s="475">
        <v>0.45070399999999999</v>
      </c>
      <c r="AA98" s="475">
        <v>0.228187919463087</v>
      </c>
      <c r="AB98" s="475">
        <v>7.9470198675496706E-2</v>
      </c>
      <c r="AC98" s="475">
        <v>0.177215189873418</v>
      </c>
      <c r="AD98" s="475">
        <v>0.16867499999999999</v>
      </c>
      <c r="AE98" s="475">
        <v>0.30463600000000002</v>
      </c>
      <c r="AF98" s="475">
        <v>0.328571</v>
      </c>
      <c r="AG98" s="475"/>
      <c r="AH98" s="475"/>
      <c r="AI98" s="475"/>
      <c r="AJ98" s="475"/>
      <c r="AK98" s="475"/>
      <c r="AL98" s="475"/>
      <c r="AM98" s="475"/>
      <c r="AN98" s="475"/>
      <c r="AO98" s="475"/>
      <c r="AP98" s="475"/>
      <c r="AQ98" s="475"/>
      <c r="AR98" s="475"/>
      <c r="AS98" s="475">
        <v>0.2823699060006668</v>
      </c>
    </row>
    <row r="99" spans="2:45" outlineLevel="1">
      <c r="B99" s="1444" t="s">
        <v>1777</v>
      </c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>
        <v>0</v>
      </c>
      <c r="S99" s="475">
        <v>0.58819999999999995</v>
      </c>
      <c r="T99" s="475">
        <v>0.36363600000000001</v>
      </c>
      <c r="U99" s="475">
        <v>0.352941</v>
      </c>
      <c r="V99" s="475">
        <v>0.28571400000000002</v>
      </c>
      <c r="W99" s="475">
        <v>0.30952400000000002</v>
      </c>
      <c r="X99" s="475">
        <v>0.35555599999999998</v>
      </c>
      <c r="Y99" s="475">
        <v>0.31068000000000001</v>
      </c>
      <c r="Z99" s="475">
        <v>0.29357800000000001</v>
      </c>
      <c r="AA99" s="475">
        <v>0.169811320754717</v>
      </c>
      <c r="AB99" s="475">
        <v>5.7142857142857099E-2</v>
      </c>
      <c r="AC99" s="475">
        <v>0.17142857142857101</v>
      </c>
      <c r="AD99" s="475">
        <v>0.23300999999999999</v>
      </c>
      <c r="AE99" s="475">
        <v>0.346939</v>
      </c>
      <c r="AF99" s="475">
        <v>0.67289699999999997</v>
      </c>
      <c r="AG99" s="475">
        <v>0.128</v>
      </c>
      <c r="AH99" s="475">
        <v>9.375E-2</v>
      </c>
      <c r="AI99" s="475">
        <v>0.105263</v>
      </c>
      <c r="AJ99" s="475">
        <v>0.155556</v>
      </c>
      <c r="AK99" s="475">
        <v>0.21917800000000001</v>
      </c>
      <c r="AL99" s="475">
        <v>0.264706</v>
      </c>
      <c r="AM99" s="475">
        <v>0</v>
      </c>
      <c r="AN99" s="475">
        <v>6.7796999999999996E-2</v>
      </c>
      <c r="AO99" s="475">
        <v>6.8966E-2</v>
      </c>
      <c r="AP99" s="475">
        <v>0</v>
      </c>
      <c r="AQ99" s="475"/>
      <c r="AR99" s="475"/>
      <c r="AS99" s="475">
        <v>0.2245709499730458</v>
      </c>
    </row>
    <row r="100" spans="2:45" outlineLevel="1">
      <c r="B100" s="1444" t="s">
        <v>1773</v>
      </c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5"/>
      <c r="V100" s="475">
        <v>1</v>
      </c>
      <c r="W100" s="475">
        <v>0.96774199999999999</v>
      </c>
      <c r="X100" s="475">
        <v>0.81355900000000003</v>
      </c>
      <c r="Y100" s="475">
        <v>0.68965500000000002</v>
      </c>
      <c r="Z100" s="475">
        <v>0.47328199999999998</v>
      </c>
      <c r="AA100" s="475">
        <v>0.232558139534884</v>
      </c>
      <c r="AB100" s="475">
        <v>0.10752688172043</v>
      </c>
      <c r="AC100" s="475">
        <v>9.5238095238095205E-2</v>
      </c>
      <c r="AD100" s="475">
        <v>0.152174</v>
      </c>
      <c r="AE100" s="475">
        <v>0.25974000000000003</v>
      </c>
      <c r="AF100" s="475">
        <v>0.29268300000000003</v>
      </c>
      <c r="AG100" s="475">
        <v>0.38260899999999998</v>
      </c>
      <c r="AH100" s="475">
        <v>0.30476199999999998</v>
      </c>
      <c r="AI100" s="475">
        <v>0.47933900000000002</v>
      </c>
      <c r="AJ100" s="475">
        <v>0.35460999999999998</v>
      </c>
      <c r="AK100" s="475">
        <v>0.376471</v>
      </c>
      <c r="AL100" s="475">
        <v>0.38862600000000003</v>
      </c>
      <c r="AM100" s="475">
        <v>0.26548699999999997</v>
      </c>
      <c r="AN100" s="475">
        <v>0.22935800000000001</v>
      </c>
      <c r="AO100" s="475">
        <v>0.27802700000000002</v>
      </c>
      <c r="AP100" s="475">
        <v>0.206009</v>
      </c>
      <c r="AQ100" s="475">
        <v>0.31128400000000001</v>
      </c>
      <c r="AR100" s="475">
        <v>0.29113899999999998</v>
      </c>
      <c r="AS100" s="475">
        <v>0.38921213549971356</v>
      </c>
    </row>
    <row r="101" spans="2:45" outlineLevel="1">
      <c r="B101" s="1444" t="s">
        <v>1950</v>
      </c>
      <c r="C101" s="475"/>
      <c r="D101" s="475"/>
      <c r="E101" s="475"/>
      <c r="F101" s="475"/>
      <c r="G101" s="475"/>
      <c r="H101" s="475"/>
      <c r="I101" s="475"/>
      <c r="J101" s="475"/>
      <c r="K101" s="475"/>
      <c r="L101" s="475"/>
      <c r="M101" s="475"/>
      <c r="N101" s="475"/>
      <c r="O101" s="475"/>
      <c r="P101" s="475"/>
      <c r="Q101" s="475"/>
      <c r="R101" s="475">
        <v>1.6</v>
      </c>
      <c r="S101" s="475">
        <v>0.5333</v>
      </c>
      <c r="T101" s="475">
        <v>0.08</v>
      </c>
      <c r="U101" s="475">
        <v>0.27160499999999999</v>
      </c>
      <c r="V101" s="475">
        <v>0.17910400000000001</v>
      </c>
      <c r="W101" s="475">
        <v>0.38356200000000001</v>
      </c>
      <c r="X101" s="475">
        <v>0.38961000000000001</v>
      </c>
      <c r="Y101" s="475">
        <v>0.24390200000000001</v>
      </c>
      <c r="Z101" s="475">
        <v>0.39024399999999998</v>
      </c>
      <c r="AA101" s="475">
        <v>0.17499999999999999</v>
      </c>
      <c r="AB101" s="475">
        <v>0.14457831325301199</v>
      </c>
      <c r="AC101" s="475">
        <v>0.45977011494252901</v>
      </c>
      <c r="AD101" s="475">
        <v>0.13333300000000001</v>
      </c>
      <c r="AE101" s="475">
        <v>0.31818200000000002</v>
      </c>
      <c r="AF101" s="475">
        <v>6.8966E-2</v>
      </c>
      <c r="AG101" s="475">
        <v>8.5106000000000001E-2</v>
      </c>
      <c r="AH101" s="475">
        <v>0.119403</v>
      </c>
      <c r="AI101" s="475">
        <v>0.262295</v>
      </c>
      <c r="AJ101" s="475">
        <v>0.12844</v>
      </c>
      <c r="AK101" s="475">
        <v>0.2</v>
      </c>
      <c r="AL101" s="475">
        <v>0.30137000000000003</v>
      </c>
      <c r="AM101" s="475">
        <v>8.5713999999999999E-2</v>
      </c>
      <c r="AN101" s="475">
        <v>0.202899</v>
      </c>
      <c r="AO101" s="475">
        <v>0.24615400000000001</v>
      </c>
      <c r="AP101" s="475">
        <v>0.17910400000000001</v>
      </c>
      <c r="AQ101" s="475"/>
      <c r="AR101" s="475"/>
      <c r="AS101" s="475">
        <v>0.28726565712782171</v>
      </c>
    </row>
    <row r="102" spans="2:45" outlineLevel="1">
      <c r="B102" s="1444" t="s">
        <v>2054</v>
      </c>
      <c r="C102" s="475"/>
      <c r="D102" s="475"/>
      <c r="E102" s="475"/>
      <c r="F102" s="475"/>
      <c r="G102" s="475"/>
      <c r="H102" s="475"/>
      <c r="I102" s="475"/>
      <c r="J102" s="475"/>
      <c r="K102" s="475"/>
      <c r="L102" s="475"/>
      <c r="M102" s="475"/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5"/>
      <c r="AA102" s="475"/>
      <c r="AB102" s="475"/>
      <c r="AC102" s="475"/>
      <c r="AD102" s="475"/>
      <c r="AE102" s="475"/>
      <c r="AF102" s="475"/>
      <c r="AG102" s="475"/>
      <c r="AH102" s="475"/>
      <c r="AI102" s="475">
        <v>0.244898</v>
      </c>
      <c r="AJ102" s="475">
        <v>0.359375</v>
      </c>
      <c r="AK102" s="475">
        <v>0.41450799999999999</v>
      </c>
      <c r="AL102" s="475">
        <v>0.38524599999999998</v>
      </c>
      <c r="AM102" s="475">
        <v>0.15671599999999999</v>
      </c>
      <c r="AN102" s="475">
        <v>0.129693</v>
      </c>
      <c r="AO102" s="475">
        <v>0.32107000000000002</v>
      </c>
      <c r="AP102" s="475">
        <v>0.30137000000000003</v>
      </c>
      <c r="AQ102" s="475">
        <v>0.356902</v>
      </c>
      <c r="AR102" s="475">
        <v>0.38323400000000002</v>
      </c>
      <c r="AS102" s="475">
        <v>0.30530119999999999</v>
      </c>
    </row>
    <row r="103" spans="2:45" outlineLevel="1">
      <c r="B103" s="1444" t="s">
        <v>2705</v>
      </c>
      <c r="C103" s="475"/>
      <c r="D103" s="475"/>
      <c r="E103" s="475"/>
      <c r="F103" s="475"/>
      <c r="G103" s="475"/>
      <c r="H103" s="475"/>
      <c r="I103" s="475"/>
      <c r="J103" s="475"/>
      <c r="K103" s="475"/>
      <c r="L103" s="475"/>
      <c r="M103" s="475"/>
      <c r="N103" s="475"/>
      <c r="O103" s="475"/>
      <c r="P103" s="475"/>
      <c r="Q103" s="475"/>
      <c r="R103" s="475"/>
      <c r="S103" s="475"/>
      <c r="T103" s="475"/>
      <c r="U103" s="475"/>
      <c r="V103" s="475"/>
      <c r="W103" s="475"/>
      <c r="X103" s="475"/>
      <c r="Y103" s="475"/>
      <c r="Z103" s="475"/>
      <c r="AA103" s="475"/>
      <c r="AB103" s="475"/>
      <c r="AC103" s="475"/>
      <c r="AD103" s="475"/>
      <c r="AE103" s="475"/>
      <c r="AF103" s="475"/>
      <c r="AG103" s="475"/>
      <c r="AH103" s="475"/>
      <c r="AI103" s="475"/>
      <c r="AJ103" s="475"/>
      <c r="AK103" s="475"/>
      <c r="AL103" s="475"/>
      <c r="AM103" s="475"/>
      <c r="AN103" s="475"/>
      <c r="AO103" s="475">
        <v>1.066667</v>
      </c>
      <c r="AP103" s="475">
        <v>0.33333299999999999</v>
      </c>
      <c r="AQ103" s="475">
        <v>0.52941199999999999</v>
      </c>
      <c r="AR103" s="475">
        <v>8.9552000000000007E-2</v>
      </c>
      <c r="AS103" s="475">
        <v>0.504741</v>
      </c>
    </row>
    <row r="104" spans="2:45" outlineLevel="1">
      <c r="B104" s="1444" t="s">
        <v>2706</v>
      </c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5"/>
      <c r="AA104" s="475"/>
      <c r="AB104" s="475"/>
      <c r="AC104" s="475"/>
      <c r="AD104" s="475"/>
      <c r="AE104" s="475"/>
      <c r="AF104" s="475"/>
      <c r="AG104" s="475"/>
      <c r="AH104" s="475"/>
      <c r="AI104" s="475"/>
      <c r="AJ104" s="475"/>
      <c r="AK104" s="475"/>
      <c r="AL104" s="475"/>
      <c r="AM104" s="475"/>
      <c r="AN104" s="475"/>
      <c r="AO104" s="475">
        <v>0.94117600000000001</v>
      </c>
      <c r="AP104" s="475">
        <v>0.45833299999999999</v>
      </c>
      <c r="AQ104" s="475">
        <v>0.42857099999999998</v>
      </c>
      <c r="AR104" s="475">
        <v>0.32608700000000002</v>
      </c>
      <c r="AS104" s="475">
        <v>0.53854175000000004</v>
      </c>
    </row>
    <row r="105" spans="2:45" outlineLevel="1">
      <c r="B105" s="1444" t="s">
        <v>2707</v>
      </c>
      <c r="C105" s="475"/>
      <c r="D105" s="475"/>
      <c r="E105" s="475"/>
      <c r="F105" s="475"/>
      <c r="G105" s="475"/>
      <c r="H105" s="475"/>
      <c r="I105" s="475"/>
      <c r="J105" s="475"/>
      <c r="K105" s="475"/>
      <c r="L105" s="475"/>
      <c r="M105" s="475"/>
      <c r="N105" s="475"/>
      <c r="O105" s="475"/>
      <c r="P105" s="475"/>
      <c r="Q105" s="475"/>
      <c r="R105" s="475"/>
      <c r="S105" s="475"/>
      <c r="T105" s="475"/>
      <c r="U105" s="475"/>
      <c r="V105" s="475"/>
      <c r="W105" s="475"/>
      <c r="X105" s="475"/>
      <c r="Y105" s="475"/>
      <c r="Z105" s="475"/>
      <c r="AA105" s="475"/>
      <c r="AB105" s="475"/>
      <c r="AC105" s="475"/>
      <c r="AD105" s="475"/>
      <c r="AE105" s="475"/>
      <c r="AF105" s="475"/>
      <c r="AG105" s="475"/>
      <c r="AH105" s="475"/>
      <c r="AI105" s="475"/>
      <c r="AJ105" s="475"/>
      <c r="AK105" s="475"/>
      <c r="AL105" s="475"/>
      <c r="AM105" s="475"/>
      <c r="AN105" s="475"/>
      <c r="AO105" s="475">
        <v>0.44444400000000001</v>
      </c>
      <c r="AP105" s="475">
        <v>9.5238000000000003E-2</v>
      </c>
      <c r="AQ105" s="475">
        <v>7.1429000000000006E-2</v>
      </c>
      <c r="AR105" s="475"/>
      <c r="AS105" s="475">
        <v>0.20370366666666664</v>
      </c>
    </row>
    <row r="106" spans="2:45" outlineLevel="1">
      <c r="B106" s="1444" t="s">
        <v>2709</v>
      </c>
      <c r="C106" s="475"/>
      <c r="D106" s="475"/>
      <c r="E106" s="475"/>
      <c r="F106" s="475"/>
      <c r="G106" s="475"/>
      <c r="H106" s="475"/>
      <c r="I106" s="475"/>
      <c r="J106" s="475"/>
      <c r="K106" s="475"/>
      <c r="L106" s="475"/>
      <c r="M106" s="475"/>
      <c r="N106" s="475"/>
      <c r="O106" s="475"/>
      <c r="P106" s="475"/>
      <c r="Q106" s="475"/>
      <c r="R106" s="475"/>
      <c r="S106" s="475"/>
      <c r="T106" s="475"/>
      <c r="U106" s="475"/>
      <c r="V106" s="475"/>
      <c r="W106" s="475"/>
      <c r="X106" s="475"/>
      <c r="Y106" s="475"/>
      <c r="Z106" s="475"/>
      <c r="AA106" s="475"/>
      <c r="AB106" s="475"/>
      <c r="AC106" s="475"/>
      <c r="AD106" s="475"/>
      <c r="AE106" s="475"/>
      <c r="AF106" s="475"/>
      <c r="AG106" s="475"/>
      <c r="AH106" s="475"/>
      <c r="AI106" s="475"/>
      <c r="AJ106" s="475"/>
      <c r="AK106" s="475"/>
      <c r="AL106" s="475"/>
      <c r="AM106" s="475"/>
      <c r="AN106" s="475"/>
      <c r="AO106" s="475">
        <v>0.54545500000000002</v>
      </c>
      <c r="AP106" s="475">
        <v>0.4375</v>
      </c>
      <c r="AQ106" s="475">
        <v>0.29729699999999998</v>
      </c>
      <c r="AR106" s="475">
        <v>0.45136199999999999</v>
      </c>
      <c r="AS106" s="475">
        <v>0.4329035</v>
      </c>
    </row>
    <row r="107" spans="2:45" outlineLevel="1">
      <c r="B107" s="1444" t="s">
        <v>2711</v>
      </c>
      <c r="C107" s="475"/>
      <c r="D107" s="475"/>
      <c r="E107" s="475"/>
      <c r="F107" s="475"/>
      <c r="G107" s="475"/>
      <c r="H107" s="475"/>
      <c r="I107" s="475"/>
      <c r="J107" s="475"/>
      <c r="K107" s="475"/>
      <c r="L107" s="475"/>
      <c r="M107" s="475"/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5"/>
      <c r="AA107" s="475"/>
      <c r="AB107" s="475"/>
      <c r="AC107" s="475"/>
      <c r="AD107" s="475"/>
      <c r="AE107" s="475"/>
      <c r="AF107" s="475"/>
      <c r="AG107" s="475"/>
      <c r="AH107" s="475"/>
      <c r="AI107" s="475"/>
      <c r="AJ107" s="475"/>
      <c r="AK107" s="475"/>
      <c r="AL107" s="475"/>
      <c r="AM107" s="475"/>
      <c r="AN107" s="475"/>
      <c r="AO107" s="475">
        <v>0.66666700000000001</v>
      </c>
      <c r="AP107" s="475">
        <v>0.49275400000000003</v>
      </c>
      <c r="AQ107" s="475">
        <v>0.39436599999999999</v>
      </c>
      <c r="AR107" s="475">
        <v>0.31715199999999999</v>
      </c>
      <c r="AS107" s="475">
        <v>0.46773474999999998</v>
      </c>
    </row>
    <row r="108" spans="2:45" outlineLevel="1">
      <c r="B108" s="1444" t="s">
        <v>3169</v>
      </c>
      <c r="C108" s="475"/>
      <c r="D108" s="475"/>
      <c r="E108" s="475"/>
      <c r="F108" s="475"/>
      <c r="G108" s="475"/>
      <c r="H108" s="475"/>
      <c r="I108" s="475"/>
      <c r="J108" s="475"/>
      <c r="K108" s="475"/>
      <c r="L108" s="475"/>
      <c r="M108" s="475"/>
      <c r="N108" s="475"/>
      <c r="O108" s="475"/>
      <c r="P108" s="475"/>
      <c r="Q108" s="475"/>
      <c r="R108" s="475"/>
      <c r="S108" s="475"/>
      <c r="T108" s="475"/>
      <c r="U108" s="475"/>
      <c r="V108" s="475"/>
      <c r="W108" s="475"/>
      <c r="X108" s="475"/>
      <c r="Y108" s="475"/>
      <c r="Z108" s="475"/>
      <c r="AA108" s="475"/>
      <c r="AB108" s="475"/>
      <c r="AC108" s="475"/>
      <c r="AD108" s="475"/>
      <c r="AE108" s="475"/>
      <c r="AF108" s="475"/>
      <c r="AG108" s="475"/>
      <c r="AH108" s="475"/>
      <c r="AI108" s="475"/>
      <c r="AJ108" s="475"/>
      <c r="AK108" s="475"/>
      <c r="AL108" s="475"/>
      <c r="AM108" s="475"/>
      <c r="AN108" s="475"/>
      <c r="AO108" s="475"/>
      <c r="AP108" s="475"/>
      <c r="AQ108" s="475">
        <v>0</v>
      </c>
      <c r="AR108" s="475">
        <v>0.53658499999999998</v>
      </c>
      <c r="AS108" s="475">
        <v>0.26829249999999999</v>
      </c>
    </row>
    <row r="109" spans="2:45" outlineLevel="1">
      <c r="B109" s="1444" t="s">
        <v>1410</v>
      </c>
      <c r="C109" s="475"/>
      <c r="D109" s="475"/>
      <c r="E109" s="475"/>
      <c r="F109" s="475"/>
      <c r="G109" s="475"/>
      <c r="H109" s="475"/>
      <c r="I109" s="475"/>
      <c r="J109" s="475"/>
      <c r="K109" s="475"/>
      <c r="L109" s="475"/>
      <c r="M109" s="475"/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5"/>
      <c r="AA109" s="475"/>
      <c r="AB109" s="475"/>
      <c r="AC109" s="475"/>
      <c r="AD109" s="475"/>
      <c r="AE109" s="475"/>
      <c r="AF109" s="475"/>
      <c r="AG109" s="475"/>
      <c r="AH109" s="475"/>
      <c r="AI109" s="475"/>
      <c r="AJ109" s="475"/>
      <c r="AK109" s="475"/>
      <c r="AL109" s="475"/>
      <c r="AM109" s="475"/>
      <c r="AN109" s="475"/>
      <c r="AO109" s="475"/>
      <c r="AP109" s="475"/>
      <c r="AQ109" s="475">
        <v>1.142857</v>
      </c>
      <c r="AR109" s="475">
        <v>0.59259300000000004</v>
      </c>
      <c r="AS109" s="475">
        <v>0.86772500000000008</v>
      </c>
    </row>
    <row r="110" spans="2:45" outlineLevel="1">
      <c r="B110" s="1444" t="s">
        <v>2897</v>
      </c>
      <c r="C110" s="475"/>
      <c r="D110" s="475"/>
      <c r="E110" s="475"/>
      <c r="F110" s="475"/>
      <c r="G110" s="475"/>
      <c r="H110" s="475"/>
      <c r="I110" s="475"/>
      <c r="J110" s="475"/>
      <c r="K110" s="475"/>
      <c r="L110" s="475"/>
      <c r="M110" s="475"/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5"/>
      <c r="AA110" s="475"/>
      <c r="AB110" s="475"/>
      <c r="AC110" s="475"/>
      <c r="AD110" s="475"/>
      <c r="AE110" s="475"/>
      <c r="AF110" s="475"/>
      <c r="AG110" s="475"/>
      <c r="AH110" s="475"/>
      <c r="AI110" s="475"/>
      <c r="AJ110" s="475"/>
      <c r="AK110" s="475"/>
      <c r="AL110" s="475"/>
      <c r="AM110" s="475"/>
      <c r="AN110" s="475"/>
      <c r="AO110" s="475"/>
      <c r="AP110" s="475"/>
      <c r="AQ110" s="475">
        <v>0.27397300000000002</v>
      </c>
      <c r="AR110" s="475">
        <v>0.16494800000000001</v>
      </c>
      <c r="AS110" s="475">
        <v>0.2194605</v>
      </c>
    </row>
    <row r="111" spans="2:45" outlineLevel="1">
      <c r="B111" s="1444" t="s">
        <v>3184</v>
      </c>
      <c r="C111" s="475"/>
      <c r="D111" s="475"/>
      <c r="E111" s="475"/>
      <c r="F111" s="475"/>
      <c r="G111" s="475"/>
      <c r="H111" s="475"/>
      <c r="I111" s="475"/>
      <c r="J111" s="475"/>
      <c r="K111" s="475"/>
      <c r="L111" s="475"/>
      <c r="M111" s="475"/>
      <c r="N111" s="475"/>
      <c r="O111" s="475"/>
      <c r="P111" s="475"/>
      <c r="Q111" s="475"/>
      <c r="R111" s="475"/>
      <c r="S111" s="475"/>
      <c r="T111" s="475"/>
      <c r="U111" s="475"/>
      <c r="V111" s="475"/>
      <c r="W111" s="475"/>
      <c r="X111" s="475"/>
      <c r="Y111" s="475"/>
      <c r="Z111" s="475"/>
      <c r="AA111" s="475"/>
      <c r="AB111" s="475"/>
      <c r="AC111" s="475"/>
      <c r="AD111" s="475"/>
      <c r="AE111" s="475"/>
      <c r="AF111" s="475"/>
      <c r="AG111" s="475"/>
      <c r="AH111" s="475"/>
      <c r="AI111" s="475"/>
      <c r="AJ111" s="475"/>
      <c r="AK111" s="475"/>
      <c r="AL111" s="475"/>
      <c r="AM111" s="475"/>
      <c r="AN111" s="475"/>
      <c r="AO111" s="475"/>
      <c r="AP111" s="475"/>
      <c r="AQ111" s="475">
        <v>0.17605599999999999</v>
      </c>
      <c r="AR111" s="475">
        <v>0.16724700000000001</v>
      </c>
      <c r="AS111" s="475">
        <v>0.17165150000000001</v>
      </c>
    </row>
    <row r="112" spans="2:45" outlineLevel="1">
      <c r="B112" s="1444" t="s">
        <v>3180</v>
      </c>
      <c r="C112" s="475"/>
      <c r="D112" s="475"/>
      <c r="E112" s="475"/>
      <c r="F112" s="475"/>
      <c r="G112" s="475"/>
      <c r="H112" s="475"/>
      <c r="I112" s="475"/>
      <c r="J112" s="475"/>
      <c r="K112" s="475"/>
      <c r="L112" s="475"/>
      <c r="M112" s="475"/>
      <c r="N112" s="475"/>
      <c r="O112" s="475"/>
      <c r="P112" s="475"/>
      <c r="Q112" s="475"/>
      <c r="R112" s="475"/>
      <c r="S112" s="475"/>
      <c r="T112" s="475"/>
      <c r="U112" s="475"/>
      <c r="V112" s="475"/>
      <c r="W112" s="475"/>
      <c r="X112" s="475"/>
      <c r="Y112" s="475"/>
      <c r="Z112" s="475"/>
      <c r="AA112" s="475"/>
      <c r="AB112" s="475"/>
      <c r="AC112" s="475"/>
      <c r="AD112" s="475"/>
      <c r="AE112" s="475"/>
      <c r="AF112" s="475"/>
      <c r="AG112" s="475"/>
      <c r="AH112" s="475"/>
      <c r="AI112" s="475"/>
      <c r="AJ112" s="475"/>
      <c r="AK112" s="475"/>
      <c r="AL112" s="475"/>
      <c r="AM112" s="475"/>
      <c r="AN112" s="475"/>
      <c r="AO112" s="475"/>
      <c r="AP112" s="475"/>
      <c r="AQ112" s="475">
        <v>0.140845</v>
      </c>
      <c r="AR112" s="475">
        <v>0.19178100000000001</v>
      </c>
      <c r="AS112" s="475">
        <v>0.16631299999999999</v>
      </c>
    </row>
    <row r="113" spans="2:45" outlineLevel="1">
      <c r="B113" s="1444" t="s">
        <v>3189</v>
      </c>
      <c r="C113" s="475"/>
      <c r="D113" s="475"/>
      <c r="E113" s="475"/>
      <c r="F113" s="475"/>
      <c r="G113" s="475"/>
      <c r="H113" s="475"/>
      <c r="I113" s="475"/>
      <c r="J113" s="475"/>
      <c r="K113" s="475"/>
      <c r="L113" s="475"/>
      <c r="M113" s="475"/>
      <c r="N113" s="475"/>
      <c r="O113" s="475"/>
      <c r="P113" s="475"/>
      <c r="Q113" s="475"/>
      <c r="R113" s="475"/>
      <c r="S113" s="475"/>
      <c r="T113" s="475"/>
      <c r="U113" s="475"/>
      <c r="V113" s="475"/>
      <c r="W113" s="475"/>
      <c r="X113" s="475"/>
      <c r="Y113" s="475"/>
      <c r="Z113" s="475"/>
      <c r="AA113" s="475"/>
      <c r="AB113" s="475"/>
      <c r="AC113" s="475"/>
      <c r="AD113" s="475"/>
      <c r="AE113" s="475"/>
      <c r="AF113" s="475"/>
      <c r="AG113" s="475"/>
      <c r="AH113" s="475"/>
      <c r="AI113" s="475"/>
      <c r="AJ113" s="475"/>
      <c r="AK113" s="475"/>
      <c r="AL113" s="475"/>
      <c r="AM113" s="475"/>
      <c r="AN113" s="475"/>
      <c r="AO113" s="475"/>
      <c r="AP113" s="475"/>
      <c r="AQ113" s="475">
        <v>0.66666700000000001</v>
      </c>
      <c r="AR113" s="475">
        <v>0.352941</v>
      </c>
      <c r="AS113" s="475">
        <v>0.50980400000000003</v>
      </c>
    </row>
    <row r="114" spans="2:45" outlineLevel="1">
      <c r="B114" s="1444" t="s">
        <v>3190</v>
      </c>
      <c r="C114" s="475"/>
      <c r="D114" s="475"/>
      <c r="E114" s="475"/>
      <c r="F114" s="475"/>
      <c r="G114" s="475"/>
      <c r="H114" s="475"/>
      <c r="I114" s="475"/>
      <c r="J114" s="475"/>
      <c r="K114" s="475"/>
      <c r="L114" s="475"/>
      <c r="M114" s="475"/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5"/>
      <c r="AA114" s="475"/>
      <c r="AB114" s="475"/>
      <c r="AC114" s="475"/>
      <c r="AD114" s="475"/>
      <c r="AE114" s="475"/>
      <c r="AF114" s="475"/>
      <c r="AG114" s="475"/>
      <c r="AH114" s="475"/>
      <c r="AI114" s="475"/>
      <c r="AJ114" s="475"/>
      <c r="AK114" s="475"/>
      <c r="AL114" s="475"/>
      <c r="AM114" s="475"/>
      <c r="AN114" s="475"/>
      <c r="AO114" s="475"/>
      <c r="AP114" s="475"/>
      <c r="AQ114" s="475">
        <v>0.18779299999999999</v>
      </c>
      <c r="AR114" s="475">
        <v>0.34649099999999999</v>
      </c>
      <c r="AS114" s="475">
        <v>0.26714199999999999</v>
      </c>
    </row>
    <row r="115" spans="2:45" outlineLevel="1">
      <c r="B115" s="1444" t="s">
        <v>3191</v>
      </c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5"/>
      <c r="AA115" s="475"/>
      <c r="AB115" s="475"/>
      <c r="AC115" s="475"/>
      <c r="AD115" s="475"/>
      <c r="AE115" s="475"/>
      <c r="AF115" s="475"/>
      <c r="AG115" s="475"/>
      <c r="AH115" s="475"/>
      <c r="AI115" s="475"/>
      <c r="AJ115" s="475"/>
      <c r="AK115" s="475"/>
      <c r="AL115" s="475"/>
      <c r="AM115" s="475"/>
      <c r="AN115" s="475"/>
      <c r="AO115" s="475"/>
      <c r="AP115" s="475"/>
      <c r="AQ115" s="475">
        <v>0.22666700000000001</v>
      </c>
      <c r="AR115" s="475">
        <v>0.37554599999999999</v>
      </c>
      <c r="AS115" s="475">
        <v>0.3011065</v>
      </c>
    </row>
    <row r="116" spans="2:45" outlineLevel="1">
      <c r="B116" s="1444" t="s">
        <v>3528</v>
      </c>
      <c r="C116" s="475"/>
      <c r="D116" s="475"/>
      <c r="E116" s="475"/>
      <c r="F116" s="475"/>
      <c r="G116" s="475"/>
      <c r="H116" s="475"/>
      <c r="I116" s="475"/>
      <c r="J116" s="475"/>
      <c r="K116" s="475"/>
      <c r="L116" s="475"/>
      <c r="M116" s="475"/>
      <c r="N116" s="475"/>
      <c r="O116" s="475"/>
      <c r="P116" s="475"/>
      <c r="Q116" s="475"/>
      <c r="R116" s="475"/>
      <c r="S116" s="475"/>
      <c r="T116" s="475"/>
      <c r="U116" s="475"/>
      <c r="V116" s="475"/>
      <c r="W116" s="475"/>
      <c r="X116" s="475"/>
      <c r="Y116" s="475"/>
      <c r="Z116" s="475"/>
      <c r="AA116" s="475"/>
      <c r="AB116" s="475"/>
      <c r="AC116" s="475"/>
      <c r="AD116" s="475"/>
      <c r="AE116" s="475"/>
      <c r="AF116" s="475"/>
      <c r="AG116" s="475"/>
      <c r="AH116" s="475"/>
      <c r="AI116" s="475"/>
      <c r="AJ116" s="475"/>
      <c r="AK116" s="475"/>
      <c r="AL116" s="475"/>
      <c r="AM116" s="475"/>
      <c r="AN116" s="475"/>
      <c r="AO116" s="475"/>
      <c r="AP116" s="475"/>
      <c r="AQ116" s="475"/>
      <c r="AR116" s="475">
        <v>0.125</v>
      </c>
      <c r="AS116" s="475">
        <v>0.125</v>
      </c>
    </row>
    <row r="117" spans="2:45" outlineLevel="1">
      <c r="B117" s="1444" t="s">
        <v>3529</v>
      </c>
      <c r="C117" s="475"/>
      <c r="D117" s="475"/>
      <c r="E117" s="475"/>
      <c r="F117" s="475"/>
      <c r="G117" s="475"/>
      <c r="H117" s="475"/>
      <c r="I117" s="475"/>
      <c r="J117" s="475"/>
      <c r="K117" s="475"/>
      <c r="L117" s="475"/>
      <c r="M117" s="475"/>
      <c r="N117" s="475"/>
      <c r="O117" s="475"/>
      <c r="P117" s="475"/>
      <c r="Q117" s="475"/>
      <c r="R117" s="475"/>
      <c r="S117" s="475"/>
      <c r="T117" s="475"/>
      <c r="U117" s="475"/>
      <c r="V117" s="475"/>
      <c r="W117" s="475"/>
      <c r="X117" s="475"/>
      <c r="Y117" s="475"/>
      <c r="Z117" s="475"/>
      <c r="AA117" s="475"/>
      <c r="AB117" s="475"/>
      <c r="AC117" s="475"/>
      <c r="AD117" s="475"/>
      <c r="AE117" s="475"/>
      <c r="AF117" s="475"/>
      <c r="AG117" s="475"/>
      <c r="AH117" s="475"/>
      <c r="AI117" s="475"/>
      <c r="AJ117" s="475"/>
      <c r="AK117" s="475"/>
      <c r="AL117" s="475"/>
      <c r="AM117" s="475"/>
      <c r="AN117" s="475"/>
      <c r="AO117" s="475"/>
      <c r="AP117" s="475"/>
      <c r="AQ117" s="475"/>
      <c r="AR117" s="475">
        <v>0.314496</v>
      </c>
      <c r="AS117" s="475">
        <v>0.314496</v>
      </c>
    </row>
    <row r="118" spans="2:45" outlineLevel="1">
      <c r="B118" s="1444" t="s">
        <v>3530</v>
      </c>
      <c r="C118" s="475"/>
      <c r="D118" s="475"/>
      <c r="E118" s="475"/>
      <c r="F118" s="475"/>
      <c r="G118" s="475"/>
      <c r="H118" s="475"/>
      <c r="I118" s="475"/>
      <c r="J118" s="475"/>
      <c r="K118" s="475"/>
      <c r="L118" s="475"/>
      <c r="M118" s="475"/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5"/>
      <c r="AA118" s="475"/>
      <c r="AB118" s="475"/>
      <c r="AC118" s="475"/>
      <c r="AD118" s="475"/>
      <c r="AE118" s="475"/>
      <c r="AF118" s="475"/>
      <c r="AG118" s="475"/>
      <c r="AH118" s="475"/>
      <c r="AI118" s="475"/>
      <c r="AJ118" s="475"/>
      <c r="AK118" s="475"/>
      <c r="AL118" s="475"/>
      <c r="AM118" s="475"/>
      <c r="AN118" s="475"/>
      <c r="AO118" s="475"/>
      <c r="AP118" s="475"/>
      <c r="AQ118" s="475"/>
      <c r="AR118" s="475">
        <v>0.221636</v>
      </c>
      <c r="AS118" s="475">
        <v>0.221636</v>
      </c>
    </row>
    <row r="119" spans="2:45" outlineLevel="1">
      <c r="B119" s="1444" t="s">
        <v>3575</v>
      </c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  <c r="M119" s="475"/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5"/>
      <c r="AA119" s="475"/>
      <c r="AB119" s="475"/>
      <c r="AC119" s="475"/>
      <c r="AD119" s="475"/>
      <c r="AE119" s="475"/>
      <c r="AF119" s="475"/>
      <c r="AG119" s="475"/>
      <c r="AH119" s="475"/>
      <c r="AI119" s="475"/>
      <c r="AJ119" s="475"/>
      <c r="AK119" s="475"/>
      <c r="AL119" s="475"/>
      <c r="AM119" s="475"/>
      <c r="AN119" s="475"/>
      <c r="AO119" s="475"/>
      <c r="AP119" s="475"/>
      <c r="AQ119" s="475"/>
      <c r="AR119" s="475">
        <v>0</v>
      </c>
      <c r="AS119" s="475">
        <v>0</v>
      </c>
    </row>
    <row r="120" spans="2:45" outlineLevel="1">
      <c r="B120" s="1444" t="s">
        <v>3519</v>
      </c>
      <c r="C120" s="475"/>
      <c r="D120" s="475"/>
      <c r="E120" s="475"/>
      <c r="F120" s="475"/>
      <c r="G120" s="475"/>
      <c r="H120" s="475"/>
      <c r="I120" s="475"/>
      <c r="J120" s="475"/>
      <c r="K120" s="475"/>
      <c r="L120" s="475"/>
      <c r="M120" s="475"/>
      <c r="N120" s="475"/>
      <c r="O120" s="475"/>
      <c r="P120" s="475"/>
      <c r="Q120" s="475"/>
      <c r="R120" s="475"/>
      <c r="S120" s="475"/>
      <c r="T120" s="475"/>
      <c r="U120" s="475"/>
      <c r="V120" s="475"/>
      <c r="W120" s="475"/>
      <c r="X120" s="475"/>
      <c r="Y120" s="475"/>
      <c r="Z120" s="475"/>
      <c r="AA120" s="475"/>
      <c r="AB120" s="475"/>
      <c r="AC120" s="475"/>
      <c r="AD120" s="475"/>
      <c r="AE120" s="475"/>
      <c r="AF120" s="475"/>
      <c r="AG120" s="475"/>
      <c r="AH120" s="475"/>
      <c r="AI120" s="475"/>
      <c r="AJ120" s="475"/>
      <c r="AK120" s="475"/>
      <c r="AL120" s="475"/>
      <c r="AM120" s="475"/>
      <c r="AN120" s="475"/>
      <c r="AO120" s="475"/>
      <c r="AP120" s="475"/>
      <c r="AQ120" s="475"/>
      <c r="AR120" s="475">
        <v>0.44</v>
      </c>
      <c r="AS120" s="475">
        <v>0.44</v>
      </c>
    </row>
    <row r="121" spans="2:45" outlineLevel="1">
      <c r="B121" s="1444" t="s">
        <v>3521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/>
      <c r="Z121" s="475"/>
      <c r="AA121" s="475"/>
      <c r="AB121" s="475"/>
      <c r="AC121" s="475"/>
      <c r="AD121" s="475"/>
      <c r="AE121" s="475"/>
      <c r="AF121" s="475"/>
      <c r="AG121" s="475"/>
      <c r="AH121" s="475"/>
      <c r="AI121" s="475"/>
      <c r="AJ121" s="475"/>
      <c r="AK121" s="475"/>
      <c r="AL121" s="475"/>
      <c r="AM121" s="475"/>
      <c r="AN121" s="475"/>
      <c r="AO121" s="475"/>
      <c r="AP121" s="475"/>
      <c r="AQ121" s="475"/>
      <c r="AR121" s="475">
        <v>0.43137300000000001</v>
      </c>
      <c r="AS121" s="475">
        <v>0.43137300000000001</v>
      </c>
    </row>
    <row r="122" spans="2:45" outlineLevel="1">
      <c r="B122" s="1444" t="s">
        <v>3523</v>
      </c>
      <c r="C122" s="475"/>
      <c r="D122" s="475"/>
      <c r="E122" s="475"/>
      <c r="F122" s="475"/>
      <c r="G122" s="475"/>
      <c r="H122" s="475"/>
      <c r="I122" s="475"/>
      <c r="J122" s="475"/>
      <c r="K122" s="475"/>
      <c r="L122" s="475"/>
      <c r="M122" s="475"/>
      <c r="N122" s="475"/>
      <c r="O122" s="475"/>
      <c r="P122" s="475"/>
      <c r="Q122" s="475"/>
      <c r="R122" s="475"/>
      <c r="S122" s="475"/>
      <c r="T122" s="475"/>
      <c r="U122" s="475"/>
      <c r="V122" s="475"/>
      <c r="W122" s="475"/>
      <c r="X122" s="475"/>
      <c r="Y122" s="475"/>
      <c r="Z122" s="475"/>
      <c r="AA122" s="475"/>
      <c r="AB122" s="475"/>
      <c r="AC122" s="475"/>
      <c r="AD122" s="475"/>
      <c r="AE122" s="475"/>
      <c r="AF122" s="475"/>
      <c r="AG122" s="475"/>
      <c r="AH122" s="475"/>
      <c r="AI122" s="475"/>
      <c r="AJ122" s="475"/>
      <c r="AK122" s="475"/>
      <c r="AL122" s="475"/>
      <c r="AM122" s="475"/>
      <c r="AN122" s="475"/>
      <c r="AO122" s="475"/>
      <c r="AP122" s="475"/>
      <c r="AQ122" s="475"/>
      <c r="AR122" s="475">
        <v>1.0909089999999999</v>
      </c>
      <c r="AS122" s="475">
        <v>1.0909089999999999</v>
      </c>
    </row>
    <row r="123" spans="2:45" outlineLevel="1">
      <c r="B123" s="1444" t="s">
        <v>3573</v>
      </c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  <c r="M123" s="475"/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5"/>
      <c r="AA123" s="475"/>
      <c r="AB123" s="475"/>
      <c r="AC123" s="475"/>
      <c r="AD123" s="475"/>
      <c r="AE123" s="475"/>
      <c r="AF123" s="475"/>
      <c r="AG123" s="475"/>
      <c r="AH123" s="475"/>
      <c r="AI123" s="475"/>
      <c r="AJ123" s="475"/>
      <c r="AK123" s="475"/>
      <c r="AL123" s="475"/>
      <c r="AM123" s="475"/>
      <c r="AN123" s="475"/>
      <c r="AO123" s="475"/>
      <c r="AP123" s="475"/>
      <c r="AQ123" s="475"/>
      <c r="AR123" s="475">
        <v>0.26666699999999999</v>
      </c>
      <c r="AS123" s="475">
        <v>0.26666699999999999</v>
      </c>
    </row>
    <row r="124" spans="2:45" outlineLevel="1">
      <c r="B124" s="1444" t="s">
        <v>3525</v>
      </c>
      <c r="C124" s="475"/>
      <c r="D124" s="475"/>
      <c r="E124" s="475"/>
      <c r="F124" s="475"/>
      <c r="G124" s="475"/>
      <c r="H124" s="475"/>
      <c r="I124" s="475"/>
      <c r="J124" s="475"/>
      <c r="K124" s="475"/>
      <c r="L124" s="475"/>
      <c r="M124" s="475"/>
      <c r="N124" s="475"/>
      <c r="O124" s="475"/>
      <c r="P124" s="475"/>
      <c r="Q124" s="475"/>
      <c r="R124" s="475"/>
      <c r="S124" s="475"/>
      <c r="T124" s="475"/>
      <c r="U124" s="475"/>
      <c r="V124" s="475"/>
      <c r="W124" s="475"/>
      <c r="X124" s="475"/>
      <c r="Y124" s="475"/>
      <c r="Z124" s="475"/>
      <c r="AA124" s="475"/>
      <c r="AB124" s="475"/>
      <c r="AC124" s="475"/>
      <c r="AD124" s="475"/>
      <c r="AE124" s="475"/>
      <c r="AF124" s="475"/>
      <c r="AG124" s="475"/>
      <c r="AH124" s="475"/>
      <c r="AI124" s="475"/>
      <c r="AJ124" s="475"/>
      <c r="AK124" s="475"/>
      <c r="AL124" s="475"/>
      <c r="AM124" s="475"/>
      <c r="AN124" s="475"/>
      <c r="AO124" s="475"/>
      <c r="AP124" s="475"/>
      <c r="AQ124" s="475"/>
      <c r="AR124" s="475">
        <v>0.352941</v>
      </c>
      <c r="AS124" s="475">
        <v>0.352941</v>
      </c>
    </row>
    <row r="125" spans="2:45" outlineLevel="1">
      <c r="B125" s="1444" t="s">
        <v>274</v>
      </c>
      <c r="C125" s="475">
        <v>0.50961538461538458</v>
      </c>
      <c r="D125" s="475">
        <v>0.19577308120133463</v>
      </c>
      <c r="E125" s="475">
        <v>1.0312778874990851</v>
      </c>
      <c r="F125" s="475">
        <v>0.50280958867251879</v>
      </c>
      <c r="G125" s="475">
        <v>0.36480950000000001</v>
      </c>
      <c r="H125" s="475">
        <v>0.25873720860698474</v>
      </c>
      <c r="I125" s="475">
        <v>0.12761333371551584</v>
      </c>
      <c r="J125" s="475">
        <v>0.14543082716606273</v>
      </c>
      <c r="K125" s="475">
        <v>0.23206755849357844</v>
      </c>
      <c r="L125" s="475">
        <v>0.19591244444444442</v>
      </c>
      <c r="M125" s="475">
        <v>0.25860549999999999</v>
      </c>
      <c r="N125" s="475">
        <v>0.25618181818181818</v>
      </c>
      <c r="O125" s="475">
        <v>0.12248333333333333</v>
      </c>
      <c r="P125" s="475">
        <v>0.191325</v>
      </c>
      <c r="Q125" s="475">
        <v>0.19571818181818185</v>
      </c>
      <c r="R125" s="475">
        <v>0.42516842105263164</v>
      </c>
      <c r="S125" s="475">
        <v>0.33035714285714279</v>
      </c>
      <c r="T125" s="475">
        <v>0.42495366666666662</v>
      </c>
      <c r="U125" s="475">
        <v>0.48889433333333332</v>
      </c>
      <c r="V125" s="475">
        <v>0.36591042857142864</v>
      </c>
      <c r="W125" s="475">
        <v>0.36466792857142855</v>
      </c>
      <c r="X125" s="475">
        <v>0.37151074193548383</v>
      </c>
      <c r="Y125" s="475">
        <v>0.33663078787878797</v>
      </c>
      <c r="Z125" s="475">
        <v>0.4094958787878788</v>
      </c>
      <c r="AA125" s="475">
        <v>0.29232667166260146</v>
      </c>
      <c r="AB125" s="475">
        <v>0.19859155279880522</v>
      </c>
      <c r="AC125" s="475">
        <v>0.23342026958825496</v>
      </c>
      <c r="AD125" s="475">
        <v>0.2603391162790698</v>
      </c>
      <c r="AE125" s="475">
        <v>0.36073808695652171</v>
      </c>
      <c r="AF125" s="475">
        <v>0.33756177551020405</v>
      </c>
      <c r="AG125" s="475">
        <v>0.34826431914893619</v>
      </c>
      <c r="AH125" s="475">
        <v>0.25479695652173912</v>
      </c>
      <c r="AI125" s="475">
        <v>0.38857319148936165</v>
      </c>
      <c r="AJ125" s="475">
        <v>0.30315142553191493</v>
      </c>
      <c r="AK125" s="475">
        <v>0.34744929787234036</v>
      </c>
      <c r="AL125" s="475">
        <v>0.37520293617021266</v>
      </c>
      <c r="AM125" s="475">
        <v>0.13860895744680854</v>
      </c>
      <c r="AN125" s="475">
        <v>0.14455384782608693</v>
      </c>
      <c r="AO125" s="475">
        <v>0.28418190196078441</v>
      </c>
      <c r="AP125" s="475">
        <v>0.21036505999999999</v>
      </c>
      <c r="AQ125" s="475">
        <v>0.25432040816326529</v>
      </c>
      <c r="AR125" s="475">
        <v>0.30433541999999997</v>
      </c>
      <c r="AS125" s="475">
        <v>0.30270115485749299</v>
      </c>
    </row>
    <row r="126" spans="2:45" outlineLevel="1">
      <c r="B126" s="1444"/>
      <c r="C126" s="475"/>
      <c r="D126" s="475"/>
      <c r="E126" s="475"/>
      <c r="F126" s="475"/>
      <c r="G126" s="475"/>
      <c r="H126" s="475"/>
      <c r="I126" s="475"/>
      <c r="J126" s="475"/>
      <c r="K126" s="475"/>
      <c r="L126" s="475"/>
      <c r="M126" s="475"/>
      <c r="N126" s="475"/>
      <c r="O126" s="475"/>
      <c r="P126" s="475"/>
      <c r="Q126" s="475"/>
      <c r="R126" s="475"/>
      <c r="S126" s="475"/>
      <c r="T126" s="475"/>
      <c r="U126" s="475"/>
      <c r="V126" s="475"/>
      <c r="W126" s="475"/>
      <c r="X126" s="475"/>
      <c r="Y126" s="475"/>
      <c r="Z126" s="475"/>
      <c r="AA126" s="475"/>
      <c r="AB126" s="475"/>
      <c r="AC126" s="475"/>
      <c r="AD126" s="475"/>
      <c r="AE126" s="475"/>
      <c r="AF126" s="475"/>
      <c r="AG126" s="475"/>
      <c r="AH126" s="475"/>
      <c r="AI126" s="475"/>
      <c r="AJ126" s="475"/>
      <c r="AK126" s="475"/>
      <c r="AL126" s="475"/>
      <c r="AM126" s="475"/>
      <c r="AN126" s="475"/>
      <c r="AO126" s="475"/>
      <c r="AP126" s="475"/>
    </row>
    <row r="127" spans="2:45" outlineLevel="1">
      <c r="B127" s="1444"/>
      <c r="C127" s="475"/>
      <c r="D127" s="475"/>
      <c r="E127" s="475"/>
      <c r="F127" s="475"/>
      <c r="G127" s="475"/>
      <c r="H127" s="475"/>
      <c r="I127" s="475"/>
      <c r="J127" s="475"/>
      <c r="K127" s="475"/>
      <c r="L127" s="475"/>
      <c r="M127" s="475"/>
      <c r="N127" s="475"/>
      <c r="O127" s="475"/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  <c r="AB127" s="475"/>
      <c r="AC127" s="475"/>
      <c r="AD127" s="475"/>
      <c r="AE127" s="475"/>
      <c r="AF127" s="475"/>
      <c r="AG127" s="475"/>
      <c r="AH127" s="475"/>
      <c r="AI127" s="475"/>
      <c r="AJ127" s="475"/>
      <c r="AK127" s="475"/>
      <c r="AL127" s="475"/>
      <c r="AM127" s="475"/>
      <c r="AN127" s="475"/>
      <c r="AO127" s="475"/>
      <c r="AP127" s="475"/>
    </row>
    <row r="128" spans="2:45" outlineLevel="1">
      <c r="B128" s="1444"/>
      <c r="C128" s="475"/>
      <c r="D128" s="475"/>
      <c r="E128" s="475"/>
      <c r="F128" s="475"/>
      <c r="G128" s="475"/>
      <c r="H128" s="475"/>
      <c r="I128" s="475"/>
      <c r="J128" s="475"/>
      <c r="K128" s="475"/>
      <c r="L128" s="475"/>
      <c r="M128" s="475"/>
      <c r="N128" s="475"/>
      <c r="O128" s="475"/>
      <c r="P128" s="475"/>
      <c r="Q128" s="475"/>
      <c r="R128" s="475"/>
      <c r="S128" s="475"/>
      <c r="T128" s="475"/>
      <c r="U128" s="475"/>
      <c r="V128" s="475"/>
      <c r="W128" s="475"/>
      <c r="X128" s="475"/>
      <c r="Y128" s="475"/>
      <c r="Z128" s="475"/>
      <c r="AA128" s="475"/>
      <c r="AB128" s="475"/>
      <c r="AC128" s="475"/>
      <c r="AD128" s="475"/>
      <c r="AE128" s="475"/>
      <c r="AF128" s="475"/>
      <c r="AG128" s="475"/>
      <c r="AH128" s="475"/>
      <c r="AI128" s="475"/>
      <c r="AJ128" s="475"/>
      <c r="AK128" s="475"/>
      <c r="AL128" s="475"/>
      <c r="AM128" s="475"/>
      <c r="AN128" s="475"/>
      <c r="AO128" s="475"/>
      <c r="AP128" s="475"/>
    </row>
    <row r="129" spans="2:45" outlineLevel="1">
      <c r="B129" s="1444"/>
      <c r="C129" s="475"/>
      <c r="D129" s="475"/>
      <c r="E129" s="475"/>
      <c r="F129" s="475"/>
      <c r="G129" s="475"/>
      <c r="H129" s="475"/>
      <c r="I129" s="475"/>
      <c r="J129" s="475"/>
      <c r="K129" s="475"/>
      <c r="L129" s="475"/>
      <c r="M129" s="475"/>
      <c r="N129" s="475"/>
      <c r="O129" s="475"/>
      <c r="P129" s="475"/>
      <c r="Q129" s="475"/>
      <c r="R129" s="475"/>
      <c r="S129" s="475"/>
      <c r="T129" s="475"/>
      <c r="U129" s="475"/>
      <c r="V129" s="475"/>
      <c r="W129" s="475"/>
      <c r="X129" s="475"/>
      <c r="Y129" s="475"/>
      <c r="Z129" s="475"/>
      <c r="AA129" s="475"/>
      <c r="AB129" s="475"/>
      <c r="AC129" s="475"/>
      <c r="AD129" s="475"/>
      <c r="AE129" s="475"/>
      <c r="AF129" s="475"/>
      <c r="AG129" s="475"/>
      <c r="AH129" s="475"/>
      <c r="AI129" s="475"/>
      <c r="AJ129" s="475"/>
      <c r="AK129" s="475"/>
      <c r="AL129" s="475"/>
      <c r="AM129" s="475"/>
      <c r="AN129" s="475"/>
      <c r="AO129" s="475"/>
      <c r="AP129" s="475"/>
    </row>
    <row r="130" spans="2:45" outlineLevel="1">
      <c r="B130" s="1444"/>
      <c r="C130" s="475"/>
      <c r="D130" s="475"/>
      <c r="E130" s="475"/>
      <c r="F130" s="475"/>
      <c r="G130" s="475"/>
      <c r="H130" s="475"/>
      <c r="I130" s="475"/>
      <c r="J130" s="475"/>
      <c r="K130" s="475"/>
      <c r="L130" s="475"/>
      <c r="M130" s="475"/>
      <c r="N130" s="475"/>
      <c r="O130" s="475"/>
      <c r="P130" s="475"/>
      <c r="Q130" s="475"/>
      <c r="R130" s="475"/>
      <c r="S130" s="475"/>
      <c r="T130" s="475"/>
      <c r="U130" s="475"/>
      <c r="V130" s="475"/>
      <c r="W130" s="475"/>
      <c r="X130" s="475"/>
      <c r="Y130" s="475"/>
      <c r="Z130" s="475"/>
      <c r="AA130" s="475"/>
      <c r="AB130" s="475"/>
      <c r="AC130" s="475"/>
      <c r="AD130" s="475"/>
      <c r="AE130" s="475"/>
      <c r="AF130" s="475"/>
      <c r="AG130" s="475"/>
      <c r="AH130" s="475"/>
      <c r="AI130" s="475"/>
      <c r="AJ130" s="475"/>
      <c r="AK130" s="475"/>
      <c r="AL130" s="475"/>
      <c r="AM130" s="475"/>
      <c r="AN130" s="475"/>
      <c r="AO130" s="475"/>
      <c r="AP130" s="475"/>
    </row>
    <row r="131" spans="2:45" outlineLevel="1">
      <c r="B131" s="1444"/>
      <c r="C131" s="475"/>
      <c r="D131" s="475"/>
      <c r="E131" s="475"/>
      <c r="F131" s="475"/>
      <c r="G131" s="475"/>
      <c r="H131" s="475"/>
      <c r="I131" s="475"/>
      <c r="J131" s="475"/>
      <c r="K131" s="475"/>
      <c r="L131" s="475"/>
      <c r="M131" s="475"/>
      <c r="N131" s="475"/>
      <c r="O131" s="475"/>
      <c r="P131" s="475"/>
      <c r="Q131" s="475"/>
      <c r="R131" s="475"/>
      <c r="S131" s="475"/>
      <c r="T131" s="475"/>
      <c r="U131" s="475"/>
      <c r="V131" s="475"/>
      <c r="W131" s="475"/>
      <c r="X131" s="475"/>
      <c r="Y131" s="475"/>
      <c r="Z131" s="475"/>
      <c r="AA131" s="475"/>
      <c r="AB131" s="475"/>
      <c r="AC131" s="475"/>
      <c r="AD131" s="475"/>
      <c r="AE131" s="475"/>
      <c r="AF131" s="475"/>
      <c r="AG131" s="475"/>
      <c r="AH131" s="475"/>
      <c r="AI131" s="475"/>
      <c r="AJ131" s="475"/>
      <c r="AK131" s="475"/>
      <c r="AL131" s="475"/>
      <c r="AM131" s="475"/>
      <c r="AN131" s="475"/>
      <c r="AO131" s="475"/>
      <c r="AP131" s="475"/>
    </row>
    <row r="132" spans="2:45" outlineLevel="1">
      <c r="B132" s="1444"/>
      <c r="C132" s="475"/>
      <c r="D132" s="475"/>
      <c r="E132" s="475"/>
      <c r="F132" s="475"/>
      <c r="G132" s="475"/>
      <c r="H132" s="475"/>
      <c r="I132" s="475"/>
      <c r="J132" s="475"/>
      <c r="K132" s="475"/>
      <c r="L132" s="475"/>
      <c r="M132" s="475"/>
      <c r="N132" s="475"/>
      <c r="O132" s="475"/>
      <c r="P132" s="475"/>
      <c r="Q132" s="475"/>
      <c r="R132" s="475"/>
      <c r="S132" s="475"/>
      <c r="T132" s="475"/>
      <c r="U132" s="475"/>
      <c r="V132" s="475"/>
      <c r="W132" s="475"/>
      <c r="X132" s="475"/>
      <c r="Y132" s="475"/>
      <c r="Z132" s="475"/>
      <c r="AA132" s="475"/>
      <c r="AB132" s="475"/>
      <c r="AC132" s="475"/>
      <c r="AD132" s="475"/>
      <c r="AE132" s="475"/>
      <c r="AF132" s="475"/>
      <c r="AG132" s="475"/>
      <c r="AH132" s="475"/>
      <c r="AI132" s="475"/>
      <c r="AJ132" s="475"/>
      <c r="AK132" s="475"/>
      <c r="AL132" s="475"/>
      <c r="AM132" s="475"/>
      <c r="AN132" s="475"/>
      <c r="AO132" s="475"/>
      <c r="AP132" s="475"/>
    </row>
    <row r="133" spans="2:45" outlineLevel="1">
      <c r="B133" s="1444"/>
      <c r="C133" s="475"/>
      <c r="D133" s="475"/>
      <c r="E133" s="475"/>
      <c r="F133" s="475"/>
      <c r="G133" s="475"/>
      <c r="H133" s="475"/>
      <c r="I133" s="475"/>
      <c r="J133" s="475"/>
      <c r="K133" s="475"/>
      <c r="L133" s="475"/>
      <c r="M133" s="475"/>
      <c r="N133" s="475"/>
      <c r="O133" s="475"/>
      <c r="P133" s="475"/>
      <c r="Q133" s="475"/>
      <c r="R133" s="475"/>
      <c r="S133" s="475"/>
      <c r="T133" s="475"/>
      <c r="U133" s="475"/>
      <c r="V133" s="475"/>
      <c r="W133" s="475"/>
      <c r="X133" s="475"/>
      <c r="Y133" s="475"/>
      <c r="Z133" s="475"/>
      <c r="AA133" s="475"/>
      <c r="AB133" s="475"/>
      <c r="AC133" s="475"/>
      <c r="AD133" s="475"/>
      <c r="AE133" s="475"/>
      <c r="AF133" s="475"/>
      <c r="AG133" s="475"/>
      <c r="AH133" s="475"/>
      <c r="AI133" s="475"/>
      <c r="AJ133" s="475"/>
      <c r="AK133" s="475"/>
      <c r="AL133" s="475"/>
      <c r="AM133" s="475"/>
      <c r="AN133" s="475"/>
      <c r="AO133" s="475"/>
      <c r="AP133" s="475"/>
    </row>
    <row r="134" spans="2:45" outlineLevel="1">
      <c r="B134" s="1444"/>
      <c r="C134" s="475"/>
      <c r="D134" s="475"/>
      <c r="E134" s="475"/>
      <c r="F134" s="475"/>
      <c r="G134" s="475"/>
      <c r="H134" s="475"/>
      <c r="I134" s="475"/>
      <c r="J134" s="475"/>
      <c r="K134" s="475"/>
      <c r="L134" s="475"/>
      <c r="M134" s="475"/>
      <c r="N134" s="475"/>
      <c r="O134" s="475"/>
      <c r="P134" s="475"/>
      <c r="Q134" s="475"/>
      <c r="R134" s="475"/>
      <c r="S134" s="475"/>
      <c r="T134" s="475"/>
      <c r="U134" s="475"/>
      <c r="V134" s="475"/>
      <c r="W134" s="475"/>
      <c r="X134" s="475"/>
      <c r="Y134" s="475"/>
      <c r="Z134" s="475"/>
      <c r="AA134" s="475"/>
      <c r="AB134" s="475"/>
      <c r="AC134" s="475"/>
      <c r="AD134" s="475"/>
      <c r="AE134" s="475"/>
      <c r="AF134" s="475"/>
      <c r="AG134" s="475"/>
      <c r="AH134" s="475"/>
      <c r="AI134" s="475"/>
      <c r="AJ134" s="475"/>
      <c r="AK134" s="475"/>
      <c r="AL134" s="475"/>
      <c r="AM134" s="475"/>
      <c r="AN134" s="475"/>
      <c r="AO134" s="475"/>
      <c r="AP134" s="475"/>
    </row>
    <row r="135" spans="2:45" outlineLevel="1">
      <c r="B135" s="1444"/>
      <c r="C135" s="475"/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  <c r="V135" s="475"/>
      <c r="W135" s="475"/>
      <c r="X135" s="475"/>
      <c r="Y135" s="475"/>
      <c r="Z135" s="475"/>
      <c r="AA135" s="475"/>
      <c r="AB135" s="475"/>
      <c r="AC135" s="475"/>
      <c r="AD135" s="475"/>
      <c r="AE135" s="475"/>
      <c r="AF135" s="475"/>
      <c r="AG135" s="475"/>
      <c r="AH135" s="475"/>
      <c r="AI135" s="475"/>
      <c r="AJ135" s="475"/>
      <c r="AK135" s="475"/>
      <c r="AL135" s="475"/>
      <c r="AM135" s="475"/>
      <c r="AN135" s="475"/>
      <c r="AO135" s="475"/>
      <c r="AP135" s="475"/>
    </row>
    <row r="136" spans="2:45" outlineLevel="1">
      <c r="B136" s="1444"/>
      <c r="C136" s="475"/>
      <c r="D136" s="475"/>
      <c r="E136" s="475"/>
      <c r="F136" s="475"/>
      <c r="G136" s="475"/>
      <c r="H136" s="475"/>
      <c r="I136" s="475"/>
      <c r="J136" s="475"/>
      <c r="K136" s="475"/>
      <c r="L136" s="475"/>
      <c r="M136" s="475"/>
      <c r="N136" s="475"/>
      <c r="O136" s="475"/>
      <c r="P136" s="475"/>
      <c r="Q136" s="475"/>
      <c r="R136" s="475"/>
      <c r="S136" s="475"/>
      <c r="T136" s="475"/>
      <c r="U136" s="475"/>
      <c r="V136" s="475"/>
      <c r="W136" s="475"/>
      <c r="X136" s="475"/>
      <c r="Y136" s="475"/>
      <c r="Z136" s="475"/>
      <c r="AA136" s="475"/>
      <c r="AB136" s="475"/>
      <c r="AC136" s="475"/>
      <c r="AD136" s="475"/>
      <c r="AE136" s="475"/>
      <c r="AF136" s="475"/>
      <c r="AG136" s="475"/>
      <c r="AH136" s="475"/>
      <c r="AI136" s="475"/>
      <c r="AJ136" s="475"/>
      <c r="AK136" s="475"/>
      <c r="AL136" s="475"/>
      <c r="AM136" s="475"/>
      <c r="AN136" s="475"/>
      <c r="AO136" s="475"/>
      <c r="AP136" s="475"/>
    </row>
    <row r="137" spans="2:45" outlineLevel="1">
      <c r="B137" s="1444"/>
      <c r="C137" s="475"/>
      <c r="D137" s="475"/>
      <c r="E137" s="475"/>
      <c r="F137" s="475"/>
      <c r="G137" s="475"/>
      <c r="H137" s="475"/>
      <c r="I137" s="475"/>
      <c r="J137" s="475"/>
      <c r="K137" s="475"/>
      <c r="L137" s="475"/>
      <c r="M137" s="475"/>
      <c r="N137" s="475"/>
      <c r="O137" s="475"/>
      <c r="P137" s="475"/>
      <c r="Q137" s="475"/>
      <c r="R137" s="475"/>
      <c r="S137" s="475"/>
      <c r="T137" s="475"/>
      <c r="U137" s="475"/>
      <c r="V137" s="475"/>
      <c r="W137" s="475"/>
      <c r="X137" s="475"/>
      <c r="Y137" s="475"/>
      <c r="Z137" s="475"/>
      <c r="AA137" s="475"/>
      <c r="AB137" s="475"/>
      <c r="AC137" s="475"/>
      <c r="AD137" s="475"/>
      <c r="AE137" s="475"/>
      <c r="AF137" s="475"/>
      <c r="AG137" s="475"/>
      <c r="AH137" s="475"/>
      <c r="AI137" s="475"/>
      <c r="AJ137" s="475"/>
      <c r="AK137" s="475"/>
      <c r="AL137" s="475"/>
      <c r="AM137" s="475"/>
      <c r="AN137" s="475"/>
      <c r="AO137" s="475"/>
      <c r="AP137" s="475"/>
    </row>
    <row r="138" spans="2:45" outlineLevel="1">
      <c r="B138" s="1444"/>
      <c r="C138" s="475"/>
      <c r="D138" s="475"/>
      <c r="E138" s="475"/>
      <c r="F138" s="475"/>
      <c r="G138" s="475"/>
      <c r="H138" s="475"/>
      <c r="I138" s="475"/>
      <c r="J138" s="475"/>
      <c r="K138" s="475"/>
      <c r="L138" s="475"/>
      <c r="M138" s="475"/>
      <c r="N138" s="475"/>
      <c r="O138" s="475"/>
      <c r="P138" s="475"/>
      <c r="Q138" s="475"/>
      <c r="R138" s="475"/>
      <c r="S138" s="475"/>
      <c r="T138" s="475"/>
      <c r="U138" s="475"/>
      <c r="V138" s="475"/>
      <c r="W138" s="475"/>
      <c r="X138" s="475"/>
      <c r="Y138" s="475"/>
      <c r="Z138" s="475"/>
      <c r="AA138" s="475"/>
      <c r="AB138" s="475"/>
      <c r="AC138" s="475"/>
      <c r="AD138" s="475"/>
      <c r="AE138" s="475"/>
      <c r="AF138" s="475"/>
      <c r="AG138" s="475"/>
      <c r="AH138" s="475"/>
      <c r="AI138" s="475"/>
      <c r="AJ138" s="475"/>
      <c r="AK138" s="475"/>
      <c r="AL138" s="475"/>
      <c r="AM138" s="475"/>
      <c r="AN138" s="475"/>
      <c r="AO138" s="475"/>
      <c r="AP138" s="475"/>
    </row>
    <row r="139" spans="2:45" outlineLevel="1">
      <c r="B139" s="1444"/>
      <c r="C139" s="475"/>
      <c r="D139" s="475"/>
      <c r="E139" s="475"/>
      <c r="F139" s="475"/>
      <c r="G139" s="475"/>
      <c r="H139" s="475"/>
      <c r="I139" s="475"/>
      <c r="J139" s="475"/>
      <c r="K139" s="475"/>
      <c r="L139" s="475"/>
      <c r="M139" s="475"/>
      <c r="N139" s="475"/>
      <c r="O139" s="475"/>
      <c r="P139" s="475"/>
      <c r="Q139" s="475"/>
      <c r="R139" s="475"/>
      <c r="S139" s="475"/>
      <c r="T139" s="475"/>
      <c r="U139" s="475"/>
      <c r="V139" s="475"/>
      <c r="W139" s="475"/>
      <c r="X139" s="475"/>
      <c r="Y139" s="475"/>
      <c r="Z139" s="475"/>
      <c r="AA139" s="475"/>
      <c r="AB139" s="475"/>
      <c r="AC139" s="475"/>
      <c r="AD139" s="475"/>
      <c r="AE139" s="475"/>
      <c r="AF139" s="475"/>
      <c r="AG139" s="475"/>
      <c r="AH139" s="475"/>
      <c r="AI139" s="475"/>
      <c r="AJ139" s="475"/>
      <c r="AK139" s="475"/>
      <c r="AL139" s="475"/>
      <c r="AM139" s="475"/>
      <c r="AN139" s="475"/>
      <c r="AO139" s="475"/>
      <c r="AP139" s="475"/>
    </row>
    <row r="140" spans="2:45" outlineLevel="1">
      <c r="B140" s="1444"/>
      <c r="C140" s="475"/>
      <c r="D140" s="475"/>
      <c r="E140" s="475"/>
      <c r="F140" s="475"/>
      <c r="G140" s="475"/>
      <c r="H140" s="475"/>
      <c r="I140" s="475"/>
      <c r="J140" s="475"/>
      <c r="K140" s="475"/>
      <c r="L140" s="475"/>
      <c r="M140" s="475"/>
      <c r="N140" s="475"/>
      <c r="O140" s="475"/>
      <c r="P140" s="475"/>
      <c r="Q140" s="475"/>
      <c r="R140" s="475"/>
      <c r="S140" s="475"/>
      <c r="T140" s="475"/>
      <c r="U140" s="475"/>
      <c r="V140" s="475"/>
      <c r="W140" s="475"/>
      <c r="X140" s="475"/>
      <c r="Y140" s="475"/>
      <c r="Z140" s="475"/>
      <c r="AA140" s="475"/>
      <c r="AB140" s="475"/>
      <c r="AC140" s="475"/>
      <c r="AD140" s="475"/>
      <c r="AE140" s="475"/>
      <c r="AF140" s="475"/>
      <c r="AG140" s="475"/>
      <c r="AH140" s="475"/>
      <c r="AI140" s="475"/>
      <c r="AJ140" s="475"/>
      <c r="AK140" s="475"/>
      <c r="AL140" s="475"/>
      <c r="AM140" s="475"/>
      <c r="AN140" s="475"/>
      <c r="AO140" s="475"/>
      <c r="AP140" s="475"/>
    </row>
    <row r="141" spans="2:45" outlineLevel="1">
      <c r="B141" s="1444"/>
      <c r="C141" s="475"/>
      <c r="D141" s="475"/>
      <c r="E141" s="475"/>
      <c r="F141" s="475"/>
      <c r="G141" s="475"/>
      <c r="H141" s="475"/>
      <c r="I141" s="475"/>
      <c r="J141" s="475"/>
      <c r="K141" s="475"/>
      <c r="L141" s="475"/>
      <c r="M141" s="475"/>
      <c r="N141" s="475"/>
      <c r="O141" s="475"/>
      <c r="P141" s="475"/>
      <c r="Q141" s="475"/>
      <c r="R141" s="475"/>
      <c r="S141" s="475"/>
      <c r="T141" s="475"/>
      <c r="U141" s="475"/>
      <c r="V141" s="475"/>
      <c r="W141" s="475"/>
      <c r="X141" s="475"/>
      <c r="Y141" s="475"/>
      <c r="Z141" s="475"/>
      <c r="AA141" s="475"/>
      <c r="AB141" s="475"/>
      <c r="AC141" s="475"/>
      <c r="AD141" s="475"/>
      <c r="AE141" s="475"/>
      <c r="AF141" s="475"/>
      <c r="AG141" s="475"/>
      <c r="AH141" s="475"/>
      <c r="AI141" s="475"/>
      <c r="AJ141" s="475"/>
      <c r="AK141" s="475"/>
      <c r="AL141" s="475"/>
      <c r="AM141" s="475"/>
      <c r="AN141" s="475"/>
      <c r="AO141" s="475"/>
      <c r="AP141" s="475"/>
    </row>
    <row r="142" spans="2:45" outlineLevel="1">
      <c r="B142" s="1488" t="s">
        <v>384</v>
      </c>
      <c r="C142" s="1487" t="s">
        <v>275</v>
      </c>
    </row>
    <row r="143" spans="2:45" outlineLevel="1">
      <c r="B143" s="1487" t="s">
        <v>253</v>
      </c>
      <c r="C143" s="1016">
        <v>201301</v>
      </c>
      <c r="D143" s="1016">
        <v>201302</v>
      </c>
      <c r="E143" s="1016">
        <v>201303</v>
      </c>
      <c r="F143" s="1016">
        <v>201304</v>
      </c>
      <c r="G143" s="1016">
        <v>201305</v>
      </c>
      <c r="H143" s="1016">
        <v>201306</v>
      </c>
      <c r="I143" s="1016">
        <v>201307</v>
      </c>
      <c r="J143" s="1016">
        <v>201308</v>
      </c>
      <c r="K143" s="1016">
        <v>201309</v>
      </c>
      <c r="L143" s="1016">
        <v>201310</v>
      </c>
      <c r="M143" s="1016">
        <v>201311</v>
      </c>
      <c r="N143" s="1016">
        <v>201312</v>
      </c>
      <c r="O143" s="1016">
        <v>201401</v>
      </c>
      <c r="P143" s="1016">
        <v>201402</v>
      </c>
      <c r="Q143" s="1016">
        <v>201403</v>
      </c>
      <c r="R143" s="1016">
        <v>201404</v>
      </c>
      <c r="S143" s="1016">
        <v>201405</v>
      </c>
      <c r="T143" s="1016">
        <v>201406</v>
      </c>
      <c r="U143" s="1016">
        <v>201407</v>
      </c>
      <c r="V143" s="1016">
        <v>201408</v>
      </c>
      <c r="W143" s="1016">
        <v>201409</v>
      </c>
      <c r="X143" s="1016">
        <v>201410</v>
      </c>
      <c r="Y143" s="1016">
        <v>201411</v>
      </c>
      <c r="Z143" s="1016">
        <v>201412</v>
      </c>
      <c r="AA143" s="1016">
        <v>201501</v>
      </c>
      <c r="AB143" s="1016">
        <v>201502</v>
      </c>
      <c r="AC143" s="1016">
        <v>201503</v>
      </c>
      <c r="AD143" s="1016">
        <v>201504</v>
      </c>
      <c r="AE143" s="1016">
        <v>201505</v>
      </c>
      <c r="AF143" s="1016">
        <v>201506</v>
      </c>
      <c r="AG143" s="1016">
        <v>201507</v>
      </c>
      <c r="AH143" s="1016">
        <v>201508</v>
      </c>
      <c r="AI143" s="1016">
        <v>201509</v>
      </c>
      <c r="AJ143" s="1016">
        <v>201510</v>
      </c>
      <c r="AK143" s="1016">
        <v>201511</v>
      </c>
      <c r="AL143" s="1016">
        <v>201512</v>
      </c>
      <c r="AM143" s="1016">
        <v>201601</v>
      </c>
      <c r="AN143" s="1016">
        <v>201602</v>
      </c>
      <c r="AO143" s="1016">
        <v>201603</v>
      </c>
      <c r="AP143" s="1016">
        <v>201604</v>
      </c>
      <c r="AQ143" s="1016">
        <v>201605</v>
      </c>
      <c r="AR143" s="1016">
        <v>201606</v>
      </c>
      <c r="AS143" s="1016" t="s">
        <v>274</v>
      </c>
    </row>
    <row r="144" spans="2:45" outlineLevel="1">
      <c r="B144" s="1444" t="s">
        <v>191</v>
      </c>
      <c r="C144" s="138"/>
      <c r="D144" s="138"/>
      <c r="E144" s="138">
        <v>20.65</v>
      </c>
      <c r="F144" s="138">
        <v>198.81100000000001</v>
      </c>
      <c r="G144" s="138">
        <v>167.53</v>
      </c>
      <c r="H144" s="138">
        <v>169.68100000000001</v>
      </c>
      <c r="I144" s="138">
        <v>99.084000000000003</v>
      </c>
      <c r="J144" s="138">
        <v>180.3</v>
      </c>
      <c r="K144" s="138">
        <v>400.43599999999998</v>
      </c>
      <c r="L144" s="138">
        <v>125.58499999999999</v>
      </c>
      <c r="M144" s="138">
        <v>283.92700000000002</v>
      </c>
      <c r="N144" s="138">
        <v>525.65</v>
      </c>
      <c r="O144" s="138">
        <v>170.67</v>
      </c>
      <c r="P144" s="138">
        <v>129.93</v>
      </c>
      <c r="Q144" s="138">
        <v>266.57</v>
      </c>
      <c r="R144" s="138">
        <v>321.45</v>
      </c>
      <c r="S144" s="138">
        <v>383.8</v>
      </c>
      <c r="T144" s="138">
        <v>751.25</v>
      </c>
      <c r="U144" s="138">
        <v>539.37699999999995</v>
      </c>
      <c r="V144" s="138">
        <v>793.86699999999996</v>
      </c>
      <c r="W144" s="138">
        <v>728.71400000000006</v>
      </c>
      <c r="X144" s="138">
        <v>975.07</v>
      </c>
      <c r="Y144" s="138">
        <v>1255.6679999999999</v>
      </c>
      <c r="Z144" s="138">
        <v>1713.02</v>
      </c>
      <c r="AA144" s="138">
        <v>887.01400000000001</v>
      </c>
      <c r="AB144" s="138">
        <v>700.89599999999996</v>
      </c>
      <c r="AC144" s="138">
        <v>1846.3</v>
      </c>
      <c r="AD144" s="138">
        <v>957.34199999999998</v>
      </c>
      <c r="AE144" s="138">
        <v>957.71600000000001</v>
      </c>
      <c r="AF144" s="138">
        <v>1124.8309999999999</v>
      </c>
      <c r="AG144" s="138">
        <v>831.72699999999998</v>
      </c>
      <c r="AH144" s="138">
        <v>779.322</v>
      </c>
      <c r="AI144" s="138">
        <v>1639.415</v>
      </c>
      <c r="AJ144" s="138">
        <v>1070.5630000000001</v>
      </c>
      <c r="AK144" s="138">
        <v>1893.711</v>
      </c>
      <c r="AL144" s="138">
        <v>2359.9369999999999</v>
      </c>
      <c r="AM144" s="138">
        <v>740.63699999999994</v>
      </c>
      <c r="AN144" s="138">
        <v>619.72699999999998</v>
      </c>
      <c r="AO144" s="138">
        <v>1811.2639999999999</v>
      </c>
      <c r="AP144" s="138">
        <v>3297.424</v>
      </c>
      <c r="AQ144" s="138">
        <v>1615.85</v>
      </c>
      <c r="AR144" s="138">
        <v>3542.4749999999999</v>
      </c>
      <c r="AS144" s="138">
        <v>36877.190999999992</v>
      </c>
    </row>
    <row r="145" spans="2:45" outlineLevel="1">
      <c r="B145" s="1444" t="s">
        <v>189</v>
      </c>
      <c r="C145" s="138"/>
      <c r="D145" s="138"/>
      <c r="E145" s="138">
        <v>65.290000000000006</v>
      </c>
      <c r="F145" s="138">
        <v>120.736</v>
      </c>
      <c r="G145" s="138">
        <v>156.49700000000001</v>
      </c>
      <c r="H145" s="138">
        <v>199.50899999999999</v>
      </c>
      <c r="I145" s="138">
        <v>154.047</v>
      </c>
      <c r="J145" s="138">
        <v>222.56</v>
      </c>
      <c r="K145" s="138">
        <v>427.88299999999998</v>
      </c>
      <c r="L145" s="138">
        <v>322.68400000000003</v>
      </c>
      <c r="M145" s="138">
        <v>380.38600000000002</v>
      </c>
      <c r="N145" s="138">
        <v>781.99</v>
      </c>
      <c r="O145" s="138">
        <v>129.94999999999999</v>
      </c>
      <c r="P145" s="138">
        <v>238.11</v>
      </c>
      <c r="Q145" s="138">
        <v>62.5</v>
      </c>
      <c r="R145" s="138">
        <v>416.72</v>
      </c>
      <c r="S145" s="138">
        <v>415.68</v>
      </c>
      <c r="T145" s="138">
        <v>1304.348</v>
      </c>
      <c r="U145" s="138">
        <v>355.13600000000002</v>
      </c>
      <c r="V145" s="138">
        <v>518.22900000000004</v>
      </c>
      <c r="W145" s="138">
        <v>1308.221</v>
      </c>
      <c r="X145" s="138">
        <v>740.73400000000004</v>
      </c>
      <c r="Y145" s="138">
        <v>588.47</v>
      </c>
      <c r="Z145" s="138">
        <v>1903.8</v>
      </c>
      <c r="AA145" s="138">
        <v>521.45500000000004</v>
      </c>
      <c r="AB145" s="138">
        <v>587.46799999999996</v>
      </c>
      <c r="AC145" s="138">
        <v>584.697</v>
      </c>
      <c r="AD145" s="138">
        <v>1326.404</v>
      </c>
      <c r="AE145" s="138">
        <v>895.71699999999998</v>
      </c>
      <c r="AF145" s="138">
        <v>397.28399999999999</v>
      </c>
      <c r="AG145" s="138">
        <v>441.98700000000002</v>
      </c>
      <c r="AH145" s="138">
        <v>540.82899999999995</v>
      </c>
      <c r="AI145" s="138">
        <v>1027.261</v>
      </c>
      <c r="AJ145" s="138">
        <v>627.11</v>
      </c>
      <c r="AK145" s="138">
        <v>1059.8610000000001</v>
      </c>
      <c r="AL145" s="138">
        <v>1943.106</v>
      </c>
      <c r="AM145" s="138">
        <v>240.24100000000001</v>
      </c>
      <c r="AN145" s="138">
        <v>491.13299999999998</v>
      </c>
      <c r="AO145" s="138">
        <v>655.45699999999999</v>
      </c>
      <c r="AP145" s="138">
        <v>514.28800000000001</v>
      </c>
      <c r="AQ145" s="138">
        <v>651.04399999999998</v>
      </c>
      <c r="AR145" s="138"/>
      <c r="AS145" s="138">
        <v>23318.822000000004</v>
      </c>
    </row>
    <row r="146" spans="2:45" outlineLevel="1">
      <c r="B146" s="1444" t="s">
        <v>192</v>
      </c>
      <c r="C146" s="138"/>
      <c r="D146" s="138"/>
      <c r="E146" s="138">
        <v>20.385999999999999</v>
      </c>
      <c r="F146" s="138">
        <v>63.347000000000001</v>
      </c>
      <c r="G146" s="138">
        <v>230.75700000000001</v>
      </c>
      <c r="H146" s="138">
        <v>123.072</v>
      </c>
      <c r="I146" s="138">
        <v>185.32</v>
      </c>
      <c r="J146" s="138">
        <v>131.07</v>
      </c>
      <c r="K146" s="138">
        <v>301.88099999999997</v>
      </c>
      <c r="L146" s="138">
        <v>166.79400000000001</v>
      </c>
      <c r="M146" s="138">
        <v>236.77099999999999</v>
      </c>
      <c r="N146" s="138">
        <v>401.9</v>
      </c>
      <c r="O146" s="138">
        <v>43.16</v>
      </c>
      <c r="P146" s="138">
        <v>185.55</v>
      </c>
      <c r="Q146" s="138">
        <v>120.18</v>
      </c>
      <c r="R146" s="138">
        <v>205.95</v>
      </c>
      <c r="S146" s="138">
        <v>14.59</v>
      </c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>
        <v>2430.7280000000001</v>
      </c>
    </row>
    <row r="147" spans="2:45" outlineLevel="1">
      <c r="B147" s="1444" t="s">
        <v>194</v>
      </c>
      <c r="C147" s="138"/>
      <c r="D147" s="138"/>
      <c r="E147" s="138">
        <v>0</v>
      </c>
      <c r="F147" s="138">
        <v>92.759</v>
      </c>
      <c r="G147" s="138">
        <v>124.464</v>
      </c>
      <c r="H147" s="138">
        <v>148.59899999999999</v>
      </c>
      <c r="I147" s="138">
        <v>49.758000000000003</v>
      </c>
      <c r="J147" s="138">
        <v>45.94</v>
      </c>
      <c r="K147" s="138">
        <v>120.167</v>
      </c>
      <c r="L147" s="138">
        <v>209.85</v>
      </c>
      <c r="M147" s="138">
        <v>111.235</v>
      </c>
      <c r="N147" s="138">
        <v>238.54</v>
      </c>
      <c r="O147" s="138">
        <v>119.39</v>
      </c>
      <c r="P147" s="138">
        <v>121.1</v>
      </c>
      <c r="Q147" s="138">
        <v>225.87</v>
      </c>
      <c r="R147" s="138">
        <v>334.17</v>
      </c>
      <c r="S147" s="138">
        <v>543.5</v>
      </c>
      <c r="T147" s="138">
        <v>356.15</v>
      </c>
      <c r="U147" s="138">
        <v>321.423</v>
      </c>
      <c r="V147" s="138">
        <v>564.55899999999997</v>
      </c>
      <c r="W147" s="138">
        <v>294.92899999999997</v>
      </c>
      <c r="X147" s="138">
        <v>444.47500000000002</v>
      </c>
      <c r="Y147" s="138">
        <v>520.31200000000001</v>
      </c>
      <c r="Z147" s="138">
        <v>885.86900000000003</v>
      </c>
      <c r="AA147" s="138">
        <v>129.45500000000001</v>
      </c>
      <c r="AB147" s="138">
        <v>139.08799999999999</v>
      </c>
      <c r="AC147" s="138">
        <v>159.715</v>
      </c>
      <c r="AD147" s="138">
        <v>339.02499999999998</v>
      </c>
      <c r="AE147" s="138">
        <v>222.26900000000001</v>
      </c>
      <c r="AF147" s="138">
        <v>264.85199999999998</v>
      </c>
      <c r="AG147" s="138">
        <v>387.63900000000001</v>
      </c>
      <c r="AH147" s="138">
        <v>269.072</v>
      </c>
      <c r="AI147" s="138">
        <v>347.13600000000002</v>
      </c>
      <c r="AJ147" s="138">
        <v>547.41</v>
      </c>
      <c r="AK147" s="138">
        <v>346.19</v>
      </c>
      <c r="AL147" s="138">
        <v>513.63300000000004</v>
      </c>
      <c r="AM147" s="138">
        <v>215.108</v>
      </c>
      <c r="AN147" s="138">
        <v>108.402</v>
      </c>
      <c r="AO147" s="138">
        <v>178.70599999999999</v>
      </c>
      <c r="AP147" s="138">
        <v>191.15899999999999</v>
      </c>
      <c r="AQ147" s="138">
        <v>221.63</v>
      </c>
      <c r="AR147" s="138">
        <v>0</v>
      </c>
      <c r="AS147" s="138">
        <v>10453.548000000001</v>
      </c>
    </row>
    <row r="148" spans="2:45" outlineLevel="1">
      <c r="B148" s="1444" t="s">
        <v>190</v>
      </c>
      <c r="C148" s="138"/>
      <c r="D148" s="138"/>
      <c r="E148" s="138">
        <v>28.125</v>
      </c>
      <c r="F148" s="138">
        <v>79.853999999999999</v>
      </c>
      <c r="G148" s="138">
        <v>174.745</v>
      </c>
      <c r="H148" s="138">
        <v>126.455</v>
      </c>
      <c r="I148" s="138">
        <v>117.51900000000001</v>
      </c>
      <c r="J148" s="138">
        <v>69.56</v>
      </c>
      <c r="K148" s="138">
        <v>425.27199999999999</v>
      </c>
      <c r="L148" s="138">
        <v>138.63300000000001</v>
      </c>
      <c r="M148" s="138">
        <v>185.214</v>
      </c>
      <c r="N148" s="138">
        <v>352.49</v>
      </c>
      <c r="O148" s="138">
        <v>53.37</v>
      </c>
      <c r="P148" s="138">
        <v>131.66999999999999</v>
      </c>
      <c r="Q148" s="138">
        <v>52.41</v>
      </c>
      <c r="R148" s="138">
        <v>99.07</v>
      </c>
      <c r="S148" s="138">
        <v>84.1</v>
      </c>
      <c r="T148" s="138">
        <v>302.40199999999999</v>
      </c>
      <c r="U148" s="138">
        <v>129.62100000000001</v>
      </c>
      <c r="V148" s="138">
        <v>87.88</v>
      </c>
      <c r="W148" s="138">
        <v>304.42</v>
      </c>
      <c r="X148" s="138">
        <v>220.17500000000001</v>
      </c>
      <c r="Y148" s="138">
        <v>337.82</v>
      </c>
      <c r="Z148" s="138">
        <v>713.65800000000002</v>
      </c>
      <c r="AA148" s="138">
        <v>361.21300000000002</v>
      </c>
      <c r="AB148" s="138">
        <v>216.35300000000001</v>
      </c>
      <c r="AC148" s="138">
        <v>342.065</v>
      </c>
      <c r="AD148" s="138">
        <v>144.60900000000001</v>
      </c>
      <c r="AE148" s="138">
        <v>231.643</v>
      </c>
      <c r="AF148" s="138">
        <v>629.274</v>
      </c>
      <c r="AG148" s="138">
        <v>604.11400000000003</v>
      </c>
      <c r="AH148" s="138">
        <v>480.03199999999998</v>
      </c>
      <c r="AI148" s="138">
        <v>1112.395</v>
      </c>
      <c r="AJ148" s="138">
        <v>541.53399999999999</v>
      </c>
      <c r="AK148" s="138">
        <v>1478.6130000000001</v>
      </c>
      <c r="AL148" s="138">
        <v>1915.3209999999999</v>
      </c>
      <c r="AM148" s="138">
        <v>633.55200000000002</v>
      </c>
      <c r="AN148" s="138">
        <v>475.76400000000001</v>
      </c>
      <c r="AO148" s="138">
        <v>1572.942</v>
      </c>
      <c r="AP148" s="138">
        <v>724.55700000000002</v>
      </c>
      <c r="AQ148" s="138"/>
      <c r="AR148" s="138"/>
      <c r="AS148" s="138">
        <v>15678.444</v>
      </c>
    </row>
    <row r="149" spans="2:45" outlineLevel="1">
      <c r="B149" s="1444" t="s">
        <v>92</v>
      </c>
      <c r="C149" s="138">
        <v>183.26400000000001</v>
      </c>
      <c r="D149" s="138">
        <v>88.28</v>
      </c>
      <c r="E149" s="138">
        <v>107.093</v>
      </c>
      <c r="F149" s="138">
        <v>27.625</v>
      </c>
      <c r="G149" s="138">
        <v>306.99</v>
      </c>
      <c r="H149" s="138">
        <v>-41.433999999999997</v>
      </c>
      <c r="I149" s="138">
        <v>135.31299999999999</v>
      </c>
      <c r="J149" s="138">
        <v>263.52999999999997</v>
      </c>
      <c r="K149" s="138">
        <v>397.34899999999999</v>
      </c>
      <c r="L149" s="138">
        <v>659.83900000000006</v>
      </c>
      <c r="M149" s="138">
        <v>439.62099999999998</v>
      </c>
      <c r="N149" s="138">
        <v>584.17999999999995</v>
      </c>
      <c r="O149" s="138">
        <v>433.96</v>
      </c>
      <c r="P149" s="138">
        <v>513.07000000000005</v>
      </c>
      <c r="Q149" s="138">
        <v>646.14</v>
      </c>
      <c r="R149" s="138">
        <v>605.13</v>
      </c>
      <c r="S149" s="138">
        <v>565.77</v>
      </c>
      <c r="T149" s="138">
        <v>858.94799999999998</v>
      </c>
      <c r="U149" s="138">
        <v>461.45699999999999</v>
      </c>
      <c r="V149" s="138">
        <v>795.92</v>
      </c>
      <c r="W149" s="138">
        <v>1215.741</v>
      </c>
      <c r="X149" s="138">
        <v>828.54</v>
      </c>
      <c r="Y149" s="138">
        <v>870.67399999999998</v>
      </c>
      <c r="Z149" s="138">
        <v>2351.7840000000001</v>
      </c>
      <c r="AA149" s="138">
        <v>493.93900000000002</v>
      </c>
      <c r="AB149" s="138">
        <v>394.68299999999999</v>
      </c>
      <c r="AC149" s="138">
        <v>415.66500000000002</v>
      </c>
      <c r="AD149" s="138">
        <v>490.69499999999999</v>
      </c>
      <c r="AE149" s="138">
        <v>683.66700000000003</v>
      </c>
      <c r="AF149" s="138">
        <v>1193.971</v>
      </c>
      <c r="AG149" s="138">
        <v>1240.1179999999999</v>
      </c>
      <c r="AH149" s="138">
        <v>659.24599999999998</v>
      </c>
      <c r="AI149" s="138">
        <v>1022.467</v>
      </c>
      <c r="AJ149" s="138">
        <v>822.63699999999994</v>
      </c>
      <c r="AK149" s="138">
        <v>1981.6410000000001</v>
      </c>
      <c r="AL149" s="138">
        <v>2105.1210000000001</v>
      </c>
      <c r="AM149" s="138">
        <v>309.00599999999997</v>
      </c>
      <c r="AN149" s="138">
        <v>631.66899999999998</v>
      </c>
      <c r="AO149" s="138">
        <v>1043.941</v>
      </c>
      <c r="AP149" s="138">
        <v>952.572</v>
      </c>
      <c r="AQ149" s="138">
        <v>431.77499999999998</v>
      </c>
      <c r="AR149" s="138"/>
      <c r="AS149" s="138">
        <v>28171.596999999998</v>
      </c>
    </row>
    <row r="150" spans="2:45" outlineLevel="1">
      <c r="B150" s="1444" t="s">
        <v>17</v>
      </c>
      <c r="C150" s="138">
        <v>99.763000000000005</v>
      </c>
      <c r="D150" s="138">
        <v>22.359000000000002</v>
      </c>
      <c r="E150" s="138">
        <v>178.23699999999999</v>
      </c>
      <c r="F150" s="138">
        <v>164.89500000000001</v>
      </c>
      <c r="G150" s="138">
        <v>172.38900000000001</v>
      </c>
      <c r="H150" s="138">
        <v>128.92099999999999</v>
      </c>
      <c r="I150" s="138">
        <v>177.34299999999999</v>
      </c>
      <c r="J150" s="138">
        <v>82</v>
      </c>
      <c r="K150" s="138">
        <v>272.76600000000002</v>
      </c>
      <c r="L150" s="138">
        <v>259.22399999999999</v>
      </c>
      <c r="M150" s="138">
        <v>119.61199999999999</v>
      </c>
      <c r="N150" s="138">
        <v>342</v>
      </c>
      <c r="O150" s="138">
        <v>162.96</v>
      </c>
      <c r="P150" s="138">
        <v>201.46</v>
      </c>
      <c r="Q150" s="138">
        <v>263.73</v>
      </c>
      <c r="R150" s="138">
        <v>401.58</v>
      </c>
      <c r="S150" s="138">
        <v>440.77</v>
      </c>
      <c r="T150" s="138">
        <v>779.00599999999997</v>
      </c>
      <c r="U150" s="138">
        <v>387.15</v>
      </c>
      <c r="V150" s="138">
        <v>138.517</v>
      </c>
      <c r="W150" s="138">
        <v>394.08600000000001</v>
      </c>
      <c r="X150" s="138">
        <v>484.69099999999997</v>
      </c>
      <c r="Y150" s="138">
        <v>517.44899999999996</v>
      </c>
      <c r="Z150" s="138">
        <v>1744.288</v>
      </c>
      <c r="AA150" s="138">
        <v>200.66900000000001</v>
      </c>
      <c r="AB150" s="138">
        <v>120.884</v>
      </c>
      <c r="AC150" s="138">
        <v>468.27199999999999</v>
      </c>
      <c r="AD150" s="138">
        <v>580.71500000000003</v>
      </c>
      <c r="AE150" s="138">
        <v>562.65099999999995</v>
      </c>
      <c r="AF150" s="138">
        <v>438.22500000000002</v>
      </c>
      <c r="AG150" s="138">
        <v>270.755</v>
      </c>
      <c r="AH150" s="138">
        <v>309.14299999999997</v>
      </c>
      <c r="AI150" s="138">
        <v>454.923</v>
      </c>
      <c r="AJ150" s="138">
        <v>1548.0840000000001</v>
      </c>
      <c r="AK150" s="138">
        <v>726.58500000000004</v>
      </c>
      <c r="AL150" s="138">
        <v>903.16399999999999</v>
      </c>
      <c r="AM150" s="138">
        <v>139.161</v>
      </c>
      <c r="AN150" s="138">
        <v>854.274</v>
      </c>
      <c r="AO150" s="138">
        <v>379.84500000000003</v>
      </c>
      <c r="AP150" s="138">
        <v>360.68900000000002</v>
      </c>
      <c r="AQ150" s="138">
        <v>404.17899999999997</v>
      </c>
      <c r="AR150" s="138">
        <v>462.25599999999997</v>
      </c>
      <c r="AS150" s="138">
        <v>17119.670000000002</v>
      </c>
    </row>
    <row r="151" spans="2:45" outlineLevel="1">
      <c r="B151" s="1444" t="s">
        <v>188</v>
      </c>
      <c r="C151" s="138"/>
      <c r="D151" s="138"/>
      <c r="E151" s="138">
        <v>144.464</v>
      </c>
      <c r="F151" s="138">
        <v>167.34100000000001</v>
      </c>
      <c r="G151" s="138">
        <v>123.01600000000001</v>
      </c>
      <c r="H151" s="138">
        <v>143.172</v>
      </c>
      <c r="I151" s="138">
        <v>68.477000000000004</v>
      </c>
      <c r="J151" s="138">
        <v>197.71</v>
      </c>
      <c r="K151" s="138">
        <v>538.81700000000001</v>
      </c>
      <c r="L151" s="138">
        <v>299.82400000000001</v>
      </c>
      <c r="M151" s="138">
        <v>444.16199999999998</v>
      </c>
      <c r="N151" s="138">
        <v>604.70000000000005</v>
      </c>
      <c r="O151" s="138">
        <v>71.290000000000006</v>
      </c>
      <c r="P151" s="138">
        <v>105.77</v>
      </c>
      <c r="Q151" s="138">
        <v>59.24</v>
      </c>
      <c r="R151" s="138">
        <v>87.64</v>
      </c>
      <c r="S151" s="138">
        <v>250.16</v>
      </c>
      <c r="T151" s="138">
        <v>650.34500000000003</v>
      </c>
      <c r="U151" s="138">
        <v>593.221</v>
      </c>
      <c r="V151" s="138">
        <v>663.07</v>
      </c>
      <c r="W151" s="138">
        <v>721.274</v>
      </c>
      <c r="X151" s="138">
        <v>1243.8620000000001</v>
      </c>
      <c r="Y151" s="138">
        <v>1407.951</v>
      </c>
      <c r="Z151" s="138">
        <v>3929.2449999999999</v>
      </c>
      <c r="AA151" s="138">
        <v>788.25599999999997</v>
      </c>
      <c r="AB151" s="138">
        <v>477.363</v>
      </c>
      <c r="AC151" s="138">
        <v>1943.7329999999999</v>
      </c>
      <c r="AD151" s="138">
        <v>3049.8890000000001</v>
      </c>
      <c r="AE151" s="138">
        <v>959.39800000000002</v>
      </c>
      <c r="AF151" s="138">
        <v>1440.67</v>
      </c>
      <c r="AG151" s="138">
        <v>3140.192</v>
      </c>
      <c r="AH151" s="138">
        <v>636.85</v>
      </c>
      <c r="AI151" s="138">
        <v>2276.018</v>
      </c>
      <c r="AJ151" s="138">
        <v>1140.2940000000001</v>
      </c>
      <c r="AK151" s="138">
        <v>2178.0770000000002</v>
      </c>
      <c r="AL151" s="138">
        <v>2390.7269999999999</v>
      </c>
      <c r="AM151" s="138">
        <v>440.55799999999999</v>
      </c>
      <c r="AN151" s="138">
        <v>469.13200000000001</v>
      </c>
      <c r="AO151" s="138">
        <v>1341.242</v>
      </c>
      <c r="AP151" s="138">
        <v>499.25200000000001</v>
      </c>
      <c r="AQ151" s="138"/>
      <c r="AR151" s="138"/>
      <c r="AS151" s="138">
        <v>35686.401999999995</v>
      </c>
    </row>
    <row r="152" spans="2:45" outlineLevel="1">
      <c r="B152" s="1444" t="s">
        <v>381</v>
      </c>
      <c r="C152" s="138"/>
      <c r="D152" s="138"/>
      <c r="E152" s="138"/>
      <c r="F152" s="138"/>
      <c r="G152" s="138"/>
      <c r="H152" s="138"/>
      <c r="I152" s="138">
        <v>28.18</v>
      </c>
      <c r="J152" s="138">
        <v>0</v>
      </c>
      <c r="K152" s="138">
        <v>0</v>
      </c>
      <c r="L152" s="138"/>
      <c r="M152" s="138"/>
      <c r="N152" s="138">
        <v>0</v>
      </c>
      <c r="O152" s="138">
        <v>0</v>
      </c>
      <c r="P152" s="138">
        <v>0</v>
      </c>
      <c r="Q152" s="138"/>
      <c r="R152" s="138"/>
      <c r="S152" s="138">
        <v>123.14</v>
      </c>
      <c r="T152" s="138">
        <v>289.01800000000003</v>
      </c>
      <c r="U152" s="138">
        <v>235.648</v>
      </c>
      <c r="V152" s="138">
        <v>395.40499999999997</v>
      </c>
      <c r="W152" s="138">
        <v>504.85</v>
      </c>
      <c r="X152" s="138">
        <v>469.35500000000002</v>
      </c>
      <c r="Y152" s="138">
        <v>572.01300000000003</v>
      </c>
      <c r="Z152" s="138">
        <v>1038.424</v>
      </c>
      <c r="AA152" s="138">
        <v>323.41399999999999</v>
      </c>
      <c r="AB152" s="138">
        <v>321.45</v>
      </c>
      <c r="AC152" s="138">
        <v>640.83199999999999</v>
      </c>
      <c r="AD152" s="138">
        <v>232.17500000000001</v>
      </c>
      <c r="AE152" s="138">
        <v>323.32499999999999</v>
      </c>
      <c r="AF152" s="138">
        <v>46.576999999999998</v>
      </c>
      <c r="AG152" s="138">
        <v>21.527999999999999</v>
      </c>
      <c r="AH152" s="138">
        <v>0</v>
      </c>
      <c r="AI152" s="138">
        <v>0</v>
      </c>
      <c r="AJ152" s="138">
        <v>0</v>
      </c>
      <c r="AK152" s="138"/>
      <c r="AL152" s="138"/>
      <c r="AM152" s="138"/>
      <c r="AN152" s="138"/>
      <c r="AO152" s="138"/>
      <c r="AP152" s="138"/>
      <c r="AQ152" s="138"/>
      <c r="AR152" s="138"/>
      <c r="AS152" s="138">
        <v>5565.3340000000007</v>
      </c>
    </row>
    <row r="153" spans="2:45" outlineLevel="1">
      <c r="B153" s="1444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>
        <v>0</v>
      </c>
      <c r="M153" s="138">
        <v>0</v>
      </c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>
        <v>0</v>
      </c>
    </row>
    <row r="154" spans="2:45" outlineLevel="1">
      <c r="B154" s="1444" t="s">
        <v>461</v>
      </c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>
        <v>107.18600000000001</v>
      </c>
      <c r="N154" s="138">
        <v>47.52</v>
      </c>
      <c r="O154" s="138">
        <v>48.54</v>
      </c>
      <c r="P154" s="138">
        <v>154.78</v>
      </c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38"/>
      <c r="AR154" s="138"/>
      <c r="AS154" s="138">
        <v>358.02600000000001</v>
      </c>
    </row>
    <row r="155" spans="2:45" outlineLevel="1">
      <c r="B155" s="1444" t="s">
        <v>483</v>
      </c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>
        <v>43.74</v>
      </c>
      <c r="O155" s="138">
        <v>76.52</v>
      </c>
      <c r="P155" s="138">
        <v>69.040000000000006</v>
      </c>
      <c r="Q155" s="138">
        <v>20.18</v>
      </c>
      <c r="R155" s="138">
        <v>58.15</v>
      </c>
      <c r="S155" s="138">
        <v>113.52</v>
      </c>
      <c r="T155" s="138">
        <v>163.73500000000001</v>
      </c>
      <c r="U155" s="138">
        <v>149.964</v>
      </c>
      <c r="V155" s="138">
        <v>165.864</v>
      </c>
      <c r="W155" s="138">
        <v>187.41499999999999</v>
      </c>
      <c r="X155" s="138">
        <v>415.35599999999999</v>
      </c>
      <c r="Y155" s="138">
        <v>288.233</v>
      </c>
      <c r="Z155" s="138">
        <v>1096.846</v>
      </c>
      <c r="AA155" s="138">
        <v>361.529</v>
      </c>
      <c r="AB155" s="138">
        <v>125.29300000000001</v>
      </c>
      <c r="AC155" s="138">
        <v>369.02</v>
      </c>
      <c r="AD155" s="138">
        <v>467.63400000000001</v>
      </c>
      <c r="AE155" s="138">
        <v>353.18</v>
      </c>
      <c r="AF155" s="138">
        <v>337.26600000000002</v>
      </c>
      <c r="AG155" s="138">
        <v>328.56200000000001</v>
      </c>
      <c r="AH155" s="138">
        <v>106.655</v>
      </c>
      <c r="AI155" s="138">
        <v>284.75700000000001</v>
      </c>
      <c r="AJ155" s="138">
        <v>189.727</v>
      </c>
      <c r="AK155" s="138">
        <v>356.77499999999998</v>
      </c>
      <c r="AL155" s="138">
        <v>394.24599999999998</v>
      </c>
      <c r="AM155" s="138">
        <v>100.74</v>
      </c>
      <c r="AN155" s="138">
        <v>0</v>
      </c>
      <c r="AO155" s="138">
        <v>0</v>
      </c>
      <c r="AP155" s="138">
        <v>0</v>
      </c>
      <c r="AQ155" s="138"/>
      <c r="AR155" s="138"/>
      <c r="AS155" s="138">
        <v>6623.9469999999992</v>
      </c>
    </row>
    <row r="156" spans="2:45" outlineLevel="1">
      <c r="B156" s="1444" t="s">
        <v>629</v>
      </c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>
        <v>94.15</v>
      </c>
      <c r="R156" s="138">
        <v>178.9</v>
      </c>
      <c r="S156" s="138">
        <v>151.12</v>
      </c>
      <c r="T156" s="138">
        <v>338.46800000000002</v>
      </c>
      <c r="U156" s="138">
        <v>232.239</v>
      </c>
      <c r="V156" s="138">
        <v>99.828000000000003</v>
      </c>
      <c r="W156" s="138">
        <v>529.80899999999997</v>
      </c>
      <c r="X156" s="138">
        <v>367.14</v>
      </c>
      <c r="Y156" s="138">
        <v>398.72500000000002</v>
      </c>
      <c r="Z156" s="138">
        <v>769.46799999999996</v>
      </c>
      <c r="AA156" s="138">
        <v>193.14400000000001</v>
      </c>
      <c r="AB156" s="138">
        <v>220.71199999999999</v>
      </c>
      <c r="AC156" s="138">
        <v>189.08600000000001</v>
      </c>
      <c r="AD156" s="138">
        <v>272.20299999999997</v>
      </c>
      <c r="AE156" s="138">
        <v>288.97899999999998</v>
      </c>
      <c r="AF156" s="138">
        <v>305.29199999999997</v>
      </c>
      <c r="AG156" s="138">
        <v>373.05099999999999</v>
      </c>
      <c r="AH156" s="138">
        <v>182.63900000000001</v>
      </c>
      <c r="AI156" s="138">
        <v>508.99099999999999</v>
      </c>
      <c r="AJ156" s="138">
        <v>216.90799999999999</v>
      </c>
      <c r="AK156" s="138">
        <v>327.88799999999998</v>
      </c>
      <c r="AL156" s="138">
        <v>576.29499999999996</v>
      </c>
      <c r="AM156" s="138">
        <v>102.34</v>
      </c>
      <c r="AN156" s="138">
        <v>0</v>
      </c>
      <c r="AO156" s="138">
        <v>247.85400000000001</v>
      </c>
      <c r="AP156" s="138">
        <v>-17.853999999999999</v>
      </c>
      <c r="AQ156" s="138"/>
      <c r="AR156" s="138"/>
      <c r="AS156" s="138">
        <v>7147.3750000000009</v>
      </c>
    </row>
    <row r="157" spans="2:45" outlineLevel="1">
      <c r="B157" s="1444" t="s">
        <v>645</v>
      </c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>
        <v>108.64</v>
      </c>
      <c r="S157" s="138">
        <v>257.8</v>
      </c>
      <c r="T157" s="138">
        <v>186.27699999999999</v>
      </c>
      <c r="U157" s="138">
        <v>553.101</v>
      </c>
      <c r="V157" s="138">
        <v>179.94200000000001</v>
      </c>
      <c r="W157" s="138">
        <v>698.85500000000002</v>
      </c>
      <c r="X157" s="138">
        <v>581.94100000000003</v>
      </c>
      <c r="Y157" s="138">
        <v>530.13400000000001</v>
      </c>
      <c r="Z157" s="138">
        <v>1167.817</v>
      </c>
      <c r="AA157" s="138">
        <v>105.857</v>
      </c>
      <c r="AB157" s="138">
        <v>105.967</v>
      </c>
      <c r="AC157" s="138">
        <v>263.41800000000001</v>
      </c>
      <c r="AD157" s="138">
        <v>244.411</v>
      </c>
      <c r="AE157" s="138">
        <v>442.69299999999998</v>
      </c>
      <c r="AF157" s="138">
        <v>858.51099999999997</v>
      </c>
      <c r="AG157" s="138">
        <v>711.71199999999999</v>
      </c>
      <c r="AH157" s="138">
        <v>212.51499999999999</v>
      </c>
      <c r="AI157" s="138">
        <v>762.255</v>
      </c>
      <c r="AJ157" s="138">
        <v>463.36500000000001</v>
      </c>
      <c r="AK157" s="138">
        <v>1001.869</v>
      </c>
      <c r="AL157" s="138">
        <v>1010.614</v>
      </c>
      <c r="AM157" s="138">
        <v>146.23099999999999</v>
      </c>
      <c r="AN157" s="138">
        <v>84.35</v>
      </c>
      <c r="AO157" s="138">
        <v>752.29499999999996</v>
      </c>
      <c r="AP157" s="138">
        <v>169.785</v>
      </c>
      <c r="AQ157" s="138">
        <v>327.90499999999997</v>
      </c>
      <c r="AR157" s="138">
        <v>510.798</v>
      </c>
      <c r="AS157" s="138">
        <v>12439.058000000001</v>
      </c>
    </row>
    <row r="158" spans="2:45" outlineLevel="1">
      <c r="B158" s="1444" t="s">
        <v>641</v>
      </c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>
        <v>0</v>
      </c>
      <c r="S158" s="138">
        <v>114.26</v>
      </c>
      <c r="T158" s="138">
        <v>227.404</v>
      </c>
      <c r="U158" s="138">
        <v>260.392</v>
      </c>
      <c r="V158" s="138">
        <v>217.66300000000001</v>
      </c>
      <c r="W158" s="138">
        <v>320.81400000000002</v>
      </c>
      <c r="X158" s="138">
        <v>439.27300000000002</v>
      </c>
      <c r="Y158" s="138">
        <v>324.30599999999998</v>
      </c>
      <c r="Z158" s="138">
        <v>850.12300000000005</v>
      </c>
      <c r="AA158" s="138">
        <v>165.465</v>
      </c>
      <c r="AB158" s="138">
        <v>244.26300000000001</v>
      </c>
      <c r="AC158" s="138">
        <v>178.25700000000001</v>
      </c>
      <c r="AD158" s="138">
        <v>805.553</v>
      </c>
      <c r="AE158" s="138">
        <v>542.77300000000002</v>
      </c>
      <c r="AF158" s="138">
        <v>1184.115</v>
      </c>
      <c r="AG158" s="138">
        <v>444.33600000000001</v>
      </c>
      <c r="AH158" s="138">
        <v>449.33699999999999</v>
      </c>
      <c r="AI158" s="138">
        <v>1023.543</v>
      </c>
      <c r="AJ158" s="138">
        <v>622.59799999999996</v>
      </c>
      <c r="AK158" s="138">
        <v>1181.6600000000001</v>
      </c>
      <c r="AL158" s="138">
        <v>1265.2049999999999</v>
      </c>
      <c r="AM158" s="138">
        <v>281.06</v>
      </c>
      <c r="AN158" s="138">
        <v>222.452</v>
      </c>
      <c r="AO158" s="138">
        <v>769.32899999999995</v>
      </c>
      <c r="AP158" s="138">
        <v>529.71100000000001</v>
      </c>
      <c r="AQ158" s="138">
        <v>505.18900000000002</v>
      </c>
      <c r="AR158" s="138">
        <v>1177.068</v>
      </c>
      <c r="AS158" s="138">
        <v>14346.148999999998</v>
      </c>
    </row>
    <row r="159" spans="2:45" outlineLevel="1">
      <c r="B159" s="1444" t="s">
        <v>643</v>
      </c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>
        <v>40.31</v>
      </c>
      <c r="S159" s="138">
        <v>93.68</v>
      </c>
      <c r="T159" s="138">
        <v>223.43100000000001</v>
      </c>
      <c r="U159" s="138">
        <v>290.11200000000002</v>
      </c>
      <c r="V159" s="138">
        <v>209.20400000000001</v>
      </c>
      <c r="W159" s="138">
        <v>302.74400000000003</v>
      </c>
      <c r="X159" s="138">
        <v>252.34899999999999</v>
      </c>
      <c r="Y159" s="138">
        <v>149.5</v>
      </c>
      <c r="Z159" s="138">
        <v>895.79600000000005</v>
      </c>
      <c r="AA159" s="138">
        <v>43.076999999999998</v>
      </c>
      <c r="AB159" s="138">
        <v>188.40600000000001</v>
      </c>
      <c r="AC159" s="138">
        <v>142.40600000000001</v>
      </c>
      <c r="AD159" s="138">
        <v>157.62100000000001</v>
      </c>
      <c r="AE159" s="138">
        <v>220.63399999999999</v>
      </c>
      <c r="AF159" s="138">
        <v>20.024000000000001</v>
      </c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>
        <v>3229.2940000000003</v>
      </c>
    </row>
    <row r="160" spans="2:45" outlineLevel="1">
      <c r="B160" s="1444" t="s">
        <v>644</v>
      </c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>
        <v>0</v>
      </c>
      <c r="S160" s="138">
        <v>36.729999999999997</v>
      </c>
      <c r="T160" s="138">
        <v>174.08</v>
      </c>
      <c r="U160" s="138">
        <v>150.523</v>
      </c>
      <c r="V160" s="138">
        <v>224.30099999999999</v>
      </c>
      <c r="W160" s="138">
        <v>253.13900000000001</v>
      </c>
      <c r="X160" s="138">
        <v>200.73099999999999</v>
      </c>
      <c r="Y160" s="138">
        <v>271.93400000000003</v>
      </c>
      <c r="Z160" s="138">
        <v>563.91099999999994</v>
      </c>
      <c r="AA160" s="138">
        <v>169.762</v>
      </c>
      <c r="AB160" s="138">
        <v>142.58799999999999</v>
      </c>
      <c r="AC160" s="138">
        <v>234.452</v>
      </c>
      <c r="AD160" s="138">
        <v>638.89</v>
      </c>
      <c r="AE160" s="138">
        <v>288.83600000000001</v>
      </c>
      <c r="AF160" s="138">
        <v>405.37099999999998</v>
      </c>
      <c r="AG160" s="138">
        <v>279.23899999999998</v>
      </c>
      <c r="AH160" s="138">
        <v>303.31099999999998</v>
      </c>
      <c r="AI160" s="138">
        <v>330.29899999999998</v>
      </c>
      <c r="AJ160" s="138">
        <v>251.07</v>
      </c>
      <c r="AK160" s="138">
        <v>477.86099999999999</v>
      </c>
      <c r="AL160" s="138">
        <v>630.15</v>
      </c>
      <c r="AM160" s="138">
        <v>160.613</v>
      </c>
      <c r="AN160" s="138">
        <v>156.858</v>
      </c>
      <c r="AO160" s="138">
        <v>317.12200000000001</v>
      </c>
      <c r="AP160" s="138">
        <v>236.90899999999999</v>
      </c>
      <c r="AQ160" s="138">
        <v>639.01599999999996</v>
      </c>
      <c r="AR160" s="138">
        <v>235.13200000000001</v>
      </c>
      <c r="AS160" s="138">
        <v>7772.8279999999986</v>
      </c>
    </row>
    <row r="161" spans="2:45" outlineLevel="1">
      <c r="B161" s="1444" t="s">
        <v>655</v>
      </c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>
        <v>58.89</v>
      </c>
      <c r="S161" s="138">
        <v>173.12</v>
      </c>
      <c r="T161" s="138">
        <v>311.16000000000003</v>
      </c>
      <c r="U161" s="138">
        <v>345.87099999999998</v>
      </c>
      <c r="V161" s="138">
        <v>405.62700000000001</v>
      </c>
      <c r="W161" s="138">
        <v>618.59</v>
      </c>
      <c r="X161" s="138">
        <v>717.20500000000004</v>
      </c>
      <c r="Y161" s="138">
        <v>862.60500000000002</v>
      </c>
      <c r="Z161" s="138">
        <v>1413.701</v>
      </c>
      <c r="AA161" s="138">
        <v>328.76</v>
      </c>
      <c r="AB161" s="138">
        <v>241.38200000000001</v>
      </c>
      <c r="AC161" s="138">
        <v>503.75599999999997</v>
      </c>
      <c r="AD161" s="138">
        <v>1424.4659999999999</v>
      </c>
      <c r="AE161" s="138">
        <v>463.65</v>
      </c>
      <c r="AF161" s="138">
        <v>620.25099999999998</v>
      </c>
      <c r="AG161" s="138">
        <v>1501.9349999999999</v>
      </c>
      <c r="AH161" s="138">
        <v>242.58600000000001</v>
      </c>
      <c r="AI161" s="138">
        <v>1068.789</v>
      </c>
      <c r="AJ161" s="138">
        <v>772.04100000000005</v>
      </c>
      <c r="AK161" s="138">
        <v>1494.9939999999999</v>
      </c>
      <c r="AL161" s="138">
        <v>3285.6</v>
      </c>
      <c r="AM161" s="138">
        <v>348.90600000000001</v>
      </c>
      <c r="AN161" s="138">
        <v>439.69299999999998</v>
      </c>
      <c r="AO161" s="138">
        <v>1299.336</v>
      </c>
      <c r="AP161" s="138">
        <v>288.77699999999999</v>
      </c>
      <c r="AQ161" s="138">
        <v>568.28399999999999</v>
      </c>
      <c r="AR161" s="138"/>
      <c r="AS161" s="138">
        <v>19799.974999999995</v>
      </c>
    </row>
    <row r="162" spans="2:45" outlineLevel="1">
      <c r="B162" s="1444" t="s">
        <v>656</v>
      </c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>
        <v>9.33</v>
      </c>
      <c r="S162" s="138">
        <v>96.46</v>
      </c>
      <c r="T162" s="138">
        <v>183.923</v>
      </c>
      <c r="U162" s="138">
        <v>213.721</v>
      </c>
      <c r="V162" s="138">
        <v>278.27999999999997</v>
      </c>
      <c r="W162" s="138">
        <v>149.87299999999999</v>
      </c>
      <c r="X162" s="138">
        <v>254.334</v>
      </c>
      <c r="Y162" s="138">
        <v>125.60899999999999</v>
      </c>
      <c r="Z162" s="138">
        <v>93.11</v>
      </c>
      <c r="AA162" s="138">
        <v>462.846</v>
      </c>
      <c r="AB162" s="138">
        <v>276.78899999999999</v>
      </c>
      <c r="AC162" s="138">
        <v>467.41500000000002</v>
      </c>
      <c r="AD162" s="138">
        <v>342.87700000000001</v>
      </c>
      <c r="AE162" s="138">
        <v>384.58699999999999</v>
      </c>
      <c r="AF162" s="138">
        <v>481.94499999999999</v>
      </c>
      <c r="AG162" s="138">
        <v>283.77699999999999</v>
      </c>
      <c r="AH162" s="138">
        <v>226.137</v>
      </c>
      <c r="AI162" s="138">
        <v>709.31899999999996</v>
      </c>
      <c r="AJ162" s="138">
        <v>737.27300000000002</v>
      </c>
      <c r="AK162" s="138">
        <v>698.72799999999995</v>
      </c>
      <c r="AL162" s="138">
        <v>1188.3599999999999</v>
      </c>
      <c r="AM162" s="138">
        <v>588.43499999999995</v>
      </c>
      <c r="AN162" s="138">
        <v>100.346</v>
      </c>
      <c r="AO162" s="138">
        <v>356.32299999999998</v>
      </c>
      <c r="AP162" s="138">
        <v>496.85399999999998</v>
      </c>
      <c r="AQ162" s="138"/>
      <c r="AR162" s="138"/>
      <c r="AS162" s="138">
        <v>9206.650999999998</v>
      </c>
    </row>
    <row r="163" spans="2:45" outlineLevel="1">
      <c r="B163" s="1444" t="s">
        <v>697</v>
      </c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>
        <v>0</v>
      </c>
      <c r="T163" s="138">
        <v>126.111</v>
      </c>
      <c r="U163" s="138">
        <v>472.786</v>
      </c>
      <c r="V163" s="138">
        <v>782.73400000000004</v>
      </c>
      <c r="W163" s="138">
        <v>736.68299999999999</v>
      </c>
      <c r="X163" s="138">
        <v>753.40300000000002</v>
      </c>
      <c r="Y163" s="138">
        <v>876.46299999999997</v>
      </c>
      <c r="Z163" s="138">
        <v>2507.4589999999998</v>
      </c>
      <c r="AA163" s="138">
        <v>261.34699999999998</v>
      </c>
      <c r="AB163" s="138">
        <v>225.68199999999999</v>
      </c>
      <c r="AC163" s="138">
        <v>581.05999999999995</v>
      </c>
      <c r="AD163" s="138">
        <v>457.68</v>
      </c>
      <c r="AE163" s="138">
        <v>434.69099999999997</v>
      </c>
      <c r="AF163" s="138">
        <v>3516.4760000000001</v>
      </c>
      <c r="AG163" s="138">
        <v>781.89400000000001</v>
      </c>
      <c r="AH163" s="138">
        <v>535.63699999999994</v>
      </c>
      <c r="AI163" s="138">
        <v>3172.92</v>
      </c>
      <c r="AJ163" s="138">
        <v>-1618.1610000000001</v>
      </c>
      <c r="AK163" s="138">
        <v>867.94500000000005</v>
      </c>
      <c r="AL163" s="138">
        <v>2737.625</v>
      </c>
      <c r="AM163" s="138">
        <v>393.02800000000002</v>
      </c>
      <c r="AN163" s="138">
        <v>464.52600000000001</v>
      </c>
      <c r="AO163" s="138">
        <v>1300.4259999999999</v>
      </c>
      <c r="AP163" s="138">
        <v>837.524</v>
      </c>
      <c r="AQ163" s="138">
        <v>258.22199999999998</v>
      </c>
      <c r="AR163" s="138">
        <v>671.61500000000001</v>
      </c>
      <c r="AS163" s="138">
        <v>22135.776000000005</v>
      </c>
    </row>
    <row r="164" spans="2:45" outlineLevel="1">
      <c r="B164" s="1444" t="s">
        <v>658</v>
      </c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>
        <v>0</v>
      </c>
      <c r="AL164" s="138">
        <v>0</v>
      </c>
      <c r="AM164" s="138">
        <v>0</v>
      </c>
      <c r="AN164" s="138">
        <v>0</v>
      </c>
      <c r="AO164" s="138">
        <v>0</v>
      </c>
      <c r="AP164" s="138">
        <v>0</v>
      </c>
      <c r="AQ164" s="138"/>
      <c r="AR164" s="138"/>
      <c r="AS164" s="138">
        <v>0</v>
      </c>
    </row>
    <row r="165" spans="2:45" outlineLevel="1">
      <c r="B165" s="1444" t="s">
        <v>698</v>
      </c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>
        <v>168.48400000000001</v>
      </c>
      <c r="U165" s="138">
        <v>285.524</v>
      </c>
      <c r="V165" s="138">
        <v>240.56100000000001</v>
      </c>
      <c r="W165" s="138">
        <v>332.29599999999999</v>
      </c>
      <c r="X165" s="138">
        <v>244.45</v>
      </c>
      <c r="Y165" s="138">
        <v>297.35500000000002</v>
      </c>
      <c r="Z165" s="138">
        <v>776.87300000000005</v>
      </c>
      <c r="AA165" s="138">
        <v>94.153999999999996</v>
      </c>
      <c r="AB165" s="138">
        <v>149.06200000000001</v>
      </c>
      <c r="AC165" s="138">
        <v>174.05199999999999</v>
      </c>
      <c r="AD165" s="138">
        <v>447.73599999999999</v>
      </c>
      <c r="AE165" s="138">
        <v>206.18100000000001</v>
      </c>
      <c r="AF165" s="138">
        <v>184.37</v>
      </c>
      <c r="AG165" s="138">
        <v>337.05200000000002</v>
      </c>
      <c r="AH165" s="138">
        <v>108.471</v>
      </c>
      <c r="AI165" s="138">
        <v>299.73599999999999</v>
      </c>
      <c r="AJ165" s="138">
        <v>296.30599999999998</v>
      </c>
      <c r="AK165" s="138">
        <v>137.04499999999999</v>
      </c>
      <c r="AL165" s="138">
        <v>99.453000000000003</v>
      </c>
      <c r="AM165" s="138">
        <v>195.80199999999999</v>
      </c>
      <c r="AN165" s="138">
        <v>262.62700000000001</v>
      </c>
      <c r="AO165" s="138">
        <v>101.02</v>
      </c>
      <c r="AP165" s="138">
        <v>219.49700000000001</v>
      </c>
      <c r="AQ165" s="138">
        <v>285.48099999999999</v>
      </c>
      <c r="AR165" s="138"/>
      <c r="AS165" s="138">
        <v>5943.5880000000006</v>
      </c>
    </row>
    <row r="166" spans="2:45" outlineLevel="1">
      <c r="B166" s="1444" t="s">
        <v>790</v>
      </c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>
        <v>850.65099999999995</v>
      </c>
      <c r="U166" s="138">
        <v>1191.3810000000001</v>
      </c>
      <c r="V166" s="138">
        <v>758.94899999999996</v>
      </c>
      <c r="W166" s="138">
        <v>1205.4949999999999</v>
      </c>
      <c r="X166" s="138">
        <v>2222.5189999999998</v>
      </c>
      <c r="Y166" s="138">
        <v>1263.694</v>
      </c>
      <c r="Z166" s="138">
        <v>3399.241</v>
      </c>
      <c r="AA166" s="138">
        <v>-303.99900000000002</v>
      </c>
      <c r="AB166" s="138">
        <v>520.91300000000001</v>
      </c>
      <c r="AC166" s="138">
        <v>1046.3530000000001</v>
      </c>
      <c r="AD166" s="138">
        <v>1268.9739999999999</v>
      </c>
      <c r="AE166" s="138">
        <v>1604.423</v>
      </c>
      <c r="AF166" s="138">
        <v>1250.075</v>
      </c>
      <c r="AG166" s="138">
        <v>1512.5440000000001</v>
      </c>
      <c r="AH166" s="138">
        <v>1125.252</v>
      </c>
      <c r="AI166" s="138">
        <v>2553.444</v>
      </c>
      <c r="AJ166" s="138">
        <v>940.50900000000001</v>
      </c>
      <c r="AK166" s="138">
        <v>1605.855</v>
      </c>
      <c r="AL166" s="138">
        <v>3274.7040000000002</v>
      </c>
      <c r="AM166" s="138">
        <v>1163.5229999999999</v>
      </c>
      <c r="AN166" s="138">
        <v>856.221</v>
      </c>
      <c r="AO166" s="138">
        <v>2467.297</v>
      </c>
      <c r="AP166" s="138">
        <v>895.36800000000005</v>
      </c>
      <c r="AQ166" s="138">
        <v>795.03399999999999</v>
      </c>
      <c r="AR166" s="138">
        <v>798.47900000000004</v>
      </c>
      <c r="AS166" s="138">
        <v>34266.899000000005</v>
      </c>
    </row>
    <row r="167" spans="2:45" outlineLevel="1">
      <c r="B167" s="1444" t="s">
        <v>797</v>
      </c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>
        <v>209.917</v>
      </c>
      <c r="V167" s="138">
        <v>146.44200000000001</v>
      </c>
      <c r="W167" s="138">
        <v>174.31399999999999</v>
      </c>
      <c r="X167" s="138">
        <v>281.54000000000002</v>
      </c>
      <c r="Y167" s="138">
        <v>255.197</v>
      </c>
      <c r="Z167" s="138">
        <v>1185.162</v>
      </c>
      <c r="AA167" s="138">
        <v>516.64300000000003</v>
      </c>
      <c r="AB167" s="138">
        <v>285.19400000000002</v>
      </c>
      <c r="AC167" s="138">
        <v>658.57899999999995</v>
      </c>
      <c r="AD167" s="138">
        <v>1002.033</v>
      </c>
      <c r="AE167" s="138">
        <v>548.25699999999995</v>
      </c>
      <c r="AF167" s="138">
        <v>737.49400000000003</v>
      </c>
      <c r="AG167" s="138">
        <v>429.435</v>
      </c>
      <c r="AH167" s="138">
        <v>419.51499999999999</v>
      </c>
      <c r="AI167" s="138">
        <v>687.94799999999998</v>
      </c>
      <c r="AJ167" s="138">
        <v>342.041</v>
      </c>
      <c r="AK167" s="138">
        <v>725.27800000000002</v>
      </c>
      <c r="AL167" s="138">
        <v>863.06799999999998</v>
      </c>
      <c r="AM167" s="138">
        <v>25.24</v>
      </c>
      <c r="AN167" s="138">
        <v>196.404</v>
      </c>
      <c r="AO167" s="138">
        <v>387.30799999999999</v>
      </c>
      <c r="AP167" s="138">
        <v>629.745</v>
      </c>
      <c r="AQ167" s="138">
        <v>529.20000000000005</v>
      </c>
      <c r="AR167" s="138">
        <v>242.988</v>
      </c>
      <c r="AS167" s="138">
        <v>11478.942000000003</v>
      </c>
    </row>
    <row r="168" spans="2:45" outlineLevel="1">
      <c r="B168" s="1444" t="s">
        <v>800</v>
      </c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>
        <v>152.721</v>
      </c>
      <c r="V168" s="138">
        <v>145.10900000000001</v>
      </c>
      <c r="W168" s="138">
        <v>184.89099999999999</v>
      </c>
      <c r="X168" s="138">
        <v>281.31099999999998</v>
      </c>
      <c r="Y168" s="138">
        <v>331.42200000000003</v>
      </c>
      <c r="Z168" s="138">
        <v>569.96400000000006</v>
      </c>
      <c r="AA168" s="138">
        <v>162.482</v>
      </c>
      <c r="AB168" s="138">
        <v>148.13999999999999</v>
      </c>
      <c r="AC168" s="138">
        <v>131.577</v>
      </c>
      <c r="AD168" s="138">
        <v>188.27500000000001</v>
      </c>
      <c r="AE168" s="138">
        <v>197.74100000000001</v>
      </c>
      <c r="AF168" s="138">
        <v>330.97199999999998</v>
      </c>
      <c r="AG168" s="138">
        <v>418.49299999999999</v>
      </c>
      <c r="AH168" s="138">
        <v>256.55399999999997</v>
      </c>
      <c r="AI168" s="138">
        <v>688.904</v>
      </c>
      <c r="AJ168" s="138">
        <v>724.63499999999999</v>
      </c>
      <c r="AK168" s="138">
        <v>1334.963</v>
      </c>
      <c r="AL168" s="138">
        <v>789.53899999999999</v>
      </c>
      <c r="AM168" s="138">
        <v>163.726</v>
      </c>
      <c r="AN168" s="138">
        <v>381.983</v>
      </c>
      <c r="AO168" s="138">
        <v>897.54499999999996</v>
      </c>
      <c r="AP168" s="138">
        <v>725.25300000000004</v>
      </c>
      <c r="AQ168" s="138">
        <v>916.96400000000006</v>
      </c>
      <c r="AR168" s="138">
        <v>1311.703</v>
      </c>
      <c r="AS168" s="138">
        <v>11434.867</v>
      </c>
    </row>
    <row r="169" spans="2:45" outlineLevel="1">
      <c r="B169" s="1444" t="s">
        <v>904</v>
      </c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>
        <v>31.042000000000002</v>
      </c>
      <c r="Y169" s="138">
        <v>149.678</v>
      </c>
      <c r="Z169" s="138">
        <v>534.15499999999997</v>
      </c>
      <c r="AA169" s="138">
        <v>321.73500000000001</v>
      </c>
      <c r="AB169" s="138">
        <v>252.303</v>
      </c>
      <c r="AC169" s="138">
        <v>742.73800000000006</v>
      </c>
      <c r="AD169" s="138">
        <v>1112.8979999999999</v>
      </c>
      <c r="AE169" s="138">
        <v>622.88800000000003</v>
      </c>
      <c r="AF169" s="138">
        <v>752.56700000000001</v>
      </c>
      <c r="AG169" s="138">
        <v>873.44299999999998</v>
      </c>
      <c r="AH169" s="138">
        <v>994.47</v>
      </c>
      <c r="AI169" s="138">
        <v>956.69500000000005</v>
      </c>
      <c r="AJ169" s="138">
        <v>849.11</v>
      </c>
      <c r="AK169" s="138">
        <v>1354.847</v>
      </c>
      <c r="AL169" s="138">
        <v>1548.1110000000001</v>
      </c>
      <c r="AM169" s="138">
        <v>524.72199999999998</v>
      </c>
      <c r="AN169" s="138">
        <v>426.78399999999999</v>
      </c>
      <c r="AO169" s="138">
        <v>1293.4760000000001</v>
      </c>
      <c r="AP169" s="138">
        <v>1233.8309999999999</v>
      </c>
      <c r="AQ169" s="138">
        <v>1361.23</v>
      </c>
      <c r="AR169" s="138">
        <v>1297.329</v>
      </c>
      <c r="AS169" s="138">
        <v>17234.052</v>
      </c>
    </row>
    <row r="170" spans="2:45" outlineLevel="1">
      <c r="B170" s="1444" t="s">
        <v>906</v>
      </c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>
        <v>122.822</v>
      </c>
      <c r="Y170" s="138">
        <v>137.86600000000001</v>
      </c>
      <c r="Z170" s="138">
        <v>969.13300000000004</v>
      </c>
      <c r="AA170" s="138">
        <v>133.36099999999999</v>
      </c>
      <c r="AB170" s="138">
        <v>125.509</v>
      </c>
      <c r="AC170" s="138">
        <v>1482.248</v>
      </c>
      <c r="AD170" s="138">
        <v>272.12</v>
      </c>
      <c r="AE170" s="138">
        <v>249.44300000000001</v>
      </c>
      <c r="AF170" s="138">
        <v>211.95599999999999</v>
      </c>
      <c r="AG170" s="138">
        <v>2149.9180000000001</v>
      </c>
      <c r="AH170" s="138">
        <v>209.23699999999999</v>
      </c>
      <c r="AI170" s="138">
        <v>1148.1990000000001</v>
      </c>
      <c r="AJ170" s="138">
        <v>1257.2059999999999</v>
      </c>
      <c r="AK170" s="138">
        <v>696.59799999999996</v>
      </c>
      <c r="AL170" s="138">
        <v>1336.45</v>
      </c>
      <c r="AM170" s="138">
        <v>183.774</v>
      </c>
      <c r="AN170" s="138">
        <v>81.863</v>
      </c>
      <c r="AO170" s="138">
        <v>286.67500000000001</v>
      </c>
      <c r="AP170" s="138">
        <v>129.49199999999999</v>
      </c>
      <c r="AQ170" s="138">
        <v>104.325</v>
      </c>
      <c r="AR170" s="138"/>
      <c r="AS170" s="138">
        <v>11288.195</v>
      </c>
    </row>
    <row r="171" spans="2:45" outlineLevel="1">
      <c r="B171" s="1444" t="s">
        <v>901</v>
      </c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>
        <v>0</v>
      </c>
      <c r="Z171" s="138">
        <v>1330.432</v>
      </c>
      <c r="AA171" s="138">
        <v>664.03300000000002</v>
      </c>
      <c r="AB171" s="138">
        <v>58.277999999999999</v>
      </c>
      <c r="AC171" s="138">
        <v>495.12400000000002</v>
      </c>
      <c r="AD171" s="138">
        <v>543.12800000000004</v>
      </c>
      <c r="AE171" s="138">
        <v>175.58099999999999</v>
      </c>
      <c r="AF171" s="138">
        <v>627.274</v>
      </c>
      <c r="AG171" s="138">
        <v>1090.086</v>
      </c>
      <c r="AH171" s="138">
        <v>141.61099999999999</v>
      </c>
      <c r="AI171" s="138">
        <v>1052.2470000000001</v>
      </c>
      <c r="AJ171" s="138">
        <v>1003.913</v>
      </c>
      <c r="AK171" s="138">
        <v>840.66399999999999</v>
      </c>
      <c r="AL171" s="138">
        <v>2797.998</v>
      </c>
      <c r="AM171" s="138">
        <v>-37.966999999999999</v>
      </c>
      <c r="AN171" s="138">
        <v>139.94</v>
      </c>
      <c r="AO171" s="138">
        <v>658.16300000000001</v>
      </c>
      <c r="AP171" s="138">
        <v>4394.04</v>
      </c>
      <c r="AQ171" s="138">
        <v>1229.896</v>
      </c>
      <c r="AR171" s="138">
        <v>1332.008</v>
      </c>
      <c r="AS171" s="138">
        <v>18536.449000000004</v>
      </c>
    </row>
    <row r="172" spans="2:45" outlineLevel="1">
      <c r="B172" s="1444" t="s">
        <v>950</v>
      </c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>
        <v>15.074</v>
      </c>
      <c r="Z172" s="138">
        <v>203.17400000000001</v>
      </c>
      <c r="AA172" s="138">
        <v>201.208</v>
      </c>
      <c r="AB172" s="138">
        <v>247.17599999999999</v>
      </c>
      <c r="AC172" s="138">
        <v>411.483</v>
      </c>
      <c r="AD172" s="138">
        <v>875.92</v>
      </c>
      <c r="AE172" s="138">
        <v>829.69899999999996</v>
      </c>
      <c r="AF172" s="138">
        <v>1217.9480000000001</v>
      </c>
      <c r="AG172" s="138">
        <v>837.16300000000001</v>
      </c>
      <c r="AH172" s="138">
        <v>560.95100000000002</v>
      </c>
      <c r="AI172" s="138">
        <v>940.06500000000005</v>
      </c>
      <c r="AJ172" s="138">
        <v>913.22900000000004</v>
      </c>
      <c r="AK172" s="138">
        <v>981.79300000000001</v>
      </c>
      <c r="AL172" s="138">
        <v>1020.942</v>
      </c>
      <c r="AM172" s="138">
        <v>416.66399999999999</v>
      </c>
      <c r="AN172" s="138">
        <v>637.85400000000004</v>
      </c>
      <c r="AO172" s="138">
        <v>1111.904</v>
      </c>
      <c r="AP172" s="138">
        <v>963.96</v>
      </c>
      <c r="AQ172" s="138">
        <v>792.91300000000001</v>
      </c>
      <c r="AR172" s="138">
        <v>686.08100000000002</v>
      </c>
      <c r="AS172" s="138">
        <v>13865.201000000003</v>
      </c>
    </row>
    <row r="173" spans="2:45" outlineLevel="1">
      <c r="B173" s="1444" t="s">
        <v>1014</v>
      </c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>
        <v>0</v>
      </c>
      <c r="Y173" s="138">
        <v>107.911</v>
      </c>
      <c r="Z173" s="138">
        <v>268.98099999999999</v>
      </c>
      <c r="AA173" s="138">
        <v>213.102</v>
      </c>
      <c r="AB173" s="138">
        <v>207.32599999999999</v>
      </c>
      <c r="AC173" s="138">
        <v>373.94499999999999</v>
      </c>
      <c r="AD173" s="138">
        <v>283.26900000000001</v>
      </c>
      <c r="AE173" s="138">
        <v>321.49900000000002</v>
      </c>
      <c r="AF173" s="138">
        <v>354.14600000000002</v>
      </c>
      <c r="AG173" s="138">
        <v>574.678</v>
      </c>
      <c r="AH173" s="138">
        <v>481.74900000000002</v>
      </c>
      <c r="AI173" s="138">
        <v>354.21100000000001</v>
      </c>
      <c r="AJ173" s="138">
        <v>288.86</v>
      </c>
      <c r="AK173" s="138">
        <v>781.12599999999998</v>
      </c>
      <c r="AL173" s="138">
        <v>2247.2710000000002</v>
      </c>
      <c r="AM173" s="138">
        <v>239.898</v>
      </c>
      <c r="AN173" s="138">
        <v>215.52699999999999</v>
      </c>
      <c r="AO173" s="138">
        <v>940.17600000000004</v>
      </c>
      <c r="AP173" s="138">
        <v>1338.482</v>
      </c>
      <c r="AQ173" s="138">
        <v>637.87800000000004</v>
      </c>
      <c r="AR173" s="138">
        <v>1535.374</v>
      </c>
      <c r="AS173" s="138">
        <v>11765.409000000001</v>
      </c>
    </row>
    <row r="174" spans="2:45" outlineLevel="1">
      <c r="B174" s="1444" t="s">
        <v>1162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  <c r="AA174" s="138">
        <v>202.553</v>
      </c>
      <c r="AB174" s="138">
        <v>137.51499999999999</v>
      </c>
      <c r="AC174" s="138">
        <v>259.07799999999997</v>
      </c>
      <c r="AD174" s="138">
        <v>146.744</v>
      </c>
      <c r="AE174" s="138">
        <v>234.07</v>
      </c>
      <c r="AF174" s="138">
        <v>390.78300000000002</v>
      </c>
      <c r="AG174" s="138">
        <v>220.16399999999999</v>
      </c>
      <c r="AH174" s="138">
        <v>155.11199999999999</v>
      </c>
      <c r="AI174" s="138">
        <v>156.62700000000001</v>
      </c>
      <c r="AJ174" s="138">
        <v>123.279</v>
      </c>
      <c r="AK174" s="138">
        <v>389.863</v>
      </c>
      <c r="AL174" s="138">
        <v>397.048</v>
      </c>
      <c r="AM174" s="138">
        <v>64.233999999999995</v>
      </c>
      <c r="AN174" s="138">
        <v>52.198999999999998</v>
      </c>
      <c r="AO174" s="138">
        <v>228.762</v>
      </c>
      <c r="AP174" s="138">
        <v>237.471</v>
      </c>
      <c r="AQ174" s="138"/>
      <c r="AR174" s="138"/>
      <c r="AS174" s="138">
        <v>3395.5020000000004</v>
      </c>
    </row>
    <row r="175" spans="2:45" outlineLevel="1">
      <c r="B175" s="1444" t="s">
        <v>1163</v>
      </c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>
        <v>63.914999999999999</v>
      </c>
      <c r="AB175" s="138">
        <v>120.90300000000001</v>
      </c>
      <c r="AC175" s="138">
        <v>342.59399999999999</v>
      </c>
      <c r="AD175" s="138">
        <v>577.98800000000006</v>
      </c>
      <c r="AE175" s="138">
        <v>267.70499999999998</v>
      </c>
      <c r="AF175" s="138">
        <v>856.73199999999997</v>
      </c>
      <c r="AG175" s="138">
        <v>677.529</v>
      </c>
      <c r="AH175" s="138">
        <v>410.30200000000002</v>
      </c>
      <c r="AI175" s="138">
        <v>1173.6289999999999</v>
      </c>
      <c r="AJ175" s="138">
        <v>396.83300000000003</v>
      </c>
      <c r="AK175" s="138">
        <v>774.68299999999999</v>
      </c>
      <c r="AL175" s="138">
        <v>1361.9459999999999</v>
      </c>
      <c r="AM175" s="138">
        <v>140.28700000000001</v>
      </c>
      <c r="AN175" s="138">
        <v>242.70500000000001</v>
      </c>
      <c r="AO175" s="138">
        <v>501.92099999999999</v>
      </c>
      <c r="AP175" s="138">
        <v>871.447</v>
      </c>
      <c r="AQ175" s="138">
        <v>412.56299999999999</v>
      </c>
      <c r="AR175" s="138">
        <v>321.334</v>
      </c>
      <c r="AS175" s="138">
        <v>9515.0160000000014</v>
      </c>
    </row>
    <row r="176" spans="2:45" outlineLevel="1">
      <c r="B176" s="1444" t="s">
        <v>1286</v>
      </c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>
        <v>274.69900000000001</v>
      </c>
      <c r="AC176" s="138">
        <v>842.47699999999998</v>
      </c>
      <c r="AD176" s="138">
        <v>1046.2750000000001</v>
      </c>
      <c r="AE176" s="138">
        <v>638.31799999999998</v>
      </c>
      <c r="AF176" s="138">
        <v>574.04200000000003</v>
      </c>
      <c r="AG176" s="138">
        <v>1071.037</v>
      </c>
      <c r="AH176" s="138">
        <v>481.38</v>
      </c>
      <c r="AI176" s="138">
        <v>953.48</v>
      </c>
      <c r="AJ176" s="138">
        <v>636.06600000000003</v>
      </c>
      <c r="AK176" s="138">
        <v>1201.6020000000001</v>
      </c>
      <c r="AL176" s="138">
        <v>946.42</v>
      </c>
      <c r="AM176" s="138">
        <v>95.385999999999996</v>
      </c>
      <c r="AN176" s="138">
        <v>134.042</v>
      </c>
      <c r="AO176" s="138">
        <v>540.91600000000005</v>
      </c>
      <c r="AP176" s="138">
        <v>674.25</v>
      </c>
      <c r="AQ176" s="138">
        <v>298.827</v>
      </c>
      <c r="AR176" s="138">
        <v>739.70100000000002</v>
      </c>
      <c r="AS176" s="138">
        <v>11148.917999999998</v>
      </c>
    </row>
    <row r="177" spans="2:45" outlineLevel="1">
      <c r="B177" s="1444" t="s">
        <v>1161</v>
      </c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>
        <v>0</v>
      </c>
      <c r="AD177" s="138">
        <v>38.146999999999998</v>
      </c>
      <c r="AE177" s="138">
        <v>92.700999999999993</v>
      </c>
      <c r="AF177" s="138">
        <v>271.54500000000002</v>
      </c>
      <c r="AG177" s="138">
        <v>239.29300000000001</v>
      </c>
      <c r="AH177" s="138">
        <v>117.72</v>
      </c>
      <c r="AI177" s="138">
        <v>542.32100000000003</v>
      </c>
      <c r="AJ177" s="138">
        <v>322.36900000000003</v>
      </c>
      <c r="AK177" s="138">
        <v>640.89700000000005</v>
      </c>
      <c r="AL177" s="138">
        <v>298.19600000000003</v>
      </c>
      <c r="AM177" s="138">
        <v>90.468000000000004</v>
      </c>
      <c r="AN177" s="138">
        <v>112.203</v>
      </c>
      <c r="AO177" s="138">
        <v>222.589</v>
      </c>
      <c r="AP177" s="138">
        <v>114.49299999999999</v>
      </c>
      <c r="AQ177" s="138">
        <v>120.18899999999999</v>
      </c>
      <c r="AR177" s="138">
        <v>48.64</v>
      </c>
      <c r="AS177" s="138">
        <v>3271.7709999999993</v>
      </c>
    </row>
    <row r="178" spans="2:45" outlineLevel="1">
      <c r="B178" s="1444" t="s">
        <v>1287</v>
      </c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>
        <v>226.35400000000001</v>
      </c>
      <c r="AC178" s="138">
        <v>151.04</v>
      </c>
      <c r="AD178" s="138">
        <v>291.86599999999999</v>
      </c>
      <c r="AE178" s="138">
        <v>324.69600000000003</v>
      </c>
      <c r="AF178" s="138">
        <v>399.11799999999999</v>
      </c>
      <c r="AG178" s="138">
        <v>498.90600000000001</v>
      </c>
      <c r="AH178" s="138">
        <v>502.49799999999999</v>
      </c>
      <c r="AI178" s="138">
        <v>650.46199999999999</v>
      </c>
      <c r="AJ178" s="138">
        <v>513.197</v>
      </c>
      <c r="AK178" s="138">
        <v>1164.866</v>
      </c>
      <c r="AL178" s="138">
        <v>1020.511</v>
      </c>
      <c r="AM178" s="138">
        <v>416.923</v>
      </c>
      <c r="AN178" s="138">
        <v>319.38799999999998</v>
      </c>
      <c r="AO178" s="138">
        <v>859.22900000000004</v>
      </c>
      <c r="AP178" s="138">
        <v>579.33000000000004</v>
      </c>
      <c r="AQ178" s="138">
        <v>562.49699999999996</v>
      </c>
      <c r="AR178" s="138">
        <v>1069.184</v>
      </c>
      <c r="AS178" s="138">
        <v>9550.0650000000005</v>
      </c>
    </row>
    <row r="179" spans="2:45" outlineLevel="1">
      <c r="B179" s="1444" t="s">
        <v>1348</v>
      </c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>
        <v>52.162999999999997</v>
      </c>
      <c r="AC179" s="138">
        <v>38.906999999999996</v>
      </c>
      <c r="AD179" s="138">
        <v>83.224000000000004</v>
      </c>
      <c r="AE179" s="138">
        <v>170.381</v>
      </c>
      <c r="AF179" s="138">
        <v>108.51</v>
      </c>
      <c r="AG179" s="138">
        <v>190.75899999999999</v>
      </c>
      <c r="AH179" s="138">
        <v>222.364</v>
      </c>
      <c r="AI179" s="138">
        <v>676.22699999999998</v>
      </c>
      <c r="AJ179" s="138">
        <v>575.45600000000002</v>
      </c>
      <c r="AK179" s="138">
        <v>850.79399999999998</v>
      </c>
      <c r="AL179" s="138">
        <v>500.74099999999999</v>
      </c>
      <c r="AM179" s="138">
        <v>232.22300000000001</v>
      </c>
      <c r="AN179" s="138">
        <v>192.24299999999999</v>
      </c>
      <c r="AO179" s="138">
        <v>544.39499999999998</v>
      </c>
      <c r="AP179" s="138">
        <v>227.72499999999999</v>
      </c>
      <c r="AQ179" s="138">
        <v>612.62099999999998</v>
      </c>
      <c r="AR179" s="138">
        <v>769.69600000000003</v>
      </c>
      <c r="AS179" s="138">
        <v>6048.4290000000001</v>
      </c>
    </row>
    <row r="180" spans="2:45" outlineLevel="1">
      <c r="B180" s="1444" t="s">
        <v>1420</v>
      </c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>
        <v>193.916</v>
      </c>
      <c r="AE180" s="138">
        <v>444.49700000000001</v>
      </c>
      <c r="AF180" s="138">
        <v>460.22800000000001</v>
      </c>
      <c r="AG180" s="138">
        <v>581.72799999999995</v>
      </c>
      <c r="AH180" s="138">
        <v>271.14499999999998</v>
      </c>
      <c r="AI180" s="138">
        <v>692.84299999999996</v>
      </c>
      <c r="AJ180" s="138">
        <v>480.41899999999998</v>
      </c>
      <c r="AK180" s="138">
        <v>1096.6959999999999</v>
      </c>
      <c r="AL180" s="138">
        <v>745.07600000000002</v>
      </c>
      <c r="AM180" s="138">
        <v>226.20500000000001</v>
      </c>
      <c r="AN180" s="138">
        <v>73.406000000000006</v>
      </c>
      <c r="AO180" s="138">
        <v>642.64099999999996</v>
      </c>
      <c r="AP180" s="138">
        <v>364.79500000000002</v>
      </c>
      <c r="AQ180" s="138">
        <v>440.93599999999998</v>
      </c>
      <c r="AR180" s="138">
        <v>1205.9970000000001</v>
      </c>
      <c r="AS180" s="138">
        <v>7920.5279999999993</v>
      </c>
    </row>
    <row r="181" spans="2:45" outlineLevel="1">
      <c r="B181" s="1444" t="s">
        <v>1566</v>
      </c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>
        <v>30.103999999999999</v>
      </c>
      <c r="AG181" s="138">
        <v>176.53100000000001</v>
      </c>
      <c r="AH181" s="138">
        <v>146.101</v>
      </c>
      <c r="AI181" s="138">
        <v>180.441</v>
      </c>
      <c r="AJ181" s="138">
        <v>272.17399999999998</v>
      </c>
      <c r="AK181" s="138">
        <v>210.16800000000001</v>
      </c>
      <c r="AL181" s="138">
        <v>482.685</v>
      </c>
      <c r="AM181" s="138">
        <v>90.447000000000003</v>
      </c>
      <c r="AN181" s="138"/>
      <c r="AO181" s="138"/>
      <c r="AP181" s="138"/>
      <c r="AQ181" s="138"/>
      <c r="AR181" s="138"/>
      <c r="AS181" s="138">
        <v>1588.6509999999998</v>
      </c>
    </row>
    <row r="182" spans="2:45" outlineLevel="1">
      <c r="B182" s="1444" t="s">
        <v>1670</v>
      </c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>
        <v>15.132999999999999</v>
      </c>
      <c r="AG182" s="138">
        <v>163.53</v>
      </c>
      <c r="AH182" s="138">
        <v>35.319000000000003</v>
      </c>
      <c r="AI182" s="138">
        <v>223.36</v>
      </c>
      <c r="AJ182" s="138">
        <v>102.02</v>
      </c>
      <c r="AK182" s="138">
        <v>293.99200000000002</v>
      </c>
      <c r="AL182" s="138">
        <v>571.47199999999998</v>
      </c>
      <c r="AM182" s="138">
        <v>84.533000000000001</v>
      </c>
      <c r="AN182" s="138">
        <v>87.13</v>
      </c>
      <c r="AO182" s="138">
        <v>388.56700000000001</v>
      </c>
      <c r="AP182" s="138"/>
      <c r="AQ182" s="138"/>
      <c r="AR182" s="138"/>
      <c r="AS182" s="138">
        <v>1965.056</v>
      </c>
    </row>
    <row r="183" spans="2:45" outlineLevel="1">
      <c r="B183" s="1444" t="s">
        <v>1571</v>
      </c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>
        <v>73.867999999999995</v>
      </c>
      <c r="AG183" s="138">
        <v>203.78200000000001</v>
      </c>
      <c r="AH183" s="138">
        <v>159.32</v>
      </c>
      <c r="AI183" s="138">
        <v>508.94499999999999</v>
      </c>
      <c r="AJ183" s="138">
        <v>365.51600000000002</v>
      </c>
      <c r="AK183" s="138">
        <v>733.13099999999997</v>
      </c>
      <c r="AL183" s="138">
        <v>762.67700000000002</v>
      </c>
      <c r="AM183" s="138">
        <v>408.89299999999997</v>
      </c>
      <c r="AN183" s="138">
        <v>263.45400000000001</v>
      </c>
      <c r="AO183" s="138">
        <v>790.07899999999995</v>
      </c>
      <c r="AP183" s="138">
        <v>372.322</v>
      </c>
      <c r="AQ183" s="138">
        <v>434.14499999999998</v>
      </c>
      <c r="AR183" s="138">
        <v>762.16899999999998</v>
      </c>
      <c r="AS183" s="138">
        <v>5838.3009999999995</v>
      </c>
    </row>
    <row r="184" spans="2:45" outlineLevel="1">
      <c r="B184" s="1444" t="s">
        <v>1564</v>
      </c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>
        <v>17.309000000000001</v>
      </c>
      <c r="AE184" s="138">
        <v>248.512</v>
      </c>
      <c r="AF184" s="138">
        <v>138.053</v>
      </c>
      <c r="AG184" s="138">
        <v>157.952</v>
      </c>
      <c r="AH184" s="138">
        <v>198.54900000000001</v>
      </c>
      <c r="AI184" s="138">
        <v>285.39299999999997</v>
      </c>
      <c r="AJ184" s="138">
        <v>279.53100000000001</v>
      </c>
      <c r="AK184" s="138">
        <v>484.96199999999999</v>
      </c>
      <c r="AL184" s="138">
        <v>1003.664</v>
      </c>
      <c r="AM184" s="138">
        <v>191.27099999999999</v>
      </c>
      <c r="AN184" s="138">
        <v>272.50299999999999</v>
      </c>
      <c r="AO184" s="138">
        <v>369.601</v>
      </c>
      <c r="AP184" s="138">
        <v>668.97199999999998</v>
      </c>
      <c r="AQ184" s="138">
        <v>166.25299999999999</v>
      </c>
      <c r="AR184" s="138">
        <v>574.96699999999998</v>
      </c>
      <c r="AS184" s="138">
        <v>5057.4920000000002</v>
      </c>
    </row>
    <row r="185" spans="2:45" outlineLevel="1">
      <c r="B185" s="1444" t="s">
        <v>1766</v>
      </c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>
        <v>48.789000000000001</v>
      </c>
      <c r="U185" s="138">
        <v>331.52300000000002</v>
      </c>
      <c r="V185" s="138">
        <v>137.52000000000001</v>
      </c>
      <c r="W185" s="138">
        <v>481.26400000000001</v>
      </c>
      <c r="X185" s="138">
        <v>403.29199999999997</v>
      </c>
      <c r="Y185" s="138">
        <v>580.64700000000005</v>
      </c>
      <c r="Z185" s="138">
        <v>1175.019</v>
      </c>
      <c r="AA185" s="138">
        <v>543.572</v>
      </c>
      <c r="AB185" s="138">
        <v>460.45299999999997</v>
      </c>
      <c r="AC185" s="138">
        <v>639.94000000000005</v>
      </c>
      <c r="AD185" s="138">
        <v>1128.5160000000001</v>
      </c>
      <c r="AE185" s="138">
        <v>525.94200000000001</v>
      </c>
      <c r="AF185" s="138">
        <v>1529.4090000000001</v>
      </c>
      <c r="AG185" s="138">
        <v>888.14300000000003</v>
      </c>
      <c r="AH185" s="138">
        <v>852.71900000000005</v>
      </c>
      <c r="AI185" s="138">
        <v>1642.5039999999999</v>
      </c>
      <c r="AJ185" s="138">
        <v>1472.8710000000001</v>
      </c>
      <c r="AK185" s="138">
        <v>1383.346</v>
      </c>
      <c r="AL185" s="138">
        <v>2234.114</v>
      </c>
      <c r="AM185" s="138">
        <v>244.071</v>
      </c>
      <c r="AN185" s="138">
        <v>122.489</v>
      </c>
      <c r="AO185" s="138">
        <v>1150.675</v>
      </c>
      <c r="AP185" s="138">
        <v>424.46199999999999</v>
      </c>
      <c r="AQ185" s="138">
        <v>393.77499999999998</v>
      </c>
      <c r="AR185" s="138">
        <v>499.14600000000002</v>
      </c>
      <c r="AS185" s="138">
        <v>19294.201000000001</v>
      </c>
    </row>
    <row r="186" spans="2:45" outlineLevel="1">
      <c r="B186" s="1444" t="s">
        <v>1768</v>
      </c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>
        <v>189.76</v>
      </c>
      <c r="V186" s="138">
        <v>712.16600000000005</v>
      </c>
      <c r="W186" s="138">
        <v>698.07100000000003</v>
      </c>
      <c r="X186" s="138">
        <v>608.95299999999997</v>
      </c>
      <c r="Y186" s="138">
        <v>966.70699999999999</v>
      </c>
      <c r="Z186" s="138">
        <v>1160.473</v>
      </c>
      <c r="AA186" s="138">
        <v>191.62700000000001</v>
      </c>
      <c r="AB186" s="138">
        <v>236.82499999999999</v>
      </c>
      <c r="AC186" s="138">
        <v>312.45999999999998</v>
      </c>
      <c r="AD186" s="138">
        <v>878.20399999999995</v>
      </c>
      <c r="AE186" s="138">
        <v>492.50299999999999</v>
      </c>
      <c r="AF186" s="138">
        <v>541.21299999999997</v>
      </c>
      <c r="AG186" s="138">
        <v>400.75700000000001</v>
      </c>
      <c r="AH186" s="138">
        <v>294.59500000000003</v>
      </c>
      <c r="AI186" s="138">
        <v>1072.2660000000001</v>
      </c>
      <c r="AJ186" s="138">
        <v>787.21400000000006</v>
      </c>
      <c r="AK186" s="138">
        <v>670.822</v>
      </c>
      <c r="AL186" s="138">
        <v>1606.6880000000001</v>
      </c>
      <c r="AM186" s="138">
        <v>304.73099999999999</v>
      </c>
      <c r="AN186" s="138">
        <v>401.84899999999999</v>
      </c>
      <c r="AO186" s="138">
        <v>407.61399999999998</v>
      </c>
      <c r="AP186" s="138">
        <v>620.50300000000004</v>
      </c>
      <c r="AQ186" s="138">
        <v>577.84500000000003</v>
      </c>
      <c r="AR186" s="138"/>
      <c r="AS186" s="138">
        <v>14133.845999999998</v>
      </c>
    </row>
    <row r="187" spans="2:45" outlineLevel="1">
      <c r="B187" s="1444" t="s">
        <v>1771</v>
      </c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>
        <v>36.072000000000003</v>
      </c>
      <c r="AE187" s="138">
        <v>93.625</v>
      </c>
      <c r="AF187" s="138">
        <v>377.49200000000002</v>
      </c>
      <c r="AG187" s="138">
        <v>399.80399999999997</v>
      </c>
      <c r="AH187" s="138">
        <v>397.13200000000001</v>
      </c>
      <c r="AI187" s="138">
        <v>312.91399999999999</v>
      </c>
      <c r="AJ187" s="138">
        <v>456.44600000000003</v>
      </c>
      <c r="AK187" s="138">
        <v>597.40899999999999</v>
      </c>
      <c r="AL187" s="138">
        <v>806.34</v>
      </c>
      <c r="AM187" s="138">
        <v>79.477999999999994</v>
      </c>
      <c r="AN187" s="138">
        <v>97.075000000000003</v>
      </c>
      <c r="AO187" s="138">
        <v>242.18299999999999</v>
      </c>
      <c r="AP187" s="138">
        <v>402.84800000000001</v>
      </c>
      <c r="AQ187" s="138">
        <v>756.11500000000001</v>
      </c>
      <c r="AR187" s="138"/>
      <c r="AS187" s="138">
        <v>5054.933</v>
      </c>
    </row>
    <row r="188" spans="2:45" outlineLevel="1">
      <c r="B188" s="1444" t="s">
        <v>1774</v>
      </c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>
        <v>523.76800000000003</v>
      </c>
      <c r="AB188" s="138">
        <v>423.75</v>
      </c>
      <c r="AC188" s="138">
        <v>648.83799999999997</v>
      </c>
      <c r="AD188" s="138">
        <v>545.80100000000004</v>
      </c>
      <c r="AE188" s="138">
        <v>457.423</v>
      </c>
      <c r="AF188" s="138">
        <v>606.303</v>
      </c>
      <c r="AG188" s="138">
        <v>1256.518</v>
      </c>
      <c r="AH188" s="138">
        <v>423.04899999999998</v>
      </c>
      <c r="AI188" s="138">
        <v>938.32299999999998</v>
      </c>
      <c r="AJ188" s="138">
        <v>472.21</v>
      </c>
      <c r="AK188" s="138">
        <v>1049.5</v>
      </c>
      <c r="AL188" s="138">
        <v>779.27599999999995</v>
      </c>
      <c r="AM188" s="138">
        <v>204.14599999999999</v>
      </c>
      <c r="AN188" s="138">
        <v>319.00799999999998</v>
      </c>
      <c r="AO188" s="138">
        <v>480.72500000000002</v>
      </c>
      <c r="AP188" s="138">
        <v>267.59899999999999</v>
      </c>
      <c r="AQ188" s="138">
        <v>472.95600000000002</v>
      </c>
      <c r="AR188" s="138">
        <v>958.04899999999998</v>
      </c>
      <c r="AS188" s="138">
        <v>10827.242000000002</v>
      </c>
    </row>
    <row r="189" spans="2:45" outlineLevel="1">
      <c r="B189" s="1444" t="s">
        <v>1028</v>
      </c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  <c r="AA189" s="138"/>
      <c r="AB189" s="138"/>
      <c r="AC189" s="138"/>
      <c r="AD189" s="138"/>
      <c r="AE189" s="138">
        <v>342.09399999999999</v>
      </c>
      <c r="AF189" s="138">
        <v>350.75099999999998</v>
      </c>
      <c r="AG189" s="138">
        <v>545.78700000000003</v>
      </c>
      <c r="AH189" s="138">
        <v>586.03599999999994</v>
      </c>
      <c r="AI189" s="138">
        <v>889.85900000000004</v>
      </c>
      <c r="AJ189" s="138">
        <v>789.04600000000005</v>
      </c>
      <c r="AK189" s="138">
        <v>1742.0219999999999</v>
      </c>
      <c r="AL189" s="138">
        <v>2193.288</v>
      </c>
      <c r="AM189" s="138">
        <v>773.27700000000004</v>
      </c>
      <c r="AN189" s="138">
        <v>721.33</v>
      </c>
      <c r="AO189" s="138">
        <v>1789.7380000000001</v>
      </c>
      <c r="AP189" s="138">
        <v>1074.213</v>
      </c>
      <c r="AQ189" s="138">
        <v>1410.7840000000001</v>
      </c>
      <c r="AR189" s="138">
        <v>1757.2809999999999</v>
      </c>
      <c r="AS189" s="138">
        <v>14965.505999999998</v>
      </c>
    </row>
    <row r="190" spans="2:45" outlineLevel="1">
      <c r="B190" s="1444" t="s">
        <v>1569</v>
      </c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8"/>
      <c r="AD190" s="138"/>
      <c r="AE190" s="138">
        <v>318.04199999999997</v>
      </c>
      <c r="AF190" s="138">
        <v>456.87400000000002</v>
      </c>
      <c r="AG190" s="138">
        <v>656.47699999999998</v>
      </c>
      <c r="AH190" s="138">
        <v>598.24599999999998</v>
      </c>
      <c r="AI190" s="138">
        <v>1419.557</v>
      </c>
      <c r="AJ190" s="138">
        <v>1430.3579999999999</v>
      </c>
      <c r="AK190" s="138">
        <v>2172.9940000000001</v>
      </c>
      <c r="AL190" s="138">
        <v>2064.9299999999998</v>
      </c>
      <c r="AM190" s="138">
        <v>456.79500000000002</v>
      </c>
      <c r="AN190" s="138">
        <v>643.08900000000006</v>
      </c>
      <c r="AO190" s="138">
        <v>1404.0119999999999</v>
      </c>
      <c r="AP190" s="138">
        <v>1031.68</v>
      </c>
      <c r="AQ190" s="138">
        <v>1438.029</v>
      </c>
      <c r="AR190" s="138">
        <v>2510.7710000000002</v>
      </c>
      <c r="AS190" s="138">
        <v>16601.854000000003</v>
      </c>
    </row>
    <row r="191" spans="2:45" outlineLevel="1">
      <c r="B191" s="1444" t="s">
        <v>1573</v>
      </c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38"/>
      <c r="AE191" s="138">
        <v>50.463000000000001</v>
      </c>
      <c r="AF191" s="138">
        <v>92.450999999999993</v>
      </c>
      <c r="AG191" s="138">
        <v>368.93099999999998</v>
      </c>
      <c r="AH191" s="138">
        <v>190.42</v>
      </c>
      <c r="AI191" s="138">
        <v>481.81599999999997</v>
      </c>
      <c r="AJ191" s="138">
        <v>285.77800000000002</v>
      </c>
      <c r="AK191" s="138">
        <v>751.15499999999997</v>
      </c>
      <c r="AL191" s="138">
        <v>671.87300000000005</v>
      </c>
      <c r="AM191" s="138">
        <v>116.65</v>
      </c>
      <c r="AN191" s="138">
        <v>535.97799999999995</v>
      </c>
      <c r="AO191" s="138">
        <v>561.17499999999995</v>
      </c>
      <c r="AP191" s="138">
        <v>695.29600000000005</v>
      </c>
      <c r="AQ191" s="138">
        <v>551.09</v>
      </c>
      <c r="AR191" s="138">
        <v>524.12199999999996</v>
      </c>
      <c r="AS191" s="138">
        <v>5877.1980000000012</v>
      </c>
    </row>
    <row r="192" spans="2:45" outlineLevel="1">
      <c r="B192" s="1444" t="s">
        <v>1770</v>
      </c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>
        <v>0</v>
      </c>
      <c r="P192" s="138">
        <v>5.81</v>
      </c>
      <c r="Q192" s="138">
        <v>7.49</v>
      </c>
      <c r="R192" s="138">
        <v>79.400000000000006</v>
      </c>
      <c r="S192" s="138">
        <v>39.58</v>
      </c>
      <c r="T192" s="138">
        <v>82.710999999999999</v>
      </c>
      <c r="U192" s="138">
        <v>110.005</v>
      </c>
      <c r="V192" s="138">
        <v>146.30099999999999</v>
      </c>
      <c r="W192" s="138">
        <v>308.245</v>
      </c>
      <c r="X192" s="138">
        <v>514.524</v>
      </c>
      <c r="Y192" s="138">
        <v>435.45100000000002</v>
      </c>
      <c r="Z192" s="138">
        <v>726.64099999999996</v>
      </c>
      <c r="AA192" s="138">
        <v>248.22900000000001</v>
      </c>
      <c r="AB192" s="138">
        <v>93.158000000000001</v>
      </c>
      <c r="AC192" s="138">
        <v>189.29300000000001</v>
      </c>
      <c r="AD192" s="138">
        <v>201.048</v>
      </c>
      <c r="AE192" s="138">
        <v>297.33199999999999</v>
      </c>
      <c r="AF192" s="138">
        <v>382.25700000000001</v>
      </c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>
        <v>3867.4749999999995</v>
      </c>
    </row>
    <row r="193" spans="2:45" outlineLevel="1">
      <c r="B193" s="1444" t="s">
        <v>1777</v>
      </c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>
        <v>0</v>
      </c>
      <c r="S193" s="138">
        <v>64.41</v>
      </c>
      <c r="T193" s="138">
        <v>102.3</v>
      </c>
      <c r="U193" s="138">
        <v>111.459</v>
      </c>
      <c r="V193" s="138">
        <v>121.143</v>
      </c>
      <c r="W193" s="138">
        <v>343.6</v>
      </c>
      <c r="X193" s="138">
        <v>363.61</v>
      </c>
      <c r="Y193" s="138">
        <v>262.52600000000001</v>
      </c>
      <c r="Z193" s="138">
        <v>522.40700000000004</v>
      </c>
      <c r="AA193" s="138">
        <v>109.23699999999999</v>
      </c>
      <c r="AB193" s="138">
        <v>25.61</v>
      </c>
      <c r="AC193" s="138">
        <v>70.212000000000003</v>
      </c>
      <c r="AD193" s="138">
        <v>172.24700000000001</v>
      </c>
      <c r="AE193" s="138">
        <v>167.40600000000001</v>
      </c>
      <c r="AF193" s="138">
        <v>341.685</v>
      </c>
      <c r="AG193" s="138">
        <v>162.52600000000001</v>
      </c>
      <c r="AH193" s="138">
        <v>125.866</v>
      </c>
      <c r="AI193" s="138">
        <v>204.32</v>
      </c>
      <c r="AJ193" s="138">
        <v>167.702</v>
      </c>
      <c r="AK193" s="138">
        <v>204.821</v>
      </c>
      <c r="AL193" s="138">
        <v>266.83199999999999</v>
      </c>
      <c r="AM193" s="138">
        <v>-0.50800000000000001</v>
      </c>
      <c r="AN193" s="138">
        <v>33.340000000000003</v>
      </c>
      <c r="AO193" s="138">
        <v>23.414000000000001</v>
      </c>
      <c r="AP193" s="138">
        <v>0</v>
      </c>
      <c r="AQ193" s="138"/>
      <c r="AR193" s="138"/>
      <c r="AS193" s="138">
        <v>3966.165</v>
      </c>
    </row>
    <row r="194" spans="2:45" outlineLevel="1">
      <c r="B194" s="1444" t="s">
        <v>1773</v>
      </c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>
        <v>105.282</v>
      </c>
      <c r="W194" s="138">
        <v>393.93799999999999</v>
      </c>
      <c r="X194" s="138">
        <v>498.33199999999999</v>
      </c>
      <c r="Y194" s="138">
        <v>985.86900000000003</v>
      </c>
      <c r="Z194" s="138">
        <v>1403.49</v>
      </c>
      <c r="AA194" s="138">
        <v>370.52100000000002</v>
      </c>
      <c r="AB194" s="138">
        <v>146.23099999999999</v>
      </c>
      <c r="AC194" s="138">
        <v>218.95099999999999</v>
      </c>
      <c r="AD194" s="138">
        <v>198.95500000000001</v>
      </c>
      <c r="AE194" s="138">
        <v>196.78399999999999</v>
      </c>
      <c r="AF194" s="138">
        <v>291.33499999999998</v>
      </c>
      <c r="AG194" s="138">
        <v>283.28100000000001</v>
      </c>
      <c r="AH194" s="138">
        <v>176.67400000000001</v>
      </c>
      <c r="AI194" s="138">
        <v>1025.0889999999999</v>
      </c>
      <c r="AJ194" s="138">
        <v>520.09100000000001</v>
      </c>
      <c r="AK194" s="138">
        <v>522.15899999999999</v>
      </c>
      <c r="AL194" s="138">
        <v>637.005</v>
      </c>
      <c r="AM194" s="138">
        <v>411.22899999999998</v>
      </c>
      <c r="AN194" s="138">
        <v>364.42399999999998</v>
      </c>
      <c r="AO194" s="138">
        <v>626.68299999999999</v>
      </c>
      <c r="AP194" s="138">
        <v>361.37200000000001</v>
      </c>
      <c r="AQ194" s="138">
        <v>589.529</v>
      </c>
      <c r="AR194" s="138">
        <v>563.45799999999997</v>
      </c>
      <c r="AS194" s="138">
        <v>10890.682000000001</v>
      </c>
    </row>
    <row r="195" spans="2:45" outlineLevel="1">
      <c r="B195" s="1444" t="s">
        <v>1950</v>
      </c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>
        <v>140.49</v>
      </c>
      <c r="S195" s="138">
        <v>69.650000000000006</v>
      </c>
      <c r="T195" s="138">
        <v>114.834</v>
      </c>
      <c r="U195" s="138">
        <v>146.03200000000001</v>
      </c>
      <c r="V195" s="138">
        <v>195.64599999999999</v>
      </c>
      <c r="W195" s="138">
        <v>394.74799999999999</v>
      </c>
      <c r="X195" s="138">
        <v>257.91500000000002</v>
      </c>
      <c r="Y195" s="138">
        <v>196.19200000000001</v>
      </c>
      <c r="Z195" s="138">
        <v>600.70100000000002</v>
      </c>
      <c r="AA195" s="138">
        <v>303.55599999999998</v>
      </c>
      <c r="AB195" s="138">
        <v>128.178</v>
      </c>
      <c r="AC195" s="138">
        <v>443.779</v>
      </c>
      <c r="AD195" s="138">
        <v>355.61200000000002</v>
      </c>
      <c r="AE195" s="138">
        <v>211.64</v>
      </c>
      <c r="AF195" s="138">
        <v>86.183999999999997</v>
      </c>
      <c r="AG195" s="138">
        <v>211.084</v>
      </c>
      <c r="AH195" s="138">
        <v>243.768</v>
      </c>
      <c r="AI195" s="138">
        <v>271.26799999999997</v>
      </c>
      <c r="AJ195" s="138">
        <v>259.61</v>
      </c>
      <c r="AK195" s="138">
        <v>127.608</v>
      </c>
      <c r="AL195" s="138">
        <v>411.29899999999998</v>
      </c>
      <c r="AM195" s="138">
        <v>87.096000000000004</v>
      </c>
      <c r="AN195" s="138">
        <v>188.95</v>
      </c>
      <c r="AO195" s="138">
        <v>238.536</v>
      </c>
      <c r="AP195" s="138">
        <v>143.04900000000001</v>
      </c>
      <c r="AQ195" s="138"/>
      <c r="AR195" s="138"/>
      <c r="AS195" s="138">
        <v>5827.4249999999993</v>
      </c>
    </row>
    <row r="196" spans="2:45" outlineLevel="1">
      <c r="B196" s="1444" t="s">
        <v>2054</v>
      </c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>
        <v>153.35599999999999</v>
      </c>
      <c r="AJ196" s="138">
        <v>492.64</v>
      </c>
      <c r="AK196" s="138">
        <v>1144.0260000000001</v>
      </c>
      <c r="AL196" s="138">
        <v>1401.248</v>
      </c>
      <c r="AM196" s="138">
        <v>405.452</v>
      </c>
      <c r="AN196" s="138">
        <v>278.97899999999998</v>
      </c>
      <c r="AO196" s="138">
        <v>1185.201</v>
      </c>
      <c r="AP196" s="138">
        <v>903.96100000000001</v>
      </c>
      <c r="AQ196" s="138">
        <v>972.12199999999996</v>
      </c>
      <c r="AR196" s="138">
        <v>2012.6880000000001</v>
      </c>
      <c r="AS196" s="138">
        <v>8949.6730000000007</v>
      </c>
    </row>
    <row r="197" spans="2:45" outlineLevel="1">
      <c r="B197" s="1444" t="s">
        <v>2705</v>
      </c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>
        <v>193.87700000000001</v>
      </c>
      <c r="AP197" s="138">
        <v>128.167</v>
      </c>
      <c r="AQ197" s="138">
        <v>381.87299999999999</v>
      </c>
      <c r="AR197" s="138">
        <v>62.118000000000002</v>
      </c>
      <c r="AS197" s="138">
        <v>766.03499999999997</v>
      </c>
    </row>
    <row r="198" spans="2:45" outlineLevel="1">
      <c r="B198" s="1444" t="s">
        <v>2706</v>
      </c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>
        <v>387.08699999999999</v>
      </c>
      <c r="AP198" s="138">
        <v>498.94799999999998</v>
      </c>
      <c r="AQ198" s="138">
        <v>886.59500000000003</v>
      </c>
      <c r="AR198" s="138">
        <v>392.62799999999999</v>
      </c>
      <c r="AS198" s="138">
        <v>2165.2580000000003</v>
      </c>
    </row>
    <row r="199" spans="2:45" outlineLevel="1">
      <c r="B199" s="1444" t="s">
        <v>2707</v>
      </c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>
        <v>66.430000000000007</v>
      </c>
      <c r="AP199" s="138">
        <v>53.063000000000002</v>
      </c>
      <c r="AQ199" s="138">
        <v>127.925</v>
      </c>
      <c r="AR199" s="138"/>
      <c r="AS199" s="138">
        <v>247.41800000000001</v>
      </c>
    </row>
    <row r="200" spans="2:45" outlineLevel="1">
      <c r="B200" s="1444" t="s">
        <v>2709</v>
      </c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>
        <v>37.866</v>
      </c>
      <c r="AP200" s="138">
        <v>223.215</v>
      </c>
      <c r="AQ200" s="138">
        <v>228.47300000000001</v>
      </c>
      <c r="AR200" s="138">
        <v>1578.2139999999999</v>
      </c>
      <c r="AS200" s="138">
        <v>2067.768</v>
      </c>
    </row>
    <row r="201" spans="2:45" outlineLevel="1">
      <c r="B201" s="1444" t="s">
        <v>2711</v>
      </c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>
        <v>124.366</v>
      </c>
      <c r="AP201" s="138">
        <v>334.565</v>
      </c>
      <c r="AQ201" s="138">
        <v>517.4</v>
      </c>
      <c r="AR201" s="138">
        <v>804.88</v>
      </c>
      <c r="AS201" s="138">
        <v>1781.2109999999998</v>
      </c>
    </row>
    <row r="202" spans="2:45" outlineLevel="1">
      <c r="B202" s="1444" t="s">
        <v>3169</v>
      </c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>
        <v>0</v>
      </c>
      <c r="AR202" s="138">
        <v>158.59100000000001</v>
      </c>
      <c r="AS202" s="138">
        <v>158.59100000000001</v>
      </c>
    </row>
    <row r="203" spans="2:45" outlineLevel="1">
      <c r="B203" s="1444" t="s">
        <v>1410</v>
      </c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>
        <v>47.076999999999998</v>
      </c>
      <c r="AR203" s="138">
        <v>265.37599999999998</v>
      </c>
      <c r="AS203" s="138">
        <v>312.45299999999997</v>
      </c>
    </row>
    <row r="204" spans="2:45" outlineLevel="1">
      <c r="B204" s="1444" t="s">
        <v>2897</v>
      </c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>
        <v>424.57799999999997</v>
      </c>
      <c r="AR204" s="138">
        <v>523.95600000000002</v>
      </c>
      <c r="AS204" s="138">
        <v>948.53399999999999</v>
      </c>
    </row>
    <row r="205" spans="2:45" outlineLevel="1">
      <c r="B205" s="1444" t="s">
        <v>3184</v>
      </c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38">
        <v>922.74099999999999</v>
      </c>
      <c r="AR205" s="138">
        <v>976.98900000000003</v>
      </c>
      <c r="AS205" s="138">
        <v>1899.73</v>
      </c>
    </row>
    <row r="206" spans="2:45" outlineLevel="1">
      <c r="B206" s="1444" t="s">
        <v>3180</v>
      </c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138"/>
      <c r="AB206" s="138"/>
      <c r="AC206" s="138"/>
      <c r="AD206" s="138"/>
      <c r="AE206" s="138"/>
      <c r="AF206" s="138"/>
      <c r="AG206" s="138"/>
      <c r="AH206" s="138"/>
      <c r="AI206" s="138"/>
      <c r="AJ206" s="138"/>
      <c r="AK206" s="138"/>
      <c r="AL206" s="138"/>
      <c r="AM206" s="138"/>
      <c r="AN206" s="138"/>
      <c r="AO206" s="138"/>
      <c r="AP206" s="138"/>
      <c r="AQ206" s="138">
        <v>465.19</v>
      </c>
      <c r="AR206" s="138">
        <v>119.273</v>
      </c>
      <c r="AS206" s="138">
        <v>584.46299999999997</v>
      </c>
    </row>
    <row r="207" spans="2:45" outlineLevel="1">
      <c r="B207" s="1444" t="s">
        <v>3189</v>
      </c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138"/>
      <c r="AB207" s="138"/>
      <c r="AC207" s="138"/>
      <c r="AD207" s="138"/>
      <c r="AE207" s="138"/>
      <c r="AF207" s="138"/>
      <c r="AG207" s="138"/>
      <c r="AH207" s="138"/>
      <c r="AI207" s="138"/>
      <c r="AJ207" s="138"/>
      <c r="AK207" s="138"/>
      <c r="AL207" s="138"/>
      <c r="AM207" s="138"/>
      <c r="AN207" s="138"/>
      <c r="AO207" s="138"/>
      <c r="AP207" s="138"/>
      <c r="AQ207" s="138">
        <v>396.57799999999997</v>
      </c>
      <c r="AR207" s="138">
        <v>379.58699999999999</v>
      </c>
      <c r="AS207" s="138">
        <v>776.16499999999996</v>
      </c>
    </row>
    <row r="208" spans="2:45" outlineLevel="1">
      <c r="B208" s="1444" t="s">
        <v>3190</v>
      </c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38"/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38">
        <v>750.99099999999999</v>
      </c>
      <c r="AR208" s="138">
        <v>2150.2350000000001</v>
      </c>
      <c r="AS208" s="138">
        <v>2901.2260000000001</v>
      </c>
    </row>
    <row r="209" spans="2:45" outlineLevel="1">
      <c r="B209" s="1444" t="s">
        <v>3191</v>
      </c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38"/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38">
        <v>512.779</v>
      </c>
      <c r="AR209" s="138">
        <v>1212.5609999999999</v>
      </c>
      <c r="AS209" s="138">
        <v>1725.34</v>
      </c>
    </row>
    <row r="210" spans="2:45" outlineLevel="1">
      <c r="B210" s="1444" t="s">
        <v>3528</v>
      </c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8"/>
      <c r="AI210" s="138"/>
      <c r="AJ210" s="138"/>
      <c r="AK210" s="138"/>
      <c r="AL210" s="138"/>
      <c r="AM210" s="138"/>
      <c r="AN210" s="138"/>
      <c r="AO210" s="138"/>
      <c r="AP210" s="138"/>
      <c r="AQ210" s="138"/>
      <c r="AR210" s="138">
        <v>10.333</v>
      </c>
      <c r="AS210" s="138">
        <v>10.333</v>
      </c>
    </row>
    <row r="211" spans="2:45" outlineLevel="1">
      <c r="B211" s="1444" t="s">
        <v>3529</v>
      </c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8"/>
      <c r="AO211" s="138"/>
      <c r="AP211" s="138"/>
      <c r="AQ211" s="138"/>
      <c r="AR211" s="138">
        <v>1505.5170000000001</v>
      </c>
      <c r="AS211" s="138">
        <v>1505.5170000000001</v>
      </c>
    </row>
    <row r="212" spans="2:45" outlineLevel="1">
      <c r="B212" s="1444" t="s">
        <v>3530</v>
      </c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38"/>
      <c r="AR212" s="138">
        <v>1407.2650000000001</v>
      </c>
      <c r="AS212" s="138">
        <v>1407.2650000000001</v>
      </c>
    </row>
    <row r="213" spans="2:45" outlineLevel="1">
      <c r="B213" s="1444" t="s">
        <v>3575</v>
      </c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8"/>
      <c r="AO213" s="138"/>
      <c r="AP213" s="138"/>
      <c r="AQ213" s="138"/>
      <c r="AR213" s="138">
        <v>50.512</v>
      </c>
      <c r="AS213" s="138">
        <v>50.512</v>
      </c>
    </row>
    <row r="214" spans="2:45" outlineLevel="1">
      <c r="B214" s="1444" t="s">
        <v>3519</v>
      </c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38"/>
      <c r="AR214" s="138">
        <v>426.976</v>
      </c>
      <c r="AS214" s="138">
        <v>426.976</v>
      </c>
    </row>
    <row r="215" spans="2:45" outlineLevel="1">
      <c r="B215" s="1444" t="s">
        <v>3521</v>
      </c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38"/>
      <c r="AR215" s="138">
        <v>1342.8489999999999</v>
      </c>
      <c r="AS215" s="138">
        <v>1342.8489999999999</v>
      </c>
    </row>
    <row r="216" spans="2:45" outlineLevel="1">
      <c r="B216" s="1444" t="s">
        <v>3523</v>
      </c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8"/>
      <c r="AO216" s="138"/>
      <c r="AP216" s="138"/>
      <c r="AQ216" s="138"/>
      <c r="AR216" s="138">
        <v>78.289000000000001</v>
      </c>
      <c r="AS216" s="138">
        <v>78.289000000000001</v>
      </c>
    </row>
    <row r="217" spans="2:45" outlineLevel="1">
      <c r="B217" s="1444" t="s">
        <v>3573</v>
      </c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38"/>
      <c r="AR217" s="138">
        <v>508.39400000000001</v>
      </c>
      <c r="AS217" s="138">
        <v>508.39400000000001</v>
      </c>
    </row>
    <row r="218" spans="2:45" outlineLevel="1">
      <c r="B218" s="1444" t="s">
        <v>3525</v>
      </c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38"/>
      <c r="AR218" s="138">
        <v>95.768000000000001</v>
      </c>
      <c r="AS218" s="138">
        <v>95.768000000000001</v>
      </c>
    </row>
    <row r="219" spans="2:45" outlineLevel="1">
      <c r="B219" s="1387" t="s">
        <v>274</v>
      </c>
      <c r="C219" s="1016">
        <v>283.02700000000004</v>
      </c>
      <c r="D219" s="1016">
        <v>110.63900000000001</v>
      </c>
      <c r="E219" s="1016">
        <v>564.24499999999989</v>
      </c>
      <c r="F219" s="1016">
        <v>915.36800000000005</v>
      </c>
      <c r="G219" s="1016">
        <v>1456.3880000000004</v>
      </c>
      <c r="H219" s="1016">
        <v>997.97500000000014</v>
      </c>
      <c r="I219" s="1016">
        <v>1015.0409999999999</v>
      </c>
      <c r="J219" s="1016">
        <v>1192.67</v>
      </c>
      <c r="K219" s="1016">
        <v>2884.5709999999999</v>
      </c>
      <c r="L219" s="1016">
        <v>2182.433</v>
      </c>
      <c r="M219" s="1016">
        <v>2308.114</v>
      </c>
      <c r="N219" s="1016">
        <v>3922.7099999999996</v>
      </c>
      <c r="O219" s="1016">
        <v>1309.81</v>
      </c>
      <c r="P219" s="1016">
        <v>1856.29</v>
      </c>
      <c r="Q219" s="1016">
        <v>1818.4600000000003</v>
      </c>
      <c r="R219" s="1016">
        <v>3145.8199999999997</v>
      </c>
      <c r="S219" s="1016">
        <v>4031.8399999999997</v>
      </c>
      <c r="T219" s="1016">
        <v>8593.8250000000007</v>
      </c>
      <c r="U219" s="1016">
        <v>8420.0640000000021</v>
      </c>
      <c r="V219" s="1016">
        <v>9230.009</v>
      </c>
      <c r="W219" s="1016">
        <v>13787.019</v>
      </c>
      <c r="X219" s="1016">
        <v>15218.944000000003</v>
      </c>
      <c r="Y219" s="1016">
        <v>15883.455000000002</v>
      </c>
      <c r="Z219" s="1016">
        <v>38464.165000000001</v>
      </c>
      <c r="AA219" s="1016">
        <v>10356.898999999999</v>
      </c>
      <c r="AB219" s="1016">
        <v>9049.0069999999996</v>
      </c>
      <c r="AC219" s="1016">
        <v>19003.816999999995</v>
      </c>
      <c r="AD219" s="1016">
        <v>23838.466</v>
      </c>
      <c r="AE219" s="1016">
        <v>18586.254999999997</v>
      </c>
      <c r="AF219" s="1016">
        <v>27305.806999999997</v>
      </c>
      <c r="AG219" s="1016">
        <v>29219.896999999994</v>
      </c>
      <c r="AH219" s="1016">
        <v>16819.435999999998</v>
      </c>
      <c r="AI219" s="1016">
        <v>38876.936999999984</v>
      </c>
      <c r="AJ219" s="1016">
        <v>25749.087999999996</v>
      </c>
      <c r="AK219" s="1016">
        <v>42738.083000000006</v>
      </c>
      <c r="AL219" s="1016">
        <v>58359.969000000005</v>
      </c>
      <c r="AM219" s="1016">
        <v>12838.284999999998</v>
      </c>
      <c r="AN219" s="1016">
        <v>13773.312999999998</v>
      </c>
      <c r="AO219" s="1016">
        <v>34177.928</v>
      </c>
      <c r="AP219" s="1016">
        <v>30885.060999999994</v>
      </c>
      <c r="AQ219" s="1016">
        <v>28148.490999999998</v>
      </c>
      <c r="AR219" s="1016">
        <v>42170.82</v>
      </c>
      <c r="AS219" s="1016">
        <v>621490.44100000034</v>
      </c>
    </row>
    <row r="220" spans="2:45" outlineLevel="1">
      <c r="B220" s="1387"/>
    </row>
    <row r="221" spans="2:45" outlineLevel="1">
      <c r="B221" s="1387"/>
    </row>
    <row r="222" spans="2:45" outlineLevel="1">
      <c r="B222" s="1387"/>
    </row>
    <row r="223" spans="2:45" outlineLevel="1">
      <c r="B223" s="1387"/>
    </row>
    <row r="224" spans="2:45" outlineLevel="1">
      <c r="B224" s="1387"/>
    </row>
    <row r="225" spans="2:45" outlineLevel="1">
      <c r="B225" s="1387"/>
    </row>
    <row r="226" spans="2:45" outlineLevel="1">
      <c r="B226" s="1387"/>
    </row>
    <row r="227" spans="2:45" outlineLevel="1">
      <c r="B227" s="1387"/>
    </row>
    <row r="228" spans="2:45" outlineLevel="1">
      <c r="B228" s="1444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8"/>
      <c r="AI228" s="138"/>
      <c r="AJ228" s="138"/>
      <c r="AK228" s="138"/>
      <c r="AL228" s="138"/>
      <c r="AM228" s="138"/>
      <c r="AN228" s="138"/>
      <c r="AO228" s="138"/>
      <c r="AP228" s="138"/>
    </row>
    <row r="229" spans="2:45" outlineLevel="1">
      <c r="B229" s="1444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</row>
    <row r="230" spans="2:45" outlineLevel="1">
      <c r="B230" s="1444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38"/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</row>
    <row r="231" spans="2:45" outlineLevel="1">
      <c r="B231" s="1444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  <c r="AA231" s="138"/>
      <c r="AB231" s="138"/>
      <c r="AC231" s="138"/>
      <c r="AD231" s="138"/>
      <c r="AE231" s="138"/>
      <c r="AF231" s="138"/>
      <c r="AG231" s="138"/>
      <c r="AH231" s="138"/>
      <c r="AI231" s="138"/>
      <c r="AJ231" s="138"/>
      <c r="AK231" s="138"/>
      <c r="AL231" s="138"/>
      <c r="AM231" s="138"/>
      <c r="AN231" s="138"/>
      <c r="AO231" s="138"/>
      <c r="AP231" s="138"/>
    </row>
    <row r="232" spans="2:45" outlineLevel="1">
      <c r="B232" s="1444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38"/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</row>
    <row r="233" spans="2:45" outlineLevel="1">
      <c r="B233" s="1488" t="s">
        <v>385</v>
      </c>
      <c r="C233" s="1487" t="s">
        <v>275</v>
      </c>
    </row>
    <row r="234" spans="2:45" outlineLevel="1">
      <c r="B234" s="1487" t="s">
        <v>253</v>
      </c>
      <c r="C234" s="1016">
        <v>201301</v>
      </c>
      <c r="D234" s="1016">
        <v>201302</v>
      </c>
      <c r="E234" s="1016">
        <v>201303</v>
      </c>
      <c r="F234" s="1016">
        <v>201304</v>
      </c>
      <c r="G234" s="1016">
        <v>201305</v>
      </c>
      <c r="H234" s="1016">
        <v>201306</v>
      </c>
      <c r="I234" s="1016">
        <v>201307</v>
      </c>
      <c r="J234" s="1016">
        <v>201308</v>
      </c>
      <c r="K234" s="1016">
        <v>201309</v>
      </c>
      <c r="L234" s="1016">
        <v>201310</v>
      </c>
      <c r="M234" s="1016">
        <v>201311</v>
      </c>
      <c r="N234" s="1016">
        <v>201312</v>
      </c>
      <c r="O234" s="1016">
        <v>201401</v>
      </c>
      <c r="P234" s="1016">
        <v>201402</v>
      </c>
      <c r="Q234" s="1016">
        <v>201403</v>
      </c>
      <c r="R234" s="1016">
        <v>201404</v>
      </c>
      <c r="S234" s="1016">
        <v>201405</v>
      </c>
      <c r="T234" s="1016">
        <v>201406</v>
      </c>
      <c r="U234" s="1016">
        <v>201407</v>
      </c>
      <c r="V234" s="1016">
        <v>201408</v>
      </c>
      <c r="W234" s="1016">
        <v>201409</v>
      </c>
      <c r="X234" s="1016">
        <v>201410</v>
      </c>
      <c r="Y234" s="1016">
        <v>201411</v>
      </c>
      <c r="Z234" s="1016">
        <v>201412</v>
      </c>
      <c r="AA234" s="1016">
        <v>201501</v>
      </c>
      <c r="AB234" s="1016">
        <v>201502</v>
      </c>
      <c r="AC234" s="1016">
        <v>201503</v>
      </c>
      <c r="AD234" s="1016">
        <v>201504</v>
      </c>
      <c r="AE234" s="1016">
        <v>201505</v>
      </c>
      <c r="AF234" s="1016">
        <v>201506</v>
      </c>
      <c r="AG234" s="1016">
        <v>201507</v>
      </c>
      <c r="AH234" s="1016">
        <v>201508</v>
      </c>
      <c r="AI234" s="1016">
        <v>201509</v>
      </c>
      <c r="AJ234" s="1016">
        <v>201510</v>
      </c>
      <c r="AK234" s="1016">
        <v>201511</v>
      </c>
      <c r="AL234" s="1016">
        <v>201512</v>
      </c>
      <c r="AM234" s="1016">
        <v>201601</v>
      </c>
      <c r="AN234" s="1016">
        <v>201602</v>
      </c>
      <c r="AO234" s="1016">
        <v>201603</v>
      </c>
      <c r="AP234" s="1016">
        <v>201604</v>
      </c>
      <c r="AQ234" s="1016">
        <v>201605</v>
      </c>
      <c r="AR234" s="1016">
        <v>201606</v>
      </c>
      <c r="AS234" s="1016" t="s">
        <v>274</v>
      </c>
    </row>
    <row r="235" spans="2:45" outlineLevel="1">
      <c r="B235" s="1444" t="s">
        <v>191</v>
      </c>
      <c r="C235" s="137"/>
      <c r="D235" s="137"/>
      <c r="E235" s="137">
        <v>10.324999999999999</v>
      </c>
      <c r="F235" s="137">
        <v>14.200785714285701</v>
      </c>
      <c r="G235" s="137">
        <v>11.966428571428999</v>
      </c>
      <c r="H235" s="137">
        <v>10.605062500000001</v>
      </c>
      <c r="I235" s="137">
        <v>16.513999999999999</v>
      </c>
      <c r="J235" s="137">
        <v>22.54</v>
      </c>
      <c r="K235" s="137">
        <v>23.5550588235294</v>
      </c>
      <c r="L235" s="137">
        <v>17.940714285714002</v>
      </c>
      <c r="M235" s="137">
        <v>25.811545454544998</v>
      </c>
      <c r="N235" s="137">
        <v>19.47</v>
      </c>
      <c r="O235" s="137">
        <v>13.13</v>
      </c>
      <c r="P235" s="137">
        <v>11.81</v>
      </c>
      <c r="Q235" s="137">
        <v>15.68</v>
      </c>
      <c r="R235" s="137">
        <v>24.73</v>
      </c>
      <c r="S235" s="137">
        <v>31.98</v>
      </c>
      <c r="T235" s="137">
        <v>17.886904761905001</v>
      </c>
      <c r="U235" s="137">
        <v>19.263464285714001</v>
      </c>
      <c r="V235" s="137">
        <v>16.890787234043</v>
      </c>
      <c r="W235" s="137">
        <v>18.217849999999999</v>
      </c>
      <c r="X235" s="137">
        <v>22.676046511628002</v>
      </c>
      <c r="Y235" s="137">
        <v>30.626048780487999</v>
      </c>
      <c r="Z235" s="137">
        <v>16.471346153846</v>
      </c>
      <c r="AA235" s="137">
        <v>18.479458333333302</v>
      </c>
      <c r="AB235" s="137">
        <v>15.2368695652174</v>
      </c>
      <c r="AC235" s="137">
        <v>17.583809523809499</v>
      </c>
      <c r="AD235" s="137">
        <v>18.063056603774001</v>
      </c>
      <c r="AE235" s="137">
        <v>17.735481481480999</v>
      </c>
      <c r="AF235" s="137">
        <v>14.060387499999999</v>
      </c>
      <c r="AG235" s="137">
        <v>23.763628570000002</v>
      </c>
      <c r="AH235" s="137">
        <v>14.169490909091</v>
      </c>
      <c r="AI235" s="137">
        <v>16.90118556701</v>
      </c>
      <c r="AJ235" s="137">
        <v>14.665246575342</v>
      </c>
      <c r="AK235" s="137">
        <v>18.385543689319999</v>
      </c>
      <c r="AL235" s="137">
        <v>19.343745901639</v>
      </c>
      <c r="AM235" s="137">
        <v>21.161057142857</v>
      </c>
      <c r="AN235" s="137">
        <v>28.169409090908999</v>
      </c>
      <c r="AO235" s="137">
        <v>15.349694915254</v>
      </c>
      <c r="AP235" s="137">
        <v>91.595111111110995</v>
      </c>
      <c r="AQ235" s="137">
        <v>16.488265306121999</v>
      </c>
      <c r="AR235" s="137">
        <v>13.730523255813999</v>
      </c>
      <c r="AS235" s="137">
        <v>807.1730081192112</v>
      </c>
    </row>
    <row r="236" spans="2:45" outlineLevel="1">
      <c r="B236" s="1444" t="s">
        <v>189</v>
      </c>
      <c r="C236" s="137"/>
      <c r="D236" s="137"/>
      <c r="E236" s="137">
        <v>10.8816666666667</v>
      </c>
      <c r="F236" s="137">
        <v>13.4151111111111</v>
      </c>
      <c r="G236" s="137">
        <v>11.178357142857001</v>
      </c>
      <c r="H236" s="137">
        <v>10.500473684210499</v>
      </c>
      <c r="I236" s="137">
        <v>11.0033571428571</v>
      </c>
      <c r="J236" s="137">
        <v>13.09</v>
      </c>
      <c r="K236" s="137">
        <v>16.457038461538499</v>
      </c>
      <c r="L236" s="137">
        <v>16.1342</v>
      </c>
      <c r="M236" s="137">
        <v>14.630230769231002</v>
      </c>
      <c r="N236" s="137">
        <v>12.22</v>
      </c>
      <c r="O236" s="137">
        <v>14.44</v>
      </c>
      <c r="P236" s="137">
        <v>10.35</v>
      </c>
      <c r="Q236" s="137">
        <v>20.83</v>
      </c>
      <c r="R236" s="137">
        <v>13.02</v>
      </c>
      <c r="S236" s="137">
        <v>11.88</v>
      </c>
      <c r="T236" s="137">
        <v>17.867780821918</v>
      </c>
      <c r="U236" s="137">
        <v>15.440695652174</v>
      </c>
      <c r="V236" s="137">
        <v>14.006189189189</v>
      </c>
      <c r="W236" s="137">
        <v>20.765412698413002</v>
      </c>
      <c r="X236" s="137">
        <v>19.492999999999999</v>
      </c>
      <c r="Y236" s="137">
        <v>14.352926829268</v>
      </c>
      <c r="Z236" s="137">
        <v>21.153333333332998</v>
      </c>
      <c r="AA236" s="137">
        <v>14.8987142857143</v>
      </c>
      <c r="AB236" s="137">
        <v>26.7030909090909</v>
      </c>
      <c r="AC236" s="137">
        <v>17.7180909090909</v>
      </c>
      <c r="AD236" s="137">
        <v>20.406215384614999</v>
      </c>
      <c r="AE236" s="137">
        <v>20.357204545455001</v>
      </c>
      <c r="AF236" s="137">
        <v>18.058363636364</v>
      </c>
      <c r="AG236" s="137">
        <v>16.999500000000001</v>
      </c>
      <c r="AH236" s="137">
        <v>21.63316</v>
      </c>
      <c r="AI236" s="137">
        <v>17.121016666667</v>
      </c>
      <c r="AJ236" s="137">
        <v>20.229354838710002</v>
      </c>
      <c r="AK236" s="137">
        <v>23.552466666667002</v>
      </c>
      <c r="AL236" s="137">
        <v>28.160956521738999</v>
      </c>
      <c r="AM236" s="137">
        <v>30.030125000000002</v>
      </c>
      <c r="AN236" s="137">
        <v>20.463875000000002</v>
      </c>
      <c r="AO236" s="137">
        <v>19.862333333333002</v>
      </c>
      <c r="AP236" s="137">
        <v>17.142933333333001</v>
      </c>
      <c r="AQ236" s="137">
        <v>23.251571428571001</v>
      </c>
      <c r="AR236" s="137"/>
      <c r="AS236" s="137">
        <v>679.69874596211696</v>
      </c>
    </row>
    <row r="237" spans="2:45" outlineLevel="1">
      <c r="B237" s="1444" t="s">
        <v>192</v>
      </c>
      <c r="C237" s="137"/>
      <c r="D237" s="137"/>
      <c r="E237" s="137">
        <v>10.193</v>
      </c>
      <c r="F237" s="137">
        <v>21.115666666666701</v>
      </c>
      <c r="G237" s="137">
        <v>14.4223125</v>
      </c>
      <c r="H237" s="137">
        <v>9.4670769230769203</v>
      </c>
      <c r="I237" s="137">
        <v>18.532</v>
      </c>
      <c r="J237" s="137">
        <v>9.36</v>
      </c>
      <c r="K237" s="137">
        <v>15.888473684210499</v>
      </c>
      <c r="L237" s="137">
        <v>9.2663333333329998</v>
      </c>
      <c r="M237" s="137">
        <v>13.153944444444001</v>
      </c>
      <c r="N237" s="137">
        <v>16.079999999999998</v>
      </c>
      <c r="O237" s="137">
        <v>10.79</v>
      </c>
      <c r="P237" s="137">
        <v>12.37</v>
      </c>
      <c r="Q237" s="137">
        <v>10.02</v>
      </c>
      <c r="R237" s="137">
        <v>22.88</v>
      </c>
      <c r="S237" s="137">
        <v>7.3</v>
      </c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>
        <v>200.83880755173112</v>
      </c>
    </row>
    <row r="238" spans="2:45" outlineLevel="1">
      <c r="B238" s="1444" t="s">
        <v>194</v>
      </c>
      <c r="C238" s="137"/>
      <c r="D238" s="137"/>
      <c r="E238" s="137">
        <v>0</v>
      </c>
      <c r="F238" s="137">
        <v>15.4598333333333</v>
      </c>
      <c r="G238" s="137">
        <v>12.446400000000001</v>
      </c>
      <c r="H238" s="137">
        <v>21.228428571428601</v>
      </c>
      <c r="I238" s="137">
        <v>12.439500000000001</v>
      </c>
      <c r="J238" s="137">
        <v>15.31</v>
      </c>
      <c r="K238" s="137">
        <v>20.027833333333302</v>
      </c>
      <c r="L238" s="137">
        <v>13.115625</v>
      </c>
      <c r="M238" s="137">
        <v>10.112272727273</v>
      </c>
      <c r="N238" s="137">
        <v>14.91</v>
      </c>
      <c r="O238" s="137">
        <v>17.059999999999999</v>
      </c>
      <c r="P238" s="137">
        <v>10.09</v>
      </c>
      <c r="Q238" s="137">
        <v>28.23</v>
      </c>
      <c r="R238" s="137">
        <v>18.559999999999999</v>
      </c>
      <c r="S238" s="137">
        <v>24.7</v>
      </c>
      <c r="T238" s="137">
        <v>16.188636363636</v>
      </c>
      <c r="U238" s="137">
        <v>16.071149999999999</v>
      </c>
      <c r="V238" s="137">
        <v>26.883761904762</v>
      </c>
      <c r="W238" s="137">
        <v>29.492899999999999</v>
      </c>
      <c r="X238" s="137">
        <v>21.165476190475999</v>
      </c>
      <c r="Y238" s="137">
        <v>19.270814814815001</v>
      </c>
      <c r="Z238" s="137">
        <v>20.133386363635999</v>
      </c>
      <c r="AA238" s="137">
        <v>16.181875000000002</v>
      </c>
      <c r="AB238" s="137">
        <v>19.869714285714299</v>
      </c>
      <c r="AC238" s="137">
        <v>17.746111111111102</v>
      </c>
      <c r="AD238" s="137">
        <v>18.834722222221998</v>
      </c>
      <c r="AE238" s="137">
        <v>17.097615384615001</v>
      </c>
      <c r="AF238" s="137">
        <v>17.6568</v>
      </c>
      <c r="AG238" s="137">
        <v>11.40114706</v>
      </c>
      <c r="AH238" s="137">
        <v>13.4536</v>
      </c>
      <c r="AI238" s="137">
        <v>11.571199999999999</v>
      </c>
      <c r="AJ238" s="137">
        <v>15.640285714286</v>
      </c>
      <c r="AK238" s="137">
        <v>13.8476</v>
      </c>
      <c r="AL238" s="137">
        <v>11.165934782609002</v>
      </c>
      <c r="AM238" s="137">
        <v>15.364857142857</v>
      </c>
      <c r="AN238" s="137">
        <v>12.044666666667</v>
      </c>
      <c r="AO238" s="137">
        <v>11.913733333333001</v>
      </c>
      <c r="AP238" s="137">
        <v>12.743933333333</v>
      </c>
      <c r="AQ238" s="137">
        <v>12.312777777777999</v>
      </c>
      <c r="AR238" s="137">
        <v>0</v>
      </c>
      <c r="AS238" s="137">
        <v>631.74259241721859</v>
      </c>
    </row>
    <row r="239" spans="2:45" outlineLevel="1">
      <c r="B239" s="1444" t="s">
        <v>190</v>
      </c>
      <c r="C239" s="137"/>
      <c r="D239" s="137"/>
      <c r="E239" s="137">
        <v>14.0625</v>
      </c>
      <c r="F239" s="137">
        <v>11.407714285714301</v>
      </c>
      <c r="G239" s="137">
        <v>17.474499999999999</v>
      </c>
      <c r="H239" s="137">
        <v>9.72730769230769</v>
      </c>
      <c r="I239" s="137">
        <v>16.7884285714286</v>
      </c>
      <c r="J239" s="137">
        <v>9.94</v>
      </c>
      <c r="K239" s="137">
        <v>17.01088</v>
      </c>
      <c r="L239" s="137">
        <v>12.603</v>
      </c>
      <c r="M239" s="137">
        <v>14.247230769231001</v>
      </c>
      <c r="N239" s="137">
        <v>13.06</v>
      </c>
      <c r="O239" s="137">
        <v>13.34</v>
      </c>
      <c r="P239" s="137">
        <v>10.97</v>
      </c>
      <c r="Q239" s="137">
        <v>10.48</v>
      </c>
      <c r="R239" s="137">
        <v>12.38</v>
      </c>
      <c r="S239" s="137">
        <v>10.51</v>
      </c>
      <c r="T239" s="137">
        <v>12.096080000000001</v>
      </c>
      <c r="U239" s="137">
        <v>18.517285714286</v>
      </c>
      <c r="V239" s="137">
        <v>10.984999999999999</v>
      </c>
      <c r="W239" s="137">
        <v>17.907058823528999</v>
      </c>
      <c r="X239" s="137">
        <v>14.678333333333001</v>
      </c>
      <c r="Y239" s="137">
        <v>18.767777777778001</v>
      </c>
      <c r="Z239" s="137">
        <v>16.596697674419001</v>
      </c>
      <c r="AA239" s="137">
        <v>17.200619047619099</v>
      </c>
      <c r="AB239" s="137">
        <v>15.453785714285701</v>
      </c>
      <c r="AC239" s="137">
        <v>17.103249999999999</v>
      </c>
      <c r="AD239" s="137">
        <v>13.146272727273001</v>
      </c>
      <c r="AE239" s="137">
        <v>15.442866666666999</v>
      </c>
      <c r="AF239" s="137">
        <v>20.299161290322999</v>
      </c>
      <c r="AG239" s="137">
        <v>16.780944439999999</v>
      </c>
      <c r="AH239" s="137">
        <v>15.000999999999999</v>
      </c>
      <c r="AI239" s="137">
        <v>16.602910447761001</v>
      </c>
      <c r="AJ239" s="137">
        <v>15.4724</v>
      </c>
      <c r="AK239" s="137">
        <v>16.613629213483001</v>
      </c>
      <c r="AL239" s="137">
        <v>21.520460674157</v>
      </c>
      <c r="AM239" s="137">
        <v>15.838800000000001</v>
      </c>
      <c r="AN239" s="137">
        <v>12.858486486485999</v>
      </c>
      <c r="AO239" s="137">
        <v>20.427818181818001</v>
      </c>
      <c r="AP239" s="137">
        <v>18.578384615385001</v>
      </c>
      <c r="AQ239" s="137"/>
      <c r="AR239" s="137"/>
      <c r="AS239" s="137">
        <v>571.89058414728424</v>
      </c>
    </row>
    <row r="240" spans="2:45" outlineLevel="1">
      <c r="B240" s="1444" t="s">
        <v>92</v>
      </c>
      <c r="C240" s="137">
        <v>12.217599999999999</v>
      </c>
      <c r="D240" s="137">
        <v>12.611428571428601</v>
      </c>
      <c r="E240" s="137">
        <v>11.8992222222222</v>
      </c>
      <c r="F240" s="137">
        <v>13.8125</v>
      </c>
      <c r="G240" s="137">
        <v>34.11</v>
      </c>
      <c r="H240" s="137">
        <v>-3.4528333333333299</v>
      </c>
      <c r="I240" s="137">
        <v>19.330428571428602</v>
      </c>
      <c r="J240" s="137">
        <v>21.96</v>
      </c>
      <c r="K240" s="137">
        <v>18.061318181818201</v>
      </c>
      <c r="L240" s="137">
        <v>17.833486486485999</v>
      </c>
      <c r="M240" s="137">
        <v>17.58484</v>
      </c>
      <c r="N240" s="137">
        <v>12.17</v>
      </c>
      <c r="O240" s="137">
        <v>18.87</v>
      </c>
      <c r="P240" s="137">
        <v>17.100000000000001</v>
      </c>
      <c r="Q240" s="137">
        <v>17</v>
      </c>
      <c r="R240" s="137">
        <v>16.350000000000001</v>
      </c>
      <c r="S240" s="137">
        <v>14.89</v>
      </c>
      <c r="T240" s="137">
        <v>14.558440677966001</v>
      </c>
      <c r="U240" s="137">
        <v>11.536424999999999</v>
      </c>
      <c r="V240" s="137">
        <v>15.9184</v>
      </c>
      <c r="W240" s="137">
        <v>18.420318181818001</v>
      </c>
      <c r="X240" s="137">
        <v>18.830454545455002</v>
      </c>
      <c r="Y240" s="137">
        <v>18.524978723404001</v>
      </c>
      <c r="Z240" s="137">
        <v>25.288</v>
      </c>
      <c r="AA240" s="137">
        <v>15.435593750000001</v>
      </c>
      <c r="AB240" s="137">
        <v>17.940136363636402</v>
      </c>
      <c r="AC240" s="137">
        <v>21.877105263157901</v>
      </c>
      <c r="AD240" s="137">
        <v>16.3565</v>
      </c>
      <c r="AE240" s="137">
        <v>20.107852941176002</v>
      </c>
      <c r="AF240" s="137">
        <v>25.403638297872</v>
      </c>
      <c r="AG240" s="137">
        <v>18.789666669999999</v>
      </c>
      <c r="AH240" s="137">
        <v>13.454000000000001</v>
      </c>
      <c r="AI240" s="137">
        <v>17.62874137931</v>
      </c>
      <c r="AJ240" s="137">
        <v>20.064317073171001</v>
      </c>
      <c r="AK240" s="137">
        <v>18.348527777777999</v>
      </c>
      <c r="AL240" s="137">
        <v>19.674028037383</v>
      </c>
      <c r="AM240" s="137">
        <v>17.167000000000002</v>
      </c>
      <c r="AN240" s="137">
        <v>19.739656249999999</v>
      </c>
      <c r="AO240" s="137">
        <v>20.075788461537996</v>
      </c>
      <c r="AP240" s="137">
        <v>19.051439999999999</v>
      </c>
      <c r="AQ240" s="137">
        <v>17.990625000000001</v>
      </c>
      <c r="AR240" s="137"/>
      <c r="AS240" s="137">
        <v>714.52962509371548</v>
      </c>
    </row>
    <row r="241" spans="2:45" outlineLevel="1">
      <c r="B241" s="1444" t="s">
        <v>17</v>
      </c>
      <c r="C241" s="137">
        <v>9.9763000000000002</v>
      </c>
      <c r="D241" s="137">
        <v>11.179500000000001</v>
      </c>
      <c r="E241" s="137">
        <v>16.203363636363601</v>
      </c>
      <c r="F241" s="137">
        <v>13.741250000000001</v>
      </c>
      <c r="G241" s="137">
        <v>19.154333333333</v>
      </c>
      <c r="H241" s="137">
        <v>14.3245555555556</v>
      </c>
      <c r="I241" s="137">
        <v>14.7785833333333</v>
      </c>
      <c r="J241" s="137">
        <v>13.67</v>
      </c>
      <c r="K241" s="137">
        <v>16.045058823529398</v>
      </c>
      <c r="L241" s="137">
        <v>28.802666666667001</v>
      </c>
      <c r="M241" s="137">
        <v>17.087428571429001</v>
      </c>
      <c r="N241" s="137">
        <v>17.100000000000001</v>
      </c>
      <c r="O241" s="137">
        <v>13.58</v>
      </c>
      <c r="P241" s="137">
        <v>18.309999999999999</v>
      </c>
      <c r="Q241" s="137">
        <v>13.19</v>
      </c>
      <c r="R241" s="137">
        <v>21.14</v>
      </c>
      <c r="S241" s="137">
        <v>19.16</v>
      </c>
      <c r="T241" s="137">
        <v>17.704681818181999</v>
      </c>
      <c r="U241" s="137">
        <v>21.508333333332999</v>
      </c>
      <c r="V241" s="137">
        <v>12.592454545455</v>
      </c>
      <c r="W241" s="137">
        <v>15.763439999999999</v>
      </c>
      <c r="X241" s="137">
        <v>18.641961538461999</v>
      </c>
      <c r="Y241" s="137">
        <v>14.784257142856999</v>
      </c>
      <c r="Z241" s="137">
        <v>26.428606060606</v>
      </c>
      <c r="AA241" s="137">
        <v>13.377933333333299</v>
      </c>
      <c r="AB241" s="137">
        <v>10.9894545454545</v>
      </c>
      <c r="AC241" s="137">
        <v>29.266999999999999</v>
      </c>
      <c r="AD241" s="137">
        <v>34.159705882353002</v>
      </c>
      <c r="AE241" s="137">
        <v>20.094678571429</v>
      </c>
      <c r="AF241" s="137">
        <v>19.919318181817999</v>
      </c>
      <c r="AG241" s="137">
        <v>14.250263159999999</v>
      </c>
      <c r="AH241" s="137">
        <v>16.270684210525999</v>
      </c>
      <c r="AI241" s="137">
        <v>18.955124999999999</v>
      </c>
      <c r="AJ241" s="137">
        <v>64.503500000000003</v>
      </c>
      <c r="AK241" s="137">
        <v>23.438225806451999</v>
      </c>
      <c r="AL241" s="137">
        <v>29.134322580644998</v>
      </c>
      <c r="AM241" s="137">
        <v>19.880142857142999</v>
      </c>
      <c r="AN241" s="137">
        <v>71.189499999999995</v>
      </c>
      <c r="AO241" s="137">
        <v>15.1938</v>
      </c>
      <c r="AP241" s="137">
        <v>21.216999999999999</v>
      </c>
      <c r="AQ241" s="137">
        <v>23.775235294117998</v>
      </c>
      <c r="AR241" s="137">
        <v>19.260666666666999</v>
      </c>
      <c r="AS241" s="137">
        <v>869.74333044904472</v>
      </c>
    </row>
    <row r="242" spans="2:45" outlineLevel="1">
      <c r="B242" s="1444" t="s">
        <v>188</v>
      </c>
      <c r="C242" s="137"/>
      <c r="D242" s="137"/>
      <c r="E242" s="137">
        <v>20.637714285714299</v>
      </c>
      <c r="F242" s="137">
        <v>13.945083333333301</v>
      </c>
      <c r="G242" s="137">
        <v>11.183272727273</v>
      </c>
      <c r="H242" s="137">
        <v>11.930999999999999</v>
      </c>
      <c r="I242" s="137">
        <v>17.119250000000001</v>
      </c>
      <c r="J242" s="137">
        <v>14.12</v>
      </c>
      <c r="K242" s="137">
        <v>22.450708333333299</v>
      </c>
      <c r="L242" s="137">
        <v>16.656888888889</v>
      </c>
      <c r="M242" s="137">
        <v>18.50675</v>
      </c>
      <c r="N242" s="137">
        <v>18.899999999999999</v>
      </c>
      <c r="O242" s="137">
        <v>23.76</v>
      </c>
      <c r="P242" s="137">
        <v>13.22</v>
      </c>
      <c r="Q242" s="137">
        <v>14.81</v>
      </c>
      <c r="R242" s="137">
        <v>12.52</v>
      </c>
      <c r="S242" s="137">
        <v>13.17</v>
      </c>
      <c r="T242" s="137">
        <v>13.548854166667001</v>
      </c>
      <c r="U242" s="137">
        <v>19.136161290322999</v>
      </c>
      <c r="V242" s="137">
        <v>13.2614</v>
      </c>
      <c r="W242" s="137">
        <v>13.870653846153999</v>
      </c>
      <c r="X242" s="137">
        <v>17.519183098591999</v>
      </c>
      <c r="Y242" s="137">
        <v>17.382111111111001</v>
      </c>
      <c r="Z242" s="137">
        <v>21.829138888888998</v>
      </c>
      <c r="AA242" s="137">
        <v>17.135999999999999</v>
      </c>
      <c r="AB242" s="137">
        <v>11.3657857142857</v>
      </c>
      <c r="AC242" s="137">
        <v>24.604215189873401</v>
      </c>
      <c r="AD242" s="137">
        <v>28.772537735848999</v>
      </c>
      <c r="AE242" s="137">
        <v>16.541344827586002</v>
      </c>
      <c r="AF242" s="137">
        <v>17.569146341463</v>
      </c>
      <c r="AG242" s="137">
        <v>37.3832381</v>
      </c>
      <c r="AH242" s="137">
        <v>13.844565217391001</v>
      </c>
      <c r="AI242" s="137">
        <v>21.074240740741001</v>
      </c>
      <c r="AJ242" s="137">
        <v>15.003868421052999</v>
      </c>
      <c r="AK242" s="137">
        <v>16.254305970149002</v>
      </c>
      <c r="AL242" s="137">
        <v>18.111568181818001</v>
      </c>
      <c r="AM242" s="137">
        <v>14.211548387096999</v>
      </c>
      <c r="AN242" s="137">
        <v>13.403771428571</v>
      </c>
      <c r="AO242" s="137">
        <v>14.738923076922999</v>
      </c>
      <c r="AP242" s="137">
        <v>13.493297297297001</v>
      </c>
      <c r="AQ242" s="137"/>
      <c r="AR242" s="137"/>
      <c r="AS242" s="137">
        <v>652.98652660037601</v>
      </c>
    </row>
    <row r="243" spans="2:45" outlineLevel="1">
      <c r="B243" s="1444" t="s">
        <v>381</v>
      </c>
      <c r="C243" s="137"/>
      <c r="D243" s="137"/>
      <c r="E243" s="137"/>
      <c r="F243" s="137"/>
      <c r="G243" s="137"/>
      <c r="H243" s="137"/>
      <c r="I243" s="137">
        <v>14.09</v>
      </c>
      <c r="J243" s="137">
        <v>0</v>
      </c>
      <c r="K243" s="137"/>
      <c r="L243" s="137"/>
      <c r="M243" s="137"/>
      <c r="N243" s="137">
        <v>0</v>
      </c>
      <c r="O243" s="137">
        <v>0</v>
      </c>
      <c r="P243" s="137">
        <v>0</v>
      </c>
      <c r="Q243" s="137"/>
      <c r="R243" s="137"/>
      <c r="S243" s="137">
        <v>17.59</v>
      </c>
      <c r="T243" s="137">
        <v>29.145840909091</v>
      </c>
      <c r="U243" s="137">
        <v>27.005375000000001</v>
      </c>
      <c r="V243" s="137">
        <v>30.174805555555999</v>
      </c>
      <c r="W243" s="137">
        <v>26.571052631579001</v>
      </c>
      <c r="X243" s="137">
        <v>30.471320346321001</v>
      </c>
      <c r="Y243" s="137">
        <v>32.410034161490998</v>
      </c>
      <c r="Z243" s="137">
        <v>38.648482468443007</v>
      </c>
      <c r="AA243" s="137">
        <v>31.9274375</v>
      </c>
      <c r="AB243" s="137">
        <v>21.821617647058801</v>
      </c>
      <c r="AC243" s="137">
        <v>34.226356725146182</v>
      </c>
      <c r="AD243" s="137">
        <v>23.318866666666999</v>
      </c>
      <c r="AE243" s="137">
        <v>25.334296969697</v>
      </c>
      <c r="AF243" s="137">
        <v>23.172599999999999</v>
      </c>
      <c r="AG243" s="137">
        <v>10.763999999999999</v>
      </c>
      <c r="AH243" s="137">
        <v>0</v>
      </c>
      <c r="AI243" s="137">
        <v>0</v>
      </c>
      <c r="AJ243" s="137">
        <v>0</v>
      </c>
      <c r="AK243" s="137"/>
      <c r="AL243" s="137"/>
      <c r="AM243" s="137"/>
      <c r="AN243" s="137"/>
      <c r="AO243" s="137"/>
      <c r="AP243" s="137"/>
      <c r="AQ243" s="137"/>
      <c r="AR243" s="137"/>
      <c r="AS243" s="137">
        <v>416.67208658105</v>
      </c>
    </row>
    <row r="244" spans="2:45" outlineLevel="1">
      <c r="B244" s="1444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>
        <v>0</v>
      </c>
      <c r="M244" s="137">
        <v>0</v>
      </c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>
        <v>0</v>
      </c>
    </row>
    <row r="245" spans="2:45" outlineLevel="1">
      <c r="B245" s="1444" t="s">
        <v>461</v>
      </c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>
        <v>26.796500000000002</v>
      </c>
      <c r="N245" s="137">
        <v>15.84</v>
      </c>
      <c r="O245" s="137">
        <v>16.18</v>
      </c>
      <c r="P245" s="137">
        <v>15.48</v>
      </c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>
        <v>74.296499999999995</v>
      </c>
    </row>
    <row r="246" spans="2:45" outlineLevel="1">
      <c r="B246" s="1444" t="s">
        <v>483</v>
      </c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>
        <v>14.58</v>
      </c>
      <c r="O246" s="137">
        <v>15.3</v>
      </c>
      <c r="P246" s="137">
        <v>23.01</v>
      </c>
      <c r="Q246" s="137">
        <v>10.09</v>
      </c>
      <c r="R246" s="137">
        <v>9.69</v>
      </c>
      <c r="S246" s="137">
        <v>18.920000000000002</v>
      </c>
      <c r="T246" s="137">
        <v>12.595000000000001</v>
      </c>
      <c r="U246" s="137">
        <v>11.535692307692001</v>
      </c>
      <c r="V246" s="137">
        <v>12.758769230768999</v>
      </c>
      <c r="W246" s="137">
        <v>11.024411764706</v>
      </c>
      <c r="X246" s="137">
        <v>13.398580645160999</v>
      </c>
      <c r="Y246" s="137">
        <v>10.294035714286</v>
      </c>
      <c r="Z246" s="137">
        <v>14.244753246753</v>
      </c>
      <c r="AA246" s="137">
        <v>12.4665172413793</v>
      </c>
      <c r="AB246" s="137">
        <v>10.4410833333333</v>
      </c>
      <c r="AC246" s="137">
        <v>12.724827586206899</v>
      </c>
      <c r="AD246" s="137">
        <v>12.989833333332999</v>
      </c>
      <c r="AE246" s="137">
        <v>12.178620689655</v>
      </c>
      <c r="AF246" s="137">
        <v>12.045214285714</v>
      </c>
      <c r="AG246" s="137">
        <v>14.285304350000001</v>
      </c>
      <c r="AH246" s="137">
        <v>9.6959090909089998</v>
      </c>
      <c r="AI246" s="137">
        <v>11.390280000000001</v>
      </c>
      <c r="AJ246" s="137">
        <v>9.9856315789470003</v>
      </c>
      <c r="AK246" s="137">
        <v>15.511956521739</v>
      </c>
      <c r="AL246" s="137">
        <v>13.594689655171999</v>
      </c>
      <c r="AM246" s="137">
        <v>14.391428571429</v>
      </c>
      <c r="AN246" s="137">
        <v>0</v>
      </c>
      <c r="AO246" s="137">
        <v>0</v>
      </c>
      <c r="AP246" s="137">
        <v>0</v>
      </c>
      <c r="AQ246" s="137"/>
      <c r="AR246" s="137"/>
      <c r="AS246" s="137">
        <v>339.14253914718449</v>
      </c>
    </row>
    <row r="247" spans="2:45" outlineLevel="1">
      <c r="B247" s="1444" t="s">
        <v>629</v>
      </c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>
        <v>8.56</v>
      </c>
      <c r="R247" s="137">
        <v>9.94</v>
      </c>
      <c r="S247" s="137">
        <v>15.11</v>
      </c>
      <c r="T247" s="137">
        <v>13.018000000000001</v>
      </c>
      <c r="U247" s="137">
        <v>12.223105263158001</v>
      </c>
      <c r="V247" s="137">
        <v>11.092000000000001</v>
      </c>
      <c r="W247" s="137">
        <v>12.922170731707</v>
      </c>
      <c r="X247" s="137">
        <v>13.597777777777999</v>
      </c>
      <c r="Y247" s="137">
        <v>18.986904761904999</v>
      </c>
      <c r="Z247" s="137">
        <v>15.38936</v>
      </c>
      <c r="AA247" s="137">
        <v>12.0715</v>
      </c>
      <c r="AB247" s="137">
        <v>11.616421052631599</v>
      </c>
      <c r="AC247" s="137">
        <v>12.605733333333299</v>
      </c>
      <c r="AD247" s="137">
        <v>14.326473684211001</v>
      </c>
      <c r="AE247" s="137">
        <v>12.040791666666999</v>
      </c>
      <c r="AF247" s="137">
        <v>14.537714285713999</v>
      </c>
      <c r="AG247" s="137">
        <v>14.922040000000001</v>
      </c>
      <c r="AH247" s="137">
        <v>13.045642857142999</v>
      </c>
      <c r="AI247" s="137">
        <v>13.051051282051001</v>
      </c>
      <c r="AJ247" s="137">
        <v>15.493428571429</v>
      </c>
      <c r="AK247" s="137">
        <v>11.710285714286</v>
      </c>
      <c r="AL247" s="137">
        <v>12.806555555555999</v>
      </c>
      <c r="AM247" s="137">
        <v>10.234</v>
      </c>
      <c r="AN247" s="137">
        <v>0</v>
      </c>
      <c r="AO247" s="137">
        <v>17.703857142857</v>
      </c>
      <c r="AP247" s="137">
        <v>-8.9269999999999996</v>
      </c>
      <c r="AQ247" s="137"/>
      <c r="AR247" s="137"/>
      <c r="AS247" s="137">
        <v>308.0778136804268</v>
      </c>
    </row>
    <row r="248" spans="2:45" outlineLevel="1">
      <c r="B248" s="1444" t="s">
        <v>645</v>
      </c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>
        <v>15.52</v>
      </c>
      <c r="S248" s="137">
        <v>25.78</v>
      </c>
      <c r="T248" s="137">
        <v>14.329000000000001</v>
      </c>
      <c r="U248" s="137">
        <v>25.140954545454999</v>
      </c>
      <c r="V248" s="137">
        <v>17.994199999999999</v>
      </c>
      <c r="W248" s="137">
        <v>34.942749999999997</v>
      </c>
      <c r="X248" s="137">
        <v>25.301782608696001</v>
      </c>
      <c r="Y248" s="137">
        <v>26.506699999999999</v>
      </c>
      <c r="Z248" s="137">
        <v>22.034283018867999</v>
      </c>
      <c r="AA248" s="137">
        <v>26.46425</v>
      </c>
      <c r="AB248" s="137">
        <v>17.661166666666698</v>
      </c>
      <c r="AC248" s="137">
        <v>21.951499999999999</v>
      </c>
      <c r="AD248" s="137">
        <v>18.800846153845999</v>
      </c>
      <c r="AE248" s="137">
        <v>17.026653846154002</v>
      </c>
      <c r="AF248" s="137">
        <v>22.013102564103001</v>
      </c>
      <c r="AG248" s="137">
        <v>20.33462857</v>
      </c>
      <c r="AH248" s="137">
        <v>15.179642857143</v>
      </c>
      <c r="AI248" s="137">
        <v>23.82046875</v>
      </c>
      <c r="AJ248" s="137">
        <v>17.161666666666999</v>
      </c>
      <c r="AK248" s="137">
        <v>21.779760869564999</v>
      </c>
      <c r="AL248" s="137">
        <v>22.458088888889002</v>
      </c>
      <c r="AM248" s="137">
        <v>18.278874999999999</v>
      </c>
      <c r="AN248" s="137">
        <v>28.116666666667001</v>
      </c>
      <c r="AO248" s="137">
        <v>25.941206896552</v>
      </c>
      <c r="AP248" s="137">
        <v>14.14875</v>
      </c>
      <c r="AQ248" s="137">
        <v>27.325416666667</v>
      </c>
      <c r="AR248" s="137">
        <v>20.431920000000002</v>
      </c>
      <c r="AS248" s="137">
        <v>586.44428123593855</v>
      </c>
    </row>
    <row r="249" spans="2:45" outlineLevel="1">
      <c r="B249" s="1444" t="s">
        <v>641</v>
      </c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>
        <v>0</v>
      </c>
      <c r="S249" s="137">
        <v>22.85</v>
      </c>
      <c r="T249" s="137">
        <v>16.243142857142999</v>
      </c>
      <c r="U249" s="137">
        <v>14.466222222221999</v>
      </c>
      <c r="V249" s="137">
        <v>15.547357142857001</v>
      </c>
      <c r="W249" s="137">
        <v>15.276857142857001</v>
      </c>
      <c r="X249" s="137">
        <v>23.119631578947001</v>
      </c>
      <c r="Y249" s="137">
        <v>19.076823529412</v>
      </c>
      <c r="Z249" s="137">
        <v>22.976297297296998</v>
      </c>
      <c r="AA249" s="137">
        <v>20.683125</v>
      </c>
      <c r="AB249" s="137">
        <v>17.447357142857101</v>
      </c>
      <c r="AC249" s="137">
        <v>17.825700000000001</v>
      </c>
      <c r="AD249" s="137">
        <v>33.564708333333002</v>
      </c>
      <c r="AE249" s="137">
        <v>18.716310344827999</v>
      </c>
      <c r="AF249" s="137">
        <v>23.682300000000001</v>
      </c>
      <c r="AG249" s="137">
        <v>17.08984615</v>
      </c>
      <c r="AH249" s="137">
        <v>21.396999999999998</v>
      </c>
      <c r="AI249" s="137">
        <v>18.277553571428999</v>
      </c>
      <c r="AJ249" s="137">
        <v>19.456187499999999</v>
      </c>
      <c r="AK249" s="137">
        <v>14.77075</v>
      </c>
      <c r="AL249" s="137">
        <v>19.169772727272999</v>
      </c>
      <c r="AM249" s="137">
        <v>14.792631578947001</v>
      </c>
      <c r="AN249" s="137">
        <v>10.592952380952001</v>
      </c>
      <c r="AO249" s="137">
        <v>16.724543478261001</v>
      </c>
      <c r="AP249" s="137">
        <v>14.714194444444001</v>
      </c>
      <c r="AQ249" s="137">
        <v>16.296419354838999</v>
      </c>
      <c r="AR249" s="137">
        <v>24.52225</v>
      </c>
      <c r="AS249" s="137">
        <v>489.27993377789812</v>
      </c>
    </row>
    <row r="250" spans="2:45" outlineLevel="1">
      <c r="B250" s="1444" t="s">
        <v>643</v>
      </c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>
        <v>13.44</v>
      </c>
      <c r="S250" s="137">
        <v>13.38</v>
      </c>
      <c r="T250" s="137">
        <v>10.639571428570999</v>
      </c>
      <c r="U250" s="137">
        <v>13.186909090908999</v>
      </c>
      <c r="V250" s="137">
        <v>13.07525</v>
      </c>
      <c r="W250" s="137">
        <v>11.212740740740999</v>
      </c>
      <c r="X250" s="137">
        <v>15.771812499999999</v>
      </c>
      <c r="Y250" s="137">
        <v>14.95</v>
      </c>
      <c r="Z250" s="137">
        <v>37.324833333332997</v>
      </c>
      <c r="AA250" s="137">
        <v>6.1538571428571398</v>
      </c>
      <c r="AB250" s="137">
        <v>13.4575714285714</v>
      </c>
      <c r="AC250" s="137">
        <v>20.343714285714299</v>
      </c>
      <c r="AD250" s="137">
        <v>13.135083333333</v>
      </c>
      <c r="AE250" s="137">
        <v>27.579249999999998</v>
      </c>
      <c r="AF250" s="137">
        <v>20.024000000000001</v>
      </c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>
        <v>243.67459328402984</v>
      </c>
    </row>
    <row r="251" spans="2:45" outlineLevel="1">
      <c r="B251" s="1444" t="s">
        <v>644</v>
      </c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>
        <v>0</v>
      </c>
      <c r="S251" s="137">
        <v>12.24</v>
      </c>
      <c r="T251" s="137">
        <v>13.390769230768999</v>
      </c>
      <c r="U251" s="137">
        <v>10.751642857143</v>
      </c>
      <c r="V251" s="137">
        <v>20.390999999999998</v>
      </c>
      <c r="W251" s="137">
        <v>21.094916666667</v>
      </c>
      <c r="X251" s="137">
        <v>14.337928571429</v>
      </c>
      <c r="Y251" s="137">
        <v>13.5967</v>
      </c>
      <c r="Z251" s="137">
        <v>18.797033333333001</v>
      </c>
      <c r="AA251" s="137">
        <v>9.9860000000000007</v>
      </c>
      <c r="AB251" s="137">
        <v>11.8823333333333</v>
      </c>
      <c r="AC251" s="137">
        <v>14.65325</v>
      </c>
      <c r="AD251" s="137">
        <v>15.582682926828999</v>
      </c>
      <c r="AE251" s="137">
        <v>14.441800000000001</v>
      </c>
      <c r="AF251" s="137">
        <v>16.890458333333001</v>
      </c>
      <c r="AG251" s="137">
        <v>12.692681820000001</v>
      </c>
      <c r="AH251" s="137">
        <v>14.443380952381</v>
      </c>
      <c r="AI251" s="137">
        <v>18.349944444443999</v>
      </c>
      <c r="AJ251" s="137">
        <v>13.948333333333</v>
      </c>
      <c r="AK251" s="137">
        <v>17.066464285714002</v>
      </c>
      <c r="AL251" s="137">
        <v>16.582894736842</v>
      </c>
      <c r="AM251" s="137">
        <v>11.472357142857</v>
      </c>
      <c r="AN251" s="137">
        <v>13.0715</v>
      </c>
      <c r="AO251" s="137">
        <v>17.617888888888999</v>
      </c>
      <c r="AP251" s="137">
        <v>13.935823529412</v>
      </c>
      <c r="AQ251" s="137">
        <v>20.613419354838999</v>
      </c>
      <c r="AR251" s="137">
        <v>14.69575</v>
      </c>
      <c r="AS251" s="137">
        <v>392.52695374154723</v>
      </c>
    </row>
    <row r="252" spans="2:45" outlineLevel="1">
      <c r="B252" s="1444" t="s">
        <v>655</v>
      </c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>
        <v>19.63</v>
      </c>
      <c r="S252" s="137">
        <v>15.74</v>
      </c>
      <c r="T252" s="137">
        <v>16.376842105263002</v>
      </c>
      <c r="U252" s="137">
        <v>14.411291666666999</v>
      </c>
      <c r="V252" s="137">
        <v>17.635956521739001</v>
      </c>
      <c r="W252" s="137">
        <v>15.46475</v>
      </c>
      <c r="X252" s="137">
        <v>15.259680851063999</v>
      </c>
      <c r="Y252" s="137">
        <v>14.14106557377</v>
      </c>
      <c r="Z252" s="137">
        <v>17.894949367089001</v>
      </c>
      <c r="AA252" s="137">
        <v>14.943636363636401</v>
      </c>
      <c r="AB252" s="137">
        <v>20.115166666666699</v>
      </c>
      <c r="AC252" s="137">
        <v>20.15024</v>
      </c>
      <c r="AD252" s="137">
        <v>26.876716981131999</v>
      </c>
      <c r="AE252" s="137">
        <v>12.879166666666999</v>
      </c>
      <c r="AF252" s="137">
        <v>15.128073170732</v>
      </c>
      <c r="AG252" s="137">
        <v>21.76717391</v>
      </c>
      <c r="AH252" s="137">
        <v>16.1724</v>
      </c>
      <c r="AI252" s="137">
        <v>18.115067796609999</v>
      </c>
      <c r="AJ252" s="137">
        <v>22.058314285714001</v>
      </c>
      <c r="AK252" s="137">
        <v>17.18383908046</v>
      </c>
      <c r="AL252" s="137">
        <v>25.668749999999999</v>
      </c>
      <c r="AM252" s="137">
        <v>19.383666666667001</v>
      </c>
      <c r="AN252" s="137">
        <v>15.161827586207</v>
      </c>
      <c r="AO252" s="137">
        <v>19.686909090909001</v>
      </c>
      <c r="AP252" s="137">
        <v>14.43885</v>
      </c>
      <c r="AQ252" s="137">
        <v>15.359027027027</v>
      </c>
      <c r="AR252" s="137"/>
      <c r="AS252" s="137">
        <v>461.64336137802013</v>
      </c>
    </row>
    <row r="253" spans="2:45" outlineLevel="1">
      <c r="B253" s="1444" t="s">
        <v>656</v>
      </c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>
        <v>9.33</v>
      </c>
      <c r="S253" s="137">
        <v>12.06</v>
      </c>
      <c r="T253" s="137">
        <v>18.392299999999999</v>
      </c>
      <c r="U253" s="137">
        <v>17.810083333333001</v>
      </c>
      <c r="V253" s="137">
        <v>11.595000000000001</v>
      </c>
      <c r="W253" s="137">
        <v>11.528692307691999</v>
      </c>
      <c r="X253" s="137">
        <v>12.111142857142999</v>
      </c>
      <c r="Y253" s="137">
        <v>11.419</v>
      </c>
      <c r="Z253" s="137">
        <v>11.63875</v>
      </c>
      <c r="AA253" s="137">
        <v>12.5093513513514</v>
      </c>
      <c r="AB253" s="137">
        <v>11.532875000000001</v>
      </c>
      <c r="AC253" s="137">
        <v>10.8701162790698</v>
      </c>
      <c r="AD253" s="137">
        <v>12.699148148148</v>
      </c>
      <c r="AE253" s="137">
        <v>10.394243243243</v>
      </c>
      <c r="AF253" s="137">
        <v>13.387361111111</v>
      </c>
      <c r="AG253" s="137">
        <v>10.51025926</v>
      </c>
      <c r="AH253" s="137">
        <v>10.768428571429</v>
      </c>
      <c r="AI253" s="137">
        <v>11.083109374999999</v>
      </c>
      <c r="AJ253" s="137">
        <v>11.004074626866</v>
      </c>
      <c r="AK253" s="137">
        <v>10.917624999999999</v>
      </c>
      <c r="AL253" s="137">
        <v>12.916956521739001</v>
      </c>
      <c r="AM253" s="137">
        <v>12.519893617020999</v>
      </c>
      <c r="AN253" s="137">
        <v>10.034599999999999</v>
      </c>
      <c r="AO253" s="137">
        <v>11.877433333333</v>
      </c>
      <c r="AP253" s="137">
        <v>11.554744186047001</v>
      </c>
      <c r="AQ253" s="137"/>
      <c r="AR253" s="137"/>
      <c r="AS253" s="137">
        <v>300.46518812252623</v>
      </c>
    </row>
    <row r="254" spans="2:45" outlineLevel="1">
      <c r="B254" s="1444" t="s">
        <v>697</v>
      </c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>
        <v>0</v>
      </c>
      <c r="T254" s="137">
        <v>14.012333333333</v>
      </c>
      <c r="U254" s="137">
        <v>15.251161290322999</v>
      </c>
      <c r="V254" s="137">
        <v>19.568349999999999</v>
      </c>
      <c r="W254" s="137">
        <v>15.3475625</v>
      </c>
      <c r="X254" s="137">
        <v>16.029851063830002</v>
      </c>
      <c r="Y254" s="137">
        <v>21.377146341463</v>
      </c>
      <c r="Z254" s="137">
        <v>23.880561904762001</v>
      </c>
      <c r="AA254" s="137">
        <v>13.755105263157899</v>
      </c>
      <c r="AB254" s="137">
        <v>14.105124999999999</v>
      </c>
      <c r="AC254" s="137">
        <v>17.6078787878788</v>
      </c>
      <c r="AD254" s="137">
        <v>17.603076923077001</v>
      </c>
      <c r="AE254" s="137">
        <v>13.172454545454999</v>
      </c>
      <c r="AF254" s="137">
        <v>71.764816326531005</v>
      </c>
      <c r="AG254" s="137">
        <v>19.547350000000002</v>
      </c>
      <c r="AH254" s="137">
        <v>21.42548</v>
      </c>
      <c r="AI254" s="137">
        <v>52.881999999999998</v>
      </c>
      <c r="AJ254" s="137">
        <v>-55.798655172414001</v>
      </c>
      <c r="AK254" s="137">
        <v>13.999112903226001</v>
      </c>
      <c r="AL254" s="137">
        <v>30.759831460674</v>
      </c>
      <c r="AM254" s="137">
        <v>18.715619047619001</v>
      </c>
      <c r="AN254" s="137">
        <v>58.065750000000001</v>
      </c>
      <c r="AO254" s="137">
        <v>25.498549019607999</v>
      </c>
      <c r="AP254" s="137">
        <v>27.016903225806001</v>
      </c>
      <c r="AQ254" s="137">
        <v>12.911099999999999</v>
      </c>
      <c r="AR254" s="137">
        <v>19.189</v>
      </c>
      <c r="AS254" s="137">
        <v>517.68746376432955</v>
      </c>
    </row>
    <row r="255" spans="2:45" outlineLevel="1">
      <c r="B255" s="1444" t="s">
        <v>658</v>
      </c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>
        <v>0</v>
      </c>
      <c r="AL255" s="137">
        <v>0</v>
      </c>
      <c r="AM255" s="137">
        <v>0</v>
      </c>
      <c r="AN255" s="137">
        <v>0</v>
      </c>
      <c r="AO255" s="137">
        <v>0</v>
      </c>
      <c r="AP255" s="137">
        <v>0</v>
      </c>
      <c r="AQ255" s="137"/>
      <c r="AR255" s="137"/>
      <c r="AS255" s="137">
        <v>0</v>
      </c>
    </row>
    <row r="256" spans="2:45" outlineLevel="1">
      <c r="B256" s="1444" t="s">
        <v>698</v>
      </c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>
        <v>12.034571428571001</v>
      </c>
      <c r="U256" s="137">
        <v>16.795529411764999</v>
      </c>
      <c r="V256" s="137">
        <v>17.182928571428999</v>
      </c>
      <c r="W256" s="137">
        <v>15.823619047618999</v>
      </c>
      <c r="X256" s="137">
        <v>13.580555555556</v>
      </c>
      <c r="Y256" s="137">
        <v>16.519722222222001</v>
      </c>
      <c r="Z256" s="137">
        <v>18.066813953488001</v>
      </c>
      <c r="AA256" s="137">
        <v>9.4154</v>
      </c>
      <c r="AB256" s="137">
        <v>13.551090909090901</v>
      </c>
      <c r="AC256" s="137">
        <v>12.432285714285699</v>
      </c>
      <c r="AD256" s="137">
        <v>26.337411764706001</v>
      </c>
      <c r="AE256" s="137">
        <v>12.886312500000001</v>
      </c>
      <c r="AF256" s="137">
        <v>12.291333333333</v>
      </c>
      <c r="AG256" s="137">
        <v>13.48208</v>
      </c>
      <c r="AH256" s="137">
        <v>13.558875</v>
      </c>
      <c r="AI256" s="137">
        <v>14.273142857143</v>
      </c>
      <c r="AJ256" s="137">
        <v>18.519124999999999</v>
      </c>
      <c r="AK256" s="137">
        <v>13.704499999999999</v>
      </c>
      <c r="AL256" s="137">
        <v>19.890599999999999</v>
      </c>
      <c r="AM256" s="137">
        <v>21.755777777778</v>
      </c>
      <c r="AN256" s="137">
        <v>32.828375000000001</v>
      </c>
      <c r="AO256" s="137">
        <v>20.204000000000001</v>
      </c>
      <c r="AP256" s="137">
        <v>18.291416666667001</v>
      </c>
      <c r="AQ256" s="137">
        <v>20.391500000000001</v>
      </c>
      <c r="AR256" s="137"/>
      <c r="AS256" s="137">
        <v>403.81696671365358</v>
      </c>
    </row>
    <row r="257" spans="2:45" outlineLevel="1">
      <c r="B257" s="1444" t="s">
        <v>790</v>
      </c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>
        <v>50.038294117646998</v>
      </c>
      <c r="U257" s="137">
        <v>27.706534883721002</v>
      </c>
      <c r="V257" s="137">
        <v>25.298300000000001</v>
      </c>
      <c r="W257" s="137">
        <v>25.648829787234</v>
      </c>
      <c r="X257" s="137">
        <v>27.781487500000001</v>
      </c>
      <c r="Y257" s="137">
        <v>21.418542372880999</v>
      </c>
      <c r="Z257" s="137">
        <v>44.145987012987</v>
      </c>
      <c r="AA257" s="137">
        <v>-15.9999473684211</v>
      </c>
      <c r="AB257" s="137">
        <v>16.803645161290302</v>
      </c>
      <c r="AC257" s="137">
        <v>33.753322580645197</v>
      </c>
      <c r="AD257" s="137">
        <v>31.724350000000001</v>
      </c>
      <c r="AE257" s="137">
        <v>29.711537037037001</v>
      </c>
      <c r="AF257" s="137">
        <v>27.779444444444</v>
      </c>
      <c r="AG257" s="137">
        <v>32.181787229999998</v>
      </c>
      <c r="AH257" s="137">
        <v>25.573909090909002</v>
      </c>
      <c r="AI257" s="137">
        <v>50.067529411765001</v>
      </c>
      <c r="AJ257" s="137">
        <v>26.871685714285999</v>
      </c>
      <c r="AK257" s="137">
        <v>25.900887096773999</v>
      </c>
      <c r="AL257" s="137">
        <v>34.111499999999999</v>
      </c>
      <c r="AM257" s="137">
        <v>40.121482758620999</v>
      </c>
      <c r="AN257" s="137">
        <v>53.5138125</v>
      </c>
      <c r="AO257" s="137">
        <v>35.757927536232003</v>
      </c>
      <c r="AP257" s="137">
        <v>33.161777777777999</v>
      </c>
      <c r="AQ257" s="137">
        <v>28.394071428570999</v>
      </c>
      <c r="AR257" s="137">
        <v>19.475097560976</v>
      </c>
      <c r="AS257" s="137">
        <v>750.94179563537739</v>
      </c>
    </row>
    <row r="258" spans="2:45" outlineLevel="1">
      <c r="B258" s="1444" t="s">
        <v>797</v>
      </c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>
        <v>41.983400000000003</v>
      </c>
      <c r="V258" s="137">
        <v>16.271333333333001</v>
      </c>
      <c r="W258" s="137">
        <v>12.451000000000001</v>
      </c>
      <c r="X258" s="137">
        <v>20.11</v>
      </c>
      <c r="Y258" s="137">
        <v>14.177611111111</v>
      </c>
      <c r="Z258" s="137">
        <v>32.921166666666998</v>
      </c>
      <c r="AA258" s="137">
        <v>21.5267916666667</v>
      </c>
      <c r="AB258" s="137">
        <v>19.012933333333301</v>
      </c>
      <c r="AC258" s="137">
        <v>20.580593749999998</v>
      </c>
      <c r="AD258" s="137">
        <v>28.629514285713999</v>
      </c>
      <c r="AE258" s="137">
        <v>23.837260869565</v>
      </c>
      <c r="AF258" s="137">
        <v>19.407736842104999</v>
      </c>
      <c r="AG258" s="137">
        <v>17.177399999999999</v>
      </c>
      <c r="AH258" s="137">
        <v>20.975750000000001</v>
      </c>
      <c r="AI258" s="137">
        <v>18.593189189189001</v>
      </c>
      <c r="AJ258" s="137">
        <v>21.3775625</v>
      </c>
      <c r="AK258" s="137">
        <v>15.766913043478</v>
      </c>
      <c r="AL258" s="137">
        <v>19.179288888889001</v>
      </c>
      <c r="AM258" s="137">
        <v>12.62</v>
      </c>
      <c r="AN258" s="137">
        <v>17.854909090909</v>
      </c>
      <c r="AO258" s="137">
        <v>21.517111111110999</v>
      </c>
      <c r="AP258" s="137">
        <v>52.478749999999998</v>
      </c>
      <c r="AQ258" s="137">
        <v>26.46</v>
      </c>
      <c r="AR258" s="137">
        <v>13.499333333333</v>
      </c>
      <c r="AS258" s="137">
        <v>528.40954901540397</v>
      </c>
    </row>
    <row r="259" spans="2:45" outlineLevel="1">
      <c r="B259" s="1444" t="s">
        <v>800</v>
      </c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>
        <v>13.883727272727</v>
      </c>
      <c r="V259" s="137">
        <v>11.162230769231</v>
      </c>
      <c r="W259" s="137">
        <v>12.326066666667</v>
      </c>
      <c r="X259" s="137">
        <v>14.06555</v>
      </c>
      <c r="Y259" s="137">
        <v>11.836499999999999</v>
      </c>
      <c r="Z259" s="137">
        <v>16.763647058823999</v>
      </c>
      <c r="AA259" s="137">
        <v>12.4986153846154</v>
      </c>
      <c r="AB259" s="137">
        <v>11.3953846153846</v>
      </c>
      <c r="AC259" s="137">
        <v>11.961545454545501</v>
      </c>
      <c r="AD259" s="137">
        <v>11.074999999999999</v>
      </c>
      <c r="AE259" s="137">
        <v>10.407421052631999</v>
      </c>
      <c r="AF259" s="137">
        <v>13.7905</v>
      </c>
      <c r="AG259" s="137">
        <v>13.07790625</v>
      </c>
      <c r="AH259" s="137">
        <v>12.8277</v>
      </c>
      <c r="AI259" s="137">
        <v>14.059265306122001</v>
      </c>
      <c r="AJ259" s="137">
        <v>18.115874999999999</v>
      </c>
      <c r="AK259" s="137">
        <v>15.892416666667</v>
      </c>
      <c r="AL259" s="137">
        <v>15.79078</v>
      </c>
      <c r="AM259" s="137">
        <v>10.915066666667</v>
      </c>
      <c r="AN259" s="137">
        <v>11.93696875</v>
      </c>
      <c r="AO259" s="137">
        <v>13.808384615385</v>
      </c>
      <c r="AP259" s="137">
        <v>14.220647058824001</v>
      </c>
      <c r="AQ259" s="137">
        <v>13.484764705882</v>
      </c>
      <c r="AR259" s="137">
        <v>15.077045977011</v>
      </c>
      <c r="AS259" s="137">
        <v>320.37300927118451</v>
      </c>
    </row>
    <row r="260" spans="2:45" outlineLevel="1">
      <c r="B260" s="1444" t="s">
        <v>904</v>
      </c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>
        <v>31.042000000000002</v>
      </c>
      <c r="Y260" s="137">
        <v>24.946333333333001</v>
      </c>
      <c r="Z260" s="137">
        <v>19.783518518518999</v>
      </c>
      <c r="AA260" s="137">
        <v>13.9884782608696</v>
      </c>
      <c r="AB260" s="137">
        <v>19.407923076923101</v>
      </c>
      <c r="AC260" s="137">
        <v>17.684238095238101</v>
      </c>
      <c r="AD260" s="137">
        <v>20.234509090909</v>
      </c>
      <c r="AE260" s="137">
        <v>16.391789473684</v>
      </c>
      <c r="AF260" s="137">
        <v>16.012063829786999</v>
      </c>
      <c r="AG260" s="137">
        <v>16.480056600000001</v>
      </c>
      <c r="AH260" s="137">
        <v>18.081272727272999</v>
      </c>
      <c r="AI260" s="137">
        <v>18.758725490195999</v>
      </c>
      <c r="AJ260" s="137">
        <v>17.689791666666999</v>
      </c>
      <c r="AK260" s="137">
        <v>18.817319444443999</v>
      </c>
      <c r="AL260" s="137">
        <v>17.394505617977998</v>
      </c>
      <c r="AM260" s="137">
        <v>18.740071428571</v>
      </c>
      <c r="AN260" s="137">
        <v>15.242285714286</v>
      </c>
      <c r="AO260" s="137">
        <v>20.862516129032002</v>
      </c>
      <c r="AP260" s="137">
        <v>19.584619047619</v>
      </c>
      <c r="AQ260" s="137">
        <v>19.446142857142998</v>
      </c>
      <c r="AR260" s="137">
        <v>16.848428571429</v>
      </c>
      <c r="AS260" s="137">
        <v>397.43658897390077</v>
      </c>
    </row>
    <row r="261" spans="2:45" outlineLevel="1">
      <c r="B261" s="1444" t="s">
        <v>906</v>
      </c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>
        <v>13.646888888889</v>
      </c>
      <c r="Y261" s="137">
        <v>15.318444444443999</v>
      </c>
      <c r="Z261" s="137">
        <v>25.503499999999999</v>
      </c>
      <c r="AA261" s="137">
        <v>14.817888888888902</v>
      </c>
      <c r="AB261" s="137">
        <v>15.688625</v>
      </c>
      <c r="AC261" s="137">
        <v>52.937428571428597</v>
      </c>
      <c r="AD261" s="137">
        <v>20.932307692308001</v>
      </c>
      <c r="AE261" s="137">
        <v>11.878238095238</v>
      </c>
      <c r="AF261" s="137">
        <v>13.247249999999999</v>
      </c>
      <c r="AG261" s="137">
        <v>51.18852381</v>
      </c>
      <c r="AH261" s="137">
        <v>16.095153846153998</v>
      </c>
      <c r="AI261" s="137">
        <v>29.440999999999999</v>
      </c>
      <c r="AJ261" s="137">
        <v>30.66356097561</v>
      </c>
      <c r="AK261" s="137">
        <v>20.488176470588002</v>
      </c>
      <c r="AL261" s="137">
        <v>28.435106382979001</v>
      </c>
      <c r="AM261" s="137">
        <v>15.314500000000001</v>
      </c>
      <c r="AN261" s="137">
        <v>11.694714285714001</v>
      </c>
      <c r="AO261" s="137">
        <v>15.088157894737</v>
      </c>
      <c r="AP261" s="137">
        <v>18.498857142857002</v>
      </c>
      <c r="AQ261" s="137">
        <v>34.774999999999999</v>
      </c>
      <c r="AR261" s="137"/>
      <c r="AS261" s="137">
        <v>455.65332238983547</v>
      </c>
    </row>
    <row r="262" spans="2:45" outlineLevel="1">
      <c r="B262" s="1444" t="s">
        <v>901</v>
      </c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>
        <v>0</v>
      </c>
      <c r="Z262" s="137">
        <v>21.117968253968002</v>
      </c>
      <c r="AA262" s="137">
        <v>21.4204193548387</v>
      </c>
      <c r="AB262" s="137">
        <v>19.425999999999998</v>
      </c>
      <c r="AC262" s="137">
        <v>20.6301666666667</v>
      </c>
      <c r="AD262" s="137">
        <v>30.173777777778</v>
      </c>
      <c r="AE262" s="137">
        <v>14.63175</v>
      </c>
      <c r="AF262" s="137">
        <v>27.272782608696001</v>
      </c>
      <c r="AG262" s="137">
        <v>33.032909089999997</v>
      </c>
      <c r="AH262" s="137">
        <v>14.161099999999999</v>
      </c>
      <c r="AI262" s="137">
        <v>31.886272727272999</v>
      </c>
      <c r="AJ262" s="137">
        <v>26.418763157895</v>
      </c>
      <c r="AK262" s="137">
        <v>24.725411764705999</v>
      </c>
      <c r="AL262" s="137">
        <v>37.810783783784004</v>
      </c>
      <c r="AM262" s="137">
        <v>0</v>
      </c>
      <c r="AN262" s="137">
        <v>9.9957142857140013</v>
      </c>
      <c r="AO262" s="137">
        <v>21.231064516128999</v>
      </c>
      <c r="AP262" s="137">
        <v>33.800307692308003</v>
      </c>
      <c r="AQ262" s="137">
        <v>33.240432432432002</v>
      </c>
      <c r="AR262" s="137">
        <v>21.142984126984</v>
      </c>
      <c r="AS262" s="137">
        <v>442.11860823917243</v>
      </c>
    </row>
    <row r="263" spans="2:45" outlineLevel="1">
      <c r="B263" s="1444" t="s">
        <v>950</v>
      </c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>
        <v>15.074</v>
      </c>
      <c r="Z263" s="137">
        <v>11.287444444444001</v>
      </c>
      <c r="AA263" s="137">
        <v>14.372</v>
      </c>
      <c r="AB263" s="137">
        <v>13.731999999999999</v>
      </c>
      <c r="AC263" s="137">
        <v>11.1211621621622</v>
      </c>
      <c r="AD263" s="137">
        <v>15.925818181818</v>
      </c>
      <c r="AE263" s="137">
        <v>14.816053571428998</v>
      </c>
      <c r="AF263" s="137">
        <v>17.651420289855</v>
      </c>
      <c r="AG263" s="137">
        <v>22.030605260000002</v>
      </c>
      <c r="AH263" s="137">
        <v>15.581972222221999</v>
      </c>
      <c r="AI263" s="137">
        <v>16.786874999999998</v>
      </c>
      <c r="AJ263" s="137">
        <v>16.021561403509001</v>
      </c>
      <c r="AK263" s="137">
        <v>18.524396226415</v>
      </c>
      <c r="AL263" s="137">
        <v>16.205428571429</v>
      </c>
      <c r="AM263" s="137">
        <v>18.115826086957</v>
      </c>
      <c r="AN263" s="137">
        <v>19.932937500000001</v>
      </c>
      <c r="AO263" s="137">
        <v>16.595582089552</v>
      </c>
      <c r="AP263" s="137">
        <v>19.672653061223997</v>
      </c>
      <c r="AQ263" s="137">
        <v>18.439837209302002</v>
      </c>
      <c r="AR263" s="137">
        <v>15.955372093023</v>
      </c>
      <c r="AS263" s="137">
        <v>327.84294537334119</v>
      </c>
    </row>
    <row r="264" spans="2:45" outlineLevel="1">
      <c r="B264" s="1444" t="s">
        <v>1014</v>
      </c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>
        <v>0</v>
      </c>
      <c r="Y264" s="137">
        <v>13.488875</v>
      </c>
      <c r="Z264" s="137">
        <v>17.932066666667001</v>
      </c>
      <c r="AA264" s="137">
        <v>17.758500000000002</v>
      </c>
      <c r="AB264" s="137">
        <v>12.957875</v>
      </c>
      <c r="AC264" s="137">
        <v>15.5810416666667</v>
      </c>
      <c r="AD264" s="137">
        <v>13.489000000000001</v>
      </c>
      <c r="AE264" s="137">
        <v>14.613590909091</v>
      </c>
      <c r="AF264" s="137">
        <v>16.864095238095</v>
      </c>
      <c r="AG264" s="137">
        <v>15.96327778</v>
      </c>
      <c r="AH264" s="137">
        <v>17.205321428571001</v>
      </c>
      <c r="AI264" s="137">
        <v>13.6235</v>
      </c>
      <c r="AJ264" s="137">
        <v>12.559130434783</v>
      </c>
      <c r="AK264" s="137">
        <v>16.981000000000002</v>
      </c>
      <c r="AL264" s="137">
        <v>24.426858695652001</v>
      </c>
      <c r="AM264" s="137">
        <v>15.9932</v>
      </c>
      <c r="AN264" s="137">
        <v>17.960583333333002</v>
      </c>
      <c r="AO264" s="137">
        <v>23.5044</v>
      </c>
      <c r="AP264" s="137">
        <v>23.077275862069001</v>
      </c>
      <c r="AQ264" s="137">
        <v>18.225085714285999</v>
      </c>
      <c r="AR264" s="137">
        <v>18.724073170731998</v>
      </c>
      <c r="AS264" s="137">
        <v>340.92875089994573</v>
      </c>
    </row>
    <row r="265" spans="2:45" outlineLevel="1">
      <c r="B265" s="1444" t="s">
        <v>1162</v>
      </c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>
        <v>16.879416666666703</v>
      </c>
      <c r="AB265" s="137">
        <v>19.645</v>
      </c>
      <c r="AC265" s="137">
        <v>37.0111428571429</v>
      </c>
      <c r="AD265" s="137">
        <v>13.340363636364</v>
      </c>
      <c r="AE265" s="137">
        <v>16.719285714285999</v>
      </c>
      <c r="AF265" s="137">
        <v>20.567526315788999</v>
      </c>
      <c r="AG265" s="137">
        <v>11.587578949999999</v>
      </c>
      <c r="AH265" s="137">
        <v>11.931692307692</v>
      </c>
      <c r="AI265" s="137">
        <v>14.238818181818001</v>
      </c>
      <c r="AJ265" s="137">
        <v>13.697666666667001</v>
      </c>
      <c r="AK265" s="137">
        <v>14.43937037037</v>
      </c>
      <c r="AL265" s="137">
        <v>15.271076923077</v>
      </c>
      <c r="AM265" s="137">
        <v>10.705666666667</v>
      </c>
      <c r="AN265" s="137">
        <v>13.04975</v>
      </c>
      <c r="AO265" s="137">
        <v>17.597076923076997</v>
      </c>
      <c r="AP265" s="137">
        <v>13.968882352941002</v>
      </c>
      <c r="AQ265" s="137"/>
      <c r="AR265" s="137"/>
      <c r="AS265" s="137">
        <v>260.65031453255762</v>
      </c>
    </row>
    <row r="266" spans="2:45" outlineLevel="1">
      <c r="B266" s="1444" t="s">
        <v>1163</v>
      </c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>
        <v>10.6525</v>
      </c>
      <c r="AB266" s="137">
        <v>40.301000000000002</v>
      </c>
      <c r="AC266" s="137">
        <v>24.471</v>
      </c>
      <c r="AD266" s="137">
        <v>26.272181818181998</v>
      </c>
      <c r="AE266" s="137">
        <v>11.639347826087</v>
      </c>
      <c r="AF266" s="137">
        <v>26.772874999999999</v>
      </c>
      <c r="AG266" s="137">
        <v>18.311594589999999</v>
      </c>
      <c r="AH266" s="137">
        <v>10.797421052632</v>
      </c>
      <c r="AI266" s="137">
        <v>18.929500000000001</v>
      </c>
      <c r="AJ266" s="137">
        <v>14.172607142857</v>
      </c>
      <c r="AK266" s="137">
        <v>14.89775</v>
      </c>
      <c r="AL266" s="137">
        <v>19.182338028168999</v>
      </c>
      <c r="AM266" s="137">
        <v>12.753363636364</v>
      </c>
      <c r="AN266" s="137">
        <v>10.112708333333</v>
      </c>
      <c r="AO266" s="137">
        <v>19.304653846154</v>
      </c>
      <c r="AP266" s="137">
        <v>31.123107142857002</v>
      </c>
      <c r="AQ266" s="137">
        <v>22.920166666667001</v>
      </c>
      <c r="AR266" s="137">
        <v>13.388916666666999</v>
      </c>
      <c r="AS266" s="137">
        <v>346.00303174996901</v>
      </c>
    </row>
    <row r="267" spans="2:45" outlineLevel="1">
      <c r="B267" s="1444" t="s">
        <v>1286</v>
      </c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>
        <v>14.4578421052632</v>
      </c>
      <c r="AC267" s="137">
        <v>24.070771428571401</v>
      </c>
      <c r="AD267" s="137">
        <v>23.778977272727001</v>
      </c>
      <c r="AE267" s="137">
        <v>19.342969696970002</v>
      </c>
      <c r="AF267" s="137">
        <v>17.938812500000001</v>
      </c>
      <c r="AG267" s="137">
        <v>28.94694595</v>
      </c>
      <c r="AH267" s="137">
        <v>15.043125</v>
      </c>
      <c r="AI267" s="137">
        <v>22.701904761904999</v>
      </c>
      <c r="AJ267" s="137">
        <v>18.707823529412</v>
      </c>
      <c r="AK267" s="137">
        <v>23.560823529412001</v>
      </c>
      <c r="AL267" s="137">
        <v>18.200384615385001</v>
      </c>
      <c r="AM267" s="137">
        <v>5.9616249999999997</v>
      </c>
      <c r="AN267" s="137">
        <v>14.893555555555999</v>
      </c>
      <c r="AO267" s="137">
        <v>20.033925925925999</v>
      </c>
      <c r="AP267" s="137">
        <v>22.475000000000001</v>
      </c>
      <c r="AQ267" s="137">
        <v>14.229857142857</v>
      </c>
      <c r="AR267" s="137">
        <v>19.991918918919001</v>
      </c>
      <c r="AS267" s="137">
        <v>324.33626293290359</v>
      </c>
    </row>
    <row r="268" spans="2:45" outlineLevel="1">
      <c r="B268" s="1444" t="s">
        <v>1161</v>
      </c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>
        <v>0</v>
      </c>
      <c r="AD268" s="137">
        <v>9.5367499999999996</v>
      </c>
      <c r="AE268" s="137">
        <v>11.587624999999999</v>
      </c>
      <c r="AF268" s="137">
        <v>24.685909090909</v>
      </c>
      <c r="AG268" s="137">
        <v>11.964650000000001</v>
      </c>
      <c r="AH268" s="137">
        <v>11.772</v>
      </c>
      <c r="AI268" s="137">
        <v>23.579173913043</v>
      </c>
      <c r="AJ268" s="137">
        <v>23.026357142857002</v>
      </c>
      <c r="AK268" s="137">
        <v>14.565840909090999</v>
      </c>
      <c r="AL268" s="137">
        <v>13.554363636364</v>
      </c>
      <c r="AM268" s="137">
        <v>11.3085</v>
      </c>
      <c r="AN268" s="137">
        <v>11.2203</v>
      </c>
      <c r="AO268" s="137">
        <v>13.093470588235</v>
      </c>
      <c r="AP268" s="137">
        <v>14.311624999999999</v>
      </c>
      <c r="AQ268" s="137">
        <v>10.926272727273</v>
      </c>
      <c r="AR268" s="137">
        <v>9.7279999999999998</v>
      </c>
      <c r="AS268" s="137">
        <v>214.860838007772</v>
      </c>
    </row>
    <row r="269" spans="2:45" outlineLevel="1">
      <c r="B269" s="1444" t="s">
        <v>1287</v>
      </c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>
        <v>14.147125000000001</v>
      </c>
      <c r="AC269" s="137">
        <v>9.44</v>
      </c>
      <c r="AD269" s="137">
        <v>12.161083333333</v>
      </c>
      <c r="AE269" s="137">
        <v>10.8232</v>
      </c>
      <c r="AF269" s="137">
        <v>12.094484848484999</v>
      </c>
      <c r="AG269" s="137">
        <v>13.858499999999999</v>
      </c>
      <c r="AH269" s="137">
        <v>12.256048780487999</v>
      </c>
      <c r="AI269" s="137">
        <v>11.826581818181999</v>
      </c>
      <c r="AJ269" s="137">
        <v>11.156456521739001</v>
      </c>
      <c r="AK269" s="137">
        <v>12.134020833333</v>
      </c>
      <c r="AL269" s="137">
        <v>12.598901234568</v>
      </c>
      <c r="AM269" s="137">
        <v>16.676919999999999</v>
      </c>
      <c r="AN269" s="137">
        <v>11.406714285714001</v>
      </c>
      <c r="AO269" s="137">
        <v>11.611202702702998</v>
      </c>
      <c r="AP269" s="137">
        <v>10.930754716980999</v>
      </c>
      <c r="AQ269" s="137">
        <v>12.228195652174</v>
      </c>
      <c r="AR269" s="137">
        <v>13.199802469135999</v>
      </c>
      <c r="AS269" s="137">
        <v>208.54999219683597</v>
      </c>
    </row>
    <row r="270" spans="2:45" outlineLevel="1">
      <c r="B270" s="1444" t="s">
        <v>1348</v>
      </c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>
        <v>17.3876666666667</v>
      </c>
      <c r="AC270" s="137">
        <v>9.7267499999999991</v>
      </c>
      <c r="AD270" s="137">
        <v>13.870666666667001</v>
      </c>
      <c r="AE270" s="137">
        <v>10.022411764706</v>
      </c>
      <c r="AF270" s="137">
        <v>9.8645454545450004</v>
      </c>
      <c r="AG270" s="137">
        <v>11.22111765</v>
      </c>
      <c r="AH270" s="137">
        <v>11.1182</v>
      </c>
      <c r="AI270" s="137">
        <v>12.522722222222001</v>
      </c>
      <c r="AJ270" s="137">
        <v>11.283450980392001</v>
      </c>
      <c r="AK270" s="137">
        <v>11.983014084506999</v>
      </c>
      <c r="AL270" s="137">
        <v>12.213195121951001</v>
      </c>
      <c r="AM270" s="137">
        <v>13.660176470588</v>
      </c>
      <c r="AN270" s="137">
        <v>12.0151875</v>
      </c>
      <c r="AO270" s="137">
        <v>11.582872340426</v>
      </c>
      <c r="AP270" s="137">
        <v>14.2328125</v>
      </c>
      <c r="AQ270" s="137">
        <v>12.7629375</v>
      </c>
      <c r="AR270" s="137">
        <v>12.0265</v>
      </c>
      <c r="AS270" s="137">
        <v>207.49422692267069</v>
      </c>
    </row>
    <row r="271" spans="2:45" outlineLevel="1">
      <c r="B271" s="1444" t="s">
        <v>1420</v>
      </c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>
        <v>10.773111111111</v>
      </c>
      <c r="AE271" s="137">
        <v>10.583261904762001</v>
      </c>
      <c r="AF271" s="137">
        <v>11.225073170731999</v>
      </c>
      <c r="AG271" s="137">
        <v>11.63456</v>
      </c>
      <c r="AH271" s="137">
        <v>10.845800000000001</v>
      </c>
      <c r="AI271" s="137">
        <v>12.372196428571</v>
      </c>
      <c r="AJ271" s="137">
        <v>11.717536585366</v>
      </c>
      <c r="AK271" s="137">
        <v>13.539456790122999</v>
      </c>
      <c r="AL271" s="137">
        <v>11.462707692307999</v>
      </c>
      <c r="AM271" s="137">
        <v>12.566944444444001</v>
      </c>
      <c r="AN271" s="137">
        <v>10.486571428571001</v>
      </c>
      <c r="AO271" s="137">
        <v>13.115122448979999</v>
      </c>
      <c r="AP271" s="137">
        <v>11.39984375</v>
      </c>
      <c r="AQ271" s="137">
        <v>12.248222222222001</v>
      </c>
      <c r="AR271" s="137">
        <v>11.940564356435999</v>
      </c>
      <c r="AS271" s="137">
        <v>175.91097233362601</v>
      </c>
    </row>
    <row r="272" spans="2:45" outlineLevel="1">
      <c r="B272" s="1444" t="s">
        <v>1566</v>
      </c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>
        <v>15.052</v>
      </c>
      <c r="AG272" s="137">
        <v>11.0331875</v>
      </c>
      <c r="AH272" s="137">
        <v>11.238538461538001</v>
      </c>
      <c r="AI272" s="137">
        <v>20.048999999999999</v>
      </c>
      <c r="AJ272" s="137">
        <v>27.217400000000001</v>
      </c>
      <c r="AK272" s="137">
        <v>14.011200000000001</v>
      </c>
      <c r="AL272" s="137">
        <v>19.307400000000001</v>
      </c>
      <c r="AM272" s="137">
        <v>18.089400000000001</v>
      </c>
      <c r="AN272" s="137"/>
      <c r="AO272" s="137"/>
      <c r="AP272" s="137"/>
      <c r="AQ272" s="137"/>
      <c r="AR272" s="137"/>
      <c r="AS272" s="137">
        <v>135.99812596153802</v>
      </c>
    </row>
    <row r="273" spans="2:45" outlineLevel="1">
      <c r="B273" s="1444" t="s">
        <v>1670</v>
      </c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>
        <v>15.132999999999999</v>
      </c>
      <c r="AG273" s="137">
        <v>27.254999999999999</v>
      </c>
      <c r="AH273" s="137">
        <v>17.659500000000001</v>
      </c>
      <c r="AI273" s="137">
        <v>20.305454545455</v>
      </c>
      <c r="AJ273" s="137">
        <v>17.003333333333</v>
      </c>
      <c r="AK273" s="137">
        <v>17.293647058824</v>
      </c>
      <c r="AL273" s="137">
        <v>30.077473684211</v>
      </c>
      <c r="AM273" s="137">
        <v>21.13325</v>
      </c>
      <c r="AN273" s="137">
        <v>10.891249999999999</v>
      </c>
      <c r="AO273" s="137">
        <v>12.952233333333</v>
      </c>
      <c r="AP273" s="137"/>
      <c r="AQ273" s="137"/>
      <c r="AR273" s="137"/>
      <c r="AS273" s="137">
        <v>189.70414195515596</v>
      </c>
    </row>
    <row r="274" spans="2:45" outlineLevel="1">
      <c r="B274" s="1444" t="s">
        <v>1571</v>
      </c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>
        <v>12.311333333333</v>
      </c>
      <c r="AG274" s="137">
        <v>11.98717647</v>
      </c>
      <c r="AH274" s="137">
        <v>13.276666666666999</v>
      </c>
      <c r="AI274" s="137">
        <v>12.723625</v>
      </c>
      <c r="AJ274" s="137">
        <v>12.603999999999999</v>
      </c>
      <c r="AK274" s="137">
        <v>13.329654545455</v>
      </c>
      <c r="AL274" s="137">
        <v>12.502901639344</v>
      </c>
      <c r="AM274" s="137">
        <v>11.051162162162001</v>
      </c>
      <c r="AN274" s="137">
        <v>10.97725</v>
      </c>
      <c r="AO274" s="137">
        <v>14.907150943396001</v>
      </c>
      <c r="AP274" s="137">
        <v>12.010387096774</v>
      </c>
      <c r="AQ274" s="137">
        <v>12.404142857143</v>
      </c>
      <c r="AR274" s="137">
        <v>14.380547169810999</v>
      </c>
      <c r="AS274" s="137">
        <v>164.465997884085</v>
      </c>
    </row>
    <row r="275" spans="2:45" outlineLevel="1">
      <c r="B275" s="1444" t="s">
        <v>1564</v>
      </c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>
        <v>17.309000000000001</v>
      </c>
      <c r="AE275" s="137">
        <v>31.064</v>
      </c>
      <c r="AF275" s="137">
        <v>17.256625</v>
      </c>
      <c r="AG275" s="137">
        <v>22.564571430000001</v>
      </c>
      <c r="AH275" s="137">
        <v>16.545750000000002</v>
      </c>
      <c r="AI275" s="137">
        <v>23.78275</v>
      </c>
      <c r="AJ275" s="137">
        <v>25.411909090908999</v>
      </c>
      <c r="AK275" s="137">
        <v>16.165400000000002</v>
      </c>
      <c r="AL275" s="137">
        <v>20.909666666667</v>
      </c>
      <c r="AM275" s="137">
        <v>12.7514</v>
      </c>
      <c r="AN275" s="137">
        <v>20.961769230769001</v>
      </c>
      <c r="AO275" s="137">
        <v>23.1000625</v>
      </c>
      <c r="AP275" s="137">
        <v>24.776740740741001</v>
      </c>
      <c r="AQ275" s="137">
        <v>23.750428571428998</v>
      </c>
      <c r="AR275" s="137">
        <v>14.742743589744</v>
      </c>
      <c r="AS275" s="137">
        <v>311.09281682025897</v>
      </c>
    </row>
    <row r="276" spans="2:45" outlineLevel="1">
      <c r="B276" s="1444" t="s">
        <v>1766</v>
      </c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>
        <v>16.263000000000002</v>
      </c>
      <c r="U276" s="137">
        <v>23.680214285714001</v>
      </c>
      <c r="V276" s="137">
        <v>17.190000000000001</v>
      </c>
      <c r="W276" s="137">
        <v>22.917333333333001</v>
      </c>
      <c r="X276" s="137">
        <v>13.906620689655</v>
      </c>
      <c r="Y276" s="137">
        <v>15.693162162162</v>
      </c>
      <c r="Z276" s="137">
        <v>19.262606557377001</v>
      </c>
      <c r="AA276" s="137">
        <v>21.74288</v>
      </c>
      <c r="AB276" s="137">
        <v>17.0538148148148</v>
      </c>
      <c r="AC276" s="137">
        <v>20.6432258064516</v>
      </c>
      <c r="AD276" s="137">
        <v>30.500432432432</v>
      </c>
      <c r="AE276" s="137">
        <v>26.2971</v>
      </c>
      <c r="AF276" s="137">
        <v>33.986866666666998</v>
      </c>
      <c r="AG276" s="137">
        <v>21.146261899999999</v>
      </c>
      <c r="AH276" s="137">
        <v>21.864589743589999</v>
      </c>
      <c r="AI276" s="137">
        <v>21.057743589744</v>
      </c>
      <c r="AJ276" s="137">
        <v>22.316227272727001</v>
      </c>
      <c r="AK276" s="137">
        <v>20.048492753623002</v>
      </c>
      <c r="AL276" s="137">
        <v>17.454015625</v>
      </c>
      <c r="AM276" s="137">
        <v>14.357117647058999</v>
      </c>
      <c r="AN276" s="137">
        <v>10.207416666666999</v>
      </c>
      <c r="AO276" s="137">
        <v>19.502966101695002</v>
      </c>
      <c r="AP276" s="137">
        <v>13.692322580645001</v>
      </c>
      <c r="AQ276" s="137">
        <v>14.063392857143</v>
      </c>
      <c r="AR276" s="137">
        <v>13.135421052632001</v>
      </c>
      <c r="AS276" s="137">
        <v>487.98322453913147</v>
      </c>
    </row>
    <row r="277" spans="2:45" outlineLevel="1">
      <c r="B277" s="1444" t="s">
        <v>1768</v>
      </c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>
        <v>21.084444444443999</v>
      </c>
      <c r="V277" s="137">
        <v>22.973096774194001</v>
      </c>
      <c r="W277" s="137">
        <v>20.531500000000001</v>
      </c>
      <c r="X277" s="137">
        <v>20.998379310345001</v>
      </c>
      <c r="Y277" s="137">
        <v>20.139729166666999</v>
      </c>
      <c r="Z277" s="137">
        <v>23.683122448980001</v>
      </c>
      <c r="AA277" s="137">
        <v>12.775133333333301</v>
      </c>
      <c r="AB277" s="137">
        <v>15.7883333333333</v>
      </c>
      <c r="AC277" s="137">
        <v>15.622999999999999</v>
      </c>
      <c r="AD277" s="137">
        <v>24.394555555556</v>
      </c>
      <c r="AE277" s="137">
        <v>21.413173913043</v>
      </c>
      <c r="AF277" s="137">
        <v>17.458483870967999</v>
      </c>
      <c r="AG277" s="137">
        <v>18.216227270000001</v>
      </c>
      <c r="AH277" s="137">
        <v>18.412187500000002</v>
      </c>
      <c r="AI277" s="137">
        <v>21.024823529412</v>
      </c>
      <c r="AJ277" s="137">
        <v>24.600437500000002</v>
      </c>
      <c r="AK277" s="137">
        <v>19.166342857143</v>
      </c>
      <c r="AL277" s="137">
        <v>21.422506666667001</v>
      </c>
      <c r="AM277" s="137">
        <v>23.440846153846</v>
      </c>
      <c r="AN277" s="137">
        <v>30.911461538462003</v>
      </c>
      <c r="AO277" s="137">
        <v>21.453368421053</v>
      </c>
      <c r="AP277" s="137">
        <v>24.820119999999999</v>
      </c>
      <c r="AQ277" s="137">
        <v>15.617432432432</v>
      </c>
      <c r="AR277" s="137"/>
      <c r="AS277" s="137">
        <v>475.9487060198785</v>
      </c>
    </row>
    <row r="278" spans="2:45" outlineLevel="1">
      <c r="B278" s="1444" t="s">
        <v>1771</v>
      </c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>
        <v>12.023999999999999</v>
      </c>
      <c r="AE278" s="137">
        <v>11.703125</v>
      </c>
      <c r="AF278" s="137">
        <v>17.158727272726999</v>
      </c>
      <c r="AG278" s="137">
        <v>18.172909090000001</v>
      </c>
      <c r="AH278" s="137">
        <v>22.062888888888999</v>
      </c>
      <c r="AI278" s="137">
        <v>17.384111111111</v>
      </c>
      <c r="AJ278" s="137">
        <v>19.845478260869999</v>
      </c>
      <c r="AK278" s="137">
        <v>18.66903125</v>
      </c>
      <c r="AL278" s="137">
        <v>17.918666666667001</v>
      </c>
      <c r="AM278" s="137">
        <v>11.353999999999999</v>
      </c>
      <c r="AN278" s="137">
        <v>12.134375</v>
      </c>
      <c r="AO278" s="137">
        <v>30.272874999999999</v>
      </c>
      <c r="AP278" s="137">
        <v>21.202526315789001</v>
      </c>
      <c r="AQ278" s="137">
        <v>23.62859375</v>
      </c>
      <c r="AR278" s="137"/>
      <c r="AS278" s="137">
        <v>253.53130760605302</v>
      </c>
    </row>
    <row r="279" spans="2:45" outlineLevel="1">
      <c r="B279" s="1444" t="s">
        <v>1774</v>
      </c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>
        <v>13.7833684210526</v>
      </c>
      <c r="AB279" s="137">
        <v>13.669354838709699</v>
      </c>
      <c r="AC279" s="137">
        <v>13.5174583333333</v>
      </c>
      <c r="AD279" s="137">
        <v>13.312219512195</v>
      </c>
      <c r="AE279" s="137">
        <v>13.861303030302999</v>
      </c>
      <c r="AF279" s="137">
        <v>13.1805</v>
      </c>
      <c r="AG279" s="137">
        <v>11.9668381</v>
      </c>
      <c r="AH279" s="137">
        <v>11.751361111111001</v>
      </c>
      <c r="AI279" s="137">
        <v>11.170511904762</v>
      </c>
      <c r="AJ279" s="137">
        <v>13.491714285714</v>
      </c>
      <c r="AK279" s="137">
        <v>12.956790123457001</v>
      </c>
      <c r="AL279" s="137">
        <v>14.431037037037001</v>
      </c>
      <c r="AM279" s="137">
        <v>11.341444444444001</v>
      </c>
      <c r="AN279" s="137">
        <v>11.815111111110999</v>
      </c>
      <c r="AO279" s="137">
        <v>13.734999999999999</v>
      </c>
      <c r="AP279" s="137">
        <v>11.634739130434999</v>
      </c>
      <c r="AQ279" s="137">
        <v>11.8239</v>
      </c>
      <c r="AR279" s="137">
        <v>12.282679487178999</v>
      </c>
      <c r="AS279" s="137">
        <v>229.72533087084361</v>
      </c>
    </row>
    <row r="280" spans="2:45" outlineLevel="1">
      <c r="B280" s="1444" t="s">
        <v>1028</v>
      </c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>
        <v>22.806266666667</v>
      </c>
      <c r="AF280" s="137">
        <v>14.03004</v>
      </c>
      <c r="AG280" s="137">
        <v>16.052558820000002</v>
      </c>
      <c r="AH280" s="137">
        <v>24.418166666666998</v>
      </c>
      <c r="AI280" s="137">
        <v>16.78979245283</v>
      </c>
      <c r="AJ280" s="137">
        <v>16.788212765956999</v>
      </c>
      <c r="AK280" s="137">
        <v>15.693891891891999</v>
      </c>
      <c r="AL280" s="137">
        <v>16.009401459854001</v>
      </c>
      <c r="AM280" s="137">
        <v>13.566263157895001</v>
      </c>
      <c r="AN280" s="137">
        <v>18.033249999999999</v>
      </c>
      <c r="AO280" s="137">
        <v>18.450907216495001</v>
      </c>
      <c r="AP280" s="137">
        <v>14.516391891891999</v>
      </c>
      <c r="AQ280" s="137">
        <v>18.32187012987</v>
      </c>
      <c r="AR280" s="137">
        <v>19.100880434783001</v>
      </c>
      <c r="AS280" s="137">
        <v>244.57789355480202</v>
      </c>
    </row>
    <row r="281" spans="2:45" outlineLevel="1">
      <c r="B281" s="1444" t="s">
        <v>1569</v>
      </c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>
        <v>10.966965517240999</v>
      </c>
      <c r="AF281" s="137">
        <v>11.143268292683</v>
      </c>
      <c r="AG281" s="137">
        <v>11.126728809999999</v>
      </c>
      <c r="AH281" s="137">
        <v>11.287660377358</v>
      </c>
      <c r="AI281" s="137">
        <v>12.030144067797</v>
      </c>
      <c r="AJ281" s="137">
        <v>12.225282051282001</v>
      </c>
      <c r="AK281" s="137">
        <v>12.707567251462001</v>
      </c>
      <c r="AL281" s="137">
        <v>12.146647058824001</v>
      </c>
      <c r="AM281" s="137">
        <v>11.419874999999999</v>
      </c>
      <c r="AN281" s="137">
        <v>11.087741379310001</v>
      </c>
      <c r="AO281" s="137">
        <v>12.000102564102999</v>
      </c>
      <c r="AP281" s="137">
        <v>11.996279069767001</v>
      </c>
      <c r="AQ281" s="137">
        <v>14.38029</v>
      </c>
      <c r="AR281" s="137">
        <v>12.616939698492001</v>
      </c>
      <c r="AS281" s="137">
        <v>167.135491138319</v>
      </c>
    </row>
    <row r="282" spans="2:45" outlineLevel="1">
      <c r="B282" s="1444" t="s">
        <v>1573</v>
      </c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>
        <v>25.2315</v>
      </c>
      <c r="AF282" s="137">
        <v>13.207285714286</v>
      </c>
      <c r="AG282" s="137">
        <v>16.04047826</v>
      </c>
      <c r="AH282" s="137">
        <v>21.157777777778001</v>
      </c>
      <c r="AI282" s="137">
        <v>14.171058823529</v>
      </c>
      <c r="AJ282" s="137">
        <v>16.810470588234999</v>
      </c>
      <c r="AK282" s="137">
        <v>13.910277777777999</v>
      </c>
      <c r="AL282" s="137">
        <v>13.997354166667</v>
      </c>
      <c r="AM282" s="137">
        <v>19.441666666667</v>
      </c>
      <c r="AN282" s="137">
        <v>14.888277777777999</v>
      </c>
      <c r="AO282" s="137">
        <v>17.536718749999999</v>
      </c>
      <c r="AP282" s="137">
        <v>19.313777777778</v>
      </c>
      <c r="AQ282" s="137">
        <v>12.524772727273</v>
      </c>
      <c r="AR282" s="137">
        <v>12.479095238095001</v>
      </c>
      <c r="AS282" s="137">
        <v>230.71051204586399</v>
      </c>
    </row>
    <row r="283" spans="2:45" outlineLevel="1">
      <c r="B283" s="1444" t="s">
        <v>1770</v>
      </c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>
        <v>0</v>
      </c>
      <c r="P283" s="137">
        <v>5.81</v>
      </c>
      <c r="Q283" s="137">
        <v>7.49</v>
      </c>
      <c r="R283" s="137">
        <v>15.88</v>
      </c>
      <c r="S283" s="137">
        <v>13.19</v>
      </c>
      <c r="T283" s="137">
        <v>13.785166666666999</v>
      </c>
      <c r="U283" s="137">
        <v>18.334166666666999</v>
      </c>
      <c r="V283" s="137">
        <v>12.191750000000001</v>
      </c>
      <c r="W283" s="137">
        <v>11.416481481481</v>
      </c>
      <c r="X283" s="137">
        <v>13.540105263158001</v>
      </c>
      <c r="Y283" s="137">
        <v>13.195484848485</v>
      </c>
      <c r="Z283" s="137">
        <v>13.211654545455</v>
      </c>
      <c r="AA283" s="137">
        <v>13.0646842105263</v>
      </c>
      <c r="AB283" s="137">
        <v>15.5263333333333</v>
      </c>
      <c r="AC283" s="137">
        <v>13.5209285714286</v>
      </c>
      <c r="AD283" s="137">
        <v>11.826352941175999</v>
      </c>
      <c r="AE283" s="137">
        <v>10.619</v>
      </c>
      <c r="AF283" s="137">
        <v>14.702192307692</v>
      </c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>
        <v>217.30430083606922</v>
      </c>
    </row>
    <row r="284" spans="2:45" outlineLevel="1">
      <c r="B284" s="1444" t="s">
        <v>1777</v>
      </c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>
        <v>0</v>
      </c>
      <c r="S284" s="137">
        <v>10.74</v>
      </c>
      <c r="T284" s="137">
        <v>11.366666666666999</v>
      </c>
      <c r="U284" s="137">
        <v>10.132636363635999</v>
      </c>
      <c r="V284" s="137">
        <v>10.09525</v>
      </c>
      <c r="W284" s="137">
        <v>14.316666666667</v>
      </c>
      <c r="X284" s="137">
        <v>15.150416666667001</v>
      </c>
      <c r="Y284" s="137">
        <v>13.817157894737001</v>
      </c>
      <c r="Z284" s="137">
        <v>17.413566666666998</v>
      </c>
      <c r="AA284" s="137">
        <v>12.1374444444444</v>
      </c>
      <c r="AB284" s="137">
        <v>8.5366666666666706</v>
      </c>
      <c r="AC284" s="137">
        <v>7.8013333333333303</v>
      </c>
      <c r="AD284" s="137">
        <v>12.303357142856999</v>
      </c>
      <c r="AE284" s="137">
        <v>9.8474117647060009</v>
      </c>
      <c r="AF284" s="137">
        <v>10.354090909090999</v>
      </c>
      <c r="AG284" s="137">
        <v>16.252600000000001</v>
      </c>
      <c r="AH284" s="137">
        <v>12.586600000000001</v>
      </c>
      <c r="AI284" s="137">
        <v>25.54</v>
      </c>
      <c r="AJ284" s="137">
        <v>18.633555555556001</v>
      </c>
      <c r="AK284" s="137">
        <v>18.620090909091001</v>
      </c>
      <c r="AL284" s="137">
        <v>22.236000000000001</v>
      </c>
      <c r="AM284" s="137">
        <v>-0.50800000000000001</v>
      </c>
      <c r="AN284" s="137">
        <v>11.113333333333001</v>
      </c>
      <c r="AO284" s="137">
        <v>11.707000000000001</v>
      </c>
      <c r="AP284" s="137">
        <v>0</v>
      </c>
      <c r="AQ284" s="137"/>
      <c r="AR284" s="137"/>
      <c r="AS284" s="137">
        <v>300.19384498411944</v>
      </c>
    </row>
    <row r="285" spans="2:45" outlineLevel="1">
      <c r="B285" s="1444" t="s">
        <v>1773</v>
      </c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>
        <v>15.040285714286</v>
      </c>
      <c r="W285" s="137">
        <v>15.151461538462</v>
      </c>
      <c r="X285" s="137">
        <v>13.468432432432</v>
      </c>
      <c r="Y285" s="137">
        <v>12.171222222221999</v>
      </c>
      <c r="Z285" s="137">
        <v>12.759</v>
      </c>
      <c r="AA285" s="137">
        <v>11.9522903225806</v>
      </c>
      <c r="AB285" s="137">
        <v>12.185916666666699</v>
      </c>
      <c r="AC285" s="137">
        <v>12.1639444444444</v>
      </c>
      <c r="AD285" s="137">
        <v>11.053055555556</v>
      </c>
      <c r="AE285" s="137">
        <v>9.8391999999999999</v>
      </c>
      <c r="AF285" s="137">
        <v>10.790185185185001</v>
      </c>
      <c r="AG285" s="137">
        <v>10.89542308</v>
      </c>
      <c r="AH285" s="137">
        <v>8.8337000000000003</v>
      </c>
      <c r="AI285" s="137">
        <v>22.779755555556001</v>
      </c>
      <c r="AJ285" s="137">
        <v>13.002274999999999</v>
      </c>
      <c r="AK285" s="137">
        <v>12.143232558139999</v>
      </c>
      <c r="AL285" s="137">
        <v>12.7401</v>
      </c>
      <c r="AM285" s="137">
        <v>12.461484848485</v>
      </c>
      <c r="AN285" s="137">
        <v>13.015142857142999</v>
      </c>
      <c r="AO285" s="137">
        <v>13.333680851064001</v>
      </c>
      <c r="AP285" s="137">
        <v>12.461103448276001</v>
      </c>
      <c r="AQ285" s="137">
        <v>12.815847826086999</v>
      </c>
      <c r="AR285" s="137">
        <v>16.098800000000001</v>
      </c>
      <c r="AS285" s="137">
        <v>297.1555401065857</v>
      </c>
    </row>
    <row r="286" spans="2:45" outlineLevel="1">
      <c r="B286" s="1444" t="s">
        <v>1950</v>
      </c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>
        <v>10.81</v>
      </c>
      <c r="S286" s="137">
        <v>7.74</v>
      </c>
      <c r="T286" s="137">
        <v>12.759333333333</v>
      </c>
      <c r="U286" s="137">
        <v>11.233230769231</v>
      </c>
      <c r="V286" s="137">
        <v>17.786000000000001</v>
      </c>
      <c r="W286" s="137">
        <v>15.78992</v>
      </c>
      <c r="X286" s="137">
        <v>14.328611111111</v>
      </c>
      <c r="Y286" s="137">
        <v>13.079466666667001</v>
      </c>
      <c r="Z286" s="137">
        <v>15.402589743589999</v>
      </c>
      <c r="AA286" s="137">
        <v>23.350461538461499</v>
      </c>
      <c r="AB286" s="137">
        <v>18.311142857142901</v>
      </c>
      <c r="AC286" s="137">
        <v>13.4478484848485</v>
      </c>
      <c r="AD286" s="137">
        <v>25.400857142856999</v>
      </c>
      <c r="AE286" s="137">
        <v>11.757777777777999</v>
      </c>
      <c r="AF286" s="137">
        <v>86.183999999999997</v>
      </c>
      <c r="AG286" s="137">
        <v>30.154857140000001</v>
      </c>
      <c r="AH286" s="137">
        <v>20.314</v>
      </c>
      <c r="AI286" s="137">
        <v>14.277263157895</v>
      </c>
      <c r="AJ286" s="137">
        <v>37.087142857143</v>
      </c>
      <c r="AK286" s="137">
        <v>10.634</v>
      </c>
      <c r="AL286" s="137">
        <v>31.638384615385</v>
      </c>
      <c r="AM286" s="137">
        <v>14.516</v>
      </c>
      <c r="AN286" s="137">
        <v>15.745833333333001</v>
      </c>
      <c r="AO286" s="137">
        <v>14.031529411765</v>
      </c>
      <c r="AP286" s="137">
        <v>23.8415</v>
      </c>
      <c r="AQ286" s="137"/>
      <c r="AR286" s="137"/>
      <c r="AS286" s="137">
        <v>509.62174994054095</v>
      </c>
    </row>
    <row r="287" spans="2:45" outlineLevel="1">
      <c r="B287" s="1444" t="s">
        <v>2054</v>
      </c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>
        <v>12.779666666667</v>
      </c>
      <c r="AJ287" s="137">
        <v>14.928484848485001</v>
      </c>
      <c r="AK287" s="137">
        <v>12.711399999999999</v>
      </c>
      <c r="AL287" s="137">
        <v>13.345219047619</v>
      </c>
      <c r="AM287" s="137">
        <v>15.016740740741</v>
      </c>
      <c r="AN287" s="137">
        <v>12.12952173913</v>
      </c>
      <c r="AO287" s="137">
        <v>13.781406976744</v>
      </c>
      <c r="AP287" s="137">
        <v>12.215689189189</v>
      </c>
      <c r="AQ287" s="137">
        <v>13.887457142857</v>
      </c>
      <c r="AR287" s="137">
        <v>14.908799999999999</v>
      </c>
      <c r="AS287" s="137">
        <v>135.70438635143199</v>
      </c>
    </row>
    <row r="288" spans="2:45" outlineLevel="1">
      <c r="B288" s="1444" t="s">
        <v>2705</v>
      </c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>
        <v>16.156416666666999</v>
      </c>
      <c r="AP288" s="137">
        <v>18.309571428571001</v>
      </c>
      <c r="AQ288" s="137">
        <v>31.822749999999999</v>
      </c>
      <c r="AR288" s="137">
        <v>15.529500000000001</v>
      </c>
      <c r="AS288" s="137">
        <v>81.818238095238002</v>
      </c>
    </row>
    <row r="289" spans="2:45" outlineLevel="1">
      <c r="B289" s="1444" t="s">
        <v>2706</v>
      </c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>
        <v>20.373000000000001</v>
      </c>
      <c r="AP289" s="137">
        <v>20.7895</v>
      </c>
      <c r="AQ289" s="137">
        <v>38.547608695652002</v>
      </c>
      <c r="AR289" s="137">
        <v>13.0876</v>
      </c>
      <c r="AS289" s="137">
        <v>92.797708695651991</v>
      </c>
    </row>
    <row r="290" spans="2:45" outlineLevel="1">
      <c r="B290" s="1444" t="s">
        <v>2707</v>
      </c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>
        <v>33.215000000000003</v>
      </c>
      <c r="AP290" s="137">
        <v>53.063000000000002</v>
      </c>
      <c r="AQ290" s="137">
        <v>42.641666666667</v>
      </c>
      <c r="AR290" s="137"/>
      <c r="AS290" s="137">
        <v>128.91966666666701</v>
      </c>
    </row>
    <row r="291" spans="2:45" outlineLevel="1">
      <c r="B291" s="1444" t="s">
        <v>2709</v>
      </c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>
        <v>12.622</v>
      </c>
      <c r="AP291" s="137">
        <v>24.801666666667</v>
      </c>
      <c r="AQ291" s="137">
        <v>17.574846153846</v>
      </c>
      <c r="AR291" s="137">
        <v>13.151783333333</v>
      </c>
      <c r="AS291" s="137">
        <v>68.150296153846</v>
      </c>
    </row>
    <row r="292" spans="2:45" outlineLevel="1">
      <c r="B292" s="1444" t="s">
        <v>2711</v>
      </c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>
        <v>20.727666666666998</v>
      </c>
      <c r="AP292" s="137">
        <v>13.3826</v>
      </c>
      <c r="AQ292" s="137">
        <v>11.759090909091</v>
      </c>
      <c r="AR292" s="137">
        <v>14.120701754386001</v>
      </c>
      <c r="AS292" s="137">
        <v>59.990059330144007</v>
      </c>
    </row>
    <row r="293" spans="2:45" outlineLevel="1">
      <c r="B293" s="1444" t="s">
        <v>3169</v>
      </c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>
        <v>0</v>
      </c>
      <c r="AR293" s="137">
        <v>12.199307692307999</v>
      </c>
      <c r="AS293" s="137">
        <v>12.199307692307999</v>
      </c>
    </row>
    <row r="294" spans="2:45" outlineLevel="1">
      <c r="B294" s="1444" t="s">
        <v>1410</v>
      </c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>
        <v>11.76925</v>
      </c>
      <c r="AR294" s="137">
        <v>16.585999999999999</v>
      </c>
      <c r="AS294" s="137">
        <v>28.355249999999998</v>
      </c>
    </row>
    <row r="295" spans="2:45" outlineLevel="1">
      <c r="B295" s="1444" t="s">
        <v>2897</v>
      </c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>
        <v>14.640620689655</v>
      </c>
      <c r="AR295" s="137">
        <v>13.788315789474</v>
      </c>
      <c r="AS295" s="137">
        <v>28.428936479129</v>
      </c>
    </row>
    <row r="296" spans="2:45" outlineLevel="1">
      <c r="B296" s="1444" t="s">
        <v>3184</v>
      </c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>
        <v>17.745019230769</v>
      </c>
      <c r="AR296" s="137">
        <v>18.092388888889001</v>
      </c>
      <c r="AS296" s="137">
        <v>35.837408119658001</v>
      </c>
    </row>
    <row r="297" spans="2:45" outlineLevel="1">
      <c r="B297" s="1444" t="s">
        <v>3180</v>
      </c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>
        <v>66.455714285713995</v>
      </c>
      <c r="AR297" s="137">
        <v>17.039000000000001</v>
      </c>
      <c r="AS297" s="137">
        <v>83.494714285713997</v>
      </c>
    </row>
    <row r="298" spans="2:45" outlineLevel="1">
      <c r="B298" s="1444" t="s">
        <v>3189</v>
      </c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>
        <v>30.506</v>
      </c>
      <c r="AR298" s="137">
        <v>15.183479999999999</v>
      </c>
      <c r="AS298" s="137">
        <v>45.689480000000003</v>
      </c>
    </row>
    <row r="299" spans="2:45" outlineLevel="1">
      <c r="B299" s="1444" t="s">
        <v>3190</v>
      </c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>
        <v>13.907240740740999</v>
      </c>
      <c r="AR299" s="137">
        <v>14.528614864865</v>
      </c>
      <c r="AS299" s="137">
        <v>28.435855605606001</v>
      </c>
    </row>
    <row r="300" spans="2:45" outlineLevel="1">
      <c r="B300" s="1444" t="s">
        <v>3191</v>
      </c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>
        <v>11.147369565217</v>
      </c>
      <c r="AR300" s="137">
        <v>10.826437500000001</v>
      </c>
      <c r="AS300" s="137">
        <v>21.973807065217002</v>
      </c>
    </row>
    <row r="301" spans="2:45" outlineLevel="1">
      <c r="B301" s="1444" t="s">
        <v>3528</v>
      </c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>
        <v>10.333</v>
      </c>
      <c r="AS301" s="137">
        <v>10.333</v>
      </c>
    </row>
    <row r="302" spans="2:45" outlineLevel="1">
      <c r="B302" s="1444" t="s">
        <v>3529</v>
      </c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>
        <v>14.906108910891</v>
      </c>
      <c r="AS302" s="137">
        <v>14.906108910891</v>
      </c>
    </row>
    <row r="303" spans="2:45" outlineLevel="1">
      <c r="B303" s="1444" t="s">
        <v>3530</v>
      </c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>
        <v>18.276168831169002</v>
      </c>
      <c r="AS303" s="137">
        <v>18.276168831169002</v>
      </c>
    </row>
    <row r="304" spans="2:45" outlineLevel="1">
      <c r="B304" s="1444" t="s">
        <v>3575</v>
      </c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>
        <v>16.837333333333</v>
      </c>
      <c r="AS304" s="137">
        <v>16.837333333333</v>
      </c>
    </row>
    <row r="305" spans="2:45" outlineLevel="1">
      <c r="B305" s="1444" t="s">
        <v>3519</v>
      </c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>
        <v>19.408000000000001</v>
      </c>
      <c r="AS305" s="137">
        <v>19.408000000000001</v>
      </c>
    </row>
    <row r="306" spans="2:45" outlineLevel="1">
      <c r="B306" s="1444" t="s">
        <v>3521</v>
      </c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>
        <v>16.376207317073</v>
      </c>
      <c r="AS306" s="137">
        <v>16.376207317073</v>
      </c>
    </row>
    <row r="307" spans="2:45" outlineLevel="1">
      <c r="B307" s="1444" t="s">
        <v>3523</v>
      </c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>
        <v>11.184142857143</v>
      </c>
      <c r="AS307" s="137">
        <v>11.184142857143</v>
      </c>
    </row>
    <row r="308" spans="2:45" outlineLevel="1">
      <c r="B308" s="1444" t="s">
        <v>3573</v>
      </c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>
        <v>19.553615384615</v>
      </c>
      <c r="AS308" s="137">
        <v>19.553615384615</v>
      </c>
    </row>
    <row r="309" spans="2:45" outlineLevel="1">
      <c r="B309" s="1444" t="s">
        <v>3525</v>
      </c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  <c r="AH309" s="137"/>
      <c r="AI309" s="137"/>
      <c r="AJ309" s="137"/>
      <c r="AK309" s="137"/>
      <c r="AL309" s="137"/>
      <c r="AM309" s="137"/>
      <c r="AN309" s="137"/>
      <c r="AO309" s="137"/>
      <c r="AP309" s="137"/>
      <c r="AQ309" s="137"/>
      <c r="AR309" s="137">
        <v>19.153600000000001</v>
      </c>
      <c r="AS309" s="137">
        <v>19.153600000000001</v>
      </c>
    </row>
    <row r="310" spans="2:45" outlineLevel="1">
      <c r="B310" s="1387" t="s">
        <v>274</v>
      </c>
      <c r="C310" s="1016">
        <v>22.193899999999999</v>
      </c>
      <c r="D310" s="1016">
        <v>23.790928571428601</v>
      </c>
      <c r="E310" s="1016">
        <v>94.202466810966797</v>
      </c>
      <c r="F310" s="1016">
        <v>117.09794444444439</v>
      </c>
      <c r="G310" s="1016">
        <v>131.935604274892</v>
      </c>
      <c r="H310" s="1016">
        <v>84.33107159324598</v>
      </c>
      <c r="I310" s="1016">
        <v>140.59554761904761</v>
      </c>
      <c r="J310" s="1016">
        <v>119.99</v>
      </c>
      <c r="K310" s="1016">
        <v>149.4963696412926</v>
      </c>
      <c r="L310" s="1016">
        <v>132.35291466108899</v>
      </c>
      <c r="M310" s="1016">
        <v>157.93074273615301</v>
      </c>
      <c r="N310" s="1016">
        <v>154.33000000000001</v>
      </c>
      <c r="O310" s="1016">
        <v>156.45000000000002</v>
      </c>
      <c r="P310" s="1016">
        <v>148.52000000000001</v>
      </c>
      <c r="Q310" s="1016">
        <v>156.38000000000002</v>
      </c>
      <c r="R310" s="1016">
        <v>245.82000000000002</v>
      </c>
      <c r="S310" s="1016">
        <v>318.93000000000006</v>
      </c>
      <c r="T310" s="1016">
        <v>384.24121068732899</v>
      </c>
      <c r="U310" s="1016">
        <v>468.08983695063705</v>
      </c>
      <c r="V310" s="1016">
        <v>445.56185648684306</v>
      </c>
      <c r="W310" s="1016">
        <v>476.1964165573259</v>
      </c>
      <c r="X310" s="1016">
        <v>524.02301143612794</v>
      </c>
      <c r="Y310" s="1016">
        <v>537.34357670697909</v>
      </c>
      <c r="Z310" s="1016">
        <v>679.98446498223984</v>
      </c>
      <c r="AA310" s="1016">
        <v>519.80729873690575</v>
      </c>
      <c r="AB310" s="1016">
        <v>616.62522774742342</v>
      </c>
      <c r="AC310" s="1016">
        <v>726.97808691558487</v>
      </c>
      <c r="AD310" s="1016">
        <v>805.01509995424124</v>
      </c>
      <c r="AE310" s="1016">
        <v>736.43951147599978</v>
      </c>
      <c r="AF310" s="1016">
        <v>955.02690684448521</v>
      </c>
      <c r="AG310" s="1016">
        <v>846.28598309000017</v>
      </c>
      <c r="AH310" s="1016">
        <v>699.18911331555205</v>
      </c>
      <c r="AI310" s="1016">
        <v>876.34999273320966</v>
      </c>
      <c r="AJ310" s="1016">
        <v>802.85283184535524</v>
      </c>
      <c r="AK310" s="1016">
        <v>757.36240970561209</v>
      </c>
      <c r="AL310" s="1016">
        <v>892.93314975260989</v>
      </c>
      <c r="AM310" s="1016">
        <v>700.08377391245017</v>
      </c>
      <c r="AN310" s="1016">
        <v>790.96948308662502</v>
      </c>
      <c r="AO310" s="1016">
        <v>887.37903322326895</v>
      </c>
      <c r="AP310" s="1016">
        <v>964.7606101848171</v>
      </c>
      <c r="AQ310" s="1016">
        <v>966.23164870035589</v>
      </c>
      <c r="AR310" s="1016">
        <v>762.73536029534193</v>
      </c>
      <c r="AS310" s="1016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488" t="s">
        <v>386</v>
      </c>
      <c r="C323" s="1487" t="s">
        <v>275</v>
      </c>
    </row>
    <row r="324" spans="2:45" outlineLevel="1">
      <c r="B324" s="1487" t="s">
        <v>253</v>
      </c>
      <c r="C324" s="1016">
        <v>201301</v>
      </c>
      <c r="D324" s="1016">
        <v>201302</v>
      </c>
      <c r="E324" s="1016">
        <v>201303</v>
      </c>
      <c r="F324" s="1016">
        <v>201304</v>
      </c>
      <c r="G324" s="1016">
        <v>201305</v>
      </c>
      <c r="H324" s="1016">
        <v>201306</v>
      </c>
      <c r="I324" s="1016">
        <v>201307</v>
      </c>
      <c r="J324" s="1016">
        <v>201308</v>
      </c>
      <c r="K324" s="1016">
        <v>201309</v>
      </c>
      <c r="L324" s="1016">
        <v>201310</v>
      </c>
      <c r="M324" s="1016">
        <v>201311</v>
      </c>
      <c r="N324" s="1016">
        <v>201312</v>
      </c>
      <c r="O324" s="1016">
        <v>201401</v>
      </c>
      <c r="P324" s="1016">
        <v>201402</v>
      </c>
      <c r="Q324" s="1016">
        <v>201403</v>
      </c>
      <c r="R324" s="1016">
        <v>201404</v>
      </c>
      <c r="S324" s="1016">
        <v>201405</v>
      </c>
      <c r="T324" s="1016">
        <v>201406</v>
      </c>
      <c r="U324" s="1016">
        <v>201407</v>
      </c>
      <c r="V324" s="1016">
        <v>201408</v>
      </c>
      <c r="W324" s="1016">
        <v>201409</v>
      </c>
      <c r="X324" s="1016">
        <v>201410</v>
      </c>
      <c r="Y324" s="1016">
        <v>201411</v>
      </c>
      <c r="Z324" s="1016">
        <v>201412</v>
      </c>
      <c r="AA324" s="1016">
        <v>201501</v>
      </c>
      <c r="AB324" s="1016">
        <v>201502</v>
      </c>
      <c r="AC324" s="1016">
        <v>201503</v>
      </c>
      <c r="AD324" s="1016">
        <v>201504</v>
      </c>
      <c r="AE324" s="1016">
        <v>201505</v>
      </c>
      <c r="AF324" s="1016">
        <v>201506</v>
      </c>
      <c r="AG324" s="1016">
        <v>201507</v>
      </c>
      <c r="AH324" s="1016">
        <v>201508</v>
      </c>
      <c r="AI324" s="1016">
        <v>201509</v>
      </c>
      <c r="AJ324" s="1016">
        <v>201510</v>
      </c>
      <c r="AK324" s="1016">
        <v>201511</v>
      </c>
      <c r="AL324" s="1016">
        <v>201512</v>
      </c>
      <c r="AM324" s="1016">
        <v>201601</v>
      </c>
      <c r="AN324" s="1016">
        <v>201602</v>
      </c>
      <c r="AO324" s="1016">
        <v>201603</v>
      </c>
      <c r="AP324" s="1016">
        <v>201604</v>
      </c>
      <c r="AQ324" s="1016">
        <v>201605</v>
      </c>
      <c r="AR324" s="1016">
        <v>201606</v>
      </c>
      <c r="AS324" s="1016" t="s">
        <v>274</v>
      </c>
    </row>
    <row r="325" spans="2:45" outlineLevel="1">
      <c r="B325" s="1444" t="s">
        <v>191</v>
      </c>
      <c r="C325" s="137"/>
      <c r="D325" s="137"/>
      <c r="E325" s="137">
        <v>1</v>
      </c>
      <c r="F325" s="137">
        <v>1.55555555555556</v>
      </c>
      <c r="G325" s="137">
        <v>1.2727269999999999</v>
      </c>
      <c r="H325" s="137">
        <v>1.4545454545454499</v>
      </c>
      <c r="I325" s="137">
        <v>1</v>
      </c>
      <c r="J325" s="137">
        <v>1</v>
      </c>
      <c r="K325" s="137">
        <v>1.4166666666666701</v>
      </c>
      <c r="L325" s="137">
        <v>0.77777799999999997</v>
      </c>
      <c r="M325" s="137">
        <v>1.8333330000000001</v>
      </c>
      <c r="N325" s="137">
        <v>1.8</v>
      </c>
      <c r="O325" s="137">
        <v>1.63</v>
      </c>
      <c r="P325" s="137">
        <v>1</v>
      </c>
      <c r="Q325" s="137">
        <v>1.42</v>
      </c>
      <c r="R325" s="137">
        <v>1.3</v>
      </c>
      <c r="S325" s="137">
        <v>1.5</v>
      </c>
      <c r="T325" s="137">
        <v>1.4</v>
      </c>
      <c r="U325" s="137">
        <v>1.1666669999999999</v>
      </c>
      <c r="V325" s="137">
        <v>1.566667</v>
      </c>
      <c r="W325" s="137">
        <v>1.212121</v>
      </c>
      <c r="X325" s="137">
        <v>1.6538459999999999</v>
      </c>
      <c r="Y325" s="137">
        <v>1.518519</v>
      </c>
      <c r="Z325" s="137">
        <v>2</v>
      </c>
      <c r="AA325" s="137">
        <v>1.7777777777777799</v>
      </c>
      <c r="AB325" s="137">
        <v>1.2105263157894699</v>
      </c>
      <c r="AC325" s="137">
        <v>1.4383561643835601</v>
      </c>
      <c r="AD325" s="137">
        <v>1.177778</v>
      </c>
      <c r="AE325" s="137">
        <v>1.2</v>
      </c>
      <c r="AF325" s="137">
        <v>1.25</v>
      </c>
      <c r="AG325" s="137">
        <v>1.09375</v>
      </c>
      <c r="AH325" s="137">
        <v>1.2790699999999999</v>
      </c>
      <c r="AI325" s="137">
        <v>1.564516</v>
      </c>
      <c r="AJ325" s="137">
        <v>1.1230770000000001</v>
      </c>
      <c r="AK325" s="137">
        <v>1.980769</v>
      </c>
      <c r="AL325" s="137">
        <v>2</v>
      </c>
      <c r="AM325" s="137">
        <v>1.3461540000000001</v>
      </c>
      <c r="AN325" s="137">
        <v>1.571429</v>
      </c>
      <c r="AO325" s="137">
        <v>1.616438</v>
      </c>
      <c r="AP325" s="137">
        <v>0.94736799999999999</v>
      </c>
      <c r="AQ325" s="137">
        <v>1.380282</v>
      </c>
      <c r="AR325" s="137">
        <v>1.708609</v>
      </c>
      <c r="AS325" s="137">
        <v>56.144325934718509</v>
      </c>
    </row>
    <row r="326" spans="2:45" outlineLevel="1">
      <c r="B326" s="1444" t="s">
        <v>189</v>
      </c>
      <c r="C326" s="137"/>
      <c r="D326" s="137"/>
      <c r="E326" s="137">
        <v>1.2</v>
      </c>
      <c r="F326" s="137">
        <v>1.125</v>
      </c>
      <c r="G326" s="137">
        <v>1.4</v>
      </c>
      <c r="H326" s="137">
        <v>1.5833333333333299</v>
      </c>
      <c r="I326" s="137">
        <v>1.27272727272727</v>
      </c>
      <c r="J326" s="137">
        <v>1.21</v>
      </c>
      <c r="K326" s="137">
        <v>1.1818181818181801</v>
      </c>
      <c r="L326" s="137">
        <v>1.3333330000000001</v>
      </c>
      <c r="M326" s="137">
        <v>1.529412</v>
      </c>
      <c r="N326" s="137">
        <v>1.78</v>
      </c>
      <c r="O326" s="137">
        <v>1.1299999999999999</v>
      </c>
      <c r="P326" s="137">
        <v>1.28</v>
      </c>
      <c r="Q326" s="137">
        <v>0.38</v>
      </c>
      <c r="R326" s="137">
        <v>1.39</v>
      </c>
      <c r="S326" s="137">
        <v>1.17</v>
      </c>
      <c r="T326" s="137">
        <v>1.7380949999999999</v>
      </c>
      <c r="U326" s="137">
        <v>1.210526</v>
      </c>
      <c r="V326" s="137">
        <v>1.233333</v>
      </c>
      <c r="W326" s="137">
        <v>1.8</v>
      </c>
      <c r="X326" s="137">
        <v>1.52</v>
      </c>
      <c r="Y326" s="137">
        <v>1.3666670000000001</v>
      </c>
      <c r="Z326" s="137">
        <v>2.5714290000000002</v>
      </c>
      <c r="AA326" s="137">
        <v>1.25</v>
      </c>
      <c r="AB326" s="137">
        <v>1.29411764705882</v>
      </c>
      <c r="AC326" s="137">
        <v>1.65</v>
      </c>
      <c r="AD326" s="137">
        <v>1.3541669999999999</v>
      </c>
      <c r="AE326" s="137">
        <v>1.571429</v>
      </c>
      <c r="AF326" s="137">
        <v>1.1000000000000001</v>
      </c>
      <c r="AG326" s="137">
        <v>1</v>
      </c>
      <c r="AH326" s="137">
        <v>0.961538</v>
      </c>
      <c r="AI326" s="137">
        <v>1.818182</v>
      </c>
      <c r="AJ326" s="137">
        <v>1.2916669999999999</v>
      </c>
      <c r="AK326" s="137">
        <v>1.6666669999999999</v>
      </c>
      <c r="AL326" s="137">
        <v>2.5555560000000002</v>
      </c>
      <c r="AM326" s="137">
        <v>0.8</v>
      </c>
      <c r="AN326" s="137">
        <v>1.3333330000000001</v>
      </c>
      <c r="AO326" s="137">
        <v>1.32</v>
      </c>
      <c r="AP326" s="137">
        <v>1.3043480000000001</v>
      </c>
      <c r="AQ326" s="137">
        <v>1.4</v>
      </c>
      <c r="AR326" s="137"/>
      <c r="AS326" s="137">
        <v>54.076678434937598</v>
      </c>
    </row>
    <row r="327" spans="2:45" outlineLevel="1">
      <c r="B327" s="1444" t="s">
        <v>192</v>
      </c>
      <c r="C327" s="137"/>
      <c r="D327" s="137"/>
      <c r="E327" s="137">
        <v>1</v>
      </c>
      <c r="F327" s="137">
        <v>1</v>
      </c>
      <c r="G327" s="137">
        <v>1.6</v>
      </c>
      <c r="H327" s="137">
        <v>1.1818181818181801</v>
      </c>
      <c r="I327" s="137">
        <v>1.6666666666666701</v>
      </c>
      <c r="J327" s="137">
        <v>1.56</v>
      </c>
      <c r="K327" s="137">
        <v>1.5833333333333299</v>
      </c>
      <c r="L327" s="137">
        <v>1.058824</v>
      </c>
      <c r="M327" s="137">
        <v>1.285714</v>
      </c>
      <c r="N327" s="137">
        <v>1.56</v>
      </c>
      <c r="O327" s="137">
        <v>0.8</v>
      </c>
      <c r="P327" s="137">
        <v>1.36</v>
      </c>
      <c r="Q327" s="137">
        <v>1.0900000000000001</v>
      </c>
      <c r="R327" s="137">
        <v>1.8</v>
      </c>
      <c r="S327" s="137">
        <v>0.5</v>
      </c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>
        <v>19.046356181818183</v>
      </c>
    </row>
    <row r="328" spans="2:45" outlineLevel="1">
      <c r="B328" s="1444" t="s">
        <v>194</v>
      </c>
      <c r="C328" s="137"/>
      <c r="D328" s="137"/>
      <c r="E328" s="137">
        <v>0</v>
      </c>
      <c r="F328" s="137">
        <v>1</v>
      </c>
      <c r="G328" s="137">
        <v>1.111111</v>
      </c>
      <c r="H328" s="137">
        <v>1.75</v>
      </c>
      <c r="I328" s="137">
        <v>1.3333333333333299</v>
      </c>
      <c r="J328" s="137">
        <v>1</v>
      </c>
      <c r="K328" s="137">
        <v>1</v>
      </c>
      <c r="L328" s="137">
        <v>1.7777780000000001</v>
      </c>
      <c r="M328" s="137">
        <v>1.375</v>
      </c>
      <c r="N328" s="137">
        <v>1.33</v>
      </c>
      <c r="O328" s="137">
        <v>1</v>
      </c>
      <c r="P328" s="137">
        <v>1.0900000000000001</v>
      </c>
      <c r="Q328" s="137">
        <v>1.33</v>
      </c>
      <c r="R328" s="137">
        <v>2</v>
      </c>
      <c r="S328" s="137">
        <v>1.83</v>
      </c>
      <c r="T328" s="137">
        <v>1.375</v>
      </c>
      <c r="U328" s="137">
        <v>1.052632</v>
      </c>
      <c r="V328" s="137">
        <v>1.2352939999999999</v>
      </c>
      <c r="W328" s="137">
        <v>1.428571</v>
      </c>
      <c r="X328" s="137">
        <v>1.1666669999999999</v>
      </c>
      <c r="Y328" s="137">
        <v>1.8</v>
      </c>
      <c r="Z328" s="137">
        <v>2.5882350000000001</v>
      </c>
      <c r="AA328" s="137">
        <v>0.88888888888888895</v>
      </c>
      <c r="AB328" s="137">
        <v>1.1666666666666701</v>
      </c>
      <c r="AC328" s="137">
        <v>1.28571428571429</v>
      </c>
      <c r="AD328" s="137">
        <v>1.5</v>
      </c>
      <c r="AE328" s="137">
        <v>1.0833330000000001</v>
      </c>
      <c r="AF328" s="137">
        <v>1.071429</v>
      </c>
      <c r="AG328" s="137">
        <v>1.214286</v>
      </c>
      <c r="AH328" s="137">
        <v>1.3333330000000001</v>
      </c>
      <c r="AI328" s="137">
        <v>1.25</v>
      </c>
      <c r="AJ328" s="137">
        <v>1.521739</v>
      </c>
      <c r="AK328" s="137">
        <v>1.3157890000000001</v>
      </c>
      <c r="AL328" s="137">
        <v>1.5862069999999999</v>
      </c>
      <c r="AM328" s="137">
        <v>1.2727269999999999</v>
      </c>
      <c r="AN328" s="137">
        <v>1.125</v>
      </c>
      <c r="AO328" s="137">
        <v>1.1538459999999999</v>
      </c>
      <c r="AP328" s="137">
        <v>1.1538459999999999</v>
      </c>
      <c r="AQ328" s="137">
        <v>1.8</v>
      </c>
      <c r="AR328" s="137">
        <v>0</v>
      </c>
      <c r="AS328" s="137">
        <v>51.296426174603191</v>
      </c>
    </row>
    <row r="329" spans="2:45" outlineLevel="1">
      <c r="B329" s="1444" t="s">
        <v>190</v>
      </c>
      <c r="C329" s="137"/>
      <c r="D329" s="137"/>
      <c r="E329" s="137">
        <v>2</v>
      </c>
      <c r="F329" s="137">
        <v>1</v>
      </c>
      <c r="G329" s="137">
        <v>1.428571</v>
      </c>
      <c r="H329" s="137">
        <v>1.44444444444444</v>
      </c>
      <c r="I329" s="137">
        <v>1.1666666666666701</v>
      </c>
      <c r="J329" s="137">
        <v>1</v>
      </c>
      <c r="K329" s="137">
        <v>1.25</v>
      </c>
      <c r="L329" s="137">
        <v>1.1000000000000001</v>
      </c>
      <c r="M329" s="137">
        <v>1.3</v>
      </c>
      <c r="N329" s="137">
        <v>1.42</v>
      </c>
      <c r="O329" s="137">
        <v>1</v>
      </c>
      <c r="P329" s="137">
        <v>1.0900000000000001</v>
      </c>
      <c r="Q329" s="137">
        <v>1</v>
      </c>
      <c r="R329" s="137">
        <v>1.33</v>
      </c>
      <c r="S329" s="137">
        <v>1.1399999999999999</v>
      </c>
      <c r="T329" s="137">
        <v>1.388889</v>
      </c>
      <c r="U329" s="137">
        <v>1.4</v>
      </c>
      <c r="V329" s="137">
        <v>1.6</v>
      </c>
      <c r="W329" s="137">
        <v>1.888889</v>
      </c>
      <c r="X329" s="137">
        <v>1.6666669999999999</v>
      </c>
      <c r="Y329" s="137">
        <v>1.5</v>
      </c>
      <c r="Z329" s="137">
        <v>2.0476190000000001</v>
      </c>
      <c r="AA329" s="137">
        <v>1.5</v>
      </c>
      <c r="AB329" s="137">
        <v>1.4</v>
      </c>
      <c r="AC329" s="137">
        <v>1.5384615384615401</v>
      </c>
      <c r="AD329" s="137">
        <v>1.2222219999999999</v>
      </c>
      <c r="AE329" s="137">
        <v>0.9375</v>
      </c>
      <c r="AF329" s="137">
        <v>1.7222219999999999</v>
      </c>
      <c r="AG329" s="137">
        <v>1.6363639999999999</v>
      </c>
      <c r="AH329" s="137">
        <v>1.3333330000000001</v>
      </c>
      <c r="AI329" s="137">
        <v>1.5581400000000001</v>
      </c>
      <c r="AJ329" s="137">
        <v>1.4583330000000001</v>
      </c>
      <c r="AK329" s="137">
        <v>1.977778</v>
      </c>
      <c r="AL329" s="137">
        <v>1.977778</v>
      </c>
      <c r="AM329" s="137">
        <v>1.25</v>
      </c>
      <c r="AN329" s="137">
        <v>1.681818</v>
      </c>
      <c r="AO329" s="137">
        <v>1.673913</v>
      </c>
      <c r="AP329" s="137">
        <v>2.052632</v>
      </c>
      <c r="AQ329" s="137"/>
      <c r="AR329" s="137"/>
      <c r="AS329" s="137">
        <v>55.082240649572661</v>
      </c>
    </row>
    <row r="330" spans="2:45" outlineLevel="1">
      <c r="B330" s="1444" t="s">
        <v>92</v>
      </c>
      <c r="C330" s="137">
        <v>1.5</v>
      </c>
      <c r="D330" s="137">
        <v>1.4</v>
      </c>
      <c r="E330" s="137">
        <v>1.125</v>
      </c>
      <c r="F330" s="137">
        <v>0.66666666666666696</v>
      </c>
      <c r="G330" s="137">
        <v>1.285714</v>
      </c>
      <c r="H330" s="137">
        <v>1.3333333333333299</v>
      </c>
      <c r="I330" s="137">
        <v>1</v>
      </c>
      <c r="J330" s="137">
        <v>1.33</v>
      </c>
      <c r="K330" s="137">
        <v>1.29411764705882</v>
      </c>
      <c r="L330" s="137">
        <v>1.6086959999999999</v>
      </c>
      <c r="M330" s="137">
        <v>1.5625</v>
      </c>
      <c r="N330" s="137">
        <v>1.71</v>
      </c>
      <c r="O330" s="137">
        <v>0.96</v>
      </c>
      <c r="P330" s="137">
        <v>1.3</v>
      </c>
      <c r="Q330" s="137">
        <v>1.27</v>
      </c>
      <c r="R330" s="137">
        <v>1.19</v>
      </c>
      <c r="S330" s="137">
        <v>1.03</v>
      </c>
      <c r="T330" s="137">
        <v>1.4750000000000001</v>
      </c>
      <c r="U330" s="137">
        <v>1.428571</v>
      </c>
      <c r="V330" s="137">
        <v>1.428571</v>
      </c>
      <c r="W330" s="137">
        <v>1.8333330000000001</v>
      </c>
      <c r="X330" s="137">
        <v>1.2571429999999999</v>
      </c>
      <c r="Y330" s="137">
        <v>1.62069</v>
      </c>
      <c r="Z330" s="137">
        <v>1.978723</v>
      </c>
      <c r="AA330" s="137">
        <v>1.2307692307692299</v>
      </c>
      <c r="AB330" s="137">
        <v>1.15789473684211</v>
      </c>
      <c r="AC330" s="137">
        <v>1.1875</v>
      </c>
      <c r="AD330" s="137">
        <v>1.3636360000000001</v>
      </c>
      <c r="AE330" s="137">
        <v>1.214286</v>
      </c>
      <c r="AF330" s="137">
        <v>1.566667</v>
      </c>
      <c r="AG330" s="137">
        <v>1.65</v>
      </c>
      <c r="AH330" s="137">
        <v>1.5806450000000001</v>
      </c>
      <c r="AI330" s="137">
        <v>1.3488370000000001</v>
      </c>
      <c r="AJ330" s="137">
        <v>1.4137930000000001</v>
      </c>
      <c r="AK330" s="137">
        <v>2.0377360000000002</v>
      </c>
      <c r="AL330" s="137">
        <v>2.14</v>
      </c>
      <c r="AM330" s="137">
        <v>1.3846149999999999</v>
      </c>
      <c r="AN330" s="137">
        <v>2</v>
      </c>
      <c r="AO330" s="137">
        <v>1.7931029999999999</v>
      </c>
      <c r="AP330" s="137">
        <v>1.470588</v>
      </c>
      <c r="AQ330" s="137">
        <v>1.263158</v>
      </c>
      <c r="AR330" s="137"/>
      <c r="AS330" s="137">
        <v>58.391286614670165</v>
      </c>
    </row>
    <row r="331" spans="2:45" outlineLevel="1">
      <c r="B331" s="1444" t="s">
        <v>17</v>
      </c>
      <c r="C331" s="137">
        <v>1.4285714285714299</v>
      </c>
      <c r="D331" s="137">
        <v>1</v>
      </c>
      <c r="E331" s="137">
        <v>1.8333333333333299</v>
      </c>
      <c r="F331" s="137">
        <v>1.71428571428571</v>
      </c>
      <c r="G331" s="137">
        <v>1.5</v>
      </c>
      <c r="H331" s="137">
        <v>1.28571428571429</v>
      </c>
      <c r="I331" s="137">
        <v>1.5</v>
      </c>
      <c r="J331" s="137">
        <v>1.2</v>
      </c>
      <c r="K331" s="137">
        <v>1.5454545454545501</v>
      </c>
      <c r="L331" s="137">
        <v>0.9</v>
      </c>
      <c r="M331" s="137">
        <v>1</v>
      </c>
      <c r="N331" s="137">
        <v>2.86</v>
      </c>
      <c r="O331" s="137">
        <v>1.2</v>
      </c>
      <c r="P331" s="137">
        <v>1.22</v>
      </c>
      <c r="Q331" s="137">
        <v>1.1100000000000001</v>
      </c>
      <c r="R331" s="137">
        <v>1.06</v>
      </c>
      <c r="S331" s="137">
        <v>1.21</v>
      </c>
      <c r="T331" s="137">
        <v>1.5172410000000001</v>
      </c>
      <c r="U331" s="137">
        <v>1.3846149999999999</v>
      </c>
      <c r="V331" s="137">
        <v>1.2222219999999999</v>
      </c>
      <c r="W331" s="137">
        <v>1.785714</v>
      </c>
      <c r="X331" s="137">
        <v>1.733333</v>
      </c>
      <c r="Y331" s="137">
        <v>1.3461540000000001</v>
      </c>
      <c r="Z331" s="137">
        <v>2.3571430000000002</v>
      </c>
      <c r="AA331" s="137">
        <v>1.0714285714285701</v>
      </c>
      <c r="AB331" s="137">
        <v>1.1000000000000001</v>
      </c>
      <c r="AC331" s="137">
        <v>1.7777777777777799</v>
      </c>
      <c r="AD331" s="137">
        <v>1.4166669999999999</v>
      </c>
      <c r="AE331" s="137">
        <v>1.4</v>
      </c>
      <c r="AF331" s="137">
        <v>1.4666669999999999</v>
      </c>
      <c r="AG331" s="137">
        <v>1.357143</v>
      </c>
      <c r="AH331" s="137">
        <v>1.266667</v>
      </c>
      <c r="AI331" s="137">
        <v>1.4117649999999999</v>
      </c>
      <c r="AJ331" s="137">
        <v>1.5</v>
      </c>
      <c r="AK331" s="137">
        <v>1.823529</v>
      </c>
      <c r="AL331" s="137">
        <v>2.214286</v>
      </c>
      <c r="AM331" s="137">
        <v>1.4</v>
      </c>
      <c r="AN331" s="137">
        <v>1.714286</v>
      </c>
      <c r="AO331" s="137">
        <v>2.2727270000000002</v>
      </c>
      <c r="AP331" s="137">
        <v>4.25</v>
      </c>
      <c r="AQ331" s="137">
        <v>1.545455</v>
      </c>
      <c r="AR331" s="137">
        <v>1.6</v>
      </c>
      <c r="AS331" s="137">
        <v>65.502179656565644</v>
      </c>
    </row>
    <row r="332" spans="2:45" outlineLevel="1">
      <c r="B332" s="1444" t="s">
        <v>188</v>
      </c>
      <c r="C332" s="137"/>
      <c r="D332" s="137"/>
      <c r="E332" s="137">
        <v>1.1666666666666701</v>
      </c>
      <c r="F332" s="137">
        <v>2.4</v>
      </c>
      <c r="G332" s="137">
        <v>0.91666700000000001</v>
      </c>
      <c r="H332" s="137">
        <v>1.2</v>
      </c>
      <c r="I332" s="137">
        <v>1.3333333333333299</v>
      </c>
      <c r="J332" s="137">
        <v>1.75</v>
      </c>
      <c r="K332" s="137">
        <v>2.1818181818181799</v>
      </c>
      <c r="L332" s="137">
        <v>1.2</v>
      </c>
      <c r="M332" s="137">
        <v>1.5</v>
      </c>
      <c r="N332" s="137">
        <v>1.68</v>
      </c>
      <c r="O332" s="137">
        <v>1</v>
      </c>
      <c r="P332" s="137">
        <v>1.1399999999999999</v>
      </c>
      <c r="Q332" s="137">
        <v>1</v>
      </c>
      <c r="R332" s="137">
        <v>2.33</v>
      </c>
      <c r="S332" s="137">
        <v>1.73</v>
      </c>
      <c r="T332" s="137">
        <v>2.086957</v>
      </c>
      <c r="U332" s="137">
        <v>1.2916669999999999</v>
      </c>
      <c r="V332" s="137">
        <v>1.3157890000000001</v>
      </c>
      <c r="W332" s="137">
        <v>1.2093020000000001</v>
      </c>
      <c r="X332" s="137">
        <v>1.42</v>
      </c>
      <c r="Y332" s="137">
        <v>1.62</v>
      </c>
      <c r="Z332" s="137">
        <v>2.3376619999999999</v>
      </c>
      <c r="AA332" s="137">
        <v>1.1219512195121999</v>
      </c>
      <c r="AB332" s="137">
        <v>1.13513513513514</v>
      </c>
      <c r="AC332" s="137">
        <v>1.29508196721311</v>
      </c>
      <c r="AD332" s="137">
        <v>1.79661</v>
      </c>
      <c r="AE332" s="137">
        <v>1.0943400000000001</v>
      </c>
      <c r="AF332" s="137">
        <v>1.3666670000000001</v>
      </c>
      <c r="AG332" s="137">
        <v>1.5</v>
      </c>
      <c r="AH332" s="137">
        <v>0.86792499999999995</v>
      </c>
      <c r="AI332" s="137">
        <v>1.3333330000000001</v>
      </c>
      <c r="AJ332" s="137">
        <v>1.1692309999999999</v>
      </c>
      <c r="AK332" s="137">
        <v>1.8108109999999999</v>
      </c>
      <c r="AL332" s="137">
        <v>1.4666669999999999</v>
      </c>
      <c r="AM332" s="137">
        <v>1.0333330000000001</v>
      </c>
      <c r="AN332" s="137">
        <v>1.2068970000000001</v>
      </c>
      <c r="AO332" s="137">
        <v>1.82</v>
      </c>
      <c r="AP332" s="137">
        <v>1.2758620000000001</v>
      </c>
      <c r="AQ332" s="137"/>
      <c r="AR332" s="137"/>
      <c r="AS332" s="137">
        <v>55.103706503678623</v>
      </c>
    </row>
    <row r="333" spans="2:45" outlineLevel="1">
      <c r="B333" s="1444" t="s">
        <v>381</v>
      </c>
      <c r="C333" s="137"/>
      <c r="D333" s="137"/>
      <c r="E333" s="137"/>
      <c r="F333" s="137"/>
      <c r="G333" s="137"/>
      <c r="H333" s="137"/>
      <c r="I333" s="137">
        <v>2</v>
      </c>
      <c r="J333" s="137">
        <v>0</v>
      </c>
      <c r="K333" s="137">
        <v>0</v>
      </c>
      <c r="L333" s="137"/>
      <c r="M333" s="137"/>
      <c r="N333" s="137">
        <v>0</v>
      </c>
      <c r="O333" s="137">
        <v>0</v>
      </c>
      <c r="P333" s="137">
        <v>0</v>
      </c>
      <c r="Q333" s="137"/>
      <c r="R333" s="137"/>
      <c r="S333" s="137">
        <v>1.17</v>
      </c>
      <c r="T333" s="137">
        <v>3.2</v>
      </c>
      <c r="U333" s="137">
        <v>2.1428570000000002</v>
      </c>
      <c r="V333" s="137">
        <v>3</v>
      </c>
      <c r="W333" s="137">
        <v>2.9404760000000003</v>
      </c>
      <c r="X333" s="137">
        <v>2.75</v>
      </c>
      <c r="Y333" s="137">
        <v>2.6102560000000001</v>
      </c>
      <c r="Z333" s="137">
        <v>4.0208329999999997</v>
      </c>
      <c r="AA333" s="137">
        <v>1.923809523809527</v>
      </c>
      <c r="AB333" s="137">
        <v>2.0909090909090899</v>
      </c>
      <c r="AC333" s="137">
        <v>3.83928571428571</v>
      </c>
      <c r="AD333" s="137">
        <v>2.875</v>
      </c>
      <c r="AE333" s="137">
        <v>2.2538460000000002</v>
      </c>
      <c r="AF333" s="137">
        <v>-1.9</v>
      </c>
      <c r="AG333" s="137">
        <v>1</v>
      </c>
      <c r="AH333" s="137">
        <v>0</v>
      </c>
      <c r="AI333" s="137">
        <v>0</v>
      </c>
      <c r="AJ333" s="137">
        <v>0</v>
      </c>
      <c r="AK333" s="137"/>
      <c r="AL333" s="137"/>
      <c r="AM333" s="137"/>
      <c r="AN333" s="137"/>
      <c r="AO333" s="137"/>
      <c r="AP333" s="137"/>
      <c r="AQ333" s="137"/>
      <c r="AR333" s="137"/>
      <c r="AS333" s="137">
        <v>35.917272329004334</v>
      </c>
    </row>
    <row r="334" spans="2:45" outlineLevel="1">
      <c r="B334" s="1444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>
        <v>0</v>
      </c>
      <c r="M334" s="137">
        <v>0</v>
      </c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>
        <v>0</v>
      </c>
    </row>
    <row r="335" spans="2:45" outlineLevel="1">
      <c r="B335" s="1444" t="s">
        <v>461</v>
      </c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>
        <v>1.3333330000000001</v>
      </c>
      <c r="N335" s="137">
        <v>1.5</v>
      </c>
      <c r="O335" s="137">
        <v>1.5</v>
      </c>
      <c r="P335" s="137">
        <v>1.43</v>
      </c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>
        <v>5.7633329999999994</v>
      </c>
    </row>
    <row r="336" spans="2:45" outlineLevel="1">
      <c r="B336" s="1444" t="s">
        <v>483</v>
      </c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>
        <v>1</v>
      </c>
      <c r="O336" s="137">
        <v>1</v>
      </c>
      <c r="P336" s="137">
        <v>1</v>
      </c>
      <c r="Q336" s="137">
        <v>2</v>
      </c>
      <c r="R336" s="137">
        <v>1</v>
      </c>
      <c r="S336" s="137">
        <v>1.5</v>
      </c>
      <c r="T336" s="137">
        <v>1.0833330000000001</v>
      </c>
      <c r="U336" s="137">
        <v>1.625</v>
      </c>
      <c r="V336" s="137">
        <v>1.625</v>
      </c>
      <c r="W336" s="137">
        <v>1.214286</v>
      </c>
      <c r="X336" s="137">
        <v>1.4090910000000001</v>
      </c>
      <c r="Y336" s="137">
        <v>1.6470590000000001</v>
      </c>
      <c r="Z336" s="137">
        <v>2.3333330000000001</v>
      </c>
      <c r="AA336" s="137">
        <v>1.45</v>
      </c>
      <c r="AB336" s="137">
        <v>1.0909090909090899</v>
      </c>
      <c r="AC336" s="137">
        <v>1.38095238095238</v>
      </c>
      <c r="AD336" s="137">
        <v>1.2</v>
      </c>
      <c r="AE336" s="137">
        <v>1.318182</v>
      </c>
      <c r="AF336" s="137">
        <v>1.1666669999999999</v>
      </c>
      <c r="AG336" s="137">
        <v>1.045455</v>
      </c>
      <c r="AH336" s="137">
        <v>1</v>
      </c>
      <c r="AI336" s="137">
        <v>1.1363639999999999</v>
      </c>
      <c r="AJ336" s="137">
        <v>1</v>
      </c>
      <c r="AK336" s="137">
        <v>1.9166669999999999</v>
      </c>
      <c r="AL336" s="137">
        <v>1.45</v>
      </c>
      <c r="AM336" s="137">
        <v>2.3333330000000001</v>
      </c>
      <c r="AN336" s="137">
        <v>0</v>
      </c>
      <c r="AO336" s="137">
        <v>0</v>
      </c>
      <c r="AP336" s="137">
        <v>0</v>
      </c>
      <c r="AQ336" s="137"/>
      <c r="AR336" s="137"/>
      <c r="AS336" s="137">
        <v>35.925631471861472</v>
      </c>
    </row>
    <row r="337" spans="2:45" outlineLevel="1">
      <c r="B337" s="1444" t="s">
        <v>629</v>
      </c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>
        <v>1.22</v>
      </c>
      <c r="R337" s="137">
        <v>1.38</v>
      </c>
      <c r="S337" s="137">
        <v>0.83</v>
      </c>
      <c r="T337" s="137">
        <v>1.181818</v>
      </c>
      <c r="U337" s="137">
        <v>1.266667</v>
      </c>
      <c r="V337" s="137">
        <v>1.285714</v>
      </c>
      <c r="W337" s="137">
        <v>1.9523809999999999</v>
      </c>
      <c r="X337" s="137">
        <v>1.5882350000000001</v>
      </c>
      <c r="Y337" s="137">
        <v>1.6153850000000001</v>
      </c>
      <c r="Z337" s="137">
        <v>1.9230769999999999</v>
      </c>
      <c r="AA337" s="137">
        <v>1.2307692307692299</v>
      </c>
      <c r="AB337" s="137">
        <v>1.3571428571428601</v>
      </c>
      <c r="AC337" s="137">
        <v>1.6666666666666701</v>
      </c>
      <c r="AD337" s="137">
        <v>1.357143</v>
      </c>
      <c r="AE337" s="137">
        <v>1.5</v>
      </c>
      <c r="AF337" s="137">
        <v>1.5</v>
      </c>
      <c r="AG337" s="137">
        <v>2.0833330000000001</v>
      </c>
      <c r="AH337" s="137">
        <v>1.5555559999999999</v>
      </c>
      <c r="AI337" s="137">
        <v>1.857143</v>
      </c>
      <c r="AJ337" s="137">
        <v>1.2727269999999999</v>
      </c>
      <c r="AK337" s="137">
        <v>1.5555559999999999</v>
      </c>
      <c r="AL337" s="137">
        <v>1.9565220000000001</v>
      </c>
      <c r="AM337" s="137">
        <v>2</v>
      </c>
      <c r="AN337" s="137">
        <v>0</v>
      </c>
      <c r="AO337" s="137">
        <v>1.5555559999999999</v>
      </c>
      <c r="AP337" s="137">
        <v>0.5</v>
      </c>
      <c r="AQ337" s="137"/>
      <c r="AR337" s="137"/>
      <c r="AS337" s="137">
        <v>37.191391754578767</v>
      </c>
    </row>
    <row r="338" spans="2:45" outlineLevel="1">
      <c r="B338" s="1444" t="s">
        <v>645</v>
      </c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>
        <v>1</v>
      </c>
      <c r="S338" s="137">
        <v>2</v>
      </c>
      <c r="T338" s="137">
        <v>1.3</v>
      </c>
      <c r="U338" s="137">
        <v>1.6923079999999999</v>
      </c>
      <c r="V338" s="137">
        <v>1.25</v>
      </c>
      <c r="W338" s="137">
        <v>1.538462</v>
      </c>
      <c r="X338" s="137">
        <v>1.642857</v>
      </c>
      <c r="Y338" s="137">
        <v>1.6666669999999999</v>
      </c>
      <c r="Z338" s="137">
        <v>2.12</v>
      </c>
      <c r="AA338" s="137">
        <v>0.66666666666666696</v>
      </c>
      <c r="AB338" s="137">
        <v>1</v>
      </c>
      <c r="AC338" s="137">
        <v>2</v>
      </c>
      <c r="AD338" s="137">
        <v>1.0833330000000001</v>
      </c>
      <c r="AE338" s="137">
        <v>1.3</v>
      </c>
      <c r="AF338" s="137">
        <v>1.95</v>
      </c>
      <c r="AG338" s="137">
        <v>1.75</v>
      </c>
      <c r="AH338" s="137">
        <v>1.2727269999999999</v>
      </c>
      <c r="AI338" s="137">
        <v>1.28</v>
      </c>
      <c r="AJ338" s="137">
        <v>1.285714</v>
      </c>
      <c r="AK338" s="137">
        <v>1.84</v>
      </c>
      <c r="AL338" s="137">
        <v>1.875</v>
      </c>
      <c r="AM338" s="137">
        <v>1.3333330000000001</v>
      </c>
      <c r="AN338" s="137">
        <v>0.75</v>
      </c>
      <c r="AO338" s="137">
        <v>2.4166669999999999</v>
      </c>
      <c r="AP338" s="137">
        <v>1.714286</v>
      </c>
      <c r="AQ338" s="137">
        <v>1.3333330000000001</v>
      </c>
      <c r="AR338" s="137">
        <v>1.3157890000000001</v>
      </c>
      <c r="AS338" s="137">
        <v>40.377142666666671</v>
      </c>
    </row>
    <row r="339" spans="2:45" outlineLevel="1">
      <c r="B339" s="1444" t="s">
        <v>641</v>
      </c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>
        <v>0</v>
      </c>
      <c r="S339" s="137">
        <v>1.25</v>
      </c>
      <c r="T339" s="137">
        <v>1.5555559999999999</v>
      </c>
      <c r="U339" s="137">
        <v>1.3846149999999999</v>
      </c>
      <c r="V339" s="137">
        <v>1.2727269999999999</v>
      </c>
      <c r="W339" s="137">
        <v>1.6153850000000001</v>
      </c>
      <c r="X339" s="137">
        <v>1.7272730000000001</v>
      </c>
      <c r="Y339" s="137">
        <v>2.125</v>
      </c>
      <c r="Z339" s="137">
        <v>2.4666670000000002</v>
      </c>
      <c r="AA339" s="137">
        <v>1</v>
      </c>
      <c r="AB339" s="137">
        <v>2.8</v>
      </c>
      <c r="AC339" s="137">
        <v>2</v>
      </c>
      <c r="AD339" s="137">
        <v>2.4</v>
      </c>
      <c r="AE339" s="137">
        <v>1.45</v>
      </c>
      <c r="AF339" s="137">
        <v>2.7777780000000001</v>
      </c>
      <c r="AG339" s="137">
        <v>1.4444440000000001</v>
      </c>
      <c r="AH339" s="137">
        <v>1.6153850000000001</v>
      </c>
      <c r="AI339" s="137">
        <v>2.3333330000000001</v>
      </c>
      <c r="AJ339" s="137">
        <v>1.6</v>
      </c>
      <c r="AK339" s="137">
        <v>2.6666669999999999</v>
      </c>
      <c r="AL339" s="137">
        <v>2.2000000000000002</v>
      </c>
      <c r="AM339" s="137">
        <v>1.357143</v>
      </c>
      <c r="AN339" s="137">
        <v>1.3125</v>
      </c>
      <c r="AO339" s="137">
        <v>1.9166669999999999</v>
      </c>
      <c r="AP339" s="137">
        <v>1.3333330000000001</v>
      </c>
      <c r="AQ339" s="137">
        <v>1.4761899999999999</v>
      </c>
      <c r="AR339" s="137">
        <v>1.6551720000000001</v>
      </c>
      <c r="AS339" s="137">
        <v>46.735835000000002</v>
      </c>
    </row>
    <row r="340" spans="2:45" outlineLevel="1">
      <c r="B340" s="1444" t="s">
        <v>643</v>
      </c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>
        <v>1.5</v>
      </c>
      <c r="S340" s="137">
        <v>1.17</v>
      </c>
      <c r="T340" s="137">
        <v>1.9090910000000001</v>
      </c>
      <c r="U340" s="137">
        <v>1.4666669999999999</v>
      </c>
      <c r="V340" s="137">
        <v>1.066667</v>
      </c>
      <c r="W340" s="137">
        <v>1.8</v>
      </c>
      <c r="X340" s="137">
        <v>1.3333330000000001</v>
      </c>
      <c r="Y340" s="137">
        <v>1.6666669999999999</v>
      </c>
      <c r="Z340" s="137">
        <v>2.4</v>
      </c>
      <c r="AA340" s="137">
        <v>1</v>
      </c>
      <c r="AB340" s="137">
        <v>1.4</v>
      </c>
      <c r="AC340" s="137">
        <v>1</v>
      </c>
      <c r="AD340" s="137">
        <v>1.3333330000000001</v>
      </c>
      <c r="AE340" s="137">
        <v>1.142857</v>
      </c>
      <c r="AF340" s="137">
        <v>0</v>
      </c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>
        <v>20.188614999999999</v>
      </c>
    </row>
    <row r="341" spans="2:45" outlineLevel="1">
      <c r="B341" s="1444" t="s">
        <v>644</v>
      </c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>
        <v>0</v>
      </c>
      <c r="S341" s="137">
        <v>1</v>
      </c>
      <c r="T341" s="137">
        <v>1.4444440000000001</v>
      </c>
      <c r="U341" s="137">
        <v>1.2727269999999999</v>
      </c>
      <c r="V341" s="137">
        <v>1.375</v>
      </c>
      <c r="W341" s="137">
        <v>1.5</v>
      </c>
      <c r="X341" s="137">
        <v>1.5555559999999999</v>
      </c>
      <c r="Y341" s="137">
        <v>1.538462</v>
      </c>
      <c r="Z341" s="137">
        <v>1.5789470000000001</v>
      </c>
      <c r="AA341" s="137">
        <v>1.0625</v>
      </c>
      <c r="AB341" s="137">
        <v>1.2</v>
      </c>
      <c r="AC341" s="137">
        <v>1.1428571428571399</v>
      </c>
      <c r="AD341" s="137">
        <v>1.518519</v>
      </c>
      <c r="AE341" s="137">
        <v>0.90909099999999998</v>
      </c>
      <c r="AF341" s="137">
        <v>1.5</v>
      </c>
      <c r="AG341" s="137">
        <v>1.2222219999999999</v>
      </c>
      <c r="AH341" s="137">
        <v>1.1052630000000001</v>
      </c>
      <c r="AI341" s="137">
        <v>1.2</v>
      </c>
      <c r="AJ341" s="137">
        <v>1.125</v>
      </c>
      <c r="AK341" s="137">
        <v>1.4</v>
      </c>
      <c r="AL341" s="137">
        <v>1.9</v>
      </c>
      <c r="AM341" s="137">
        <v>2.3333330000000001</v>
      </c>
      <c r="AN341" s="137">
        <v>1.3333330000000001</v>
      </c>
      <c r="AO341" s="137">
        <v>1.8</v>
      </c>
      <c r="AP341" s="137">
        <v>1.3076920000000001</v>
      </c>
      <c r="AQ341" s="137">
        <v>1.55</v>
      </c>
      <c r="AR341" s="137">
        <v>1.7777780000000001</v>
      </c>
      <c r="AS341" s="137">
        <v>36.652724142857132</v>
      </c>
    </row>
    <row r="342" spans="2:45" outlineLevel="1">
      <c r="B342" s="1444" t="s">
        <v>655</v>
      </c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>
        <v>1.5</v>
      </c>
      <c r="S342" s="137">
        <v>1.57</v>
      </c>
      <c r="T342" s="137">
        <v>1.7272730000000001</v>
      </c>
      <c r="U342" s="137">
        <v>1.263158</v>
      </c>
      <c r="V342" s="137">
        <v>1.5333330000000001</v>
      </c>
      <c r="W342" s="137">
        <v>2</v>
      </c>
      <c r="X342" s="137">
        <v>1.88</v>
      </c>
      <c r="Y342" s="137">
        <v>1.6944440000000001</v>
      </c>
      <c r="Z342" s="137">
        <v>1.9268289999999999</v>
      </c>
      <c r="AA342" s="137">
        <v>1.29411764705882</v>
      </c>
      <c r="AB342" s="137">
        <v>1.2</v>
      </c>
      <c r="AC342" s="137">
        <v>1.78571428571429</v>
      </c>
      <c r="AD342" s="137">
        <v>1.7096769999999999</v>
      </c>
      <c r="AE342" s="137">
        <v>1.2</v>
      </c>
      <c r="AF342" s="137">
        <v>1.322581</v>
      </c>
      <c r="AG342" s="137">
        <v>1.8157890000000001</v>
      </c>
      <c r="AH342" s="137">
        <v>0.9375</v>
      </c>
      <c r="AI342" s="137">
        <v>1.552632</v>
      </c>
      <c r="AJ342" s="137">
        <v>1.129032</v>
      </c>
      <c r="AK342" s="137">
        <v>2.4166669999999999</v>
      </c>
      <c r="AL342" s="137">
        <v>2.8444440000000002</v>
      </c>
      <c r="AM342" s="137">
        <v>1.3846149999999999</v>
      </c>
      <c r="AN342" s="137">
        <v>1.2608699999999999</v>
      </c>
      <c r="AO342" s="137">
        <v>2.2000000000000002</v>
      </c>
      <c r="AP342" s="137">
        <v>1.176471</v>
      </c>
      <c r="AQ342" s="137">
        <v>1.4230769999999999</v>
      </c>
      <c r="AR342" s="137"/>
      <c r="AS342" s="137">
        <v>41.748223932773101</v>
      </c>
    </row>
    <row r="343" spans="2:45" outlineLevel="1">
      <c r="B343" s="1444" t="s">
        <v>656</v>
      </c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>
        <v>1</v>
      </c>
      <c r="S343" s="137">
        <v>1</v>
      </c>
      <c r="T343" s="137">
        <v>1.25</v>
      </c>
      <c r="U343" s="137">
        <v>1.5</v>
      </c>
      <c r="V343" s="137">
        <v>2.6666669999999999</v>
      </c>
      <c r="W343" s="137">
        <v>1.181818</v>
      </c>
      <c r="X343" s="137">
        <v>1.6153850000000001</v>
      </c>
      <c r="Y343" s="137">
        <v>1.2222219999999999</v>
      </c>
      <c r="Z343" s="137">
        <v>1.3333330000000001</v>
      </c>
      <c r="AA343" s="137">
        <v>1.48</v>
      </c>
      <c r="AB343" s="137">
        <v>1.4117647058823499</v>
      </c>
      <c r="AC343" s="137">
        <v>1.38709677419355</v>
      </c>
      <c r="AD343" s="137">
        <v>1.125</v>
      </c>
      <c r="AE343" s="137">
        <v>1.48</v>
      </c>
      <c r="AF343" s="137">
        <v>1.3846149999999999</v>
      </c>
      <c r="AG343" s="137">
        <v>1.2272730000000001</v>
      </c>
      <c r="AH343" s="137">
        <v>1.1052630000000001</v>
      </c>
      <c r="AI343" s="137">
        <v>1.3333330000000001</v>
      </c>
      <c r="AJ343" s="137">
        <v>1.288462</v>
      </c>
      <c r="AK343" s="137">
        <v>1.6410260000000001</v>
      </c>
      <c r="AL343" s="137">
        <v>2.4864860000000002</v>
      </c>
      <c r="AM343" s="137">
        <v>1.1463410000000001</v>
      </c>
      <c r="AN343" s="137">
        <v>1.25</v>
      </c>
      <c r="AO343" s="137">
        <v>1.5</v>
      </c>
      <c r="AP343" s="137">
        <v>1.387097</v>
      </c>
      <c r="AQ343" s="137"/>
      <c r="AR343" s="137"/>
      <c r="AS343" s="137">
        <v>35.403182480075898</v>
      </c>
    </row>
    <row r="344" spans="2:45" outlineLevel="1">
      <c r="B344" s="1444" t="s">
        <v>697</v>
      </c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>
        <v>0</v>
      </c>
      <c r="T344" s="137">
        <v>1.125</v>
      </c>
      <c r="U344" s="137">
        <v>1.823529</v>
      </c>
      <c r="V344" s="137">
        <v>2</v>
      </c>
      <c r="W344" s="137">
        <v>2.285714</v>
      </c>
      <c r="X344" s="137">
        <v>1.678571</v>
      </c>
      <c r="Y344" s="137">
        <v>1.64</v>
      </c>
      <c r="Z344" s="137">
        <v>3.28125</v>
      </c>
      <c r="AA344" s="137">
        <v>1.05555555555556</v>
      </c>
      <c r="AB344" s="137">
        <v>1.4545454545454499</v>
      </c>
      <c r="AC344" s="137">
        <v>2.0625</v>
      </c>
      <c r="AD344" s="137">
        <v>1.2380949999999999</v>
      </c>
      <c r="AE344" s="137">
        <v>1.2222219999999999</v>
      </c>
      <c r="AF344" s="137">
        <v>1.3243240000000001</v>
      </c>
      <c r="AG344" s="137">
        <v>1.538462</v>
      </c>
      <c r="AH344" s="137">
        <v>1.470588</v>
      </c>
      <c r="AI344" s="137">
        <v>1.428571</v>
      </c>
      <c r="AJ344" s="137">
        <v>1.2083330000000001</v>
      </c>
      <c r="AK344" s="137">
        <v>1.9375</v>
      </c>
      <c r="AL344" s="137">
        <v>1.977778</v>
      </c>
      <c r="AM344" s="137">
        <v>1.75</v>
      </c>
      <c r="AN344" s="137">
        <v>1.3333330000000001</v>
      </c>
      <c r="AO344" s="137">
        <v>2.04</v>
      </c>
      <c r="AP344" s="137">
        <v>1.4090910000000001</v>
      </c>
      <c r="AQ344" s="137">
        <v>1.538462</v>
      </c>
      <c r="AR344" s="137">
        <v>1.5909089999999999</v>
      </c>
      <c r="AS344" s="137">
        <v>41.414333010101018</v>
      </c>
    </row>
    <row r="345" spans="2:45" outlineLevel="1">
      <c r="B345" s="1444" t="s">
        <v>658</v>
      </c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>
        <v>0</v>
      </c>
      <c r="AL345" s="137">
        <v>0</v>
      </c>
      <c r="AM345" s="137">
        <v>0</v>
      </c>
      <c r="AN345" s="137">
        <v>0</v>
      </c>
      <c r="AO345" s="137">
        <v>0</v>
      </c>
      <c r="AP345" s="137">
        <v>0</v>
      </c>
      <c r="AQ345" s="137"/>
      <c r="AR345" s="137"/>
      <c r="AS345" s="137">
        <v>0</v>
      </c>
    </row>
    <row r="346" spans="2:45" outlineLevel="1">
      <c r="B346" s="1444" t="s">
        <v>698</v>
      </c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>
        <v>1.75</v>
      </c>
      <c r="U346" s="137">
        <v>1.7</v>
      </c>
      <c r="V346" s="137">
        <v>2</v>
      </c>
      <c r="W346" s="137">
        <v>1.6153850000000001</v>
      </c>
      <c r="X346" s="137">
        <v>1.2</v>
      </c>
      <c r="Y346" s="137">
        <v>1.3846149999999999</v>
      </c>
      <c r="Z346" s="137">
        <v>2.2631579999999998</v>
      </c>
      <c r="AA346" s="137">
        <v>0.83333333333333304</v>
      </c>
      <c r="AB346" s="137">
        <v>1</v>
      </c>
      <c r="AC346" s="137">
        <v>1.55555555555556</v>
      </c>
      <c r="AD346" s="137">
        <v>1.545455</v>
      </c>
      <c r="AE346" s="137">
        <v>1.142857</v>
      </c>
      <c r="AF346" s="137">
        <v>1</v>
      </c>
      <c r="AG346" s="137">
        <v>1.1904760000000001</v>
      </c>
      <c r="AH346" s="137">
        <v>1</v>
      </c>
      <c r="AI346" s="137">
        <v>1.1052630000000001</v>
      </c>
      <c r="AJ346" s="137">
        <v>1.230769</v>
      </c>
      <c r="AK346" s="137">
        <v>1.25</v>
      </c>
      <c r="AL346" s="137">
        <v>0.83333299999999999</v>
      </c>
      <c r="AM346" s="137">
        <v>2.25</v>
      </c>
      <c r="AN346" s="137">
        <v>1</v>
      </c>
      <c r="AO346" s="137">
        <v>1.25</v>
      </c>
      <c r="AP346" s="137">
        <v>2.4</v>
      </c>
      <c r="AQ346" s="137">
        <v>1.2727269999999999</v>
      </c>
      <c r="AR346" s="137"/>
      <c r="AS346" s="137">
        <v>33.772926888888897</v>
      </c>
    </row>
    <row r="347" spans="2:45" outlineLevel="1">
      <c r="B347" s="1444" t="s">
        <v>790</v>
      </c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>
        <v>1.888889</v>
      </c>
      <c r="U347" s="137">
        <v>2.8666670000000001</v>
      </c>
      <c r="V347" s="137">
        <v>2.1428569999999998</v>
      </c>
      <c r="W347" s="137">
        <v>3.3571430000000002</v>
      </c>
      <c r="X347" s="137">
        <v>4</v>
      </c>
      <c r="Y347" s="137">
        <v>3.9333330000000002</v>
      </c>
      <c r="Z347" s="137">
        <v>4.052632</v>
      </c>
      <c r="AA347" s="137">
        <v>1.1875</v>
      </c>
      <c r="AB347" s="137">
        <v>1.9375</v>
      </c>
      <c r="AC347" s="137">
        <v>1.6315789473684199</v>
      </c>
      <c r="AD347" s="137">
        <v>2.3529409999999999</v>
      </c>
      <c r="AE347" s="137">
        <v>1.8</v>
      </c>
      <c r="AF347" s="137">
        <v>1.5</v>
      </c>
      <c r="AG347" s="137">
        <v>1.8076920000000001</v>
      </c>
      <c r="AH347" s="137">
        <v>1.5172410000000001</v>
      </c>
      <c r="AI347" s="137">
        <v>2.04</v>
      </c>
      <c r="AJ347" s="137">
        <v>1.75</v>
      </c>
      <c r="AK347" s="137">
        <v>2.2962959999999999</v>
      </c>
      <c r="AL347" s="137">
        <v>2.9090910000000001</v>
      </c>
      <c r="AM347" s="137">
        <v>1.611111</v>
      </c>
      <c r="AN347" s="137">
        <v>1.454545</v>
      </c>
      <c r="AO347" s="137">
        <v>1.8157890000000001</v>
      </c>
      <c r="AP347" s="137">
        <v>1.6875</v>
      </c>
      <c r="AQ347" s="137">
        <v>1.75</v>
      </c>
      <c r="AR347" s="137">
        <v>1.242424</v>
      </c>
      <c r="AS347" s="137">
        <v>54.532729947368431</v>
      </c>
    </row>
    <row r="348" spans="2:45" outlineLevel="1">
      <c r="B348" s="1444" t="s">
        <v>797</v>
      </c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>
        <v>1.25</v>
      </c>
      <c r="V348" s="137">
        <v>1.285714</v>
      </c>
      <c r="W348" s="137">
        <v>1.5555559999999999</v>
      </c>
      <c r="X348" s="137">
        <v>1.1666669999999999</v>
      </c>
      <c r="Y348" s="137">
        <v>1.2</v>
      </c>
      <c r="Z348" s="137">
        <v>1.714286</v>
      </c>
      <c r="AA348" s="137">
        <v>1.3333333333333299</v>
      </c>
      <c r="AB348" s="137">
        <v>1.36363636363636</v>
      </c>
      <c r="AC348" s="137">
        <v>2.28571428571429</v>
      </c>
      <c r="AD348" s="137">
        <v>1.6666669999999999</v>
      </c>
      <c r="AE348" s="137">
        <v>1.2777780000000001</v>
      </c>
      <c r="AF348" s="137">
        <v>1.225806</v>
      </c>
      <c r="AG348" s="137">
        <v>1.5625</v>
      </c>
      <c r="AH348" s="137">
        <v>1.176471</v>
      </c>
      <c r="AI348" s="137">
        <v>1.5416669999999999</v>
      </c>
      <c r="AJ348" s="137">
        <v>1.3333330000000001</v>
      </c>
      <c r="AK348" s="137">
        <v>2.1904759999999999</v>
      </c>
      <c r="AL348" s="137">
        <v>1.9565220000000001</v>
      </c>
      <c r="AM348" s="137">
        <v>0.66666700000000001</v>
      </c>
      <c r="AN348" s="137">
        <v>1.2222219999999999</v>
      </c>
      <c r="AO348" s="137">
        <v>1.5</v>
      </c>
      <c r="AP348" s="137">
        <v>1.714286</v>
      </c>
      <c r="AQ348" s="137">
        <v>1.818182</v>
      </c>
      <c r="AR348" s="137">
        <v>1.125</v>
      </c>
      <c r="AS348" s="137">
        <v>35.132483982683979</v>
      </c>
    </row>
    <row r="349" spans="2:45" outlineLevel="1">
      <c r="B349" s="1444" t="s">
        <v>800</v>
      </c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>
        <v>2.2000000000000002</v>
      </c>
      <c r="V349" s="137">
        <v>1.0833330000000001</v>
      </c>
      <c r="W349" s="137">
        <v>1.071429</v>
      </c>
      <c r="X349" s="137">
        <v>1.3333330000000001</v>
      </c>
      <c r="Y349" s="137">
        <v>1.6470590000000001</v>
      </c>
      <c r="Z349" s="137">
        <v>1.789474</v>
      </c>
      <c r="AA349" s="137">
        <v>1.44444444444444</v>
      </c>
      <c r="AB349" s="137">
        <v>1.1818181818181801</v>
      </c>
      <c r="AC349" s="137">
        <v>1.2222222222222201</v>
      </c>
      <c r="AD349" s="137">
        <v>1.4166669999999999</v>
      </c>
      <c r="AE349" s="137">
        <v>1.1875</v>
      </c>
      <c r="AF349" s="137">
        <v>1.6</v>
      </c>
      <c r="AG349" s="137">
        <v>1.454545</v>
      </c>
      <c r="AH349" s="137">
        <v>1.176471</v>
      </c>
      <c r="AI349" s="137">
        <v>1.4</v>
      </c>
      <c r="AJ349" s="137">
        <v>1.538462</v>
      </c>
      <c r="AK349" s="137">
        <v>1.9090910000000001</v>
      </c>
      <c r="AL349" s="137">
        <v>1.785714</v>
      </c>
      <c r="AM349" s="137">
        <v>1</v>
      </c>
      <c r="AN349" s="137">
        <v>1.1851849999999999</v>
      </c>
      <c r="AO349" s="137">
        <v>1.625</v>
      </c>
      <c r="AP349" s="137">
        <v>1.214286</v>
      </c>
      <c r="AQ349" s="137">
        <v>1.3877550000000001</v>
      </c>
      <c r="AR349" s="137">
        <v>1.380952</v>
      </c>
      <c r="AS349" s="137">
        <v>34.23474084848484</v>
      </c>
    </row>
    <row r="350" spans="2:45" outlineLevel="1">
      <c r="B350" s="1444" t="s">
        <v>904</v>
      </c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>
        <v>1</v>
      </c>
      <c r="Y350" s="137">
        <v>1.2</v>
      </c>
      <c r="Z350" s="137">
        <v>2.25</v>
      </c>
      <c r="AA350" s="137">
        <v>1.6428571428571399</v>
      </c>
      <c r="AB350" s="137">
        <v>1.1818181818181801</v>
      </c>
      <c r="AC350" s="137">
        <v>1.68</v>
      </c>
      <c r="AD350" s="137">
        <v>1.6666669999999999</v>
      </c>
      <c r="AE350" s="137">
        <v>1.4074070000000001</v>
      </c>
      <c r="AF350" s="137">
        <v>1.566667</v>
      </c>
      <c r="AG350" s="137">
        <v>1.4324319999999999</v>
      </c>
      <c r="AH350" s="137">
        <v>1.774194</v>
      </c>
      <c r="AI350" s="137">
        <v>1.3421050000000001</v>
      </c>
      <c r="AJ350" s="137">
        <v>1.548387</v>
      </c>
      <c r="AK350" s="137">
        <v>1.8947369999999999</v>
      </c>
      <c r="AL350" s="137">
        <v>2.0227270000000002</v>
      </c>
      <c r="AM350" s="137">
        <v>1.3333330000000001</v>
      </c>
      <c r="AN350" s="137">
        <v>1.75</v>
      </c>
      <c r="AO350" s="137">
        <v>2.0666669999999998</v>
      </c>
      <c r="AP350" s="137">
        <v>1.96875</v>
      </c>
      <c r="AQ350" s="137">
        <v>1.8918919999999999</v>
      </c>
      <c r="AR350" s="137">
        <v>1.7906979999999999</v>
      </c>
      <c r="AS350" s="137">
        <v>34.41133832467532</v>
      </c>
    </row>
    <row r="351" spans="2:45" outlineLevel="1">
      <c r="B351" s="1444" t="s">
        <v>906</v>
      </c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>
        <v>1.8</v>
      </c>
      <c r="Y351" s="137">
        <v>1.5</v>
      </c>
      <c r="Z351" s="137">
        <v>2.9230770000000001</v>
      </c>
      <c r="AA351" s="137">
        <v>1.28571428571429</v>
      </c>
      <c r="AB351" s="137">
        <v>1.1428571428571399</v>
      </c>
      <c r="AC351" s="137">
        <v>1.4736842105263199</v>
      </c>
      <c r="AD351" s="137">
        <v>1.181818</v>
      </c>
      <c r="AE351" s="137">
        <v>1.4</v>
      </c>
      <c r="AF351" s="137">
        <v>1.142857</v>
      </c>
      <c r="AG351" s="137">
        <v>1.826087</v>
      </c>
      <c r="AH351" s="137">
        <v>1.0833330000000001</v>
      </c>
      <c r="AI351" s="137">
        <v>1.6956519999999999</v>
      </c>
      <c r="AJ351" s="137">
        <v>2.5625</v>
      </c>
      <c r="AK351" s="137">
        <v>1.789474</v>
      </c>
      <c r="AL351" s="137">
        <v>2.35</v>
      </c>
      <c r="AM351" s="137">
        <v>1.2</v>
      </c>
      <c r="AN351" s="137">
        <v>1.75</v>
      </c>
      <c r="AO351" s="137">
        <v>2.714286</v>
      </c>
      <c r="AP351" s="137">
        <v>1.4</v>
      </c>
      <c r="AQ351" s="137">
        <v>1</v>
      </c>
      <c r="AR351" s="137"/>
      <c r="AS351" s="137">
        <v>33.221339639097749</v>
      </c>
    </row>
    <row r="352" spans="2:45" outlineLevel="1">
      <c r="B352" s="1444" t="s">
        <v>901</v>
      </c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>
        <v>0</v>
      </c>
      <c r="Z352" s="137">
        <v>3.7058819999999999</v>
      </c>
      <c r="AA352" s="137">
        <v>1.55</v>
      </c>
      <c r="AB352" s="137">
        <v>1.5</v>
      </c>
      <c r="AC352" s="137">
        <v>3.4285714285714302</v>
      </c>
      <c r="AD352" s="137">
        <v>2.25</v>
      </c>
      <c r="AE352" s="137">
        <v>1.5</v>
      </c>
      <c r="AF352" s="137">
        <v>1.9166669999999999</v>
      </c>
      <c r="AG352" s="137">
        <v>3</v>
      </c>
      <c r="AH352" s="137">
        <v>1.25</v>
      </c>
      <c r="AI352" s="137">
        <v>1.941176</v>
      </c>
      <c r="AJ352" s="137">
        <v>2.9230770000000001</v>
      </c>
      <c r="AK352" s="137">
        <v>1.888889</v>
      </c>
      <c r="AL352" s="137">
        <v>3.3636360000000001</v>
      </c>
      <c r="AM352" s="137">
        <v>0</v>
      </c>
      <c r="AN352" s="137">
        <v>1</v>
      </c>
      <c r="AO352" s="137">
        <v>3.1</v>
      </c>
      <c r="AP352" s="137">
        <v>6.8421050000000001</v>
      </c>
      <c r="AQ352" s="137">
        <v>2.3125</v>
      </c>
      <c r="AR352" s="137">
        <v>3.15</v>
      </c>
      <c r="AS352" s="137">
        <v>46.622503428571427</v>
      </c>
    </row>
    <row r="353" spans="2:45" outlineLevel="1">
      <c r="B353" s="1444" t="s">
        <v>950</v>
      </c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>
        <v>1</v>
      </c>
      <c r="Z353" s="137">
        <v>3</v>
      </c>
      <c r="AA353" s="137">
        <v>2</v>
      </c>
      <c r="AB353" s="137">
        <v>1.63636363636364</v>
      </c>
      <c r="AC353" s="137">
        <v>2.0555555555555598</v>
      </c>
      <c r="AD353" s="137">
        <v>2.5</v>
      </c>
      <c r="AE353" s="137">
        <v>2.074074</v>
      </c>
      <c r="AF353" s="137">
        <v>2.0294120000000002</v>
      </c>
      <c r="AG353" s="137">
        <v>2.1111110000000002</v>
      </c>
      <c r="AH353" s="137">
        <v>1.5652170000000001</v>
      </c>
      <c r="AI353" s="137">
        <v>2.8</v>
      </c>
      <c r="AJ353" s="137">
        <v>1.8387100000000001</v>
      </c>
      <c r="AK353" s="137">
        <v>2.12</v>
      </c>
      <c r="AL353" s="137">
        <v>1.8529409999999999</v>
      </c>
      <c r="AM353" s="137">
        <v>1.769231</v>
      </c>
      <c r="AN353" s="137">
        <v>2.285714</v>
      </c>
      <c r="AO353" s="137">
        <v>2.913043</v>
      </c>
      <c r="AP353" s="137">
        <v>1.8148150000000001</v>
      </c>
      <c r="AQ353" s="137">
        <v>1.7916669999999999</v>
      </c>
      <c r="AR353" s="137">
        <v>1.8695649999999999</v>
      </c>
      <c r="AS353" s="137">
        <v>41.027419191919208</v>
      </c>
    </row>
    <row r="354" spans="2:45" outlineLevel="1">
      <c r="B354" s="1444" t="s">
        <v>1014</v>
      </c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>
        <v>0</v>
      </c>
      <c r="Y354" s="137">
        <v>1.6</v>
      </c>
      <c r="Z354" s="137">
        <v>1.5</v>
      </c>
      <c r="AA354" s="137">
        <v>1.2</v>
      </c>
      <c r="AB354" s="137">
        <v>1.4545454545454499</v>
      </c>
      <c r="AC354" s="137">
        <v>1.5</v>
      </c>
      <c r="AD354" s="137">
        <v>1.3125</v>
      </c>
      <c r="AE354" s="137">
        <v>1.1578949999999999</v>
      </c>
      <c r="AF354" s="137">
        <v>1.2352939999999999</v>
      </c>
      <c r="AG354" s="137">
        <v>1.5</v>
      </c>
      <c r="AH354" s="137">
        <v>1.1666669999999999</v>
      </c>
      <c r="AI354" s="137">
        <v>1</v>
      </c>
      <c r="AJ354" s="137">
        <v>1.045455</v>
      </c>
      <c r="AK354" s="137">
        <v>1.7037040000000001</v>
      </c>
      <c r="AL354" s="137">
        <v>2.4210530000000001</v>
      </c>
      <c r="AM354" s="137">
        <v>1.071429</v>
      </c>
      <c r="AN354" s="137">
        <v>1.0909089999999999</v>
      </c>
      <c r="AO354" s="137">
        <v>1.7391300000000001</v>
      </c>
      <c r="AP354" s="137">
        <v>2.230769</v>
      </c>
      <c r="AQ354" s="137">
        <v>1.4583330000000001</v>
      </c>
      <c r="AR354" s="137">
        <v>1.7446809999999999</v>
      </c>
      <c r="AS354" s="137">
        <v>29.132364454545449</v>
      </c>
    </row>
    <row r="355" spans="2:45" outlineLevel="1">
      <c r="B355" s="1444" t="s">
        <v>1162</v>
      </c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>
        <v>1.5</v>
      </c>
      <c r="AB355" s="137">
        <v>1.4</v>
      </c>
      <c r="AC355" s="137">
        <v>1.4</v>
      </c>
      <c r="AD355" s="137">
        <v>1.2222219999999999</v>
      </c>
      <c r="AE355" s="137">
        <v>1.5555559999999999</v>
      </c>
      <c r="AF355" s="137">
        <v>1.266667</v>
      </c>
      <c r="AG355" s="137">
        <v>1.1875</v>
      </c>
      <c r="AH355" s="137">
        <v>1</v>
      </c>
      <c r="AI355" s="137">
        <v>1.1000000000000001</v>
      </c>
      <c r="AJ355" s="137">
        <v>1.285714</v>
      </c>
      <c r="AK355" s="137">
        <v>2.0769229999999999</v>
      </c>
      <c r="AL355" s="137">
        <v>2.8888889999999998</v>
      </c>
      <c r="AM355" s="137">
        <v>2</v>
      </c>
      <c r="AN355" s="137">
        <v>1.3333330000000001</v>
      </c>
      <c r="AO355" s="137">
        <v>2.1666669999999999</v>
      </c>
      <c r="AP355" s="137">
        <v>1.3076920000000001</v>
      </c>
      <c r="AQ355" s="137"/>
      <c r="AR355" s="137"/>
      <c r="AS355" s="137">
        <v>24.691163</v>
      </c>
    </row>
    <row r="356" spans="2:45" outlineLevel="1">
      <c r="B356" s="1444" t="s">
        <v>1163</v>
      </c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>
        <v>1.2</v>
      </c>
      <c r="AB356" s="137">
        <v>1</v>
      </c>
      <c r="AC356" s="137">
        <v>1.4</v>
      </c>
      <c r="AD356" s="137">
        <v>1.8333330000000001</v>
      </c>
      <c r="AE356" s="137">
        <v>1.642857</v>
      </c>
      <c r="AF356" s="137">
        <v>1.28</v>
      </c>
      <c r="AG356" s="137">
        <v>1.321429</v>
      </c>
      <c r="AH356" s="137">
        <v>1.5833330000000001</v>
      </c>
      <c r="AI356" s="137">
        <v>2.214286</v>
      </c>
      <c r="AJ356" s="137">
        <v>1.2173909999999999</v>
      </c>
      <c r="AK356" s="137">
        <v>1.733333</v>
      </c>
      <c r="AL356" s="137">
        <v>1.267857</v>
      </c>
      <c r="AM356" s="137">
        <v>0.91666700000000001</v>
      </c>
      <c r="AN356" s="137">
        <v>1.2</v>
      </c>
      <c r="AO356" s="137">
        <v>1.625</v>
      </c>
      <c r="AP356" s="137">
        <v>1.8666670000000001</v>
      </c>
      <c r="AQ356" s="137">
        <v>1.5</v>
      </c>
      <c r="AR356" s="137">
        <v>1.714286</v>
      </c>
      <c r="AS356" s="137">
        <v>26.516438999999998</v>
      </c>
    </row>
    <row r="357" spans="2:45" outlineLevel="1">
      <c r="B357" s="1444" t="s">
        <v>1286</v>
      </c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>
        <v>1.4615384615384599</v>
      </c>
      <c r="AC357" s="137">
        <v>2.3333333333333299</v>
      </c>
      <c r="AD357" s="137">
        <v>2.5882350000000001</v>
      </c>
      <c r="AE357" s="137">
        <v>1.2222219999999999</v>
      </c>
      <c r="AF357" s="137">
        <v>1.3333330000000001</v>
      </c>
      <c r="AG357" s="137">
        <v>1.6086959999999999</v>
      </c>
      <c r="AH357" s="137">
        <v>1.230769</v>
      </c>
      <c r="AI357" s="137">
        <v>1.3548389999999999</v>
      </c>
      <c r="AJ357" s="137">
        <v>1.7</v>
      </c>
      <c r="AK357" s="137">
        <v>2.2173910000000001</v>
      </c>
      <c r="AL357" s="137">
        <v>1.529412</v>
      </c>
      <c r="AM357" s="137">
        <v>1.6</v>
      </c>
      <c r="AN357" s="137">
        <v>1.285714</v>
      </c>
      <c r="AO357" s="137">
        <v>1.4210529999999999</v>
      </c>
      <c r="AP357" s="137">
        <v>2.1428569999999998</v>
      </c>
      <c r="AQ357" s="137">
        <v>1.6153850000000001</v>
      </c>
      <c r="AR357" s="137">
        <v>1.7619050000000001</v>
      </c>
      <c r="AS357" s="137">
        <v>28.406682794871788</v>
      </c>
    </row>
    <row r="358" spans="2:45" outlineLevel="1">
      <c r="B358" s="1444" t="s">
        <v>1161</v>
      </c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>
        <v>0</v>
      </c>
      <c r="AD358" s="137">
        <v>1.3333330000000001</v>
      </c>
      <c r="AE358" s="137">
        <v>1</v>
      </c>
      <c r="AF358" s="137">
        <v>1.375</v>
      </c>
      <c r="AG358" s="137">
        <v>1.818182</v>
      </c>
      <c r="AH358" s="137">
        <v>1.6666669999999999</v>
      </c>
      <c r="AI358" s="137">
        <v>1.3529409999999999</v>
      </c>
      <c r="AJ358" s="137">
        <v>1.1666669999999999</v>
      </c>
      <c r="AK358" s="137">
        <v>2</v>
      </c>
      <c r="AL358" s="137">
        <v>1.4666669999999999</v>
      </c>
      <c r="AM358" s="137">
        <v>1</v>
      </c>
      <c r="AN358" s="137">
        <v>1</v>
      </c>
      <c r="AO358" s="137">
        <v>1.4166669999999999</v>
      </c>
      <c r="AP358" s="137">
        <v>1.142857</v>
      </c>
      <c r="AQ358" s="137">
        <v>1.375</v>
      </c>
      <c r="AR358" s="137">
        <v>1</v>
      </c>
      <c r="AS358" s="137">
        <v>20.113980999999999</v>
      </c>
    </row>
    <row r="359" spans="2:45" outlineLevel="1">
      <c r="B359" s="1444" t="s">
        <v>1287</v>
      </c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>
        <v>1.1428571428571399</v>
      </c>
      <c r="AC359" s="137">
        <v>1.06666666666667</v>
      </c>
      <c r="AD359" s="137">
        <v>1.263158</v>
      </c>
      <c r="AE359" s="137">
        <v>1.1538459999999999</v>
      </c>
      <c r="AF359" s="137">
        <v>1.2222219999999999</v>
      </c>
      <c r="AG359" s="137">
        <v>1.3846149999999999</v>
      </c>
      <c r="AH359" s="137">
        <v>1.4137930000000001</v>
      </c>
      <c r="AI359" s="137">
        <v>1.410256</v>
      </c>
      <c r="AJ359" s="137">
        <v>1.4375</v>
      </c>
      <c r="AK359" s="137">
        <v>2.4</v>
      </c>
      <c r="AL359" s="137">
        <v>1.8409089999999999</v>
      </c>
      <c r="AM359" s="137">
        <v>1.1904760000000001</v>
      </c>
      <c r="AN359" s="137">
        <v>1.473684</v>
      </c>
      <c r="AO359" s="137">
        <v>1.7209300000000001</v>
      </c>
      <c r="AP359" s="137">
        <v>1.325</v>
      </c>
      <c r="AQ359" s="137">
        <v>1.3142860000000001</v>
      </c>
      <c r="AR359" s="137">
        <v>1.5882350000000001</v>
      </c>
      <c r="AS359" s="137">
        <v>24.348433809523808</v>
      </c>
    </row>
    <row r="360" spans="2:45" outlineLevel="1">
      <c r="B360" s="1444" t="s">
        <v>1348</v>
      </c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>
        <v>1</v>
      </c>
      <c r="AC360" s="137">
        <v>1</v>
      </c>
      <c r="AD360" s="137">
        <v>1.2</v>
      </c>
      <c r="AE360" s="137">
        <v>1.1333329999999999</v>
      </c>
      <c r="AF360" s="137">
        <v>1.1000000000000001</v>
      </c>
      <c r="AG360" s="137">
        <v>1.214286</v>
      </c>
      <c r="AH360" s="137">
        <v>1.176471</v>
      </c>
      <c r="AI360" s="137">
        <v>1.5</v>
      </c>
      <c r="AJ360" s="137">
        <v>1.214286</v>
      </c>
      <c r="AK360" s="137">
        <v>2.0882350000000001</v>
      </c>
      <c r="AL360" s="137">
        <v>1.5769230000000001</v>
      </c>
      <c r="AM360" s="137">
        <v>1.3076920000000001</v>
      </c>
      <c r="AN360" s="137">
        <v>1.142857</v>
      </c>
      <c r="AO360" s="137">
        <v>2.2380949999999999</v>
      </c>
      <c r="AP360" s="137">
        <v>1.066667</v>
      </c>
      <c r="AQ360" s="137">
        <v>1.8461540000000001</v>
      </c>
      <c r="AR360" s="137">
        <v>2</v>
      </c>
      <c r="AS360" s="137">
        <v>23.804998999999995</v>
      </c>
    </row>
    <row r="361" spans="2:45" outlineLevel="1">
      <c r="B361" s="1444" t="s">
        <v>1420</v>
      </c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>
        <v>1.3846149999999999</v>
      </c>
      <c r="AE361" s="137">
        <v>1.9090910000000001</v>
      </c>
      <c r="AF361" s="137">
        <v>1.5769230000000001</v>
      </c>
      <c r="AG361" s="137">
        <v>1.6666669999999999</v>
      </c>
      <c r="AH361" s="137">
        <v>1.1904760000000001</v>
      </c>
      <c r="AI361" s="137">
        <v>1.4</v>
      </c>
      <c r="AJ361" s="137">
        <v>1.322581</v>
      </c>
      <c r="AK361" s="137">
        <v>1.8409089999999999</v>
      </c>
      <c r="AL361" s="137">
        <v>1.4772730000000001</v>
      </c>
      <c r="AM361" s="137">
        <v>1.058824</v>
      </c>
      <c r="AN361" s="137">
        <v>0.7</v>
      </c>
      <c r="AO361" s="137">
        <v>1.6896549999999999</v>
      </c>
      <c r="AP361" s="137">
        <v>1.454545</v>
      </c>
      <c r="AQ361" s="137">
        <v>1.3333330000000001</v>
      </c>
      <c r="AR361" s="137">
        <v>2.148936</v>
      </c>
      <c r="AS361" s="137">
        <v>22.153827999999997</v>
      </c>
    </row>
    <row r="362" spans="2:45" outlineLevel="1">
      <c r="B362" s="1444" t="s">
        <v>1566</v>
      </c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>
        <v>1</v>
      </c>
      <c r="AG362" s="137">
        <v>1.454545</v>
      </c>
      <c r="AH362" s="137">
        <v>1.3</v>
      </c>
      <c r="AI362" s="137">
        <v>1.125</v>
      </c>
      <c r="AJ362" s="137">
        <v>1.25</v>
      </c>
      <c r="AK362" s="137">
        <v>2.1428569999999998</v>
      </c>
      <c r="AL362" s="137">
        <v>1.785714</v>
      </c>
      <c r="AM362" s="137">
        <v>1.25</v>
      </c>
      <c r="AN362" s="137"/>
      <c r="AO362" s="137"/>
      <c r="AP362" s="137"/>
      <c r="AQ362" s="137"/>
      <c r="AR362" s="137"/>
      <c r="AS362" s="137">
        <v>11.308116</v>
      </c>
    </row>
    <row r="363" spans="2:45" outlineLevel="1">
      <c r="B363" s="1444" t="s">
        <v>1670</v>
      </c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>
        <v>1</v>
      </c>
      <c r="AG363" s="137">
        <v>1.2</v>
      </c>
      <c r="AH363" s="137">
        <v>1</v>
      </c>
      <c r="AI363" s="137">
        <v>1.8333330000000001</v>
      </c>
      <c r="AJ363" s="137">
        <v>1</v>
      </c>
      <c r="AK363" s="137">
        <v>2.125</v>
      </c>
      <c r="AL363" s="137">
        <v>2.1111110000000002</v>
      </c>
      <c r="AM363" s="137">
        <v>4</v>
      </c>
      <c r="AN363" s="137">
        <v>1.3333330000000001</v>
      </c>
      <c r="AO363" s="137">
        <v>1.875</v>
      </c>
      <c r="AP363" s="137"/>
      <c r="AQ363" s="137"/>
      <c r="AR363" s="137"/>
      <c r="AS363" s="137">
        <v>17.477777</v>
      </c>
    </row>
    <row r="364" spans="2:45" outlineLevel="1">
      <c r="B364" s="1444" t="s">
        <v>1571</v>
      </c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>
        <v>1.2</v>
      </c>
      <c r="AG364" s="137">
        <v>1.7</v>
      </c>
      <c r="AH364" s="137">
        <v>0.85714299999999999</v>
      </c>
      <c r="AI364" s="137">
        <v>1.7391300000000001</v>
      </c>
      <c r="AJ364" s="137">
        <v>1.1599999999999999</v>
      </c>
      <c r="AK364" s="137">
        <v>1.410256</v>
      </c>
      <c r="AL364" s="137">
        <v>1.2978719999999999</v>
      </c>
      <c r="AM364" s="137">
        <v>1.321429</v>
      </c>
      <c r="AN364" s="137">
        <v>1.0434779999999999</v>
      </c>
      <c r="AO364" s="137">
        <v>1.65625</v>
      </c>
      <c r="AP364" s="137">
        <v>1.0689660000000001</v>
      </c>
      <c r="AQ364" s="137">
        <v>1.75</v>
      </c>
      <c r="AR364" s="137">
        <v>1.606061</v>
      </c>
      <c r="AS364" s="137">
        <v>17.810585</v>
      </c>
    </row>
    <row r="365" spans="2:45" outlineLevel="1">
      <c r="B365" s="1444" t="s">
        <v>1564</v>
      </c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>
        <v>1</v>
      </c>
      <c r="AE365" s="137">
        <v>1.6</v>
      </c>
      <c r="AF365" s="137">
        <v>1.142857</v>
      </c>
      <c r="AG365" s="137">
        <v>1</v>
      </c>
      <c r="AH365" s="137">
        <v>1.3333330000000001</v>
      </c>
      <c r="AI365" s="137">
        <v>1.0909089999999999</v>
      </c>
      <c r="AJ365" s="137">
        <v>1.375</v>
      </c>
      <c r="AK365" s="137">
        <v>2.1428569999999998</v>
      </c>
      <c r="AL365" s="137">
        <v>2.4</v>
      </c>
      <c r="AM365" s="137">
        <v>1.3636360000000001</v>
      </c>
      <c r="AN365" s="137">
        <v>1.625</v>
      </c>
      <c r="AO365" s="137">
        <v>1.7777780000000001</v>
      </c>
      <c r="AP365" s="137">
        <v>1.8</v>
      </c>
      <c r="AQ365" s="137">
        <v>1.1666669999999999</v>
      </c>
      <c r="AR365" s="137">
        <v>1.56</v>
      </c>
      <c r="AS365" s="137">
        <v>22.378036999999999</v>
      </c>
    </row>
    <row r="366" spans="2:45" outlineLevel="1">
      <c r="B366" s="1444" t="s">
        <v>1766</v>
      </c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>
        <v>3</v>
      </c>
      <c r="U366" s="137">
        <v>4.6666670000000003</v>
      </c>
      <c r="V366" s="137">
        <v>2</v>
      </c>
      <c r="W366" s="137">
        <v>2.1</v>
      </c>
      <c r="X366" s="137">
        <v>1.933333</v>
      </c>
      <c r="Y366" s="137">
        <v>1.7619050000000001</v>
      </c>
      <c r="Z366" s="137">
        <v>3.5882350000000001</v>
      </c>
      <c r="AA366" s="137">
        <v>1.3888888888888899</v>
      </c>
      <c r="AB366" s="137">
        <v>1.35</v>
      </c>
      <c r="AC366" s="137">
        <v>1.47619047619048</v>
      </c>
      <c r="AD366" s="137">
        <v>1.4230769999999999</v>
      </c>
      <c r="AE366" s="137">
        <v>1.428571</v>
      </c>
      <c r="AF366" s="137">
        <v>1.730769</v>
      </c>
      <c r="AG366" s="137">
        <v>1.1666669999999999</v>
      </c>
      <c r="AH366" s="137">
        <v>1.3448279999999999</v>
      </c>
      <c r="AI366" s="137">
        <v>1.5918369999999999</v>
      </c>
      <c r="AJ366" s="137">
        <v>1.609756</v>
      </c>
      <c r="AK366" s="137">
        <v>2.15625</v>
      </c>
      <c r="AL366" s="137">
        <v>2.6666669999999999</v>
      </c>
      <c r="AM366" s="137">
        <v>1.214286</v>
      </c>
      <c r="AN366" s="137">
        <v>1.2</v>
      </c>
      <c r="AO366" s="137">
        <v>1.7352939999999999</v>
      </c>
      <c r="AP366" s="137">
        <v>1.24</v>
      </c>
      <c r="AQ366" s="137">
        <v>1.6470590000000001</v>
      </c>
      <c r="AR366" s="137">
        <v>1.7272730000000001</v>
      </c>
      <c r="AS366" s="137">
        <v>47.147553365079368</v>
      </c>
    </row>
    <row r="367" spans="2:45" outlineLevel="1">
      <c r="B367" s="1444" t="s">
        <v>1768</v>
      </c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>
        <v>1.8</v>
      </c>
      <c r="V367" s="137">
        <v>5.1666670000000003</v>
      </c>
      <c r="W367" s="137">
        <v>6.8</v>
      </c>
      <c r="X367" s="137">
        <v>4.1428570000000002</v>
      </c>
      <c r="Y367" s="137">
        <v>6.8571429999999998</v>
      </c>
      <c r="Z367" s="137">
        <v>4.0833329999999997</v>
      </c>
      <c r="AA367" s="137">
        <v>1.6666666666666701</v>
      </c>
      <c r="AB367" s="137">
        <v>2.5</v>
      </c>
      <c r="AC367" s="137">
        <v>5</v>
      </c>
      <c r="AD367" s="137">
        <v>3.2727270000000002</v>
      </c>
      <c r="AE367" s="137">
        <v>1.9166669999999999</v>
      </c>
      <c r="AF367" s="137">
        <v>1.7222219999999999</v>
      </c>
      <c r="AG367" s="137">
        <v>1.2941180000000001</v>
      </c>
      <c r="AH367" s="137">
        <v>1.6</v>
      </c>
      <c r="AI367" s="137">
        <v>2.2173910000000001</v>
      </c>
      <c r="AJ367" s="137">
        <v>2.6666669999999999</v>
      </c>
      <c r="AK367" s="137">
        <v>2.1875</v>
      </c>
      <c r="AL367" s="137">
        <v>3.75</v>
      </c>
      <c r="AM367" s="137">
        <v>2.1666669999999999</v>
      </c>
      <c r="AN367" s="137">
        <v>1.625</v>
      </c>
      <c r="AO367" s="137">
        <v>1.461538</v>
      </c>
      <c r="AP367" s="137">
        <v>1.470588</v>
      </c>
      <c r="AQ367" s="137">
        <v>1.48</v>
      </c>
      <c r="AR367" s="137"/>
      <c r="AS367" s="137">
        <v>66.847751666666667</v>
      </c>
    </row>
    <row r="368" spans="2:45" outlineLevel="1">
      <c r="B368" s="1444" t="s">
        <v>1771</v>
      </c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>
        <v>1.5</v>
      </c>
      <c r="AE368" s="137">
        <v>1</v>
      </c>
      <c r="AF368" s="137">
        <v>1.8333330000000001</v>
      </c>
      <c r="AG368" s="137">
        <v>1.6923079999999999</v>
      </c>
      <c r="AH368" s="137">
        <v>1.8</v>
      </c>
      <c r="AI368" s="137">
        <v>1.2</v>
      </c>
      <c r="AJ368" s="137">
        <v>1.4375</v>
      </c>
      <c r="AK368" s="137">
        <v>1.6842109999999999</v>
      </c>
      <c r="AL368" s="137">
        <v>1.8</v>
      </c>
      <c r="AM368" s="137">
        <v>1.75</v>
      </c>
      <c r="AN368" s="137">
        <v>1.6</v>
      </c>
      <c r="AO368" s="137">
        <v>2</v>
      </c>
      <c r="AP368" s="137">
        <v>1.9</v>
      </c>
      <c r="AQ368" s="137">
        <v>2</v>
      </c>
      <c r="AR368" s="137"/>
      <c r="AS368" s="137">
        <v>23.197351999999999</v>
      </c>
    </row>
    <row r="369" spans="2:45" outlineLevel="1">
      <c r="B369" s="1444" t="s">
        <v>1774</v>
      </c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>
        <v>1.0857142857142901</v>
      </c>
      <c r="AB369" s="137">
        <v>1.1923076923076901</v>
      </c>
      <c r="AC369" s="137">
        <v>1.3714285714285701</v>
      </c>
      <c r="AD369" s="137">
        <v>1.2058819999999999</v>
      </c>
      <c r="AE369" s="137">
        <v>1.571429</v>
      </c>
      <c r="AF369" s="137">
        <v>1</v>
      </c>
      <c r="AG369" s="137">
        <v>1.5909089999999999</v>
      </c>
      <c r="AH369" s="137">
        <v>1.058824</v>
      </c>
      <c r="AI369" s="137">
        <v>1.2352939999999999</v>
      </c>
      <c r="AJ369" s="137">
        <v>1.0606059999999999</v>
      </c>
      <c r="AK369" s="137">
        <v>1.5882350000000001</v>
      </c>
      <c r="AL369" s="137">
        <v>1.255814</v>
      </c>
      <c r="AM369" s="137">
        <v>1.3846149999999999</v>
      </c>
      <c r="AN369" s="137">
        <v>1.4210529999999999</v>
      </c>
      <c r="AO369" s="137">
        <v>1.4583330000000001</v>
      </c>
      <c r="AP369" s="137">
        <v>1.210526</v>
      </c>
      <c r="AQ369" s="137">
        <v>1.818182</v>
      </c>
      <c r="AR369" s="137">
        <v>1.625</v>
      </c>
      <c r="AS369" s="137">
        <v>24.134152549450551</v>
      </c>
    </row>
    <row r="370" spans="2:45" outlineLevel="1">
      <c r="B370" s="1444" t="s">
        <v>1028</v>
      </c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>
        <v>1.1538459999999999</v>
      </c>
      <c r="AF370" s="137">
        <v>1.3157890000000001</v>
      </c>
      <c r="AG370" s="137">
        <v>1.36</v>
      </c>
      <c r="AH370" s="137">
        <v>1.263158</v>
      </c>
      <c r="AI370" s="137">
        <v>1.2619050000000001</v>
      </c>
      <c r="AJ370" s="137">
        <v>1.3823529999999999</v>
      </c>
      <c r="AK370" s="137">
        <v>2.413043</v>
      </c>
      <c r="AL370" s="137">
        <v>1.9295770000000001</v>
      </c>
      <c r="AM370" s="137">
        <v>1.2391300000000001</v>
      </c>
      <c r="AN370" s="137">
        <v>1.081081</v>
      </c>
      <c r="AO370" s="137">
        <v>1.469697</v>
      </c>
      <c r="AP370" s="137">
        <v>1.0571429999999999</v>
      </c>
      <c r="AQ370" s="137">
        <v>1.1666669999999999</v>
      </c>
      <c r="AR370" s="137">
        <v>1.3731340000000001</v>
      </c>
      <c r="AS370" s="137">
        <v>19.466522999999999</v>
      </c>
    </row>
    <row r="371" spans="2:45" outlineLevel="1">
      <c r="B371" s="1444" t="s">
        <v>1569</v>
      </c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>
        <v>1.1599999999999999</v>
      </c>
      <c r="AF371" s="137">
        <v>1.518519</v>
      </c>
      <c r="AG371" s="137">
        <v>1.787879</v>
      </c>
      <c r="AH371" s="137">
        <v>1.65625</v>
      </c>
      <c r="AI371" s="137">
        <v>1.661972</v>
      </c>
      <c r="AJ371" s="137">
        <v>1.4624999999999999</v>
      </c>
      <c r="AK371" s="137">
        <v>2.0853660000000001</v>
      </c>
      <c r="AL371" s="137">
        <v>1.8279570000000001</v>
      </c>
      <c r="AM371" s="137">
        <v>1.081081</v>
      </c>
      <c r="AN371" s="137">
        <v>1.318182</v>
      </c>
      <c r="AO371" s="137">
        <v>1.6714290000000001</v>
      </c>
      <c r="AP371" s="137">
        <v>1.211268</v>
      </c>
      <c r="AQ371" s="137">
        <v>1.538462</v>
      </c>
      <c r="AR371" s="137">
        <v>1.825688</v>
      </c>
      <c r="AS371" s="137">
        <v>21.806553000000001</v>
      </c>
    </row>
    <row r="372" spans="2:45" outlineLevel="1">
      <c r="B372" s="1444" t="s">
        <v>1573</v>
      </c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>
        <v>2</v>
      </c>
      <c r="AF372" s="137">
        <v>0.875</v>
      </c>
      <c r="AG372" s="137">
        <v>1.2777780000000001</v>
      </c>
      <c r="AH372" s="137">
        <v>1</v>
      </c>
      <c r="AI372" s="137">
        <v>1.36</v>
      </c>
      <c r="AJ372" s="137">
        <v>1.1333329999999999</v>
      </c>
      <c r="AK372" s="137">
        <v>1.741935</v>
      </c>
      <c r="AL372" s="137">
        <v>1.4117649999999999</v>
      </c>
      <c r="AM372" s="137">
        <v>0.85714299999999999</v>
      </c>
      <c r="AN372" s="137">
        <v>1.2</v>
      </c>
      <c r="AO372" s="137">
        <v>1.3333330000000001</v>
      </c>
      <c r="AP372" s="137">
        <v>1.6363639999999999</v>
      </c>
      <c r="AQ372" s="137">
        <v>1.571429</v>
      </c>
      <c r="AR372" s="137">
        <v>1.3125</v>
      </c>
      <c r="AS372" s="137">
        <v>18.710579999999997</v>
      </c>
    </row>
    <row r="373" spans="2:45" outlineLevel="1">
      <c r="B373" s="1444" t="s">
        <v>1770</v>
      </c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>
        <v>0</v>
      </c>
      <c r="P373" s="137">
        <v>1</v>
      </c>
      <c r="Q373" s="137">
        <v>1</v>
      </c>
      <c r="R373" s="137">
        <v>1</v>
      </c>
      <c r="S373" s="137">
        <v>1.5</v>
      </c>
      <c r="T373" s="137">
        <v>1</v>
      </c>
      <c r="U373" s="137">
        <v>1.2</v>
      </c>
      <c r="V373" s="137">
        <v>1.3333330000000001</v>
      </c>
      <c r="W373" s="137">
        <v>1.8</v>
      </c>
      <c r="X373" s="137">
        <v>1.8095239999999999</v>
      </c>
      <c r="Y373" s="137">
        <v>1.32</v>
      </c>
      <c r="Z373" s="137">
        <v>1.71875</v>
      </c>
      <c r="AA373" s="137">
        <v>1.1176470588235301</v>
      </c>
      <c r="AB373" s="137">
        <v>1</v>
      </c>
      <c r="AC373" s="137">
        <v>1</v>
      </c>
      <c r="AD373" s="137">
        <v>1.214286</v>
      </c>
      <c r="AE373" s="137">
        <v>1.1666669999999999</v>
      </c>
      <c r="AF373" s="137">
        <v>1.1304350000000001</v>
      </c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>
        <v>21.310642058823532</v>
      </c>
    </row>
    <row r="374" spans="2:45" outlineLevel="1">
      <c r="B374" s="1444" t="s">
        <v>1777</v>
      </c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>
        <v>0</v>
      </c>
      <c r="S374" s="137">
        <v>1.2</v>
      </c>
      <c r="T374" s="137">
        <v>1.5</v>
      </c>
      <c r="U374" s="137">
        <v>1.2222219999999999</v>
      </c>
      <c r="V374" s="137">
        <v>1.2</v>
      </c>
      <c r="W374" s="137">
        <v>1.8461540000000001</v>
      </c>
      <c r="X374" s="137">
        <v>1.5</v>
      </c>
      <c r="Y374" s="137">
        <v>1.1875</v>
      </c>
      <c r="Z374" s="137">
        <v>1.875</v>
      </c>
      <c r="AA374" s="137">
        <v>1</v>
      </c>
      <c r="AB374" s="137">
        <v>1</v>
      </c>
      <c r="AC374" s="137">
        <v>1</v>
      </c>
      <c r="AD374" s="137">
        <v>1.1666669999999999</v>
      </c>
      <c r="AE374" s="137">
        <v>1</v>
      </c>
      <c r="AF374" s="137">
        <v>0.91666700000000001</v>
      </c>
      <c r="AG374" s="137">
        <v>1.25</v>
      </c>
      <c r="AH374" s="137">
        <v>1.6666669999999999</v>
      </c>
      <c r="AI374" s="137">
        <v>1.3333330000000001</v>
      </c>
      <c r="AJ374" s="137">
        <v>1.285714</v>
      </c>
      <c r="AK374" s="137">
        <v>1.375</v>
      </c>
      <c r="AL374" s="137">
        <v>1.3333330000000001</v>
      </c>
      <c r="AM374" s="137">
        <v>0</v>
      </c>
      <c r="AN374" s="137">
        <v>1.5</v>
      </c>
      <c r="AO374" s="137">
        <v>1</v>
      </c>
      <c r="AP374" s="137">
        <v>0</v>
      </c>
      <c r="AQ374" s="137"/>
      <c r="AR374" s="137"/>
      <c r="AS374" s="137">
        <v>28.358256999999998</v>
      </c>
    </row>
    <row r="375" spans="2:45" outlineLevel="1">
      <c r="B375" s="1444" t="s">
        <v>1773</v>
      </c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>
        <v>1.75</v>
      </c>
      <c r="W375" s="137">
        <v>1.733333</v>
      </c>
      <c r="X375" s="137">
        <v>1.5416669999999999</v>
      </c>
      <c r="Y375" s="137">
        <v>1.62</v>
      </c>
      <c r="Z375" s="137">
        <v>1.774194</v>
      </c>
      <c r="AA375" s="137">
        <v>1.55</v>
      </c>
      <c r="AB375" s="137">
        <v>1.2</v>
      </c>
      <c r="AC375" s="137">
        <v>2</v>
      </c>
      <c r="AD375" s="137">
        <v>1.285714</v>
      </c>
      <c r="AE375" s="137">
        <v>1</v>
      </c>
      <c r="AF375" s="137">
        <v>1.5</v>
      </c>
      <c r="AG375" s="137">
        <v>1.181818</v>
      </c>
      <c r="AH375" s="137">
        <v>1.25</v>
      </c>
      <c r="AI375" s="137">
        <v>1.5517240000000001</v>
      </c>
      <c r="AJ375" s="137">
        <v>1.6</v>
      </c>
      <c r="AK375" s="137">
        <v>1.34375</v>
      </c>
      <c r="AL375" s="137">
        <v>1.2195119999999999</v>
      </c>
      <c r="AM375" s="137">
        <v>1.1000000000000001</v>
      </c>
      <c r="AN375" s="137">
        <v>1.1200000000000001</v>
      </c>
      <c r="AO375" s="137">
        <v>1.5161290000000001</v>
      </c>
      <c r="AP375" s="137">
        <v>1.2083330000000001</v>
      </c>
      <c r="AQ375" s="137">
        <v>1.1499999999999999</v>
      </c>
      <c r="AR375" s="137">
        <v>1.521739</v>
      </c>
      <c r="AS375" s="137">
        <v>32.717913000000003</v>
      </c>
    </row>
    <row r="376" spans="2:45" outlineLevel="1">
      <c r="B376" s="1444" t="s">
        <v>1950</v>
      </c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>
        <v>1.63</v>
      </c>
      <c r="S376" s="137">
        <v>1.1299999999999999</v>
      </c>
      <c r="T376" s="137">
        <v>2.25</v>
      </c>
      <c r="U376" s="137">
        <v>1.181818</v>
      </c>
      <c r="V376" s="137">
        <v>1.8333330000000001</v>
      </c>
      <c r="W376" s="137">
        <v>1.785714</v>
      </c>
      <c r="X376" s="137">
        <v>1.2</v>
      </c>
      <c r="Y376" s="137">
        <v>1.5</v>
      </c>
      <c r="Z376" s="137">
        <v>2.4375</v>
      </c>
      <c r="AA376" s="137">
        <v>1.8571428571428601</v>
      </c>
      <c r="AB376" s="137">
        <v>1.1666666666666701</v>
      </c>
      <c r="AC376" s="137">
        <v>1.65</v>
      </c>
      <c r="AD376" s="137">
        <v>2.3333330000000001</v>
      </c>
      <c r="AE376" s="137">
        <v>1.285714</v>
      </c>
      <c r="AF376" s="137">
        <v>0.33333299999999999</v>
      </c>
      <c r="AG376" s="137">
        <v>1.1666669999999999</v>
      </c>
      <c r="AH376" s="137">
        <v>1.5</v>
      </c>
      <c r="AI376" s="137">
        <v>1.1875</v>
      </c>
      <c r="AJ376" s="137">
        <v>1</v>
      </c>
      <c r="AK376" s="137">
        <v>1.3333330000000001</v>
      </c>
      <c r="AL376" s="137">
        <v>1.181818</v>
      </c>
      <c r="AM376" s="137">
        <v>2</v>
      </c>
      <c r="AN376" s="137">
        <v>1.714286</v>
      </c>
      <c r="AO376" s="137">
        <v>2.125</v>
      </c>
      <c r="AP376" s="137">
        <v>1</v>
      </c>
      <c r="AQ376" s="137"/>
      <c r="AR376" s="137"/>
      <c r="AS376" s="137">
        <v>37.783158523809533</v>
      </c>
    </row>
    <row r="377" spans="2:45" outlineLevel="1">
      <c r="B377" s="1444" t="s">
        <v>2054</v>
      </c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  <c r="AH377" s="137"/>
      <c r="AI377" s="137">
        <v>2</v>
      </c>
      <c r="AJ377" s="137">
        <v>1.4347829999999999</v>
      </c>
      <c r="AK377" s="137">
        <v>2.25</v>
      </c>
      <c r="AL377" s="137">
        <v>2.2340429999999998</v>
      </c>
      <c r="AM377" s="137">
        <v>1.285714</v>
      </c>
      <c r="AN377" s="137">
        <v>1.210526</v>
      </c>
      <c r="AO377" s="137">
        <v>1.7916669999999999</v>
      </c>
      <c r="AP377" s="137">
        <v>1.681818</v>
      </c>
      <c r="AQ377" s="137">
        <v>1.3207549999999999</v>
      </c>
      <c r="AR377" s="137">
        <v>2.109375</v>
      </c>
      <c r="AS377" s="137">
        <v>17.318680999999998</v>
      </c>
    </row>
    <row r="378" spans="2:45" outlineLevel="1">
      <c r="B378" s="1444" t="s">
        <v>2705</v>
      </c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>
        <v>1.5</v>
      </c>
      <c r="AP378" s="137">
        <v>1.4</v>
      </c>
      <c r="AQ378" s="137">
        <v>1.3333330000000001</v>
      </c>
      <c r="AR378" s="137">
        <v>1.3333330000000001</v>
      </c>
      <c r="AS378" s="137">
        <v>5.5666659999999997</v>
      </c>
    </row>
    <row r="379" spans="2:45" outlineLevel="1">
      <c r="B379" s="1444" t="s">
        <v>2706</v>
      </c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>
        <v>2.375</v>
      </c>
      <c r="AP379" s="137">
        <v>2.1818179999999998</v>
      </c>
      <c r="AQ379" s="137">
        <v>1.5333330000000001</v>
      </c>
      <c r="AR379" s="137">
        <v>2</v>
      </c>
      <c r="AS379" s="137">
        <v>8.0901509999999988</v>
      </c>
    </row>
    <row r="380" spans="2:45" outlineLevel="1">
      <c r="B380" s="1444" t="s">
        <v>2707</v>
      </c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>
        <v>1</v>
      </c>
      <c r="AP380" s="137">
        <v>1</v>
      </c>
      <c r="AQ380" s="137">
        <v>3</v>
      </c>
      <c r="AR380" s="137"/>
      <c r="AS380" s="137">
        <v>5</v>
      </c>
    </row>
    <row r="381" spans="2:45" outlineLevel="1">
      <c r="B381" s="1444" t="s">
        <v>2709</v>
      </c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>
        <v>1</v>
      </c>
      <c r="AP381" s="137">
        <v>1.285714</v>
      </c>
      <c r="AQ381" s="137">
        <v>1.181818</v>
      </c>
      <c r="AR381" s="137">
        <v>2.0689660000000001</v>
      </c>
      <c r="AS381" s="137">
        <v>5.5364979999999999</v>
      </c>
    </row>
    <row r="382" spans="2:45" outlineLevel="1">
      <c r="B382" s="1444" t="s">
        <v>2711</v>
      </c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>
        <v>1.5</v>
      </c>
      <c r="AP382" s="137">
        <v>1.470588</v>
      </c>
      <c r="AQ382" s="137">
        <v>1.571429</v>
      </c>
      <c r="AR382" s="137">
        <v>1.163265</v>
      </c>
      <c r="AS382" s="137">
        <v>5.7052820000000004</v>
      </c>
    </row>
    <row r="383" spans="2:45" outlineLevel="1">
      <c r="B383" s="1444" t="s">
        <v>3169</v>
      </c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>
        <v>0</v>
      </c>
      <c r="AR383" s="137">
        <v>1.181818</v>
      </c>
      <c r="AS383" s="137">
        <v>1.181818</v>
      </c>
    </row>
    <row r="384" spans="2:45" outlineLevel="1">
      <c r="B384" s="1444" t="s">
        <v>1410</v>
      </c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>
        <v>1</v>
      </c>
      <c r="AR384" s="137">
        <v>2</v>
      </c>
      <c r="AS384" s="137">
        <v>3</v>
      </c>
    </row>
    <row r="385" spans="2:45" outlineLevel="1">
      <c r="B385" s="1444" t="s">
        <v>2897</v>
      </c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>
        <v>1.45</v>
      </c>
      <c r="AR385" s="137">
        <v>2.375</v>
      </c>
      <c r="AS385" s="137">
        <v>3.8250000000000002</v>
      </c>
    </row>
    <row r="386" spans="2:45" outlineLevel="1">
      <c r="B386" s="1444" t="s">
        <v>3184</v>
      </c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>
        <v>2.08</v>
      </c>
      <c r="AR386" s="137">
        <v>2.25</v>
      </c>
      <c r="AS386" s="137">
        <v>4.33</v>
      </c>
    </row>
    <row r="387" spans="2:45" outlineLevel="1">
      <c r="B387" s="1444" t="s">
        <v>3180</v>
      </c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>
        <v>1.4</v>
      </c>
      <c r="AR387" s="137">
        <v>1</v>
      </c>
      <c r="AS387" s="137">
        <v>2.4</v>
      </c>
    </row>
    <row r="388" spans="2:45" outlineLevel="1">
      <c r="B388" s="1444" t="s">
        <v>3189</v>
      </c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>
        <v>1.625</v>
      </c>
      <c r="AR388" s="137">
        <v>1.6666669999999999</v>
      </c>
      <c r="AS388" s="137">
        <v>3.2916669999999999</v>
      </c>
    </row>
    <row r="389" spans="2:45" outlineLevel="1">
      <c r="B389" s="1444" t="s">
        <v>3190</v>
      </c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>
        <v>1.35</v>
      </c>
      <c r="AR389" s="137">
        <v>1.873418</v>
      </c>
      <c r="AS389" s="137">
        <v>3.2234180000000001</v>
      </c>
    </row>
    <row r="390" spans="2:45" outlineLevel="1">
      <c r="B390" s="1444" t="s">
        <v>3191</v>
      </c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>
        <v>1.3529409999999999</v>
      </c>
      <c r="AR390" s="137">
        <v>1.3023260000000001</v>
      </c>
      <c r="AS390" s="137">
        <v>2.6552670000000003</v>
      </c>
    </row>
    <row r="391" spans="2:45" outlineLevel="1">
      <c r="B391" s="1444" t="s">
        <v>3528</v>
      </c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>
        <v>1</v>
      </c>
      <c r="AS391" s="137">
        <v>1</v>
      </c>
    </row>
    <row r="392" spans="2:45" outlineLevel="1">
      <c r="B392" s="1444" t="s">
        <v>3529</v>
      </c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>
        <v>1.578125</v>
      </c>
      <c r="AS392" s="137">
        <v>1.578125</v>
      </c>
    </row>
    <row r="393" spans="2:45" outlineLevel="1">
      <c r="B393" s="1444" t="s">
        <v>3530</v>
      </c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>
        <v>1.8333330000000001</v>
      </c>
      <c r="AS393" s="137">
        <v>1.8333330000000001</v>
      </c>
    </row>
    <row r="394" spans="2:45" outlineLevel="1">
      <c r="B394" s="1444" t="s">
        <v>3575</v>
      </c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37"/>
      <c r="AR394" s="137">
        <v>0</v>
      </c>
      <c r="AS394" s="137">
        <v>0</v>
      </c>
    </row>
    <row r="395" spans="2:45" outlineLevel="1">
      <c r="B395" s="1444" t="s">
        <v>3519</v>
      </c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>
        <v>2</v>
      </c>
      <c r="AS395" s="137">
        <v>2</v>
      </c>
    </row>
    <row r="396" spans="2:45" outlineLevel="1">
      <c r="B396" s="1444" t="s">
        <v>3521</v>
      </c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>
        <v>1.8636360000000001</v>
      </c>
      <c r="AS396" s="137">
        <v>1.8636360000000001</v>
      </c>
    </row>
    <row r="397" spans="2:45" outlineLevel="1">
      <c r="B397" s="1444" t="s">
        <v>3523</v>
      </c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>
        <v>1.1666669999999999</v>
      </c>
      <c r="AS397" s="137">
        <v>1.1666669999999999</v>
      </c>
    </row>
    <row r="398" spans="2:45" outlineLevel="1">
      <c r="B398" s="1444" t="s">
        <v>3573</v>
      </c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>
        <v>1.181818</v>
      </c>
      <c r="AS398" s="137">
        <v>1.181818</v>
      </c>
    </row>
    <row r="399" spans="2:45" outlineLevel="1">
      <c r="B399" s="1444" t="s">
        <v>3525</v>
      </c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>
        <v>1.6666669999999999</v>
      </c>
      <c r="AS399" s="137">
        <v>1.6666669999999999</v>
      </c>
    </row>
    <row r="400" spans="2:45" outlineLevel="1">
      <c r="B400" s="1387" t="s">
        <v>274</v>
      </c>
      <c r="C400" s="1016">
        <v>2.9285714285714297</v>
      </c>
      <c r="D400" s="1016">
        <v>2.4</v>
      </c>
      <c r="E400" s="1016">
        <v>9.3249999999999993</v>
      </c>
      <c r="F400" s="1016">
        <v>10.461507936507937</v>
      </c>
      <c r="G400" s="1016">
        <v>10.51479</v>
      </c>
      <c r="H400" s="1016">
        <v>11.233189033189019</v>
      </c>
      <c r="I400" s="1016">
        <v>12.27272727272727</v>
      </c>
      <c r="J400" s="1016">
        <v>10.049999999999999</v>
      </c>
      <c r="K400" s="1016">
        <v>11.453208556149729</v>
      </c>
      <c r="L400" s="1016">
        <v>9.7564089999999997</v>
      </c>
      <c r="M400" s="1016">
        <v>12.719291999999999</v>
      </c>
      <c r="N400" s="1016">
        <v>16.64</v>
      </c>
      <c r="O400" s="1016">
        <v>11.219999999999999</v>
      </c>
      <c r="P400" s="1016">
        <v>12.91</v>
      </c>
      <c r="Q400" s="1016">
        <v>12.820000000000002</v>
      </c>
      <c r="R400" s="1016">
        <v>22.41</v>
      </c>
      <c r="S400" s="1016">
        <v>25.43</v>
      </c>
      <c r="T400" s="1016">
        <v>38.146585999999999</v>
      </c>
      <c r="U400" s="1016">
        <v>42.45958000000001</v>
      </c>
      <c r="V400" s="1016">
        <v>46.472221000000019</v>
      </c>
      <c r="W400" s="1016">
        <v>52.851165999999999</v>
      </c>
      <c r="X400" s="1016">
        <v>50.225337999999994</v>
      </c>
      <c r="Y400" s="1016">
        <v>55.909747000000003</v>
      </c>
      <c r="Z400" s="1016">
        <v>77.940601000000001</v>
      </c>
      <c r="AA400" s="1016">
        <v>45.847476609155251</v>
      </c>
      <c r="AB400" s="1016">
        <v>51.281520625289964</v>
      </c>
      <c r="AC400" s="1016">
        <v>65.968465951352883</v>
      </c>
      <c r="AD400" s="1016">
        <v>66.790476999999996</v>
      </c>
      <c r="AE400" s="1016">
        <v>61.124395999999997</v>
      </c>
      <c r="AF400" s="1016">
        <v>61.159389000000019</v>
      </c>
      <c r="AG400" s="1016">
        <v>67.787428000000006</v>
      </c>
      <c r="AH400" s="1016">
        <v>58.286098999999986</v>
      </c>
      <c r="AI400" s="1016">
        <v>69.993662</v>
      </c>
      <c r="AJ400" s="1016">
        <v>65.360151999999985</v>
      </c>
      <c r="AK400" s="1016">
        <v>87.366212999999973</v>
      </c>
      <c r="AL400" s="1016">
        <v>90.378854000000004</v>
      </c>
      <c r="AM400" s="1016">
        <v>64.114058</v>
      </c>
      <c r="AN400" s="1016">
        <v>57.738901000000006</v>
      </c>
      <c r="AO400" s="1016">
        <v>86.327347000000003</v>
      </c>
      <c r="AP400" s="1016">
        <v>76.684536000000008</v>
      </c>
      <c r="AQ400" s="1016">
        <v>73.864245999999994</v>
      </c>
      <c r="AR400" s="1016">
        <v>79.330748</v>
      </c>
      <c r="AS400" s="1016">
        <v>1797.9539034129434</v>
      </c>
    </row>
    <row r="401" spans="2:42" outlineLevel="1">
      <c r="B401" s="1387"/>
    </row>
    <row r="402" spans="2:42" outlineLevel="1">
      <c r="B402" s="1387"/>
    </row>
    <row r="403" spans="2:42" outlineLevel="1">
      <c r="B403" s="1387"/>
    </row>
    <row r="404" spans="2:42" outlineLevel="1">
      <c r="B404" s="1387"/>
    </row>
    <row r="405" spans="2:42" outlineLevel="1">
      <c r="B405" s="1387"/>
    </row>
    <row r="406" spans="2:42" outlineLevel="1">
      <c r="B406" s="1387"/>
    </row>
    <row r="407" spans="2:42" outlineLevel="1">
      <c r="B407" s="1387"/>
    </row>
    <row r="408" spans="2:42" outlineLevel="1">
      <c r="B408" s="1387"/>
    </row>
    <row r="409" spans="2:42" outlineLevel="1">
      <c r="B409" s="1387"/>
    </row>
    <row r="410" spans="2:42" outlineLevel="1">
      <c r="B410" s="1444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</row>
    <row r="411" spans="2:42" outlineLevel="1">
      <c r="B411" s="1444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  <c r="AH411" s="137"/>
      <c r="AI411" s="137"/>
      <c r="AJ411" s="137"/>
      <c r="AK411" s="137"/>
      <c r="AL411" s="137"/>
      <c r="AM411" s="137"/>
      <c r="AN411" s="137"/>
      <c r="AO411" s="137"/>
      <c r="AP411" s="137"/>
    </row>
    <row r="412" spans="2:42" outlineLevel="1">
      <c r="B412" s="1444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</row>
    <row r="413" spans="2:42" outlineLevel="1">
      <c r="B413" s="1444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</row>
    <row r="414" spans="2:42" outlineLevel="1">
      <c r="B414" s="1444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</row>
    <row r="415" spans="2:42" outlineLevel="1">
      <c r="B415" s="1444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</row>
    <row r="416" spans="2:42" outlineLevel="1">
      <c r="B416" s="1444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</row>
    <row r="417" spans="2:45" outlineLevel="1">
      <c r="B417" s="1444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</row>
    <row r="418" spans="2:45" outlineLevel="1">
      <c r="B418" s="1444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</row>
    <row r="419" spans="2:45" outlineLevel="1">
      <c r="B419" s="1488" t="s">
        <v>387</v>
      </c>
      <c r="C419" s="1487" t="s">
        <v>275</v>
      </c>
    </row>
    <row r="420" spans="2:45" outlineLevel="1">
      <c r="B420" s="1487" t="s">
        <v>253</v>
      </c>
      <c r="C420" s="1016">
        <v>201301</v>
      </c>
      <c r="D420" s="1016">
        <v>201302</v>
      </c>
      <c r="E420" s="1016">
        <v>201303</v>
      </c>
      <c r="F420" s="1016">
        <v>201304</v>
      </c>
      <c r="G420" s="1016">
        <v>201305</v>
      </c>
      <c r="H420" s="1016">
        <v>201306</v>
      </c>
      <c r="I420" s="1016">
        <v>201307</v>
      </c>
      <c r="J420" s="1016">
        <v>201308</v>
      </c>
      <c r="K420" s="1016">
        <v>201309</v>
      </c>
      <c r="L420" s="1016">
        <v>201310</v>
      </c>
      <c r="M420" s="1016">
        <v>201311</v>
      </c>
      <c r="N420" s="1016">
        <v>201312</v>
      </c>
      <c r="O420" s="1016">
        <v>201401</v>
      </c>
      <c r="P420" s="1016">
        <v>201402</v>
      </c>
      <c r="Q420" s="1016">
        <v>201403</v>
      </c>
      <c r="R420" s="1016">
        <v>201404</v>
      </c>
      <c r="S420" s="1016">
        <v>201405</v>
      </c>
      <c r="T420" s="1016">
        <v>201406</v>
      </c>
      <c r="U420" s="1016">
        <v>201407</v>
      </c>
      <c r="V420" s="1016">
        <v>201408</v>
      </c>
      <c r="W420" s="1016">
        <v>201409</v>
      </c>
      <c r="X420" s="1016">
        <v>201410</v>
      </c>
      <c r="Y420" s="1016">
        <v>201411</v>
      </c>
      <c r="Z420" s="1016">
        <v>201412</v>
      </c>
      <c r="AA420" s="1016">
        <v>201501</v>
      </c>
      <c r="AB420" s="1016">
        <v>201502</v>
      </c>
      <c r="AC420" s="1016">
        <v>201503</v>
      </c>
      <c r="AD420" s="1016">
        <v>201504</v>
      </c>
      <c r="AE420" s="1016">
        <v>201505</v>
      </c>
      <c r="AF420" s="1016">
        <v>201506</v>
      </c>
      <c r="AG420" s="1016">
        <v>201507</v>
      </c>
      <c r="AH420" s="1016">
        <v>201508</v>
      </c>
      <c r="AI420" s="1016">
        <v>201509</v>
      </c>
      <c r="AJ420" s="1016">
        <v>201510</v>
      </c>
      <c r="AK420" s="1016">
        <v>201511</v>
      </c>
      <c r="AL420" s="1016">
        <v>201512</v>
      </c>
      <c r="AM420" s="1016">
        <v>201601</v>
      </c>
      <c r="AN420" s="1016">
        <v>201602</v>
      </c>
      <c r="AO420" s="1016">
        <v>201603</v>
      </c>
      <c r="AP420" s="1016">
        <v>201604</v>
      </c>
      <c r="AQ420" s="1016">
        <v>201605</v>
      </c>
      <c r="AR420" s="1016">
        <v>201606</v>
      </c>
      <c r="AS420" s="1016" t="s">
        <v>274</v>
      </c>
    </row>
    <row r="421" spans="2:45" outlineLevel="1">
      <c r="B421" s="1387" t="s">
        <v>191</v>
      </c>
      <c r="E421" s="1016">
        <v>3</v>
      </c>
      <c r="F421" s="1016">
        <v>17</v>
      </c>
      <c r="G421" s="1016">
        <v>27</v>
      </c>
      <c r="H421" s="1016">
        <v>40</v>
      </c>
      <c r="I421" s="1016">
        <v>50</v>
      </c>
      <c r="J421" s="1016">
        <v>58</v>
      </c>
      <c r="K421" s="1016">
        <v>64</v>
      </c>
      <c r="L421" s="1016">
        <v>64</v>
      </c>
      <c r="M421" s="1016">
        <v>60</v>
      </c>
      <c r="N421" s="1016">
        <v>105</v>
      </c>
      <c r="O421" s="1016">
        <v>108</v>
      </c>
      <c r="P421" s="1016">
        <v>103</v>
      </c>
      <c r="Q421" s="1016">
        <v>94</v>
      </c>
      <c r="R421" s="1016">
        <v>88</v>
      </c>
      <c r="S421" s="1016">
        <v>69</v>
      </c>
      <c r="T421" s="1016">
        <v>88</v>
      </c>
      <c r="U421" s="1016">
        <v>82</v>
      </c>
      <c r="V421" s="1016">
        <v>102</v>
      </c>
      <c r="W421" s="1016">
        <v>116</v>
      </c>
      <c r="X421" s="1016">
        <v>117</v>
      </c>
      <c r="Y421" s="1016">
        <v>131</v>
      </c>
      <c r="Z421" s="1016">
        <v>145</v>
      </c>
      <c r="AA421" s="1016">
        <v>184</v>
      </c>
      <c r="AB421" s="1016">
        <v>185</v>
      </c>
      <c r="AC421" s="1016">
        <v>215</v>
      </c>
      <c r="AD421" s="1016">
        <v>241</v>
      </c>
      <c r="AE421" s="1016">
        <v>218</v>
      </c>
      <c r="AF421" s="1016">
        <v>212</v>
      </c>
      <c r="AG421" s="1016">
        <v>174</v>
      </c>
      <c r="AH421" s="1016">
        <v>136</v>
      </c>
      <c r="AI421" s="1016">
        <v>132</v>
      </c>
      <c r="AJ421" s="1016">
        <v>126</v>
      </c>
      <c r="AK421" s="1016">
        <v>154</v>
      </c>
      <c r="AL421" s="1016">
        <v>161</v>
      </c>
      <c r="AM421" s="1016">
        <v>169</v>
      </c>
      <c r="AN421" s="1016">
        <v>143</v>
      </c>
      <c r="AO421" s="1016">
        <v>139</v>
      </c>
      <c r="AP421" s="1016">
        <v>145</v>
      </c>
      <c r="AQ421" s="1016">
        <v>223</v>
      </c>
      <c r="AR421" s="1016">
        <v>357</v>
      </c>
      <c r="AS421" s="1016">
        <v>5045</v>
      </c>
    </row>
    <row r="422" spans="2:45" outlineLevel="1">
      <c r="B422" s="1387" t="s">
        <v>189</v>
      </c>
      <c r="E422" s="1016">
        <v>9</v>
      </c>
      <c r="F422" s="1016">
        <v>25</v>
      </c>
      <c r="G422" s="1016">
        <v>36</v>
      </c>
      <c r="H422" s="1016">
        <v>46</v>
      </c>
      <c r="I422" s="1016">
        <v>55</v>
      </c>
      <c r="J422" s="1016">
        <v>56</v>
      </c>
      <c r="K422" s="1016">
        <v>64</v>
      </c>
      <c r="L422" s="1016">
        <v>72</v>
      </c>
      <c r="M422" s="1016">
        <v>85</v>
      </c>
      <c r="N422" s="1016">
        <v>103</v>
      </c>
      <c r="O422" s="1016">
        <v>105</v>
      </c>
      <c r="P422" s="1016">
        <v>96</v>
      </c>
      <c r="Q422" s="1016">
        <v>99</v>
      </c>
      <c r="R422" s="1016">
        <v>123</v>
      </c>
      <c r="S422" s="1016">
        <v>129</v>
      </c>
      <c r="T422" s="1016">
        <v>124</v>
      </c>
      <c r="U422" s="1016">
        <v>125</v>
      </c>
      <c r="V422" s="1016">
        <v>114</v>
      </c>
      <c r="W422" s="1016">
        <v>109</v>
      </c>
      <c r="X422" s="1016">
        <v>63</v>
      </c>
      <c r="Y422" s="1016">
        <v>79</v>
      </c>
      <c r="Z422" s="1016">
        <v>92</v>
      </c>
      <c r="AA422" s="1016">
        <v>105</v>
      </c>
      <c r="AB422" s="1016">
        <v>102</v>
      </c>
      <c r="AC422" s="1016">
        <v>111</v>
      </c>
      <c r="AD422" s="1016">
        <v>142</v>
      </c>
      <c r="AE422" s="1016">
        <v>83</v>
      </c>
      <c r="AF422" s="1016">
        <v>89</v>
      </c>
      <c r="AG422" s="1016">
        <v>84</v>
      </c>
      <c r="AH422" s="1016">
        <v>92</v>
      </c>
      <c r="AI422" s="1016">
        <v>87</v>
      </c>
      <c r="AJ422" s="1016">
        <v>76</v>
      </c>
      <c r="AK422" s="1016">
        <v>69</v>
      </c>
      <c r="AL422" s="1016">
        <v>68</v>
      </c>
      <c r="AM422" s="1016">
        <v>71</v>
      </c>
      <c r="AN422" s="1016">
        <v>76</v>
      </c>
      <c r="AO422" s="1016">
        <v>76</v>
      </c>
      <c r="AP422" s="1016">
        <v>77</v>
      </c>
      <c r="AQ422" s="1016">
        <v>76</v>
      </c>
      <c r="AS422" s="1016">
        <v>3293</v>
      </c>
    </row>
    <row r="423" spans="2:45" outlineLevel="1">
      <c r="B423" s="1387" t="s">
        <v>192</v>
      </c>
      <c r="E423" s="1016">
        <v>2</v>
      </c>
      <c r="F423" s="1016">
        <v>13</v>
      </c>
      <c r="G423" s="1016">
        <v>33</v>
      </c>
      <c r="H423" s="1016">
        <v>44</v>
      </c>
      <c r="I423" s="1016">
        <v>44</v>
      </c>
      <c r="J423" s="1016">
        <v>49</v>
      </c>
      <c r="K423" s="1016">
        <v>66</v>
      </c>
      <c r="L423" s="1016">
        <v>75</v>
      </c>
      <c r="M423" s="1016">
        <v>90</v>
      </c>
      <c r="N423" s="1016">
        <v>101</v>
      </c>
      <c r="O423" s="1016">
        <v>82</v>
      </c>
      <c r="P423" s="1016">
        <v>79</v>
      </c>
      <c r="Q423" s="1016">
        <v>63</v>
      </c>
      <c r="R423" s="1016">
        <v>66</v>
      </c>
      <c r="S423" s="1016">
        <v>61</v>
      </c>
      <c r="AS423" s="1016">
        <v>868</v>
      </c>
    </row>
    <row r="424" spans="2:45" outlineLevel="1">
      <c r="B424" s="1387" t="s">
        <v>194</v>
      </c>
      <c r="F424" s="1016">
        <v>15</v>
      </c>
      <c r="G424" s="1016">
        <v>28</v>
      </c>
      <c r="H424" s="1016">
        <v>32</v>
      </c>
      <c r="I424" s="1016">
        <v>36</v>
      </c>
      <c r="J424" s="1016">
        <v>39</v>
      </c>
      <c r="K424" s="1016">
        <v>41</v>
      </c>
      <c r="L424" s="1016">
        <v>43</v>
      </c>
      <c r="M424" s="1016">
        <v>47</v>
      </c>
      <c r="N424" s="1016">
        <v>56</v>
      </c>
      <c r="O424" s="1016">
        <v>52</v>
      </c>
      <c r="P424" s="1016">
        <v>62</v>
      </c>
      <c r="Q424" s="1016">
        <v>63</v>
      </c>
      <c r="R424" s="1016">
        <v>68</v>
      </c>
      <c r="S424" s="1016">
        <v>68</v>
      </c>
      <c r="T424" s="1016">
        <v>66</v>
      </c>
      <c r="U424" s="1016">
        <v>50</v>
      </c>
      <c r="V424" s="1016">
        <v>58</v>
      </c>
      <c r="W424" s="1016">
        <v>58</v>
      </c>
      <c r="X424" s="1016">
        <v>59</v>
      </c>
      <c r="Y424" s="1016">
        <v>63</v>
      </c>
      <c r="Z424" s="1016">
        <v>53</v>
      </c>
      <c r="AA424" s="1016">
        <v>52</v>
      </c>
      <c r="AB424" s="1016">
        <v>43</v>
      </c>
      <c r="AC424" s="1016">
        <v>46</v>
      </c>
      <c r="AD424" s="1016">
        <v>53</v>
      </c>
      <c r="AE424" s="1016">
        <v>56</v>
      </c>
      <c r="AF424" s="1016">
        <v>69</v>
      </c>
      <c r="AG424" s="1016">
        <v>57</v>
      </c>
      <c r="AH424" s="1016">
        <v>62</v>
      </c>
      <c r="AI424" s="1016">
        <v>58</v>
      </c>
      <c r="AJ424" s="1016">
        <v>79</v>
      </c>
      <c r="AK424" s="1016">
        <v>75</v>
      </c>
      <c r="AL424" s="1016">
        <v>79</v>
      </c>
      <c r="AM424" s="1016">
        <v>79</v>
      </c>
      <c r="AN424" s="1016">
        <v>80</v>
      </c>
      <c r="AO424" s="1016">
        <v>74</v>
      </c>
      <c r="AP424" s="1016">
        <v>72</v>
      </c>
      <c r="AQ424" s="1016">
        <v>69</v>
      </c>
      <c r="AR424" s="1016">
        <v>0</v>
      </c>
      <c r="AS424" s="1016">
        <v>2160</v>
      </c>
    </row>
    <row r="425" spans="2:45" outlineLevel="1">
      <c r="B425" s="1387" t="s">
        <v>190</v>
      </c>
      <c r="E425" s="1016">
        <v>2</v>
      </c>
      <c r="F425" s="1016">
        <v>15</v>
      </c>
      <c r="G425" s="1016">
        <v>17</v>
      </c>
      <c r="H425" s="1016">
        <v>27</v>
      </c>
      <c r="I425" s="1016">
        <v>33</v>
      </c>
      <c r="J425" s="1016">
        <v>39</v>
      </c>
      <c r="K425" s="1016">
        <v>45</v>
      </c>
      <c r="L425" s="1016">
        <v>56</v>
      </c>
      <c r="M425" s="1016">
        <v>59</v>
      </c>
      <c r="N425" s="1016">
        <v>66</v>
      </c>
      <c r="O425" s="1016">
        <v>69</v>
      </c>
      <c r="P425" s="1016">
        <v>61</v>
      </c>
      <c r="Q425" s="1016">
        <v>59</v>
      </c>
      <c r="R425" s="1016">
        <v>69</v>
      </c>
      <c r="S425" s="1016">
        <v>72</v>
      </c>
      <c r="T425" s="1016">
        <v>62</v>
      </c>
      <c r="U425" s="1016">
        <v>58</v>
      </c>
      <c r="V425" s="1016">
        <v>60</v>
      </c>
      <c r="W425" s="1016">
        <v>54</v>
      </c>
      <c r="X425" s="1016">
        <v>63</v>
      </c>
      <c r="Y425" s="1016">
        <v>50</v>
      </c>
      <c r="Z425" s="1016">
        <v>48</v>
      </c>
      <c r="AA425" s="1016">
        <v>50</v>
      </c>
      <c r="AB425" s="1016">
        <v>50</v>
      </c>
      <c r="AC425" s="1016">
        <v>49</v>
      </c>
      <c r="AD425" s="1016">
        <v>52</v>
      </c>
      <c r="AE425" s="1016">
        <v>49</v>
      </c>
      <c r="AF425" s="1016">
        <v>50</v>
      </c>
      <c r="AG425" s="1016">
        <v>59</v>
      </c>
      <c r="AH425" s="1016">
        <v>69</v>
      </c>
      <c r="AI425" s="1016">
        <v>79</v>
      </c>
      <c r="AJ425" s="1016">
        <v>78</v>
      </c>
      <c r="AK425" s="1016">
        <v>97</v>
      </c>
      <c r="AL425" s="1016">
        <v>102</v>
      </c>
      <c r="AM425" s="1016">
        <v>115</v>
      </c>
      <c r="AN425" s="1016">
        <v>117</v>
      </c>
      <c r="AO425" s="1016">
        <v>129</v>
      </c>
      <c r="AP425" s="1016">
        <v>143</v>
      </c>
      <c r="AS425" s="1016">
        <v>2372</v>
      </c>
    </row>
    <row r="426" spans="2:45" outlineLevel="1">
      <c r="B426" s="1387" t="s">
        <v>92</v>
      </c>
      <c r="C426" s="1016">
        <v>15</v>
      </c>
      <c r="D426" s="1016">
        <v>16</v>
      </c>
      <c r="E426" s="1016">
        <v>26</v>
      </c>
      <c r="F426" s="1016">
        <v>27</v>
      </c>
      <c r="G426" s="1016">
        <v>35</v>
      </c>
      <c r="H426" s="1016">
        <v>47</v>
      </c>
      <c r="I426" s="1016">
        <v>43</v>
      </c>
      <c r="J426" s="1016">
        <v>53</v>
      </c>
      <c r="K426" s="1016">
        <v>70</v>
      </c>
      <c r="L426" s="1016">
        <v>76</v>
      </c>
      <c r="M426" s="1016">
        <v>90</v>
      </c>
      <c r="N426" s="1016">
        <v>103</v>
      </c>
      <c r="O426" s="1016">
        <v>106</v>
      </c>
      <c r="P426" s="1016">
        <v>101</v>
      </c>
      <c r="Q426" s="1016">
        <v>115</v>
      </c>
      <c r="R426" s="1016">
        <v>132</v>
      </c>
      <c r="S426" s="1016">
        <v>126</v>
      </c>
      <c r="T426" s="1016">
        <v>104</v>
      </c>
      <c r="U426" s="1016">
        <v>105</v>
      </c>
      <c r="V426" s="1016">
        <v>109</v>
      </c>
      <c r="W426" s="1016">
        <v>113</v>
      </c>
      <c r="X426" s="1016">
        <v>113</v>
      </c>
      <c r="Y426" s="1016">
        <v>107</v>
      </c>
      <c r="Z426" s="1016">
        <v>112</v>
      </c>
      <c r="AA426" s="1016">
        <v>118</v>
      </c>
      <c r="AB426" s="1016">
        <v>116</v>
      </c>
      <c r="AC426" s="1016">
        <v>107</v>
      </c>
      <c r="AD426" s="1016">
        <v>91</v>
      </c>
      <c r="AE426" s="1016">
        <v>81</v>
      </c>
      <c r="AF426" s="1016">
        <v>86</v>
      </c>
      <c r="AG426" s="1016">
        <v>107</v>
      </c>
      <c r="AH426" s="1016">
        <v>106</v>
      </c>
      <c r="AI426" s="1016">
        <v>103</v>
      </c>
      <c r="AJ426" s="1016">
        <v>112</v>
      </c>
      <c r="AK426" s="1016">
        <v>109</v>
      </c>
      <c r="AL426" s="1016">
        <v>112</v>
      </c>
      <c r="AM426" s="1016">
        <v>113</v>
      </c>
      <c r="AN426" s="1016">
        <v>114</v>
      </c>
      <c r="AO426" s="1016">
        <v>122</v>
      </c>
      <c r="AP426" s="1016">
        <v>119</v>
      </c>
      <c r="AQ426" s="1016">
        <v>127</v>
      </c>
      <c r="AS426" s="1016">
        <v>3787</v>
      </c>
    </row>
    <row r="427" spans="2:45" outlineLevel="1">
      <c r="B427" s="1387" t="s">
        <v>17</v>
      </c>
      <c r="C427" s="1016">
        <v>29</v>
      </c>
      <c r="D427" s="1016">
        <v>29</v>
      </c>
      <c r="E427" s="1016">
        <v>33</v>
      </c>
      <c r="F427" s="1016">
        <v>34</v>
      </c>
      <c r="G427" s="1016">
        <v>37</v>
      </c>
      <c r="H427" s="1016">
        <v>49</v>
      </c>
      <c r="I427" s="1016">
        <v>50</v>
      </c>
      <c r="J427" s="1016">
        <v>48</v>
      </c>
      <c r="K427" s="1016">
        <v>45</v>
      </c>
      <c r="L427" s="1016">
        <v>45</v>
      </c>
      <c r="M427" s="1016">
        <v>44</v>
      </c>
      <c r="N427" s="1016">
        <v>53</v>
      </c>
      <c r="O427" s="1016">
        <v>96</v>
      </c>
      <c r="P427" s="1016">
        <v>96</v>
      </c>
      <c r="Q427" s="1016">
        <v>99</v>
      </c>
      <c r="R427" s="1016">
        <v>107</v>
      </c>
      <c r="S427" s="1016">
        <v>113</v>
      </c>
      <c r="T427" s="1016">
        <v>95</v>
      </c>
      <c r="U427" s="1016">
        <v>86</v>
      </c>
      <c r="V427" s="1016">
        <v>84</v>
      </c>
      <c r="W427" s="1016">
        <v>82</v>
      </c>
      <c r="X427" s="1016">
        <v>76</v>
      </c>
      <c r="Y427" s="1016">
        <v>74</v>
      </c>
      <c r="Z427" s="1016">
        <v>80</v>
      </c>
      <c r="AA427" s="1016">
        <v>73</v>
      </c>
      <c r="AB427" s="1016">
        <v>70</v>
      </c>
      <c r="AC427" s="1016">
        <v>73</v>
      </c>
      <c r="AD427" s="1016">
        <v>65</v>
      </c>
      <c r="AE427" s="1016">
        <v>54</v>
      </c>
      <c r="AF427" s="1016">
        <v>51</v>
      </c>
      <c r="AG427" s="1016">
        <v>50</v>
      </c>
      <c r="AH427" s="1016">
        <v>48</v>
      </c>
      <c r="AI427" s="1016">
        <v>48</v>
      </c>
      <c r="AJ427" s="1016">
        <v>43</v>
      </c>
      <c r="AK427" s="1016">
        <v>42</v>
      </c>
      <c r="AL427" s="1016">
        <v>42</v>
      </c>
      <c r="AM427" s="1016">
        <v>42</v>
      </c>
      <c r="AN427" s="1016">
        <v>43</v>
      </c>
      <c r="AO427" s="1016">
        <v>46</v>
      </c>
      <c r="AP427" s="1016">
        <v>45</v>
      </c>
      <c r="AQ427" s="1016">
        <v>45</v>
      </c>
      <c r="AR427" s="1016">
        <v>44</v>
      </c>
      <c r="AS427" s="1016">
        <v>2508</v>
      </c>
    </row>
    <row r="428" spans="2:45" outlineLevel="1">
      <c r="B428" s="1387" t="s">
        <v>188</v>
      </c>
      <c r="E428" s="1016">
        <v>10</v>
      </c>
      <c r="F428" s="1016">
        <v>23</v>
      </c>
      <c r="G428" s="1016">
        <v>37</v>
      </c>
      <c r="H428" s="1016">
        <v>45</v>
      </c>
      <c r="I428" s="1016">
        <v>49</v>
      </c>
      <c r="J428" s="1016">
        <v>57</v>
      </c>
      <c r="K428" s="1016">
        <v>66</v>
      </c>
      <c r="L428" s="1016">
        <v>76</v>
      </c>
      <c r="M428" s="1016">
        <v>83</v>
      </c>
      <c r="N428" s="1016">
        <v>101</v>
      </c>
      <c r="O428" s="1016">
        <v>96</v>
      </c>
      <c r="P428" s="1016">
        <v>78</v>
      </c>
      <c r="Q428" s="1016">
        <v>73</v>
      </c>
      <c r="R428" s="1016">
        <v>79</v>
      </c>
      <c r="S428" s="1016">
        <v>90</v>
      </c>
      <c r="T428" s="1016">
        <v>76</v>
      </c>
      <c r="U428" s="1016">
        <v>75</v>
      </c>
      <c r="V428" s="1016">
        <v>90</v>
      </c>
      <c r="W428" s="1016">
        <v>100</v>
      </c>
      <c r="X428" s="1016">
        <v>166</v>
      </c>
      <c r="Y428" s="1016">
        <v>174</v>
      </c>
      <c r="Z428" s="1016">
        <v>177</v>
      </c>
      <c r="AA428" s="1016">
        <v>177</v>
      </c>
      <c r="AB428" s="1016">
        <v>176</v>
      </c>
      <c r="AC428" s="1016">
        <v>169</v>
      </c>
      <c r="AD428" s="1016">
        <v>174</v>
      </c>
      <c r="AE428" s="1016">
        <v>165</v>
      </c>
      <c r="AF428" s="1016">
        <v>168</v>
      </c>
      <c r="AG428" s="1016">
        <v>153</v>
      </c>
      <c r="AH428" s="1016">
        <v>137</v>
      </c>
      <c r="AI428" s="1016">
        <v>160</v>
      </c>
      <c r="AJ428" s="1016">
        <v>178</v>
      </c>
      <c r="AK428" s="1016">
        <v>210</v>
      </c>
      <c r="AL428" s="1016">
        <v>251</v>
      </c>
      <c r="AM428" s="1016">
        <v>253</v>
      </c>
      <c r="AN428" s="1016">
        <v>216</v>
      </c>
      <c r="AO428" s="1016">
        <v>204</v>
      </c>
      <c r="AP428" s="1016">
        <v>209</v>
      </c>
      <c r="AS428" s="1016">
        <v>4821</v>
      </c>
    </row>
    <row r="429" spans="2:45" outlineLevel="1">
      <c r="B429" s="1387" t="s">
        <v>381</v>
      </c>
      <c r="I429" s="1016">
        <v>5</v>
      </c>
      <c r="J429" s="1016">
        <v>5</v>
      </c>
      <c r="K429" s="1016">
        <v>2</v>
      </c>
      <c r="N429" s="1016">
        <v>2</v>
      </c>
      <c r="O429" s="1016">
        <v>2</v>
      </c>
      <c r="P429" s="1016">
        <v>2</v>
      </c>
      <c r="S429" s="1016">
        <v>11</v>
      </c>
      <c r="T429" s="1016">
        <v>36</v>
      </c>
      <c r="U429" s="1016">
        <v>43</v>
      </c>
      <c r="V429" s="1016">
        <v>54</v>
      </c>
      <c r="W429" s="1016">
        <v>59</v>
      </c>
      <c r="X429" s="1016">
        <v>74</v>
      </c>
      <c r="Y429" s="1016">
        <v>70</v>
      </c>
      <c r="Z429" s="1016">
        <v>68</v>
      </c>
      <c r="AA429" s="1016">
        <v>78</v>
      </c>
      <c r="AB429" s="1016">
        <v>89</v>
      </c>
      <c r="AC429" s="1016">
        <v>85</v>
      </c>
      <c r="AD429" s="1016">
        <v>86</v>
      </c>
      <c r="AE429" s="1016">
        <v>56</v>
      </c>
      <c r="AF429" s="1016">
        <v>47</v>
      </c>
      <c r="AG429" s="1016">
        <v>12</v>
      </c>
      <c r="AH429" s="1016">
        <v>0</v>
      </c>
      <c r="AI429" s="1016">
        <v>0</v>
      </c>
      <c r="AJ429" s="1016">
        <v>0</v>
      </c>
      <c r="AS429" s="1016">
        <v>886</v>
      </c>
    </row>
    <row r="430" spans="2:45" outlineLevel="1">
      <c r="B430" s="1387"/>
      <c r="L430" s="1016">
        <v>2</v>
      </c>
      <c r="M430" s="1016">
        <v>2</v>
      </c>
      <c r="AS430" s="1016">
        <v>4</v>
      </c>
    </row>
    <row r="431" spans="2:45" outlineLevel="1">
      <c r="B431" s="1387" t="s">
        <v>461</v>
      </c>
      <c r="M431" s="1016">
        <v>5</v>
      </c>
      <c r="N431" s="1016">
        <v>8</v>
      </c>
      <c r="O431" s="1016">
        <v>11</v>
      </c>
      <c r="P431" s="1016">
        <v>14</v>
      </c>
      <c r="AS431" s="1016">
        <v>38</v>
      </c>
    </row>
    <row r="432" spans="2:45" outlineLevel="1">
      <c r="B432" s="1387" t="s">
        <v>483</v>
      </c>
      <c r="N432" s="1016">
        <v>10</v>
      </c>
      <c r="O432" s="1016">
        <v>10</v>
      </c>
      <c r="P432" s="1016">
        <v>13</v>
      </c>
      <c r="Q432" s="1016">
        <v>18</v>
      </c>
      <c r="R432" s="1016">
        <v>31</v>
      </c>
      <c r="S432" s="1016">
        <v>42</v>
      </c>
      <c r="T432" s="1016">
        <v>41</v>
      </c>
      <c r="U432" s="1016">
        <v>43</v>
      </c>
      <c r="V432" s="1016">
        <v>49</v>
      </c>
      <c r="W432" s="1016">
        <v>57</v>
      </c>
      <c r="X432" s="1016">
        <v>55</v>
      </c>
      <c r="Y432" s="1016">
        <v>63</v>
      </c>
      <c r="Z432" s="1016">
        <v>81</v>
      </c>
      <c r="AA432" s="1016">
        <v>94</v>
      </c>
      <c r="AB432" s="1016">
        <v>91</v>
      </c>
      <c r="AC432" s="1016">
        <v>94</v>
      </c>
      <c r="AD432" s="1016">
        <v>91</v>
      </c>
      <c r="AE432" s="1016">
        <v>79</v>
      </c>
      <c r="AF432" s="1016">
        <v>78</v>
      </c>
      <c r="AG432" s="1016">
        <v>76</v>
      </c>
      <c r="AH432" s="1016">
        <v>69</v>
      </c>
      <c r="AI432" s="1016">
        <v>67</v>
      </c>
      <c r="AJ432" s="1016">
        <v>61</v>
      </c>
      <c r="AK432" s="1016">
        <v>59</v>
      </c>
      <c r="AL432" s="1016">
        <v>60</v>
      </c>
      <c r="AM432" s="1016">
        <v>60</v>
      </c>
      <c r="AN432" s="1016">
        <v>0</v>
      </c>
      <c r="AO432" s="1016">
        <v>0</v>
      </c>
      <c r="AP432" s="1016">
        <v>0</v>
      </c>
      <c r="AS432" s="1016">
        <v>1492</v>
      </c>
    </row>
    <row r="433" spans="2:45" outlineLevel="1">
      <c r="B433" s="1387" t="s">
        <v>629</v>
      </c>
      <c r="Q433" s="1016">
        <v>22</v>
      </c>
      <c r="R433" s="1016">
        <v>41</v>
      </c>
      <c r="S433" s="1016">
        <v>48</v>
      </c>
      <c r="T433" s="1016">
        <v>69</v>
      </c>
      <c r="U433" s="1016">
        <v>68</v>
      </c>
      <c r="V433" s="1016">
        <v>66</v>
      </c>
      <c r="W433" s="1016">
        <v>65</v>
      </c>
      <c r="X433" s="1016">
        <v>61</v>
      </c>
      <c r="Y433" s="1016">
        <v>63</v>
      </c>
      <c r="Z433" s="1016">
        <v>64</v>
      </c>
      <c r="AA433" s="1016">
        <v>67</v>
      </c>
      <c r="AB433" s="1016">
        <v>65</v>
      </c>
      <c r="AC433" s="1016">
        <v>66</v>
      </c>
      <c r="AD433" s="1016">
        <v>64</v>
      </c>
      <c r="AE433" s="1016">
        <v>62</v>
      </c>
      <c r="AF433" s="1016">
        <v>53</v>
      </c>
      <c r="AG433" s="1016">
        <v>47</v>
      </c>
      <c r="AH433" s="1016">
        <v>47</v>
      </c>
      <c r="AI433" s="1016">
        <v>46</v>
      </c>
      <c r="AJ433" s="1016">
        <v>44</v>
      </c>
      <c r="AK433" s="1016">
        <v>52</v>
      </c>
      <c r="AL433" s="1016">
        <v>52</v>
      </c>
      <c r="AM433" s="1016">
        <v>54</v>
      </c>
      <c r="AN433" s="1016">
        <v>52</v>
      </c>
      <c r="AO433" s="1016">
        <v>55</v>
      </c>
      <c r="AP433" s="1016">
        <v>56</v>
      </c>
      <c r="AS433" s="1016">
        <v>1449</v>
      </c>
    </row>
    <row r="434" spans="2:45" outlineLevel="1">
      <c r="B434" s="1387" t="s">
        <v>645</v>
      </c>
      <c r="R434" s="1016">
        <v>16</v>
      </c>
      <c r="S434" s="1016">
        <v>22</v>
      </c>
      <c r="T434" s="1016">
        <v>27</v>
      </c>
      <c r="U434" s="1016">
        <v>37</v>
      </c>
      <c r="V434" s="1016">
        <v>38</v>
      </c>
      <c r="W434" s="1016">
        <v>39</v>
      </c>
      <c r="X434" s="1016">
        <v>40</v>
      </c>
      <c r="Y434" s="1016">
        <v>52</v>
      </c>
      <c r="Z434" s="1016">
        <v>56</v>
      </c>
      <c r="AA434" s="1016">
        <v>72</v>
      </c>
      <c r="AB434" s="1016">
        <v>70</v>
      </c>
      <c r="AC434" s="1016">
        <v>67</v>
      </c>
      <c r="AD434" s="1016">
        <v>68</v>
      </c>
      <c r="AE434" s="1016">
        <v>59</v>
      </c>
      <c r="AF434" s="1016">
        <v>53</v>
      </c>
      <c r="AG434" s="1016">
        <v>57</v>
      </c>
      <c r="AH434" s="1016">
        <v>65</v>
      </c>
      <c r="AI434" s="1016">
        <v>65</v>
      </c>
      <c r="AJ434" s="1016">
        <v>73</v>
      </c>
      <c r="AK434" s="1016">
        <v>76</v>
      </c>
      <c r="AL434" s="1016">
        <v>74</v>
      </c>
      <c r="AM434" s="1016">
        <v>72</v>
      </c>
      <c r="AN434" s="1016">
        <v>60</v>
      </c>
      <c r="AO434" s="1016">
        <v>63</v>
      </c>
      <c r="AP434" s="1016">
        <v>64</v>
      </c>
      <c r="AQ434" s="1016">
        <v>107</v>
      </c>
      <c r="AR434" s="1016">
        <v>105</v>
      </c>
      <c r="AS434" s="1016">
        <v>1597</v>
      </c>
    </row>
    <row r="435" spans="2:45" outlineLevel="1">
      <c r="B435" s="1387" t="s">
        <v>641</v>
      </c>
      <c r="R435" s="1016">
        <v>6</v>
      </c>
      <c r="S435" s="1016">
        <v>19</v>
      </c>
      <c r="T435" s="1016">
        <v>38</v>
      </c>
      <c r="U435" s="1016">
        <v>43</v>
      </c>
      <c r="V435" s="1016">
        <v>51</v>
      </c>
      <c r="W435" s="1016">
        <v>55</v>
      </c>
      <c r="X435" s="1016">
        <v>56</v>
      </c>
      <c r="Y435" s="1016">
        <v>59</v>
      </c>
      <c r="Z435" s="1016">
        <v>57</v>
      </c>
      <c r="AA435" s="1016">
        <v>45</v>
      </c>
      <c r="AB435" s="1016">
        <v>45</v>
      </c>
      <c r="AC435" s="1016">
        <v>41</v>
      </c>
      <c r="AD435" s="1016">
        <v>54</v>
      </c>
      <c r="AE435" s="1016">
        <v>53</v>
      </c>
      <c r="AF435" s="1016">
        <v>44</v>
      </c>
      <c r="AG435" s="1016">
        <v>50</v>
      </c>
      <c r="AH435" s="1016">
        <v>54</v>
      </c>
      <c r="AI435" s="1016">
        <v>49</v>
      </c>
      <c r="AJ435" s="1016">
        <v>54</v>
      </c>
      <c r="AK435" s="1016">
        <v>71</v>
      </c>
      <c r="AL435" s="1016">
        <v>73</v>
      </c>
      <c r="AM435" s="1016">
        <v>76</v>
      </c>
      <c r="AN435" s="1016">
        <v>78</v>
      </c>
      <c r="AO435" s="1016">
        <v>90</v>
      </c>
      <c r="AP435" s="1016">
        <v>82</v>
      </c>
      <c r="AQ435" s="1016">
        <v>91</v>
      </c>
      <c r="AR435" s="1016">
        <v>90</v>
      </c>
      <c r="AS435" s="1016">
        <v>1524</v>
      </c>
    </row>
    <row r="436" spans="2:45" outlineLevel="1">
      <c r="B436" s="1387" t="s">
        <v>643</v>
      </c>
      <c r="R436" s="1016">
        <v>2</v>
      </c>
      <c r="S436" s="1016">
        <v>22</v>
      </c>
      <c r="T436" s="1016">
        <v>27</v>
      </c>
      <c r="U436" s="1016">
        <v>37</v>
      </c>
      <c r="V436" s="1016">
        <v>52</v>
      </c>
      <c r="W436" s="1016">
        <v>55</v>
      </c>
      <c r="X436" s="1016">
        <v>56</v>
      </c>
      <c r="Y436" s="1016">
        <v>52</v>
      </c>
      <c r="Z436" s="1016">
        <v>48</v>
      </c>
      <c r="AA436" s="1016">
        <v>55</v>
      </c>
      <c r="AB436" s="1016">
        <v>57</v>
      </c>
      <c r="AC436" s="1016">
        <v>56</v>
      </c>
      <c r="AD436" s="1016">
        <v>62</v>
      </c>
      <c r="AE436" s="1016">
        <v>57</v>
      </c>
      <c r="AF436" s="1016">
        <v>1</v>
      </c>
      <c r="AS436" s="1016">
        <v>639</v>
      </c>
    </row>
    <row r="437" spans="2:45" outlineLevel="1">
      <c r="B437" s="1387" t="s">
        <v>644</v>
      </c>
      <c r="R437" s="1016">
        <v>1</v>
      </c>
      <c r="S437" s="1016">
        <v>10</v>
      </c>
      <c r="T437" s="1016">
        <v>18</v>
      </c>
      <c r="U437" s="1016">
        <v>29</v>
      </c>
      <c r="V437" s="1016">
        <v>36</v>
      </c>
      <c r="W437" s="1016">
        <v>36</v>
      </c>
      <c r="X437" s="1016">
        <v>33</v>
      </c>
      <c r="Y437" s="1016">
        <v>38</v>
      </c>
      <c r="Z437" s="1016">
        <v>47</v>
      </c>
      <c r="AA437" s="1016">
        <v>53</v>
      </c>
      <c r="AB437" s="1016">
        <v>55</v>
      </c>
      <c r="AC437" s="1016">
        <v>60</v>
      </c>
      <c r="AD437" s="1016">
        <v>56</v>
      </c>
      <c r="AE437" s="1016">
        <v>61</v>
      </c>
      <c r="AF437" s="1016">
        <v>63</v>
      </c>
      <c r="AG437" s="1016">
        <v>54</v>
      </c>
      <c r="AH437" s="1016">
        <v>57</v>
      </c>
      <c r="AI437" s="1016">
        <v>54</v>
      </c>
      <c r="AJ437" s="1016">
        <v>50</v>
      </c>
      <c r="AK437" s="1016">
        <v>52</v>
      </c>
      <c r="AL437" s="1016">
        <v>53</v>
      </c>
      <c r="AM437" s="1016">
        <v>53</v>
      </c>
      <c r="AN437" s="1016">
        <v>55</v>
      </c>
      <c r="AO437" s="1016">
        <v>59</v>
      </c>
      <c r="AP437" s="1016">
        <v>70</v>
      </c>
      <c r="AQ437" s="1016">
        <v>100</v>
      </c>
      <c r="AR437" s="1016">
        <v>113</v>
      </c>
      <c r="AS437" s="1016">
        <v>1366</v>
      </c>
    </row>
    <row r="438" spans="2:45" outlineLevel="1">
      <c r="B438" s="1387" t="s">
        <v>655</v>
      </c>
      <c r="R438" s="1016">
        <v>10</v>
      </c>
      <c r="S438" s="1016">
        <v>21</v>
      </c>
      <c r="T438" s="1016">
        <v>43</v>
      </c>
      <c r="U438" s="1016">
        <v>48</v>
      </c>
      <c r="V438" s="1016">
        <v>53</v>
      </c>
      <c r="W438" s="1016">
        <v>66</v>
      </c>
      <c r="X438" s="1016">
        <v>76</v>
      </c>
      <c r="Y438" s="1016">
        <v>80</v>
      </c>
      <c r="Z438" s="1016">
        <v>96</v>
      </c>
      <c r="AA438" s="1016">
        <v>99</v>
      </c>
      <c r="AB438" s="1016">
        <v>87</v>
      </c>
      <c r="AC438" s="1016">
        <v>93</v>
      </c>
      <c r="AD438" s="1016">
        <v>100</v>
      </c>
      <c r="AE438" s="1016">
        <v>106</v>
      </c>
      <c r="AF438" s="1016">
        <v>98</v>
      </c>
      <c r="AG438" s="1016">
        <v>88</v>
      </c>
      <c r="AH438" s="1016">
        <v>86</v>
      </c>
      <c r="AI438" s="1016">
        <v>81</v>
      </c>
      <c r="AJ438" s="1016">
        <v>82</v>
      </c>
      <c r="AK438" s="1016">
        <v>90</v>
      </c>
      <c r="AL438" s="1016">
        <v>96</v>
      </c>
      <c r="AM438" s="1016">
        <v>97</v>
      </c>
      <c r="AN438" s="1016">
        <v>89</v>
      </c>
      <c r="AO438" s="1016">
        <v>110</v>
      </c>
      <c r="AP438" s="1016">
        <v>102</v>
      </c>
      <c r="AQ438" s="1016">
        <v>106</v>
      </c>
      <c r="AS438" s="1016">
        <v>2103</v>
      </c>
    </row>
    <row r="439" spans="2:45" outlineLevel="1">
      <c r="B439" s="1387" t="s">
        <v>656</v>
      </c>
      <c r="R439" s="1016">
        <v>2</v>
      </c>
      <c r="S439" s="1016">
        <v>16</v>
      </c>
      <c r="T439" s="1016">
        <v>26</v>
      </c>
      <c r="U439" s="1016">
        <v>33</v>
      </c>
      <c r="V439" s="1016">
        <v>34</v>
      </c>
      <c r="W439" s="1016">
        <v>32</v>
      </c>
      <c r="X439" s="1016">
        <v>33</v>
      </c>
      <c r="Y439" s="1016">
        <v>39</v>
      </c>
      <c r="Z439" s="1016">
        <v>45</v>
      </c>
      <c r="AA439" s="1016">
        <v>86</v>
      </c>
      <c r="AB439" s="1016">
        <v>89</v>
      </c>
      <c r="AC439" s="1016">
        <v>128</v>
      </c>
      <c r="AD439" s="1016">
        <v>136</v>
      </c>
      <c r="AE439" s="1016">
        <v>131</v>
      </c>
      <c r="AF439" s="1016">
        <v>113</v>
      </c>
      <c r="AG439" s="1016">
        <v>97</v>
      </c>
      <c r="AH439" s="1016">
        <v>112</v>
      </c>
      <c r="AI439" s="1016">
        <v>123</v>
      </c>
      <c r="AJ439" s="1016">
        <v>136</v>
      </c>
      <c r="AK439" s="1016">
        <v>136</v>
      </c>
      <c r="AL439" s="1016">
        <v>125</v>
      </c>
      <c r="AM439" s="1016">
        <v>123</v>
      </c>
      <c r="AN439" s="1016">
        <v>114</v>
      </c>
      <c r="AO439" s="1016">
        <v>129</v>
      </c>
      <c r="AP439" s="1016">
        <v>132</v>
      </c>
      <c r="AS439" s="1016">
        <v>2170</v>
      </c>
    </row>
    <row r="440" spans="2:45" outlineLevel="1">
      <c r="B440" s="1387" t="s">
        <v>697</v>
      </c>
      <c r="S440" s="1016">
        <v>5</v>
      </c>
      <c r="T440" s="1016">
        <v>18</v>
      </c>
      <c r="U440" s="1016">
        <v>32</v>
      </c>
      <c r="V440" s="1016">
        <v>57</v>
      </c>
      <c r="W440" s="1016">
        <v>74</v>
      </c>
      <c r="X440" s="1016">
        <v>80</v>
      </c>
      <c r="Y440" s="1016">
        <v>95</v>
      </c>
      <c r="Z440" s="1016">
        <v>97</v>
      </c>
      <c r="AA440" s="1016">
        <v>104</v>
      </c>
      <c r="AB440" s="1016">
        <v>104</v>
      </c>
      <c r="AC440" s="1016">
        <v>96</v>
      </c>
      <c r="AD440" s="1016">
        <v>100</v>
      </c>
      <c r="AE440" s="1016">
        <v>105</v>
      </c>
      <c r="AF440" s="1016">
        <v>98</v>
      </c>
      <c r="AG440" s="1016">
        <v>91</v>
      </c>
      <c r="AH440" s="1016">
        <v>89</v>
      </c>
      <c r="AI440" s="1016">
        <v>90</v>
      </c>
      <c r="AJ440" s="1016">
        <v>90</v>
      </c>
      <c r="AK440" s="1016">
        <v>98</v>
      </c>
      <c r="AL440" s="1016">
        <v>90</v>
      </c>
      <c r="AM440" s="1016">
        <v>84</v>
      </c>
      <c r="AN440" s="1016">
        <v>83</v>
      </c>
      <c r="AO440" s="1016">
        <v>98</v>
      </c>
      <c r="AP440" s="1016">
        <v>98</v>
      </c>
      <c r="AQ440" s="1016">
        <v>96</v>
      </c>
      <c r="AR440" s="1016">
        <v>101</v>
      </c>
      <c r="AS440" s="1016">
        <v>2173</v>
      </c>
    </row>
    <row r="441" spans="2:45" outlineLevel="1">
      <c r="B441" s="1387" t="s">
        <v>658</v>
      </c>
      <c r="AK441" s="1016">
        <v>0</v>
      </c>
      <c r="AL441" s="1016">
        <v>0</v>
      </c>
      <c r="AM441" s="1016">
        <v>0</v>
      </c>
      <c r="AN441" s="1016">
        <v>0</v>
      </c>
      <c r="AO441" s="1016">
        <v>0</v>
      </c>
      <c r="AP441" s="1016">
        <v>0</v>
      </c>
      <c r="AS441" s="1016">
        <v>0</v>
      </c>
    </row>
    <row r="442" spans="2:45" outlineLevel="1">
      <c r="B442" s="1387" t="s">
        <v>698</v>
      </c>
      <c r="T442" s="1016">
        <v>15</v>
      </c>
      <c r="U442" s="1016">
        <v>17</v>
      </c>
      <c r="V442" s="1016">
        <v>23</v>
      </c>
      <c r="W442" s="1016">
        <v>32</v>
      </c>
      <c r="X442" s="1016">
        <v>36</v>
      </c>
      <c r="Y442" s="1016">
        <v>46</v>
      </c>
      <c r="Z442" s="1016">
        <v>61</v>
      </c>
      <c r="AA442" s="1016">
        <v>62</v>
      </c>
      <c r="AB442" s="1016">
        <v>59</v>
      </c>
      <c r="AC442" s="1016">
        <v>64</v>
      </c>
      <c r="AD442" s="1016">
        <v>61</v>
      </c>
      <c r="AE442" s="1016">
        <v>53</v>
      </c>
      <c r="AF442" s="1016">
        <v>49</v>
      </c>
      <c r="AG442" s="1016">
        <v>40</v>
      </c>
      <c r="AH442" s="1016">
        <v>49</v>
      </c>
      <c r="AI442" s="1016">
        <v>50</v>
      </c>
      <c r="AJ442" s="1016">
        <v>46</v>
      </c>
      <c r="AK442" s="1016">
        <v>44</v>
      </c>
      <c r="AL442" s="1016">
        <v>32</v>
      </c>
      <c r="AM442" s="1016">
        <v>34</v>
      </c>
      <c r="AN442" s="1016">
        <v>29</v>
      </c>
      <c r="AO442" s="1016">
        <v>29</v>
      </c>
      <c r="AP442" s="1016">
        <v>26</v>
      </c>
      <c r="AQ442" s="1016">
        <v>27</v>
      </c>
      <c r="AS442" s="1016">
        <v>984</v>
      </c>
    </row>
    <row r="443" spans="2:45" outlineLevel="1">
      <c r="B443" s="1387" t="s">
        <v>790</v>
      </c>
      <c r="T443" s="1016">
        <v>16</v>
      </c>
      <c r="U443" s="1016">
        <v>23</v>
      </c>
      <c r="V443" s="1016">
        <v>25</v>
      </c>
      <c r="W443" s="1016">
        <v>33</v>
      </c>
      <c r="X443" s="1016">
        <v>36</v>
      </c>
      <c r="Y443" s="1016">
        <v>41</v>
      </c>
      <c r="Z443" s="1016">
        <v>45</v>
      </c>
      <c r="AA443" s="1016">
        <v>47</v>
      </c>
      <c r="AB443" s="1016">
        <v>47</v>
      </c>
      <c r="AC443" s="1016">
        <v>50</v>
      </c>
      <c r="AD443" s="1016">
        <v>61</v>
      </c>
      <c r="AE443" s="1016">
        <v>63</v>
      </c>
      <c r="AF443" s="1016">
        <v>69</v>
      </c>
      <c r="AG443" s="1016">
        <v>74</v>
      </c>
      <c r="AH443" s="1016">
        <v>77</v>
      </c>
      <c r="AI443" s="1016">
        <v>74</v>
      </c>
      <c r="AJ443" s="1016">
        <v>68</v>
      </c>
      <c r="AK443" s="1016">
        <v>66</v>
      </c>
      <c r="AL443" s="1016">
        <v>66</v>
      </c>
      <c r="AM443" s="1016">
        <v>70</v>
      </c>
      <c r="AN443" s="1016">
        <v>65</v>
      </c>
      <c r="AO443" s="1016">
        <v>66</v>
      </c>
      <c r="AP443" s="1016">
        <v>60</v>
      </c>
      <c r="AQ443" s="1016">
        <v>73</v>
      </c>
      <c r="AR443" s="1016">
        <v>67</v>
      </c>
      <c r="AS443" s="1016">
        <v>1382</v>
      </c>
    </row>
    <row r="444" spans="2:45" outlineLevel="1">
      <c r="B444" s="1387" t="s">
        <v>797</v>
      </c>
      <c r="U444" s="1016">
        <v>8</v>
      </c>
      <c r="V444" s="1016">
        <v>18</v>
      </c>
      <c r="W444" s="1016">
        <v>34</v>
      </c>
      <c r="X444" s="1016">
        <v>39</v>
      </c>
      <c r="Y444" s="1016">
        <v>53</v>
      </c>
      <c r="Z444" s="1016">
        <v>64</v>
      </c>
      <c r="AA444" s="1016">
        <v>68</v>
      </c>
      <c r="AB444" s="1016">
        <v>69</v>
      </c>
      <c r="AC444" s="1016">
        <v>67</v>
      </c>
      <c r="AD444" s="1016">
        <v>57</v>
      </c>
      <c r="AE444" s="1016">
        <v>61</v>
      </c>
      <c r="AF444" s="1016">
        <v>73</v>
      </c>
      <c r="AG444" s="1016">
        <v>69</v>
      </c>
      <c r="AH444" s="1016">
        <v>71</v>
      </c>
      <c r="AI444" s="1016">
        <v>67</v>
      </c>
      <c r="AJ444" s="1016">
        <v>72</v>
      </c>
      <c r="AK444" s="1016">
        <v>59</v>
      </c>
      <c r="AL444" s="1016">
        <v>46</v>
      </c>
      <c r="AM444" s="1016">
        <v>46</v>
      </c>
      <c r="AN444" s="1016">
        <v>47</v>
      </c>
      <c r="AO444" s="1016">
        <v>46</v>
      </c>
      <c r="AP444" s="1016">
        <v>50</v>
      </c>
      <c r="AQ444" s="1016">
        <v>58</v>
      </c>
      <c r="AR444" s="1016">
        <v>67</v>
      </c>
      <c r="AS444" s="1016">
        <v>1309</v>
      </c>
    </row>
    <row r="445" spans="2:45" outlineLevel="1">
      <c r="B445" s="1387" t="s">
        <v>800</v>
      </c>
      <c r="U445" s="1016">
        <v>5</v>
      </c>
      <c r="V445" s="1016">
        <v>16</v>
      </c>
      <c r="W445" s="1016">
        <v>24</v>
      </c>
      <c r="X445" s="1016">
        <v>31</v>
      </c>
      <c r="Y445" s="1016">
        <v>40</v>
      </c>
      <c r="Z445" s="1016">
        <v>49</v>
      </c>
      <c r="AA445" s="1016">
        <v>48</v>
      </c>
      <c r="AB445" s="1016">
        <v>49</v>
      </c>
      <c r="AC445" s="1016">
        <v>50</v>
      </c>
      <c r="AD445" s="1016">
        <v>52</v>
      </c>
      <c r="AE445" s="1016">
        <v>51</v>
      </c>
      <c r="AF445" s="1016">
        <v>47</v>
      </c>
      <c r="AG445" s="1016">
        <v>47</v>
      </c>
      <c r="AH445" s="1016">
        <v>53</v>
      </c>
      <c r="AI445" s="1016">
        <v>65</v>
      </c>
      <c r="AJ445" s="1016">
        <v>87</v>
      </c>
      <c r="AK445" s="1016">
        <v>109</v>
      </c>
      <c r="AL445" s="1016">
        <v>108</v>
      </c>
      <c r="AM445" s="1016">
        <v>95</v>
      </c>
      <c r="AN445" s="1016">
        <v>94</v>
      </c>
      <c r="AO445" s="1016">
        <v>114</v>
      </c>
      <c r="AP445" s="1016">
        <v>137</v>
      </c>
      <c r="AQ445" s="1016">
        <v>165</v>
      </c>
      <c r="AR445" s="1016">
        <v>177</v>
      </c>
      <c r="AS445" s="1016">
        <v>1713</v>
      </c>
    </row>
    <row r="446" spans="2:45" outlineLevel="1">
      <c r="B446" s="1387" t="s">
        <v>904</v>
      </c>
      <c r="X446" s="1016">
        <v>3</v>
      </c>
      <c r="Y446" s="1016">
        <v>11</v>
      </c>
      <c r="Z446" s="1016">
        <v>28</v>
      </c>
      <c r="AA446" s="1016">
        <v>37</v>
      </c>
      <c r="AB446" s="1016">
        <v>40</v>
      </c>
      <c r="AC446" s="1016">
        <v>62</v>
      </c>
      <c r="AD446" s="1016">
        <v>90</v>
      </c>
      <c r="AE446" s="1016">
        <v>91</v>
      </c>
      <c r="AF446" s="1016">
        <v>94</v>
      </c>
      <c r="AG446" s="1016">
        <v>92</v>
      </c>
      <c r="AH446" s="1016">
        <v>95</v>
      </c>
      <c r="AI446" s="1016">
        <v>97</v>
      </c>
      <c r="AJ446" s="1016">
        <v>100</v>
      </c>
      <c r="AK446" s="1016">
        <v>98</v>
      </c>
      <c r="AL446" s="1016">
        <v>106</v>
      </c>
      <c r="AM446" s="1016">
        <v>111</v>
      </c>
      <c r="AN446" s="1016">
        <v>115</v>
      </c>
      <c r="AO446" s="1016">
        <v>123</v>
      </c>
      <c r="AP446" s="1016">
        <v>112</v>
      </c>
      <c r="AQ446" s="1016">
        <v>130</v>
      </c>
      <c r="AR446" s="1016">
        <v>119</v>
      </c>
      <c r="AS446" s="1016">
        <v>1754</v>
      </c>
    </row>
    <row r="447" spans="2:45" outlineLevel="1">
      <c r="B447" s="1387" t="s">
        <v>906</v>
      </c>
      <c r="X447" s="1016">
        <v>15</v>
      </c>
      <c r="Y447" s="1016">
        <v>23</v>
      </c>
      <c r="Z447" s="1016">
        <v>35</v>
      </c>
      <c r="AA447" s="1016">
        <v>39</v>
      </c>
      <c r="AB447" s="1016">
        <v>41</v>
      </c>
      <c r="AC447" s="1016">
        <v>39</v>
      </c>
      <c r="AD447" s="1016">
        <v>42</v>
      </c>
      <c r="AE447" s="1016">
        <v>40</v>
      </c>
      <c r="AF447" s="1016">
        <v>61</v>
      </c>
      <c r="AG447" s="1016">
        <v>51</v>
      </c>
      <c r="AH447" s="1016">
        <v>52</v>
      </c>
      <c r="AI447" s="1016">
        <v>51</v>
      </c>
      <c r="AJ447" s="1016">
        <v>52</v>
      </c>
      <c r="AK447" s="1016">
        <v>49</v>
      </c>
      <c r="AL447" s="1016">
        <v>57</v>
      </c>
      <c r="AM447" s="1016">
        <v>58</v>
      </c>
      <c r="AN447" s="1016">
        <v>55</v>
      </c>
      <c r="AO447" s="1016">
        <v>55</v>
      </c>
      <c r="AP447" s="1016">
        <v>52</v>
      </c>
      <c r="AQ447" s="1016">
        <v>44</v>
      </c>
      <c r="AS447" s="1016">
        <v>911</v>
      </c>
    </row>
    <row r="448" spans="2:45" outlineLevel="1">
      <c r="B448" s="1387" t="s">
        <v>901</v>
      </c>
      <c r="Y448" s="1016">
        <v>5</v>
      </c>
      <c r="Z448" s="1016">
        <v>31</v>
      </c>
      <c r="AA448" s="1016">
        <v>56</v>
      </c>
      <c r="AB448" s="1016">
        <v>27</v>
      </c>
      <c r="AC448" s="1016">
        <v>30</v>
      </c>
      <c r="AD448" s="1016">
        <v>27</v>
      </c>
      <c r="AE448" s="1016">
        <v>21</v>
      </c>
      <c r="AF448" s="1016">
        <v>32</v>
      </c>
      <c r="AG448" s="1016">
        <v>30</v>
      </c>
      <c r="AH448" s="1016">
        <v>39</v>
      </c>
      <c r="AI448" s="1016">
        <v>45</v>
      </c>
      <c r="AJ448" s="1016">
        <v>42</v>
      </c>
      <c r="AK448" s="1016">
        <v>52</v>
      </c>
      <c r="AL448" s="1016">
        <v>54</v>
      </c>
      <c r="AM448" s="1016">
        <v>54</v>
      </c>
      <c r="AN448" s="1016">
        <v>54</v>
      </c>
      <c r="AO448" s="1016">
        <v>55</v>
      </c>
      <c r="AP448" s="1016">
        <v>75</v>
      </c>
      <c r="AQ448" s="1016">
        <v>77</v>
      </c>
      <c r="AR448" s="1016">
        <v>79</v>
      </c>
      <c r="AS448" s="1016">
        <v>885</v>
      </c>
    </row>
    <row r="449" spans="2:45" outlineLevel="1">
      <c r="B449" s="1387" t="s">
        <v>950</v>
      </c>
      <c r="Y449" s="1016">
        <v>6</v>
      </c>
      <c r="Z449" s="1016">
        <v>23</v>
      </c>
      <c r="AA449" s="1016">
        <v>49</v>
      </c>
      <c r="AB449" s="1016">
        <v>49</v>
      </c>
      <c r="AC449" s="1016">
        <v>71</v>
      </c>
      <c r="AD449" s="1016">
        <v>88</v>
      </c>
      <c r="AE449" s="1016">
        <v>80</v>
      </c>
      <c r="AF449" s="1016">
        <v>83</v>
      </c>
      <c r="AG449" s="1016">
        <v>88</v>
      </c>
      <c r="AH449" s="1016">
        <v>99</v>
      </c>
      <c r="AI449" s="1016">
        <v>99</v>
      </c>
      <c r="AJ449" s="1016">
        <v>96</v>
      </c>
      <c r="AK449" s="1016">
        <v>93</v>
      </c>
      <c r="AL449" s="1016">
        <v>86</v>
      </c>
      <c r="AM449" s="1016">
        <v>88</v>
      </c>
      <c r="AN449" s="1016">
        <v>80</v>
      </c>
      <c r="AO449" s="1016">
        <v>96</v>
      </c>
      <c r="AP449" s="1016">
        <v>94</v>
      </c>
      <c r="AQ449" s="1016">
        <v>98</v>
      </c>
      <c r="AR449" s="1016">
        <v>89</v>
      </c>
      <c r="AS449" s="1016">
        <v>1555</v>
      </c>
    </row>
    <row r="450" spans="2:45" outlineLevel="1">
      <c r="B450" s="1387" t="s">
        <v>1014</v>
      </c>
      <c r="X450" s="1016">
        <v>5</v>
      </c>
      <c r="Y450" s="1016">
        <v>10</v>
      </c>
      <c r="Z450" s="1016">
        <v>25</v>
      </c>
      <c r="AA450" s="1016">
        <v>29</v>
      </c>
      <c r="AB450" s="1016">
        <v>31</v>
      </c>
      <c r="AC450" s="1016">
        <v>46</v>
      </c>
      <c r="AD450" s="1016">
        <v>56</v>
      </c>
      <c r="AE450" s="1016">
        <v>63</v>
      </c>
      <c r="AF450" s="1016">
        <v>67</v>
      </c>
      <c r="AG450" s="1016">
        <v>66</v>
      </c>
      <c r="AH450" s="1016">
        <v>69</v>
      </c>
      <c r="AI450" s="1016">
        <v>68</v>
      </c>
      <c r="AJ450" s="1016">
        <v>74</v>
      </c>
      <c r="AK450" s="1016">
        <v>85</v>
      </c>
      <c r="AL450" s="1016">
        <v>92</v>
      </c>
      <c r="AM450" s="1016">
        <v>90</v>
      </c>
      <c r="AN450" s="1016">
        <v>89</v>
      </c>
      <c r="AO450" s="1016">
        <v>102</v>
      </c>
      <c r="AP450" s="1016">
        <v>110</v>
      </c>
      <c r="AQ450" s="1016">
        <v>111</v>
      </c>
      <c r="AR450" s="1016">
        <v>113</v>
      </c>
      <c r="AS450" s="1016">
        <v>1401</v>
      </c>
    </row>
    <row r="451" spans="2:45" outlineLevel="1">
      <c r="B451" s="1387" t="s">
        <v>1162</v>
      </c>
      <c r="AA451" s="1016">
        <v>13</v>
      </c>
      <c r="AB451" s="1016">
        <v>22</v>
      </c>
      <c r="AC451" s="1016">
        <v>33</v>
      </c>
      <c r="AD451" s="1016">
        <v>58</v>
      </c>
      <c r="AE451" s="1016">
        <v>50</v>
      </c>
      <c r="AF451" s="1016">
        <v>36</v>
      </c>
      <c r="AG451" s="1016">
        <v>43</v>
      </c>
      <c r="AH451" s="1016">
        <v>62</v>
      </c>
      <c r="AI451" s="1016">
        <v>66</v>
      </c>
      <c r="AJ451" s="1016">
        <v>67</v>
      </c>
      <c r="AK451" s="1016">
        <v>66</v>
      </c>
      <c r="AL451" s="1016">
        <v>67</v>
      </c>
      <c r="AM451" s="1016">
        <v>55</v>
      </c>
      <c r="AN451" s="1016">
        <v>53</v>
      </c>
      <c r="AO451" s="1016">
        <v>58</v>
      </c>
      <c r="AP451" s="1016">
        <v>64</v>
      </c>
      <c r="AS451" s="1016">
        <v>813</v>
      </c>
    </row>
    <row r="452" spans="2:45" outlineLevel="1">
      <c r="B452" s="1387" t="s">
        <v>1163</v>
      </c>
      <c r="AA452" s="1016">
        <v>11</v>
      </c>
      <c r="AB452" s="1016">
        <v>20</v>
      </c>
      <c r="AC452" s="1016">
        <v>35</v>
      </c>
      <c r="AD452" s="1016">
        <v>51</v>
      </c>
      <c r="AE452" s="1016">
        <v>51</v>
      </c>
      <c r="AF452" s="1016">
        <v>77</v>
      </c>
      <c r="AG452" s="1016">
        <v>89</v>
      </c>
      <c r="AH452" s="1016">
        <v>104</v>
      </c>
      <c r="AI452" s="1016">
        <v>89</v>
      </c>
      <c r="AJ452" s="1016">
        <v>91</v>
      </c>
      <c r="AK452" s="1016">
        <v>101</v>
      </c>
      <c r="AL452" s="1016">
        <v>124</v>
      </c>
      <c r="AM452" s="1016">
        <v>130</v>
      </c>
      <c r="AN452" s="1016">
        <v>137</v>
      </c>
      <c r="AO452" s="1016">
        <v>133</v>
      </c>
      <c r="AP452" s="1016">
        <v>144</v>
      </c>
      <c r="AQ452" s="1016">
        <v>132</v>
      </c>
      <c r="AR452" s="1016">
        <v>146</v>
      </c>
      <c r="AS452" s="1016">
        <v>1665</v>
      </c>
    </row>
    <row r="453" spans="2:45" outlineLevel="1">
      <c r="B453" s="1387" t="s">
        <v>1286</v>
      </c>
      <c r="AB453" s="1016">
        <v>40</v>
      </c>
      <c r="AC453" s="1016">
        <v>49</v>
      </c>
      <c r="AD453" s="1016">
        <v>61</v>
      </c>
      <c r="AE453" s="1016">
        <v>54</v>
      </c>
      <c r="AF453" s="1016">
        <v>57</v>
      </c>
      <c r="AG453" s="1016">
        <v>61</v>
      </c>
      <c r="AH453" s="1016">
        <v>62</v>
      </c>
      <c r="AI453" s="1016">
        <v>64</v>
      </c>
      <c r="AJ453" s="1016">
        <v>69</v>
      </c>
      <c r="AK453" s="1016">
        <v>78</v>
      </c>
      <c r="AL453" s="1016">
        <v>75</v>
      </c>
      <c r="AM453" s="1016">
        <v>80</v>
      </c>
      <c r="AN453" s="1016">
        <v>83</v>
      </c>
      <c r="AO453" s="1016">
        <v>88</v>
      </c>
      <c r="AP453" s="1016">
        <v>90</v>
      </c>
      <c r="AQ453" s="1016">
        <v>90</v>
      </c>
      <c r="AR453" s="1016">
        <v>74</v>
      </c>
      <c r="AS453" s="1016">
        <v>1175</v>
      </c>
    </row>
    <row r="454" spans="2:45" outlineLevel="1">
      <c r="B454" s="1387" t="s">
        <v>1161</v>
      </c>
      <c r="AC454" s="1016">
        <v>7</v>
      </c>
      <c r="AD454" s="1016">
        <v>10</v>
      </c>
      <c r="AE454" s="1016">
        <v>12</v>
      </c>
      <c r="AF454" s="1016">
        <v>24</v>
      </c>
      <c r="AG454" s="1016">
        <v>24</v>
      </c>
      <c r="AH454" s="1016">
        <v>29</v>
      </c>
      <c r="AI454" s="1016">
        <v>32</v>
      </c>
      <c r="AJ454" s="1016">
        <v>31</v>
      </c>
      <c r="AK454" s="1016">
        <v>60</v>
      </c>
      <c r="AL454" s="1016">
        <v>53</v>
      </c>
      <c r="AM454" s="1016">
        <v>55</v>
      </c>
      <c r="AN454" s="1016">
        <v>55</v>
      </c>
      <c r="AO454" s="1016">
        <v>60</v>
      </c>
      <c r="AP454" s="1016">
        <v>60</v>
      </c>
      <c r="AQ454" s="1016">
        <v>56</v>
      </c>
      <c r="AR454" s="1016">
        <v>59</v>
      </c>
      <c r="AS454" s="1016">
        <v>627</v>
      </c>
    </row>
    <row r="455" spans="2:45" outlineLevel="1">
      <c r="B455" s="1387" t="s">
        <v>1287</v>
      </c>
      <c r="AB455" s="1016">
        <v>46</v>
      </c>
      <c r="AC455" s="1016">
        <v>56</v>
      </c>
      <c r="AD455" s="1016">
        <v>85</v>
      </c>
      <c r="AE455" s="1016">
        <v>94</v>
      </c>
      <c r="AF455" s="1016">
        <v>96</v>
      </c>
      <c r="AG455" s="1016">
        <v>95</v>
      </c>
      <c r="AH455" s="1016">
        <v>104</v>
      </c>
      <c r="AI455" s="1016">
        <v>110</v>
      </c>
      <c r="AJ455" s="1016">
        <v>102</v>
      </c>
      <c r="AK455" s="1016">
        <v>115</v>
      </c>
      <c r="AL455" s="1016">
        <v>115</v>
      </c>
      <c r="AM455" s="1016">
        <v>119</v>
      </c>
      <c r="AN455" s="1016">
        <v>131</v>
      </c>
      <c r="AO455" s="1016">
        <v>153</v>
      </c>
      <c r="AP455" s="1016">
        <v>166</v>
      </c>
      <c r="AQ455" s="1016">
        <v>182</v>
      </c>
      <c r="AR455" s="1016">
        <v>196</v>
      </c>
      <c r="AS455" s="1016">
        <v>1965</v>
      </c>
    </row>
    <row r="456" spans="2:45" outlineLevel="1">
      <c r="B456" s="1387" t="s">
        <v>1348</v>
      </c>
      <c r="AB456" s="1016">
        <v>14</v>
      </c>
      <c r="AC456" s="1016">
        <v>29</v>
      </c>
      <c r="AD456" s="1016">
        <v>39</v>
      </c>
      <c r="AE456" s="1016">
        <v>52</v>
      </c>
      <c r="AF456" s="1016">
        <v>44</v>
      </c>
      <c r="AG456" s="1016">
        <v>56</v>
      </c>
      <c r="AH456" s="1016">
        <v>76</v>
      </c>
      <c r="AI456" s="1016">
        <v>76</v>
      </c>
      <c r="AJ456" s="1016">
        <v>83</v>
      </c>
      <c r="AK456" s="1016">
        <v>104</v>
      </c>
      <c r="AL456" s="1016">
        <v>100</v>
      </c>
      <c r="AM456" s="1016">
        <v>101</v>
      </c>
      <c r="AN456" s="1016">
        <v>104</v>
      </c>
      <c r="AO456" s="1016">
        <v>109</v>
      </c>
      <c r="AP456" s="1016">
        <v>100</v>
      </c>
      <c r="AQ456" s="1016">
        <v>104</v>
      </c>
      <c r="AR456" s="1016">
        <v>126</v>
      </c>
      <c r="AS456" s="1016">
        <v>1317</v>
      </c>
    </row>
    <row r="457" spans="2:45" outlineLevel="1">
      <c r="B457" s="1387" t="s">
        <v>1420</v>
      </c>
      <c r="AD457" s="1016">
        <v>54</v>
      </c>
      <c r="AE457" s="1016">
        <v>63</v>
      </c>
      <c r="AF457" s="1016">
        <v>86</v>
      </c>
      <c r="AG457" s="1016">
        <v>86</v>
      </c>
      <c r="AH457" s="1016">
        <v>92</v>
      </c>
      <c r="AI457" s="1016">
        <v>92</v>
      </c>
      <c r="AJ457" s="1016">
        <v>91</v>
      </c>
      <c r="AK457" s="1016">
        <v>98</v>
      </c>
      <c r="AL457" s="1016">
        <v>107</v>
      </c>
      <c r="AM457" s="1016">
        <v>109</v>
      </c>
      <c r="AN457" s="1016">
        <v>115</v>
      </c>
      <c r="AO457" s="1016">
        <v>112</v>
      </c>
      <c r="AP457" s="1016">
        <v>107</v>
      </c>
      <c r="AQ457" s="1016">
        <v>117</v>
      </c>
      <c r="AR457" s="1016">
        <v>150</v>
      </c>
      <c r="AS457" s="1016">
        <v>1479</v>
      </c>
    </row>
    <row r="458" spans="2:45" outlineLevel="1">
      <c r="B458" s="1387" t="s">
        <v>1566</v>
      </c>
      <c r="AF458" s="1016">
        <v>7</v>
      </c>
      <c r="AG458" s="1016">
        <v>17</v>
      </c>
      <c r="AH458" s="1016">
        <v>27</v>
      </c>
      <c r="AI458" s="1016">
        <v>33</v>
      </c>
      <c r="AJ458" s="1016">
        <v>36</v>
      </c>
      <c r="AK458" s="1016">
        <v>37</v>
      </c>
      <c r="AL458" s="1016">
        <v>37</v>
      </c>
      <c r="AM458" s="1016">
        <v>34</v>
      </c>
      <c r="AS458" s="1016">
        <v>228</v>
      </c>
    </row>
    <row r="459" spans="2:45" outlineLevel="1">
      <c r="B459" s="1387" t="s">
        <v>1670</v>
      </c>
      <c r="AF459" s="1016">
        <v>6</v>
      </c>
      <c r="AG459" s="1016">
        <v>15</v>
      </c>
      <c r="AH459" s="1016">
        <v>16</v>
      </c>
      <c r="AI459" s="1016">
        <v>16</v>
      </c>
      <c r="AJ459" s="1016">
        <v>16</v>
      </c>
      <c r="AK459" s="1016">
        <v>23</v>
      </c>
      <c r="AL459" s="1016">
        <v>21</v>
      </c>
      <c r="AM459" s="1016">
        <v>19</v>
      </c>
      <c r="AN459" s="1016">
        <v>77</v>
      </c>
      <c r="AO459" s="1016">
        <v>70</v>
      </c>
      <c r="AS459" s="1016">
        <v>279</v>
      </c>
    </row>
    <row r="460" spans="2:45" outlineLevel="1">
      <c r="B460" s="1387" t="s">
        <v>1571</v>
      </c>
      <c r="AF460" s="1016">
        <v>16</v>
      </c>
      <c r="AG460" s="1016">
        <v>32</v>
      </c>
      <c r="AH460" s="1016">
        <v>53</v>
      </c>
      <c r="AI460" s="1016">
        <v>77</v>
      </c>
      <c r="AJ460" s="1016">
        <v>92</v>
      </c>
      <c r="AK460" s="1016">
        <v>118</v>
      </c>
      <c r="AL460" s="1016">
        <v>118</v>
      </c>
      <c r="AM460" s="1016">
        <v>141</v>
      </c>
      <c r="AN460" s="1016">
        <v>142</v>
      </c>
      <c r="AO460" s="1016">
        <v>137</v>
      </c>
      <c r="AP460" s="1016">
        <v>107</v>
      </c>
      <c r="AQ460" s="1016">
        <v>122</v>
      </c>
      <c r="AR460" s="1016">
        <v>161</v>
      </c>
      <c r="AS460" s="1016">
        <v>1316</v>
      </c>
    </row>
    <row r="461" spans="2:45" outlineLevel="1">
      <c r="B461" s="1387" t="s">
        <v>1564</v>
      </c>
      <c r="AD461" s="1016">
        <v>6</v>
      </c>
      <c r="AE461" s="1016">
        <v>11</v>
      </c>
      <c r="AF461" s="1016">
        <v>21</v>
      </c>
      <c r="AG461" s="1016">
        <v>26</v>
      </c>
      <c r="AH461" s="1016">
        <v>28</v>
      </c>
      <c r="AI461" s="1016">
        <v>24</v>
      </c>
      <c r="AJ461" s="1016">
        <v>24</v>
      </c>
      <c r="AK461" s="1016">
        <v>34</v>
      </c>
      <c r="AL461" s="1016">
        <v>40</v>
      </c>
      <c r="AM461" s="1016">
        <v>44</v>
      </c>
      <c r="AN461" s="1016">
        <v>48</v>
      </c>
      <c r="AO461" s="1016">
        <v>66</v>
      </c>
      <c r="AP461" s="1016">
        <v>73</v>
      </c>
      <c r="AQ461" s="1016">
        <v>77</v>
      </c>
      <c r="AR461" s="1016">
        <v>73</v>
      </c>
      <c r="AS461" s="1016">
        <v>595</v>
      </c>
    </row>
    <row r="462" spans="2:45" outlineLevel="1">
      <c r="B462" s="1387" t="s">
        <v>1766</v>
      </c>
      <c r="T462" s="1016">
        <v>5</v>
      </c>
      <c r="U462" s="1016">
        <v>9</v>
      </c>
      <c r="V462" s="1016">
        <v>28</v>
      </c>
      <c r="W462" s="1016">
        <v>44</v>
      </c>
      <c r="X462" s="1016">
        <v>64</v>
      </c>
      <c r="Y462" s="1016">
        <v>75</v>
      </c>
      <c r="Z462" s="1016">
        <v>98</v>
      </c>
      <c r="AA462" s="1016">
        <v>116</v>
      </c>
      <c r="AB462" s="1016">
        <v>124</v>
      </c>
      <c r="AC462" s="1016">
        <v>123</v>
      </c>
      <c r="AD462" s="1016">
        <v>152</v>
      </c>
      <c r="AE462" s="1016">
        <v>157</v>
      </c>
      <c r="AF462" s="1016">
        <v>140</v>
      </c>
      <c r="AG462" s="1016">
        <v>191</v>
      </c>
      <c r="AH462" s="1016">
        <v>196</v>
      </c>
      <c r="AI462" s="1016">
        <v>175</v>
      </c>
      <c r="AJ462" s="1016">
        <v>172</v>
      </c>
      <c r="AK462" s="1016">
        <v>172</v>
      </c>
      <c r="AL462" s="1016">
        <v>163</v>
      </c>
      <c r="AM462" s="1016">
        <v>156</v>
      </c>
      <c r="AN462" s="1016">
        <v>159</v>
      </c>
      <c r="AO462" s="1016">
        <v>175</v>
      </c>
      <c r="AP462" s="1016">
        <v>168</v>
      </c>
      <c r="AQ462" s="1016">
        <v>157</v>
      </c>
      <c r="AR462" s="1016">
        <v>130</v>
      </c>
      <c r="AS462" s="1016">
        <v>3149</v>
      </c>
    </row>
    <row r="463" spans="2:45" outlineLevel="1">
      <c r="B463" s="1387" t="s">
        <v>1768</v>
      </c>
      <c r="U463" s="1016">
        <v>6</v>
      </c>
      <c r="V463" s="1016">
        <v>11</v>
      </c>
      <c r="W463" s="1016">
        <v>12</v>
      </c>
      <c r="X463" s="1016">
        <v>12</v>
      </c>
      <c r="Y463" s="1016">
        <v>20</v>
      </c>
      <c r="Z463" s="1016">
        <v>26</v>
      </c>
      <c r="AA463" s="1016">
        <v>28</v>
      </c>
      <c r="AB463" s="1016">
        <v>29</v>
      </c>
      <c r="AC463" s="1016">
        <v>30</v>
      </c>
      <c r="AD463" s="1016">
        <v>36</v>
      </c>
      <c r="AE463" s="1016">
        <v>38</v>
      </c>
      <c r="AF463" s="1016">
        <v>36</v>
      </c>
      <c r="AG463" s="1016">
        <v>44</v>
      </c>
      <c r="AH463" s="1016">
        <v>49</v>
      </c>
      <c r="AI463" s="1016">
        <v>47</v>
      </c>
      <c r="AJ463" s="1016">
        <v>48</v>
      </c>
      <c r="AK463" s="1016">
        <v>45</v>
      </c>
      <c r="AL463" s="1016">
        <v>44</v>
      </c>
      <c r="AM463" s="1016">
        <v>44</v>
      </c>
      <c r="AN463" s="1016">
        <v>44</v>
      </c>
      <c r="AO463" s="1016">
        <v>42</v>
      </c>
      <c r="AP463" s="1016">
        <v>122</v>
      </c>
      <c r="AQ463" s="1016">
        <v>124</v>
      </c>
      <c r="AS463" s="1016">
        <v>937</v>
      </c>
    </row>
    <row r="464" spans="2:45" outlineLevel="1">
      <c r="B464" s="1387" t="s">
        <v>1771</v>
      </c>
      <c r="AD464" s="1016">
        <v>9</v>
      </c>
      <c r="AE464" s="1016">
        <v>28</v>
      </c>
      <c r="AF464" s="1016">
        <v>34</v>
      </c>
      <c r="AG464" s="1016">
        <v>40</v>
      </c>
      <c r="AH464" s="1016">
        <v>45</v>
      </c>
      <c r="AI464" s="1016">
        <v>39</v>
      </c>
      <c r="AJ464" s="1016">
        <v>51</v>
      </c>
      <c r="AK464" s="1016">
        <v>57</v>
      </c>
      <c r="AL464" s="1016">
        <v>55</v>
      </c>
      <c r="AM464" s="1016">
        <v>55</v>
      </c>
      <c r="AN464" s="1016">
        <v>87</v>
      </c>
      <c r="AO464" s="1016">
        <v>68</v>
      </c>
      <c r="AP464" s="1016">
        <v>71</v>
      </c>
      <c r="AQ464" s="1016">
        <v>71</v>
      </c>
      <c r="AS464" s="1016">
        <v>710</v>
      </c>
    </row>
    <row r="465" spans="2:45" outlineLevel="1">
      <c r="B465" s="1387" t="s">
        <v>1774</v>
      </c>
      <c r="AA465" s="1016">
        <v>91</v>
      </c>
      <c r="AB465" s="1016">
        <v>121</v>
      </c>
      <c r="AC465" s="1016">
        <v>135</v>
      </c>
      <c r="AD465" s="1016">
        <v>137</v>
      </c>
      <c r="AE465" s="1016">
        <v>128</v>
      </c>
      <c r="AF465" s="1016">
        <v>108</v>
      </c>
      <c r="AG465" s="1016">
        <v>135</v>
      </c>
      <c r="AH465" s="1016">
        <v>140</v>
      </c>
      <c r="AI465" s="1016">
        <v>159</v>
      </c>
      <c r="AJ465" s="1016">
        <v>160</v>
      </c>
      <c r="AK465" s="1016">
        <v>154</v>
      </c>
      <c r="AL465" s="1016">
        <v>143</v>
      </c>
      <c r="AM465" s="1016">
        <v>128</v>
      </c>
      <c r="AN465" s="1016">
        <v>123</v>
      </c>
      <c r="AO465" s="1016">
        <v>121</v>
      </c>
      <c r="AP465" s="1016">
        <v>112</v>
      </c>
      <c r="AQ465" s="1016">
        <v>111</v>
      </c>
      <c r="AR465" s="1016">
        <v>161</v>
      </c>
      <c r="AS465" s="1016">
        <v>2367</v>
      </c>
    </row>
    <row r="466" spans="2:45" outlineLevel="1">
      <c r="B466" s="1387" t="s">
        <v>1028</v>
      </c>
      <c r="AE466" s="1016">
        <v>33</v>
      </c>
      <c r="AF466" s="1016">
        <v>44</v>
      </c>
      <c r="AG466" s="1016">
        <v>55</v>
      </c>
      <c r="AH466" s="1016">
        <v>72</v>
      </c>
      <c r="AI466" s="1016">
        <v>86</v>
      </c>
      <c r="AJ466" s="1016">
        <v>92</v>
      </c>
      <c r="AK466" s="1016">
        <v>119</v>
      </c>
      <c r="AL466" s="1016">
        <v>131</v>
      </c>
      <c r="AM466" s="1016">
        <v>137</v>
      </c>
      <c r="AN466" s="1016">
        <v>148</v>
      </c>
      <c r="AO466" s="1016">
        <v>173</v>
      </c>
      <c r="AP466" s="1016">
        <v>201</v>
      </c>
      <c r="AQ466" s="1016">
        <v>209</v>
      </c>
      <c r="AR466" s="1016">
        <v>218</v>
      </c>
      <c r="AS466" s="1016">
        <v>1718</v>
      </c>
    </row>
    <row r="467" spans="2:45" outlineLevel="1">
      <c r="B467" s="1387" t="s">
        <v>1569</v>
      </c>
      <c r="AE467" s="1016">
        <v>56</v>
      </c>
      <c r="AF467" s="1016">
        <v>63</v>
      </c>
      <c r="AG467" s="1016">
        <v>79</v>
      </c>
      <c r="AH467" s="1016">
        <v>107</v>
      </c>
      <c r="AI467" s="1016">
        <v>139</v>
      </c>
      <c r="AJ467" s="1016">
        <v>197</v>
      </c>
      <c r="AK467" s="1016">
        <v>221</v>
      </c>
      <c r="AL467" s="1016">
        <v>231</v>
      </c>
      <c r="AM467" s="1016">
        <v>221</v>
      </c>
      <c r="AN467" s="1016">
        <v>208</v>
      </c>
      <c r="AO467" s="1016">
        <v>205</v>
      </c>
      <c r="AP467" s="1016">
        <v>251</v>
      </c>
      <c r="AQ467" s="1016">
        <v>271</v>
      </c>
      <c r="AR467" s="1016">
        <v>332</v>
      </c>
      <c r="AS467" s="1016">
        <v>2581</v>
      </c>
    </row>
    <row r="468" spans="2:45" outlineLevel="1">
      <c r="B468" s="1387" t="s">
        <v>1573</v>
      </c>
      <c r="AE468" s="1016">
        <v>1</v>
      </c>
      <c r="AF468" s="1016">
        <v>29</v>
      </c>
      <c r="AG468" s="1016">
        <v>41</v>
      </c>
      <c r="AH468" s="1016">
        <v>48</v>
      </c>
      <c r="AI468" s="1016">
        <v>59</v>
      </c>
      <c r="AJ468" s="1016">
        <v>70</v>
      </c>
      <c r="AK468" s="1016">
        <v>75</v>
      </c>
      <c r="AL468" s="1016">
        <v>102</v>
      </c>
      <c r="AM468" s="1016">
        <v>104</v>
      </c>
      <c r="AN468" s="1016">
        <v>88</v>
      </c>
      <c r="AO468" s="1016">
        <v>86</v>
      </c>
      <c r="AP468" s="1016">
        <v>82</v>
      </c>
      <c r="AQ468" s="1016">
        <v>98</v>
      </c>
      <c r="AR468" s="1016">
        <v>140</v>
      </c>
      <c r="AS468" s="1016">
        <v>1023</v>
      </c>
    </row>
    <row r="469" spans="2:45" outlineLevel="1">
      <c r="B469" s="1387" t="s">
        <v>1770</v>
      </c>
      <c r="O469" s="1016">
        <v>3</v>
      </c>
      <c r="P469" s="1016">
        <v>3</v>
      </c>
      <c r="Q469" s="1016">
        <v>6</v>
      </c>
      <c r="R469" s="1016">
        <v>16</v>
      </c>
      <c r="S469" s="1016">
        <v>21</v>
      </c>
      <c r="T469" s="1016">
        <v>23</v>
      </c>
      <c r="U469" s="1016">
        <v>21</v>
      </c>
      <c r="V469" s="1016">
        <v>26</v>
      </c>
      <c r="W469" s="1016">
        <v>42</v>
      </c>
      <c r="X469" s="1016">
        <v>47</v>
      </c>
      <c r="Y469" s="1016">
        <v>69</v>
      </c>
      <c r="Z469" s="1016">
        <v>73</v>
      </c>
      <c r="AA469" s="1016">
        <v>76</v>
      </c>
      <c r="AB469" s="1016">
        <v>75</v>
      </c>
      <c r="AC469" s="1016">
        <v>83</v>
      </c>
      <c r="AD469" s="1016">
        <v>83</v>
      </c>
      <c r="AE469" s="1016">
        <v>68</v>
      </c>
      <c r="AF469" s="1016">
        <v>72</v>
      </c>
      <c r="AS469" s="1016">
        <v>807</v>
      </c>
    </row>
    <row r="470" spans="2:45" outlineLevel="1">
      <c r="B470" s="1387" t="s">
        <v>1777</v>
      </c>
      <c r="R470" s="1016">
        <v>7</v>
      </c>
      <c r="S470" s="1016">
        <v>10</v>
      </c>
      <c r="T470" s="1016">
        <v>23</v>
      </c>
      <c r="U470" s="1016">
        <v>28</v>
      </c>
      <c r="V470" s="1016">
        <v>42</v>
      </c>
      <c r="W470" s="1016">
        <v>42</v>
      </c>
      <c r="X470" s="1016">
        <v>48</v>
      </c>
      <c r="Y470" s="1016">
        <v>55</v>
      </c>
      <c r="Z470" s="1016">
        <v>54</v>
      </c>
      <c r="AA470" s="1016">
        <v>52</v>
      </c>
      <c r="AB470" s="1016">
        <v>53</v>
      </c>
      <c r="AC470" s="1016">
        <v>52</v>
      </c>
      <c r="AD470" s="1016">
        <v>51</v>
      </c>
      <c r="AE470" s="1016">
        <v>47</v>
      </c>
      <c r="AF470" s="1016">
        <v>60</v>
      </c>
      <c r="AG470" s="1016">
        <v>65</v>
      </c>
      <c r="AH470" s="1016">
        <v>63</v>
      </c>
      <c r="AI470" s="1016">
        <v>51</v>
      </c>
      <c r="AJ470" s="1016">
        <v>39</v>
      </c>
      <c r="AK470" s="1016">
        <v>34</v>
      </c>
      <c r="AL470" s="1016">
        <v>34</v>
      </c>
      <c r="AM470" s="1016">
        <v>30</v>
      </c>
      <c r="AN470" s="1016">
        <v>29</v>
      </c>
      <c r="AO470" s="1016">
        <v>29</v>
      </c>
      <c r="AP470" s="1016">
        <v>28</v>
      </c>
      <c r="AS470" s="1016">
        <v>1026</v>
      </c>
    </row>
    <row r="471" spans="2:45" outlineLevel="1">
      <c r="B471" s="1387" t="s">
        <v>1773</v>
      </c>
      <c r="V471" s="1016">
        <v>8</v>
      </c>
      <c r="W471" s="1016">
        <v>22</v>
      </c>
      <c r="X471" s="1016">
        <v>37</v>
      </c>
      <c r="Y471" s="1016">
        <v>108</v>
      </c>
      <c r="Z471" s="1016">
        <v>153</v>
      </c>
      <c r="AA471" s="1016">
        <v>91</v>
      </c>
      <c r="AB471" s="1016">
        <v>94</v>
      </c>
      <c r="AC471" s="1016">
        <v>95</v>
      </c>
      <c r="AD471" s="1016">
        <v>89</v>
      </c>
      <c r="AE471" s="1016">
        <v>65</v>
      </c>
      <c r="AF471" s="1016">
        <v>58</v>
      </c>
      <c r="AG471" s="1016">
        <v>57</v>
      </c>
      <c r="AH471" s="1016">
        <v>54</v>
      </c>
      <c r="AI471" s="1016">
        <v>67</v>
      </c>
      <c r="AJ471" s="1016">
        <v>74</v>
      </c>
      <c r="AK471" s="1016">
        <v>96</v>
      </c>
      <c r="AL471" s="1016">
        <v>115</v>
      </c>
      <c r="AM471" s="1016">
        <v>111</v>
      </c>
      <c r="AN471" s="1016">
        <v>106</v>
      </c>
      <c r="AO471" s="1016">
        <v>117</v>
      </c>
      <c r="AP471" s="1016">
        <v>116</v>
      </c>
      <c r="AQ471" s="1016">
        <v>141</v>
      </c>
      <c r="AR471" s="1016">
        <v>79</v>
      </c>
      <c r="AS471" s="1016">
        <v>1953</v>
      </c>
    </row>
    <row r="472" spans="2:45" outlineLevel="1">
      <c r="B472" s="1387" t="s">
        <v>1950</v>
      </c>
      <c r="R472" s="1016">
        <v>10</v>
      </c>
      <c r="S472" s="1016">
        <v>20</v>
      </c>
      <c r="T472" s="1016">
        <v>49</v>
      </c>
      <c r="U472" s="1016">
        <v>32</v>
      </c>
      <c r="V472" s="1016">
        <v>35</v>
      </c>
      <c r="W472" s="1016">
        <v>38</v>
      </c>
      <c r="X472" s="1016">
        <v>39</v>
      </c>
      <c r="Y472" s="1016">
        <v>43</v>
      </c>
      <c r="Z472" s="1016">
        <v>39</v>
      </c>
      <c r="AA472" s="1016">
        <v>41</v>
      </c>
      <c r="AB472" s="1016">
        <v>42</v>
      </c>
      <c r="AC472" s="1016">
        <v>45</v>
      </c>
      <c r="AD472" s="1016">
        <v>45</v>
      </c>
      <c r="AE472" s="1016">
        <v>43</v>
      </c>
      <c r="AF472" s="1016">
        <v>44</v>
      </c>
      <c r="AG472" s="1016">
        <v>71</v>
      </c>
      <c r="AH472" s="1016">
        <v>63</v>
      </c>
      <c r="AI472" s="1016">
        <v>58</v>
      </c>
      <c r="AJ472" s="1016">
        <v>51</v>
      </c>
      <c r="AK472" s="1016">
        <v>39</v>
      </c>
      <c r="AL472" s="1016">
        <v>34</v>
      </c>
      <c r="AM472" s="1016">
        <v>36</v>
      </c>
      <c r="AN472" s="1016">
        <v>32</v>
      </c>
      <c r="AO472" s="1016">
        <v>33</v>
      </c>
      <c r="AP472" s="1016">
        <v>34</v>
      </c>
      <c r="AS472" s="1016">
        <v>1016</v>
      </c>
    </row>
    <row r="473" spans="2:45" outlineLevel="1">
      <c r="B473" s="1387" t="s">
        <v>2054</v>
      </c>
      <c r="AI473" s="1016">
        <v>49</v>
      </c>
      <c r="AJ473" s="1016">
        <v>79</v>
      </c>
      <c r="AK473" s="1016">
        <v>114</v>
      </c>
      <c r="AL473" s="1016">
        <v>126</v>
      </c>
      <c r="AM473" s="1016">
        <v>142</v>
      </c>
      <c r="AN473" s="1016">
        <v>151</v>
      </c>
      <c r="AO473" s="1016">
        <v>148</v>
      </c>
      <c r="AP473" s="1016">
        <v>144</v>
      </c>
      <c r="AQ473" s="1016">
        <v>153</v>
      </c>
      <c r="AR473" s="1016">
        <v>181</v>
      </c>
      <c r="AS473" s="1016">
        <v>1287</v>
      </c>
    </row>
    <row r="474" spans="2:45" outlineLevel="1">
      <c r="B474" s="1387" t="s">
        <v>2705</v>
      </c>
      <c r="AO474" s="1016">
        <v>15</v>
      </c>
      <c r="AP474" s="1016">
        <v>15</v>
      </c>
      <c r="AQ474" s="1016">
        <v>19</v>
      </c>
      <c r="AR474" s="1016">
        <v>34</v>
      </c>
      <c r="AS474" s="1016">
        <v>83</v>
      </c>
    </row>
    <row r="475" spans="2:45" outlineLevel="1">
      <c r="B475" s="1387" t="s">
        <v>2706</v>
      </c>
      <c r="AO475" s="1016">
        <v>17</v>
      </c>
      <c r="AP475" s="1016">
        <v>31</v>
      </c>
      <c r="AQ475" s="1016">
        <v>39</v>
      </c>
      <c r="AR475" s="1016">
        <v>51</v>
      </c>
      <c r="AS475" s="1016">
        <v>138</v>
      </c>
    </row>
    <row r="476" spans="2:45" outlineLevel="1">
      <c r="B476" s="1387" t="s">
        <v>2707</v>
      </c>
      <c r="AO476" s="1016">
        <v>9</v>
      </c>
      <c r="AP476" s="1016">
        <v>12</v>
      </c>
      <c r="AQ476" s="1016">
        <v>16</v>
      </c>
      <c r="AS476" s="1016">
        <v>37</v>
      </c>
    </row>
    <row r="477" spans="2:45" outlineLevel="1">
      <c r="B477" s="1387" t="s">
        <v>2709</v>
      </c>
      <c r="AO477" s="1016">
        <v>11</v>
      </c>
      <c r="AP477" s="1016">
        <v>21</v>
      </c>
      <c r="AQ477" s="1016">
        <v>53</v>
      </c>
      <c r="AR477" s="1016">
        <v>177</v>
      </c>
      <c r="AS477" s="1016">
        <v>262</v>
      </c>
    </row>
    <row r="478" spans="2:45" outlineLevel="1">
      <c r="B478" s="1387" t="s">
        <v>2711</v>
      </c>
      <c r="AO478" s="1016">
        <v>12</v>
      </c>
      <c r="AP478" s="1016">
        <v>57</v>
      </c>
      <c r="AQ478" s="1016">
        <v>85</v>
      </c>
      <c r="AR478" s="1016">
        <v>181</v>
      </c>
      <c r="AS478" s="1016">
        <v>335</v>
      </c>
    </row>
    <row r="479" spans="2:45" outlineLevel="1">
      <c r="B479" s="1387" t="s">
        <v>3169</v>
      </c>
      <c r="AQ479" s="1016">
        <v>4</v>
      </c>
      <c r="AR479" s="1016">
        <v>37</v>
      </c>
      <c r="AS479" s="1016">
        <v>41</v>
      </c>
    </row>
    <row r="480" spans="2:45" outlineLevel="1">
      <c r="B480" s="1387" t="s">
        <v>1410</v>
      </c>
      <c r="AQ480" s="1016">
        <v>7</v>
      </c>
      <c r="AR480" s="1016">
        <v>20</v>
      </c>
      <c r="AS480" s="1016">
        <v>27</v>
      </c>
    </row>
    <row r="481" spans="2:45" outlineLevel="1">
      <c r="B481" s="1387" t="s">
        <v>2897</v>
      </c>
      <c r="AQ481" s="1016">
        <v>82</v>
      </c>
      <c r="AR481" s="1016">
        <v>112</v>
      </c>
      <c r="AS481" s="1016">
        <v>194</v>
      </c>
    </row>
    <row r="482" spans="2:45" outlineLevel="1">
      <c r="B482" s="1387" t="s">
        <v>3184</v>
      </c>
      <c r="AQ482" s="1016">
        <v>141</v>
      </c>
      <c r="AR482" s="1016">
        <v>146</v>
      </c>
      <c r="AS482" s="1016">
        <v>287</v>
      </c>
    </row>
    <row r="483" spans="2:45" outlineLevel="1">
      <c r="B483" s="1387" t="s">
        <v>3180</v>
      </c>
      <c r="AQ483" s="1016">
        <v>36</v>
      </c>
      <c r="AR483" s="1016">
        <v>37</v>
      </c>
      <c r="AS483" s="1016">
        <v>73</v>
      </c>
    </row>
    <row r="484" spans="2:45" outlineLevel="1">
      <c r="B484" s="1387" t="s">
        <v>3189</v>
      </c>
      <c r="AQ484" s="1016">
        <v>24</v>
      </c>
      <c r="AR484" s="1016">
        <v>61</v>
      </c>
      <c r="AS484" s="1016">
        <v>85</v>
      </c>
    </row>
    <row r="485" spans="2:45" outlineLevel="1">
      <c r="B485" s="1387" t="s">
        <v>3190</v>
      </c>
      <c r="AQ485" s="1016">
        <v>217</v>
      </c>
      <c r="AR485" s="1016">
        <v>239</v>
      </c>
      <c r="AS485" s="1016">
        <v>456</v>
      </c>
    </row>
    <row r="486" spans="2:45" outlineLevel="1">
      <c r="B486" s="1387" t="s">
        <v>3191</v>
      </c>
      <c r="AQ486" s="1016">
        <v>169</v>
      </c>
      <c r="AR486" s="1016">
        <v>287</v>
      </c>
      <c r="AS486" s="1016">
        <v>456</v>
      </c>
    </row>
    <row r="487" spans="2:45" outlineLevel="1">
      <c r="B487" s="1387" t="s">
        <v>3528</v>
      </c>
      <c r="AR487" s="1016">
        <v>16</v>
      </c>
      <c r="AS487" s="1016">
        <v>16</v>
      </c>
    </row>
    <row r="488" spans="2:45" outlineLevel="1">
      <c r="B488" s="1387" t="s">
        <v>3529</v>
      </c>
      <c r="AR488" s="1016">
        <v>212</v>
      </c>
      <c r="AS488" s="1016">
        <v>212</v>
      </c>
    </row>
    <row r="489" spans="2:45" outlineLevel="1">
      <c r="B489" s="1387" t="s">
        <v>3530</v>
      </c>
      <c r="AR489" s="1016">
        <v>184</v>
      </c>
      <c r="AS489" s="1016">
        <v>184</v>
      </c>
    </row>
    <row r="490" spans="2:45" outlineLevel="1">
      <c r="B490" s="1387" t="s">
        <v>3575</v>
      </c>
      <c r="AR490" s="1016">
        <v>38</v>
      </c>
      <c r="AS490" s="1016">
        <v>38</v>
      </c>
    </row>
    <row r="491" spans="2:45" outlineLevel="1">
      <c r="B491" s="1387" t="s">
        <v>3519</v>
      </c>
      <c r="AR491" s="1016">
        <v>27</v>
      </c>
      <c r="AS491" s="1016">
        <v>27</v>
      </c>
    </row>
    <row r="492" spans="2:45" outlineLevel="1">
      <c r="B492" s="1387" t="s">
        <v>3521</v>
      </c>
      <c r="AR492" s="1016">
        <v>98</v>
      </c>
      <c r="AS492" s="1016">
        <v>98</v>
      </c>
    </row>
    <row r="493" spans="2:45" outlineLevel="1">
      <c r="B493" s="1387" t="s">
        <v>3523</v>
      </c>
      <c r="AR493" s="1016">
        <v>11</v>
      </c>
      <c r="AS493" s="1016">
        <v>11</v>
      </c>
    </row>
    <row r="494" spans="2:45" outlineLevel="1">
      <c r="B494" s="1387" t="s">
        <v>3573</v>
      </c>
      <c r="AR494" s="1016">
        <v>89</v>
      </c>
      <c r="AS494" s="1016">
        <v>89</v>
      </c>
    </row>
    <row r="495" spans="2:45" outlineLevel="1">
      <c r="B495" s="1387" t="s">
        <v>3525</v>
      </c>
      <c r="AR495" s="1016">
        <v>17</v>
      </c>
      <c r="AS495" s="1016">
        <v>17</v>
      </c>
    </row>
    <row r="496" spans="2:45" outlineLevel="1">
      <c r="B496" s="1387" t="s">
        <v>274</v>
      </c>
      <c r="C496" s="1016">
        <v>44</v>
      </c>
      <c r="D496" s="1016">
        <v>45</v>
      </c>
      <c r="E496" s="1016">
        <v>85</v>
      </c>
      <c r="F496" s="1016">
        <v>169</v>
      </c>
      <c r="G496" s="1016">
        <v>250</v>
      </c>
      <c r="H496" s="1016">
        <v>330</v>
      </c>
      <c r="I496" s="1016">
        <v>365</v>
      </c>
      <c r="J496" s="1016">
        <v>404</v>
      </c>
      <c r="K496" s="1016">
        <v>463</v>
      </c>
      <c r="L496" s="1016">
        <v>509</v>
      </c>
      <c r="M496" s="1016">
        <v>565</v>
      </c>
      <c r="N496" s="1016">
        <v>708</v>
      </c>
      <c r="O496" s="1016">
        <v>740</v>
      </c>
      <c r="P496" s="1016">
        <v>708</v>
      </c>
      <c r="Q496" s="1016">
        <v>711</v>
      </c>
      <c r="R496" s="1016">
        <v>874</v>
      </c>
      <c r="S496" s="1016">
        <v>995</v>
      </c>
      <c r="T496" s="1016">
        <v>1089</v>
      </c>
      <c r="U496" s="1016">
        <v>1143</v>
      </c>
      <c r="V496" s="1016">
        <v>1339</v>
      </c>
      <c r="W496" s="1016">
        <v>1493</v>
      </c>
      <c r="X496" s="1016">
        <v>1633</v>
      </c>
      <c r="Y496" s="1016">
        <v>1894</v>
      </c>
      <c r="Z496" s="1016">
        <v>2170</v>
      </c>
      <c r="AA496" s="1016">
        <v>2466</v>
      </c>
      <c r="AB496" s="1016">
        <v>2586</v>
      </c>
      <c r="AC496" s="1016">
        <v>2807</v>
      </c>
      <c r="AD496" s="1016">
        <v>3135</v>
      </c>
      <c r="AE496" s="1016">
        <v>3049</v>
      </c>
      <c r="AF496" s="1016">
        <v>3106</v>
      </c>
      <c r="AG496" s="1016">
        <v>3135</v>
      </c>
      <c r="AH496" s="1016">
        <v>3323</v>
      </c>
      <c r="AI496" s="1016">
        <v>3466</v>
      </c>
      <c r="AJ496" s="1016">
        <v>3654</v>
      </c>
      <c r="AK496" s="1016">
        <v>4005</v>
      </c>
      <c r="AL496" s="1016">
        <v>4120</v>
      </c>
      <c r="AM496" s="1016">
        <v>4158</v>
      </c>
      <c r="AN496" s="1016">
        <v>4068</v>
      </c>
      <c r="AO496" s="1016">
        <v>4327</v>
      </c>
      <c r="AP496" s="1016">
        <v>4506</v>
      </c>
      <c r="AQ496" s="1016">
        <v>4930</v>
      </c>
      <c r="AR496" s="1016">
        <v>5821</v>
      </c>
      <c r="AS496" s="1016">
        <v>85388</v>
      </c>
    </row>
    <row r="497" spans="2:2" outlineLevel="1">
      <c r="B497" s="1387"/>
    </row>
    <row r="498" spans="2:2" outlineLevel="1">
      <c r="B498" s="1387"/>
    </row>
    <row r="499" spans="2:2" outlineLevel="1">
      <c r="B499" s="1387"/>
    </row>
    <row r="500" spans="2:2" outlineLevel="1">
      <c r="B500" s="1387"/>
    </row>
    <row r="501" spans="2:2" outlineLevel="1">
      <c r="B501" s="1387"/>
    </row>
    <row r="502" spans="2:2" outlineLevel="1">
      <c r="B502" s="1387"/>
    </row>
    <row r="503" spans="2:2" outlineLevel="1">
      <c r="B503" s="1387"/>
    </row>
    <row r="504" spans="2:2" outlineLevel="1">
      <c r="B504" s="1387"/>
    </row>
    <row r="505" spans="2:2" outlineLevel="1">
      <c r="B505" s="1387"/>
    </row>
    <row r="506" spans="2:2" outlineLevel="1">
      <c r="B506" s="1387"/>
    </row>
    <row r="507" spans="2:2" outlineLevel="1">
      <c r="B507" s="1387"/>
    </row>
    <row r="508" spans="2:2" outlineLevel="1">
      <c r="B508" s="1387"/>
    </row>
    <row r="509" spans="2:2" outlineLevel="1">
      <c r="B509" s="1387"/>
    </row>
    <row r="510" spans="2:2" outlineLevel="1">
      <c r="B510" s="1387"/>
    </row>
    <row r="511" spans="2:2" outlineLevel="1">
      <c r="B511" s="1387"/>
    </row>
    <row r="512" spans="2:2" outlineLevel="1">
      <c r="B512" s="1387"/>
    </row>
    <row r="513" spans="2:45" outlineLevel="1">
      <c r="B513" s="1387"/>
    </row>
    <row r="514" spans="2:45" outlineLevel="1">
      <c r="B514" s="1387"/>
    </row>
    <row r="515" spans="2:45" outlineLevel="1"/>
    <row r="516" spans="2:45" outlineLevel="1">
      <c r="B516" s="476" t="s">
        <v>388</v>
      </c>
      <c r="C516" s="1487" t="s">
        <v>275</v>
      </c>
    </row>
    <row r="517" spans="2:45" outlineLevel="1">
      <c r="B517" s="341" t="s">
        <v>253</v>
      </c>
      <c r="C517" s="1016">
        <v>201301</v>
      </c>
      <c r="D517" s="1016">
        <v>201302</v>
      </c>
      <c r="E517" s="1016">
        <v>201303</v>
      </c>
      <c r="F517" s="1016">
        <v>201304</v>
      </c>
      <c r="G517" s="1016">
        <v>201305</v>
      </c>
      <c r="H517" s="1016">
        <v>201306</v>
      </c>
      <c r="I517" s="1016">
        <v>201307</v>
      </c>
      <c r="J517" s="1016">
        <v>201308</v>
      </c>
      <c r="K517" s="1016">
        <v>201309</v>
      </c>
      <c r="L517" s="1016">
        <v>201310</v>
      </c>
      <c r="M517" s="1016">
        <v>201311</v>
      </c>
      <c r="N517" s="1016">
        <v>201312</v>
      </c>
      <c r="O517" s="1016">
        <v>201401</v>
      </c>
      <c r="P517" s="1016">
        <v>201402</v>
      </c>
      <c r="Q517" s="1016">
        <v>201403</v>
      </c>
      <c r="R517" s="1016">
        <v>201404</v>
      </c>
      <c r="S517" s="1016">
        <v>201405</v>
      </c>
      <c r="T517" s="1016">
        <v>201406</v>
      </c>
      <c r="U517" s="1016">
        <v>201407</v>
      </c>
      <c r="V517" s="1016">
        <v>201408</v>
      </c>
      <c r="W517" s="1016">
        <v>201409</v>
      </c>
      <c r="X517" s="1016">
        <v>201410</v>
      </c>
      <c r="Y517" s="1016">
        <v>201411</v>
      </c>
      <c r="Z517" s="1016">
        <v>201412</v>
      </c>
      <c r="AA517" s="1016">
        <v>201501</v>
      </c>
      <c r="AB517" s="1016">
        <v>201502</v>
      </c>
      <c r="AC517" s="1016">
        <v>201503</v>
      </c>
      <c r="AD517" s="1016">
        <v>201504</v>
      </c>
      <c r="AE517" s="1016">
        <v>201505</v>
      </c>
      <c r="AF517" s="1016">
        <v>201506</v>
      </c>
      <c r="AG517" s="1016">
        <v>201507</v>
      </c>
      <c r="AH517" s="1016">
        <v>201508</v>
      </c>
      <c r="AI517" s="1016">
        <v>201509</v>
      </c>
      <c r="AJ517" s="1016">
        <v>201510</v>
      </c>
      <c r="AK517" s="1016">
        <v>201511</v>
      </c>
      <c r="AL517" s="1016">
        <v>201512</v>
      </c>
      <c r="AM517" s="1016">
        <v>201601</v>
      </c>
      <c r="AN517" s="1016">
        <v>201602</v>
      </c>
      <c r="AO517" s="1016">
        <v>201603</v>
      </c>
      <c r="AP517" s="1016">
        <v>201604</v>
      </c>
      <c r="AQ517" s="1016">
        <v>201605</v>
      </c>
      <c r="AR517" s="1016">
        <v>201606</v>
      </c>
      <c r="AS517" s="1016" t="s">
        <v>274</v>
      </c>
    </row>
    <row r="518" spans="2:45" outlineLevel="1">
      <c r="B518" s="1444" t="s">
        <v>191</v>
      </c>
      <c r="C518" s="475"/>
      <c r="D518" s="475"/>
      <c r="E518" s="475">
        <v>1</v>
      </c>
      <c r="F518" s="475">
        <v>0.55555555555555558</v>
      </c>
      <c r="G518" s="475">
        <v>0.55555555555555558</v>
      </c>
      <c r="H518" s="475">
        <v>0.5</v>
      </c>
      <c r="I518" s="475">
        <v>0.58333333333333337</v>
      </c>
      <c r="J518" s="475">
        <v>0.35714285714285715</v>
      </c>
      <c r="K518" s="475">
        <v>0.29411764705882354</v>
      </c>
      <c r="L518" s="475">
        <v>0.23529411764705882</v>
      </c>
      <c r="M518" s="475">
        <v>0.22222222222222221</v>
      </c>
      <c r="N518" s="475">
        <v>0.53333333333333333</v>
      </c>
      <c r="O518" s="475">
        <v>0.33333333333333331</v>
      </c>
      <c r="P518" s="475">
        <v>0.26666666666666666</v>
      </c>
      <c r="Q518" s="475">
        <v>0.35714285714285715</v>
      </c>
      <c r="R518" s="475">
        <v>0.1875</v>
      </c>
      <c r="S518" s="475">
        <v>0.13333333333333333</v>
      </c>
      <c r="T518" s="475">
        <v>0.33333333333333298</v>
      </c>
      <c r="U518" s="475">
        <v>0.35</v>
      </c>
      <c r="V518" s="475">
        <v>0.4</v>
      </c>
      <c r="W518" s="475">
        <v>0.43333333333333302</v>
      </c>
      <c r="X518" s="475">
        <v>0.14705882352941199</v>
      </c>
      <c r="Y518" s="475">
        <v>0.28947368421052599</v>
      </c>
      <c r="Z518" s="475">
        <v>0.30434782608695699</v>
      </c>
      <c r="AA518" s="475">
        <v>0.24193548387096775</v>
      </c>
      <c r="AB518" s="475">
        <v>0.17741935483870999</v>
      </c>
      <c r="AC518" s="475">
        <v>0.40909090909090901</v>
      </c>
      <c r="AD518" s="475">
        <v>0.22222222222222199</v>
      </c>
      <c r="AE518" s="475">
        <v>0.25</v>
      </c>
      <c r="AF518" s="475">
        <v>0.18181818181818199</v>
      </c>
      <c r="AG518" s="475">
        <v>0.169811320754717</v>
      </c>
      <c r="AH518" s="475">
        <v>0.27027027027027001</v>
      </c>
      <c r="AI518" s="475">
        <v>0.238095238095238</v>
      </c>
      <c r="AJ518" s="475">
        <v>0.22222222222222199</v>
      </c>
      <c r="AK518" s="475">
        <v>0.26190476190476197</v>
      </c>
      <c r="AL518" s="475">
        <v>0.23809523809523808</v>
      </c>
      <c r="AM518" s="475">
        <v>9.0909090909090912E-2</v>
      </c>
      <c r="AN518" s="475">
        <v>4.3478260869565216E-2</v>
      </c>
      <c r="AO518" s="475">
        <v>0.17777777777777778</v>
      </c>
      <c r="AP518" s="475">
        <v>0.18181818181818182</v>
      </c>
      <c r="AQ518" s="475">
        <v>0.40540540540540543</v>
      </c>
      <c r="AR518" s="475">
        <v>0.59183673469387754</v>
      </c>
      <c r="AS518" s="475">
        <v>12.746188467475823</v>
      </c>
    </row>
    <row r="519" spans="2:45" outlineLevel="1">
      <c r="B519" s="1444" t="s">
        <v>189</v>
      </c>
      <c r="C519" s="475"/>
      <c r="D519" s="475"/>
      <c r="E519" s="475">
        <v>0.75</v>
      </c>
      <c r="F519" s="475">
        <v>0.55555555555555558</v>
      </c>
      <c r="G519" s="475">
        <v>0.5</v>
      </c>
      <c r="H519" s="475">
        <v>0.35714285714285715</v>
      </c>
      <c r="I519" s="475">
        <v>0.4</v>
      </c>
      <c r="J519" s="475">
        <v>0.13333333333333333</v>
      </c>
      <c r="K519" s="475">
        <v>0.4</v>
      </c>
      <c r="L519" s="475">
        <v>0.53846153846153844</v>
      </c>
      <c r="M519" s="475">
        <v>0.6</v>
      </c>
      <c r="N519" s="475">
        <v>0.53333333333333333</v>
      </c>
      <c r="O519" s="475">
        <v>0.16666666666666666</v>
      </c>
      <c r="P519" s="475">
        <v>0.2</v>
      </c>
      <c r="Q519" s="475">
        <v>0.18518518518518517</v>
      </c>
      <c r="R519" s="475">
        <v>0.3125</v>
      </c>
      <c r="S519" s="475">
        <v>0.31428571428571428</v>
      </c>
      <c r="T519" s="475">
        <v>0.47222222222222199</v>
      </c>
      <c r="U519" s="475">
        <v>0.35294117647058826</v>
      </c>
      <c r="V519" s="475">
        <v>0.3125</v>
      </c>
      <c r="W519" s="475">
        <v>0.27027027027027001</v>
      </c>
      <c r="X519" s="475">
        <v>0.45</v>
      </c>
      <c r="Y519" s="475">
        <v>0.565217391304348</v>
      </c>
      <c r="Z519" s="475">
        <v>0.32142857142857101</v>
      </c>
      <c r="AA519" s="475">
        <v>0.37931034482758619</v>
      </c>
      <c r="AB519" s="475">
        <v>0.10344827586206901</v>
      </c>
      <c r="AC519" s="475">
        <v>0.24242424242424199</v>
      </c>
      <c r="AD519" s="475">
        <v>0.44444444444444398</v>
      </c>
      <c r="AE519" s="475">
        <v>0.32142857142857145</v>
      </c>
      <c r="AF519" s="475">
        <v>0.27586206896551702</v>
      </c>
      <c r="AG519" s="475">
        <v>0.25806451612903197</v>
      </c>
      <c r="AH519" s="475">
        <v>0.266666666666667</v>
      </c>
      <c r="AI519" s="475">
        <v>0.25806451612903197</v>
      </c>
      <c r="AJ519" s="475">
        <v>0.12</v>
      </c>
      <c r="AK519" s="475">
        <v>0.13043478260869601</v>
      </c>
      <c r="AL519" s="475">
        <v>0.35</v>
      </c>
      <c r="AM519" s="475">
        <v>0.14285714285714285</v>
      </c>
      <c r="AN519" s="475">
        <v>0.19047619047619047</v>
      </c>
      <c r="AO519" s="475">
        <v>0.23809523809523808</v>
      </c>
      <c r="AP519" s="475">
        <v>0.17391304347826086</v>
      </c>
      <c r="AQ519" s="475">
        <v>0.125</v>
      </c>
      <c r="AR519" s="475"/>
      <c r="AS519" s="475">
        <v>12.711533860052871</v>
      </c>
    </row>
    <row r="520" spans="2:45" outlineLevel="1">
      <c r="B520" s="1444" t="s">
        <v>192</v>
      </c>
      <c r="C520" s="475"/>
      <c r="D520" s="475"/>
      <c r="E520" s="475">
        <v>0</v>
      </c>
      <c r="F520" s="475">
        <v>0.75</v>
      </c>
      <c r="G520" s="475">
        <v>0.54545454545454541</v>
      </c>
      <c r="H520" s="475">
        <v>0.33333333333333331</v>
      </c>
      <c r="I520" s="475">
        <v>0.16666666666666666</v>
      </c>
      <c r="J520" s="475">
        <v>0.5</v>
      </c>
      <c r="K520" s="475">
        <v>0.2857142857142857</v>
      </c>
      <c r="L520" s="475">
        <v>0.69230769230769229</v>
      </c>
      <c r="M520" s="475">
        <v>0.53333333333333333</v>
      </c>
      <c r="N520" s="475">
        <v>0.375</v>
      </c>
      <c r="O520" s="475">
        <v>0.125</v>
      </c>
      <c r="P520" s="475">
        <v>0.2</v>
      </c>
      <c r="Q520" s="475">
        <v>0.1875</v>
      </c>
      <c r="R520" s="475">
        <v>0.42857142857142855</v>
      </c>
      <c r="S520" s="475">
        <v>0</v>
      </c>
      <c r="T520" s="475"/>
      <c r="U520" s="475"/>
      <c r="V520" s="475"/>
      <c r="W520" s="475"/>
      <c r="X520" s="475"/>
      <c r="Y520" s="475"/>
      <c r="Z520" s="475"/>
      <c r="AA520" s="475"/>
      <c r="AB520" s="475"/>
      <c r="AC520" s="475"/>
      <c r="AD520" s="475"/>
      <c r="AE520" s="475"/>
      <c r="AF520" s="475"/>
      <c r="AG520" s="475"/>
      <c r="AH520" s="475"/>
      <c r="AI520" s="475"/>
      <c r="AJ520" s="475"/>
      <c r="AK520" s="475"/>
      <c r="AL520" s="475"/>
      <c r="AM520" s="475"/>
      <c r="AN520" s="475"/>
      <c r="AO520" s="475"/>
      <c r="AP520" s="475"/>
      <c r="AQ520" s="475"/>
      <c r="AR520" s="475"/>
      <c r="AS520" s="475">
        <v>5.1228812853812853</v>
      </c>
    </row>
    <row r="521" spans="2:45" outlineLevel="1">
      <c r="B521" s="1444" t="s">
        <v>194</v>
      </c>
      <c r="C521" s="475"/>
      <c r="D521" s="475"/>
      <c r="E521" s="475">
        <v>0</v>
      </c>
      <c r="F521" s="475">
        <v>0.66666666666666663</v>
      </c>
      <c r="G521" s="475">
        <v>0.625</v>
      </c>
      <c r="H521" s="475">
        <v>0.2</v>
      </c>
      <c r="I521" s="475">
        <v>0.2</v>
      </c>
      <c r="J521" s="475">
        <v>0.45454545454545453</v>
      </c>
      <c r="K521" s="475">
        <v>0.38461538461538464</v>
      </c>
      <c r="L521" s="475">
        <v>0.33333333333333331</v>
      </c>
      <c r="M521" s="475">
        <v>0.33333333333333331</v>
      </c>
      <c r="N521" s="475">
        <v>0.2</v>
      </c>
      <c r="O521" s="475">
        <v>0</v>
      </c>
      <c r="P521" s="475">
        <v>5.8823529411764705E-2</v>
      </c>
      <c r="Q521" s="475">
        <v>0.23076923076923078</v>
      </c>
      <c r="R521" s="475">
        <v>0.18181818181818182</v>
      </c>
      <c r="S521" s="475">
        <v>0.45454545454545453</v>
      </c>
      <c r="T521" s="475">
        <v>0.33333333333333298</v>
      </c>
      <c r="U521" s="475">
        <v>0.2</v>
      </c>
      <c r="V521" s="475">
        <v>0.41666666666666669</v>
      </c>
      <c r="W521" s="475">
        <v>0.28571428571428598</v>
      </c>
      <c r="X521" s="475">
        <v>0.28571428571428598</v>
      </c>
      <c r="Y521" s="475">
        <v>0.23529411764705899</v>
      </c>
      <c r="Z521" s="475">
        <v>0.30769230769230799</v>
      </c>
      <c r="AA521" s="475">
        <v>0.15384615384615385</v>
      </c>
      <c r="AB521" s="475"/>
      <c r="AC521" s="475">
        <v>0.18181818181818199</v>
      </c>
      <c r="AD521" s="475">
        <v>0.266666666666667</v>
      </c>
      <c r="AE521" s="475">
        <v>0.45</v>
      </c>
      <c r="AF521" s="475">
        <v>0.70588235294117696</v>
      </c>
      <c r="AG521" s="475">
        <v>0.23529411764705899</v>
      </c>
      <c r="AH521" s="475">
        <v>0.47058823529411797</v>
      </c>
      <c r="AI521" s="475">
        <v>5.8823529411764698E-2</v>
      </c>
      <c r="AJ521" s="475">
        <v>0.52941176470588203</v>
      </c>
      <c r="AK521" s="475">
        <v>9.5238095238095205E-2</v>
      </c>
      <c r="AL521" s="475">
        <v>0.4</v>
      </c>
      <c r="AM521" s="475"/>
      <c r="AN521" s="475">
        <v>4.7619047619047616E-2</v>
      </c>
      <c r="AO521" s="475">
        <v>0.23809523809523808</v>
      </c>
      <c r="AP521" s="475">
        <v>8.6956521739130432E-2</v>
      </c>
      <c r="AQ521" s="475"/>
      <c r="AR521" s="475"/>
      <c r="AS521" s="475">
        <v>10.308105470829258</v>
      </c>
    </row>
    <row r="522" spans="2:45" outlineLevel="1">
      <c r="B522" s="1444" t="s">
        <v>190</v>
      </c>
      <c r="C522" s="475"/>
      <c r="D522" s="475"/>
      <c r="E522" s="475">
        <v>0</v>
      </c>
      <c r="F522" s="475">
        <v>0.66666666666666663</v>
      </c>
      <c r="G522" s="475">
        <v>0.33333333333333331</v>
      </c>
      <c r="H522" s="475">
        <v>0.4</v>
      </c>
      <c r="I522" s="475">
        <v>0.54545454545454541</v>
      </c>
      <c r="J522" s="475">
        <v>0.5</v>
      </c>
      <c r="K522" s="475">
        <v>0.35714285714285715</v>
      </c>
      <c r="L522" s="475">
        <v>0.58333333333333337</v>
      </c>
      <c r="M522" s="475">
        <v>0.30769230769230771</v>
      </c>
      <c r="N522" s="475">
        <v>0.33333333333333331</v>
      </c>
      <c r="O522" s="475">
        <v>0.26666666666666666</v>
      </c>
      <c r="P522" s="475">
        <v>6.6666666666666666E-2</v>
      </c>
      <c r="Q522" s="475">
        <v>8.3333333333333329E-2</v>
      </c>
      <c r="R522" s="475">
        <v>0.61538461538461542</v>
      </c>
      <c r="S522" s="475">
        <v>0.2</v>
      </c>
      <c r="T522" s="475">
        <v>0.33333333333333298</v>
      </c>
      <c r="U522" s="475">
        <v>0.15384615384615385</v>
      </c>
      <c r="V522" s="475">
        <v>0.23076923076923078</v>
      </c>
      <c r="W522" s="475">
        <v>0.230769230769231</v>
      </c>
      <c r="X522" s="475">
        <v>0.17647058823529399</v>
      </c>
      <c r="Y522" s="475">
        <v>0.266666666666667</v>
      </c>
      <c r="Z522" s="475">
        <v>0.25</v>
      </c>
      <c r="AA522" s="475">
        <v>0.30769230769230771</v>
      </c>
      <c r="AB522" s="475"/>
      <c r="AC522" s="475">
        <v>0.30769230769230799</v>
      </c>
      <c r="AD522" s="475">
        <v>0.30769230769230799</v>
      </c>
      <c r="AE522" s="475">
        <v>0.30769230769230771</v>
      </c>
      <c r="AF522" s="475">
        <v>0.25</v>
      </c>
      <c r="AG522" s="475">
        <v>0.53333333333333299</v>
      </c>
      <c r="AH522" s="475">
        <v>0.57142857142857095</v>
      </c>
      <c r="AI522" s="475">
        <v>0.4</v>
      </c>
      <c r="AJ522" s="475">
        <v>0.16666666666666699</v>
      </c>
      <c r="AK522" s="475">
        <v>0.73684210526315796</v>
      </c>
      <c r="AL522" s="475">
        <v>0.36363636363636365</v>
      </c>
      <c r="AM522" s="475">
        <v>0.39130434782608697</v>
      </c>
      <c r="AN522" s="475">
        <v>0.2608695652173913</v>
      </c>
      <c r="AO522" s="475">
        <v>0.4</v>
      </c>
      <c r="AP522" s="475">
        <v>0.33333333333333331</v>
      </c>
      <c r="AQ522" s="475"/>
      <c r="AR522" s="475"/>
      <c r="AS522" s="475">
        <v>12.539046380101707</v>
      </c>
    </row>
    <row r="523" spans="2:45" outlineLevel="1">
      <c r="B523" s="1444" t="s">
        <v>92</v>
      </c>
      <c r="C523" s="475">
        <v>0.25</v>
      </c>
      <c r="D523" s="475">
        <v>0.25</v>
      </c>
      <c r="E523" s="475">
        <v>1</v>
      </c>
      <c r="F523" s="475">
        <v>0.25</v>
      </c>
      <c r="G523" s="475">
        <v>0.33333333333333331</v>
      </c>
      <c r="H523" s="475">
        <v>0.3</v>
      </c>
      <c r="I523" s="475">
        <v>0.375</v>
      </c>
      <c r="J523" s="475">
        <v>0.45454545454545453</v>
      </c>
      <c r="K523" s="475">
        <v>0.41176470588235292</v>
      </c>
      <c r="L523" s="475">
        <v>0.58823529411764708</v>
      </c>
      <c r="M523" s="475">
        <v>0.2857142857142857</v>
      </c>
      <c r="N523" s="475">
        <v>0.30769230769230771</v>
      </c>
      <c r="O523" s="475">
        <v>0.19230769230769232</v>
      </c>
      <c r="P523" s="475">
        <v>0.29166666666666669</v>
      </c>
      <c r="Q523" s="475">
        <v>0.30434782608695654</v>
      </c>
      <c r="R523" s="475">
        <v>0.41666666666666669</v>
      </c>
      <c r="S523" s="475">
        <v>0.5</v>
      </c>
      <c r="T523" s="475">
        <v>0.30769230769230799</v>
      </c>
      <c r="U523" s="475">
        <v>0.19230769230769232</v>
      </c>
      <c r="V523" s="475">
        <v>0.25925925925925924</v>
      </c>
      <c r="W523" s="475">
        <v>0.296296296296296</v>
      </c>
      <c r="X523" s="475">
        <v>0.16</v>
      </c>
      <c r="Y523" s="475">
        <v>8.6956521739130405E-2</v>
      </c>
      <c r="Z523" s="475">
        <v>0.30434782608695699</v>
      </c>
      <c r="AA523" s="475">
        <v>0.2608695652173913</v>
      </c>
      <c r="AB523" s="475">
        <v>8.6956521739130405E-2</v>
      </c>
      <c r="AC523" s="475">
        <v>8.3333333333333301E-2</v>
      </c>
      <c r="AD523" s="475">
        <v>0.36363636363636398</v>
      </c>
      <c r="AE523" s="475">
        <v>0.22727272727272727</v>
      </c>
      <c r="AF523" s="475">
        <v>0.38095238095238099</v>
      </c>
      <c r="AG523" s="475">
        <v>0.34482758620689702</v>
      </c>
      <c r="AH523" s="475">
        <v>0.233333333333333</v>
      </c>
      <c r="AI523" s="475">
        <v>0.2</v>
      </c>
      <c r="AJ523" s="475">
        <v>0.2</v>
      </c>
      <c r="AK523" s="475">
        <v>0.2</v>
      </c>
      <c r="AL523" s="475">
        <v>0.21875</v>
      </c>
      <c r="AM523" s="475">
        <v>2.9411764705882353E-2</v>
      </c>
      <c r="AN523" s="475">
        <v>0.13333333333333333</v>
      </c>
      <c r="AO523" s="475">
        <v>0.35483870967741937</v>
      </c>
      <c r="AP523" s="475">
        <v>0.21212121212121213</v>
      </c>
      <c r="AQ523" s="475">
        <v>0.17142857142857143</v>
      </c>
      <c r="AR523" s="475"/>
      <c r="AS523" s="475">
        <v>11.819199539352981</v>
      </c>
    </row>
    <row r="524" spans="2:45" outlineLevel="1">
      <c r="B524" s="1444" t="s">
        <v>17</v>
      </c>
      <c r="C524" s="475">
        <v>0.25</v>
      </c>
      <c r="D524" s="475">
        <v>0</v>
      </c>
      <c r="E524" s="475">
        <v>0.375</v>
      </c>
      <c r="F524" s="475">
        <v>0.4</v>
      </c>
      <c r="G524" s="475">
        <v>0.3</v>
      </c>
      <c r="H524" s="475">
        <v>0.36363636363636365</v>
      </c>
      <c r="I524" s="475">
        <v>0</v>
      </c>
      <c r="J524" s="475">
        <v>0.1111111111111111</v>
      </c>
      <c r="K524" s="475">
        <v>0.375</v>
      </c>
      <c r="L524" s="475">
        <v>0.27272727272727271</v>
      </c>
      <c r="M524" s="475">
        <v>9.0909090909090912E-2</v>
      </c>
      <c r="N524" s="475">
        <v>0.41666666666666669</v>
      </c>
      <c r="O524" s="475">
        <v>0.18181818181818182</v>
      </c>
      <c r="P524" s="475">
        <v>0.2857142857142857</v>
      </c>
      <c r="Q524" s="475">
        <v>0.2</v>
      </c>
      <c r="R524" s="475">
        <v>0.2857142857142857</v>
      </c>
      <c r="S524" s="475">
        <v>0.31818181818181818</v>
      </c>
      <c r="T524" s="475">
        <v>0.15</v>
      </c>
      <c r="U524" s="475">
        <v>0.17647058823529413</v>
      </c>
      <c r="V524" s="475">
        <v>0.17647058823529413</v>
      </c>
      <c r="W524" s="475">
        <v>0.21052631578947401</v>
      </c>
      <c r="X524" s="475">
        <v>5.2631578947368397E-2</v>
      </c>
      <c r="Y524" s="475">
        <v>0.157894736842105</v>
      </c>
      <c r="Z524" s="475">
        <v>0.3125</v>
      </c>
      <c r="AA524" s="475"/>
      <c r="AB524" s="475">
        <v>7.1428571428571397E-2</v>
      </c>
      <c r="AC524" s="475">
        <v>0.28571428571428598</v>
      </c>
      <c r="AD524" s="475">
        <v>0.35714285714285698</v>
      </c>
      <c r="AE524" s="475">
        <v>6.25E-2</v>
      </c>
      <c r="AF524" s="475">
        <v>0.2</v>
      </c>
      <c r="AG524" s="475">
        <v>0.2</v>
      </c>
      <c r="AH524" s="475">
        <v>0.25</v>
      </c>
      <c r="AI524" s="475">
        <v>0.16666666666666699</v>
      </c>
      <c r="AJ524" s="475">
        <v>0.16666666666666699</v>
      </c>
      <c r="AK524" s="475">
        <v>0.15384615384615399</v>
      </c>
      <c r="AL524" s="475">
        <v>0.25</v>
      </c>
      <c r="AM524" s="475"/>
      <c r="AN524" s="475">
        <v>8.3333333333333329E-2</v>
      </c>
      <c r="AO524" s="475">
        <v>0.16666666666666666</v>
      </c>
      <c r="AP524" s="475">
        <v>9.0909090909090912E-2</v>
      </c>
      <c r="AQ524" s="475">
        <v>0.1</v>
      </c>
      <c r="AR524" s="475">
        <v>0.2</v>
      </c>
      <c r="AS524" s="475">
        <v>8.2678471769029045</v>
      </c>
    </row>
    <row r="525" spans="2:45" outlineLevel="1">
      <c r="B525" s="1444" t="s">
        <v>188</v>
      </c>
      <c r="C525" s="475"/>
      <c r="D525" s="475"/>
      <c r="E525" s="475">
        <v>0.75</v>
      </c>
      <c r="F525" s="475">
        <v>0.36363636363636365</v>
      </c>
      <c r="G525" s="475">
        <v>0.375</v>
      </c>
      <c r="H525" s="475">
        <v>0.375</v>
      </c>
      <c r="I525" s="475">
        <v>0.3125</v>
      </c>
      <c r="J525" s="475">
        <v>0.33333333333333331</v>
      </c>
      <c r="K525" s="475">
        <v>0.27777777777777779</v>
      </c>
      <c r="L525" s="475">
        <v>0.2857142857142857</v>
      </c>
      <c r="M525" s="475">
        <v>0.41666666666666669</v>
      </c>
      <c r="N525" s="475">
        <v>0.5</v>
      </c>
      <c r="O525" s="475">
        <v>0.29411764705882354</v>
      </c>
      <c r="P525" s="475">
        <v>0.13333333333333333</v>
      </c>
      <c r="Q525" s="475">
        <v>0.26666666666666666</v>
      </c>
      <c r="R525" s="475">
        <v>0.33333333333333331</v>
      </c>
      <c r="S525" s="475">
        <v>0.44444444444444442</v>
      </c>
      <c r="T525" s="475">
        <v>0.45454545454545497</v>
      </c>
      <c r="U525" s="475">
        <v>0.5</v>
      </c>
      <c r="V525" s="475">
        <v>0.52631578947368418</v>
      </c>
      <c r="W525" s="475">
        <v>0.47368421052631599</v>
      </c>
      <c r="X525" s="475">
        <v>0.35483870967741898</v>
      </c>
      <c r="Y525" s="475">
        <v>0.375</v>
      </c>
      <c r="Z525" s="475">
        <v>0.30303030303030298</v>
      </c>
      <c r="AA525" s="475">
        <v>0.27272727272727271</v>
      </c>
      <c r="AB525" s="475">
        <v>0.32352941176470601</v>
      </c>
      <c r="AC525" s="475">
        <v>0.24242424242424199</v>
      </c>
      <c r="AD525" s="475">
        <v>0.35294117647058798</v>
      </c>
      <c r="AE525" s="475">
        <v>0.26315789473684209</v>
      </c>
      <c r="AF525" s="475">
        <v>0.35294117647058798</v>
      </c>
      <c r="AG525" s="475">
        <v>0.53333333333333299</v>
      </c>
      <c r="AH525" s="475">
        <v>0.32258064516128998</v>
      </c>
      <c r="AI525" s="475">
        <v>0.53125</v>
      </c>
      <c r="AJ525" s="475">
        <v>0.45454545454545497</v>
      </c>
      <c r="AK525" s="475">
        <v>0.69696969696969702</v>
      </c>
      <c r="AL525" s="475">
        <v>0.55000000000000004</v>
      </c>
      <c r="AM525" s="475">
        <v>0.16666666666666666</v>
      </c>
      <c r="AN525" s="475">
        <v>2.1739130434782608E-2</v>
      </c>
      <c r="AO525" s="475">
        <v>0.21428571428571427</v>
      </c>
      <c r="AP525" s="475">
        <v>0.29545454545454547</v>
      </c>
      <c r="AQ525" s="475"/>
      <c r="AR525" s="475"/>
      <c r="AS525" s="475">
        <v>14.043484680663932</v>
      </c>
    </row>
    <row r="526" spans="2:45" outlineLevel="1">
      <c r="B526" s="1444" t="s">
        <v>381</v>
      </c>
      <c r="C526" s="475"/>
      <c r="D526" s="475"/>
      <c r="E526" s="475"/>
      <c r="F526" s="475"/>
      <c r="G526" s="475"/>
      <c r="H526" s="475"/>
      <c r="I526" s="475">
        <v>0</v>
      </c>
      <c r="J526" s="475">
        <v>0</v>
      </c>
      <c r="K526" s="475">
        <v>0</v>
      </c>
      <c r="L526" s="475"/>
      <c r="M526" s="475"/>
      <c r="N526" s="475">
        <v>0</v>
      </c>
      <c r="O526" s="475">
        <v>0</v>
      </c>
      <c r="P526" s="475">
        <v>0</v>
      </c>
      <c r="Q526" s="475"/>
      <c r="R526" s="475"/>
      <c r="S526" s="475">
        <v>1</v>
      </c>
      <c r="T526" s="475">
        <v>1.5238095238095239</v>
      </c>
      <c r="U526" s="475">
        <v>1.2380952380952381</v>
      </c>
      <c r="V526" s="475">
        <v>1.0285714285714285</v>
      </c>
      <c r="W526" s="475">
        <v>1</v>
      </c>
      <c r="X526" s="475">
        <v>0.76190476190476197</v>
      </c>
      <c r="Y526" s="475">
        <v>0.34722222222222199</v>
      </c>
      <c r="Z526" s="475">
        <v>0.2</v>
      </c>
      <c r="AA526" s="475">
        <v>0.8</v>
      </c>
      <c r="AB526" s="475">
        <v>0.5075757575757579</v>
      </c>
      <c r="AC526" s="475">
        <v>0.54545454545454597</v>
      </c>
      <c r="AD526" s="475">
        <v>0.18181818181818199</v>
      </c>
      <c r="AE526" s="475">
        <v>0.40404040404040403</v>
      </c>
      <c r="AF526" s="475">
        <v>0.30681818181818199</v>
      </c>
      <c r="AG526" s="475"/>
      <c r="AH526" s="475"/>
      <c r="AI526" s="475"/>
      <c r="AJ526" s="475"/>
      <c r="AK526" s="475"/>
      <c r="AL526" s="475"/>
      <c r="AM526" s="475"/>
      <c r="AN526" s="475"/>
      <c r="AO526" s="475"/>
      <c r="AP526" s="475"/>
      <c r="AQ526" s="475"/>
      <c r="AR526" s="475"/>
      <c r="AS526" s="475">
        <v>9.8453102453102481</v>
      </c>
    </row>
    <row r="527" spans="2:45" outlineLevel="1">
      <c r="B527" s="1444"/>
      <c r="C527" s="475"/>
      <c r="D527" s="475"/>
      <c r="E527" s="475"/>
      <c r="F527" s="475"/>
      <c r="G527" s="475"/>
      <c r="H527" s="475"/>
      <c r="I527" s="475"/>
      <c r="J527" s="475"/>
      <c r="K527" s="475"/>
      <c r="L527" s="475">
        <v>0</v>
      </c>
      <c r="M527" s="475">
        <v>0</v>
      </c>
      <c r="N527" s="475"/>
      <c r="O527" s="475"/>
      <c r="P527" s="475"/>
      <c r="Q527" s="475"/>
      <c r="R527" s="475"/>
      <c r="S527" s="475"/>
      <c r="T527" s="475"/>
      <c r="U527" s="475"/>
      <c r="V527" s="475"/>
      <c r="W527" s="475"/>
      <c r="X527" s="475"/>
      <c r="Y527" s="475"/>
      <c r="Z527" s="475"/>
      <c r="AA527" s="475"/>
      <c r="AB527" s="475"/>
      <c r="AC527" s="475"/>
      <c r="AD527" s="475"/>
      <c r="AE527" s="475"/>
      <c r="AF527" s="475"/>
      <c r="AG527" s="475"/>
      <c r="AH527" s="475"/>
      <c r="AI527" s="475"/>
      <c r="AJ527" s="475"/>
      <c r="AK527" s="475"/>
      <c r="AL527" s="475"/>
      <c r="AM527" s="475"/>
      <c r="AN527" s="475"/>
      <c r="AO527" s="475"/>
      <c r="AP527" s="475"/>
      <c r="AQ527" s="475"/>
      <c r="AR527" s="475"/>
      <c r="AS527" s="475">
        <v>0</v>
      </c>
    </row>
    <row r="528" spans="2:45" outlineLevel="1">
      <c r="B528" s="1444" t="s">
        <v>461</v>
      </c>
      <c r="C528" s="475"/>
      <c r="D528" s="475"/>
      <c r="E528" s="475"/>
      <c r="F528" s="475"/>
      <c r="G528" s="475"/>
      <c r="H528" s="475"/>
      <c r="I528" s="475"/>
      <c r="J528" s="475"/>
      <c r="K528" s="475"/>
      <c r="L528" s="475"/>
      <c r="M528" s="475">
        <v>1</v>
      </c>
      <c r="N528" s="475">
        <v>0.66666666666666663</v>
      </c>
      <c r="O528" s="475">
        <v>0.5</v>
      </c>
      <c r="P528" s="475">
        <v>0.25</v>
      </c>
      <c r="Q528" s="475"/>
      <c r="R528" s="475"/>
      <c r="S528" s="475"/>
      <c r="T528" s="475"/>
      <c r="U528" s="475"/>
      <c r="V528" s="475"/>
      <c r="W528" s="475"/>
      <c r="X528" s="475"/>
      <c r="Y528" s="475"/>
      <c r="Z528" s="475"/>
      <c r="AA528" s="475"/>
      <c r="AB528" s="475"/>
      <c r="AC528" s="475"/>
      <c r="AD528" s="475"/>
      <c r="AE528" s="475"/>
      <c r="AF528" s="475"/>
      <c r="AG528" s="475"/>
      <c r="AH528" s="475"/>
      <c r="AI528" s="475"/>
      <c r="AJ528" s="475"/>
      <c r="AK528" s="475"/>
      <c r="AL528" s="475"/>
      <c r="AM528" s="475"/>
      <c r="AN528" s="475"/>
      <c r="AO528" s="475"/>
      <c r="AP528" s="475"/>
      <c r="AQ528" s="475"/>
      <c r="AR528" s="475"/>
      <c r="AS528" s="475">
        <v>2.4166666666666665</v>
      </c>
    </row>
    <row r="529" spans="2:45" outlineLevel="1">
      <c r="B529" s="1444" t="s">
        <v>483</v>
      </c>
      <c r="C529" s="475"/>
      <c r="D529" s="475"/>
      <c r="E529" s="475"/>
      <c r="F529" s="475"/>
      <c r="G529" s="475"/>
      <c r="H529" s="475"/>
      <c r="I529" s="475"/>
      <c r="J529" s="475"/>
      <c r="K529" s="475"/>
      <c r="L529" s="475"/>
      <c r="M529" s="475"/>
      <c r="N529" s="475">
        <v>1</v>
      </c>
      <c r="O529" s="475">
        <v>0</v>
      </c>
      <c r="P529" s="475">
        <v>0.25</v>
      </c>
      <c r="Q529" s="475">
        <v>0.33333333333333331</v>
      </c>
      <c r="R529" s="475">
        <v>0.55555555555555558</v>
      </c>
      <c r="S529" s="475">
        <v>0.33333333333333331</v>
      </c>
      <c r="T529" s="475">
        <v>0.55555555555555602</v>
      </c>
      <c r="U529" s="475">
        <v>0.55555555555555558</v>
      </c>
      <c r="V529" s="475">
        <v>0.5</v>
      </c>
      <c r="W529" s="475">
        <v>0.38461538461538503</v>
      </c>
      <c r="X529" s="475">
        <v>0.41666666666666702</v>
      </c>
      <c r="Y529" s="475">
        <v>0.66666666666666696</v>
      </c>
      <c r="Z529" s="475">
        <v>0.52631578947368396</v>
      </c>
      <c r="AA529" s="475">
        <v>0.6</v>
      </c>
      <c r="AB529" s="475">
        <v>0.15</v>
      </c>
      <c r="AC529" s="475">
        <v>0.33333333333333298</v>
      </c>
      <c r="AD529" s="475">
        <v>0.26086956521739102</v>
      </c>
      <c r="AE529" s="475">
        <v>0.17391304347826086</v>
      </c>
      <c r="AF529" s="475">
        <v>0.3</v>
      </c>
      <c r="AG529" s="475">
        <v>0.45</v>
      </c>
      <c r="AH529" s="475">
        <v>0.31578947368421101</v>
      </c>
      <c r="AI529" s="475">
        <v>0.3125</v>
      </c>
      <c r="AJ529" s="475"/>
      <c r="AK529" s="475">
        <v>0.35294117647058798</v>
      </c>
      <c r="AL529" s="475">
        <v>0.26666666666666666</v>
      </c>
      <c r="AM529" s="475"/>
      <c r="AN529" s="475"/>
      <c r="AO529" s="475"/>
      <c r="AP529" s="475"/>
      <c r="AQ529" s="475"/>
      <c r="AR529" s="475"/>
      <c r="AS529" s="475">
        <v>9.5936110996061874</v>
      </c>
    </row>
    <row r="530" spans="2:45" outlineLevel="1">
      <c r="B530" s="1444" t="s">
        <v>629</v>
      </c>
      <c r="C530" s="475"/>
      <c r="D530" s="475"/>
      <c r="E530" s="475"/>
      <c r="F530" s="475"/>
      <c r="G530" s="475"/>
      <c r="H530" s="475"/>
      <c r="I530" s="475"/>
      <c r="J530" s="475"/>
      <c r="K530" s="475"/>
      <c r="L530" s="475"/>
      <c r="M530" s="475"/>
      <c r="N530" s="475"/>
      <c r="O530" s="475"/>
      <c r="P530" s="475"/>
      <c r="Q530" s="475">
        <v>0.66666666666666663</v>
      </c>
      <c r="R530" s="475">
        <v>0.66666666666666663</v>
      </c>
      <c r="S530" s="475">
        <v>0.38461538461538464</v>
      </c>
      <c r="T530" s="475">
        <v>0.52380952380952395</v>
      </c>
      <c r="U530" s="475">
        <v>0.2857142857142857</v>
      </c>
      <c r="V530" s="475">
        <v>0.27272727272727271</v>
      </c>
      <c r="W530" s="475">
        <v>0.18181818181818199</v>
      </c>
      <c r="X530" s="475">
        <v>0.25</v>
      </c>
      <c r="Y530" s="475">
        <v>0.25</v>
      </c>
      <c r="Z530" s="475">
        <v>0.19047619047618999</v>
      </c>
      <c r="AA530" s="475">
        <v>0.23809523809523808</v>
      </c>
      <c r="AB530" s="475">
        <v>9.5238095238095205E-2</v>
      </c>
      <c r="AC530" s="475">
        <v>0.238095238095238</v>
      </c>
      <c r="AD530" s="475">
        <v>0.22727272727272699</v>
      </c>
      <c r="AE530" s="475">
        <v>0.12</v>
      </c>
      <c r="AF530" s="475">
        <v>0.19047619047618999</v>
      </c>
      <c r="AG530" s="475">
        <v>9.5238095238095205E-2</v>
      </c>
      <c r="AH530" s="475">
        <v>0.14285714285714299</v>
      </c>
      <c r="AI530" s="475">
        <v>0.16666666666666699</v>
      </c>
      <c r="AJ530" s="475">
        <v>5.8823529411764698E-2</v>
      </c>
      <c r="AK530" s="475">
        <v>0.23529411764705899</v>
      </c>
      <c r="AL530" s="475">
        <v>0.1</v>
      </c>
      <c r="AM530" s="475">
        <v>9.5238095238095233E-2</v>
      </c>
      <c r="AN530" s="475">
        <v>4.7619047619047616E-2</v>
      </c>
      <c r="AO530" s="475">
        <v>0.19047619047619047</v>
      </c>
      <c r="AP530" s="475">
        <v>4.7619047619047616E-2</v>
      </c>
      <c r="AQ530" s="475"/>
      <c r="AR530" s="475"/>
      <c r="AS530" s="475">
        <v>5.9615035944447685</v>
      </c>
    </row>
    <row r="531" spans="2:45" outlineLevel="1">
      <c r="B531" s="1444" t="s">
        <v>645</v>
      </c>
      <c r="C531" s="475"/>
      <c r="D531" s="475"/>
      <c r="E531" s="475"/>
      <c r="F531" s="475"/>
      <c r="G531" s="475"/>
      <c r="H531" s="475"/>
      <c r="I531" s="475"/>
      <c r="J531" s="475"/>
      <c r="K531" s="475"/>
      <c r="L531" s="475"/>
      <c r="M531" s="475"/>
      <c r="N531" s="475"/>
      <c r="O531" s="475"/>
      <c r="P531" s="475"/>
      <c r="Q531" s="475"/>
      <c r="R531" s="475">
        <v>1</v>
      </c>
      <c r="S531" s="475">
        <v>0.6</v>
      </c>
      <c r="T531" s="475">
        <v>0.6</v>
      </c>
      <c r="U531" s="475">
        <v>0.5</v>
      </c>
      <c r="V531" s="475">
        <v>0.75</v>
      </c>
      <c r="W531" s="475">
        <v>0.44444444444444398</v>
      </c>
      <c r="X531" s="475">
        <v>0.125</v>
      </c>
      <c r="Y531" s="475">
        <v>0.6</v>
      </c>
      <c r="Z531" s="475">
        <v>0.2</v>
      </c>
      <c r="AA531" s="475">
        <v>0.4</v>
      </c>
      <c r="AB531" s="475">
        <v>6.6666666666666693E-2</v>
      </c>
      <c r="AC531" s="475">
        <v>0.17647058823529399</v>
      </c>
      <c r="AD531" s="475">
        <v>0.17647058823529399</v>
      </c>
      <c r="AE531" s="475">
        <v>0.2857142857142857</v>
      </c>
      <c r="AF531" s="475">
        <v>0.25</v>
      </c>
      <c r="AG531" s="475">
        <v>0.33333333333333298</v>
      </c>
      <c r="AH531" s="475">
        <v>0.38888888888888901</v>
      </c>
      <c r="AI531" s="475">
        <v>0.157894736842105</v>
      </c>
      <c r="AJ531" s="475">
        <v>0.26086956521739102</v>
      </c>
      <c r="AK531" s="475">
        <v>0.476190476190476</v>
      </c>
      <c r="AL531" s="475">
        <v>0.19047619047619047</v>
      </c>
      <c r="AM531" s="475">
        <v>0.1</v>
      </c>
      <c r="AN531" s="475"/>
      <c r="AO531" s="475">
        <v>0.13333333333333333</v>
      </c>
      <c r="AP531" s="475">
        <v>6.6666666666666666E-2</v>
      </c>
      <c r="AQ531" s="475">
        <v>8.3333333333333329E-2</v>
      </c>
      <c r="AR531" s="475">
        <v>0.25</v>
      </c>
      <c r="AS531" s="475">
        <v>8.6157530975777039</v>
      </c>
    </row>
    <row r="532" spans="2:45" outlineLevel="1">
      <c r="B532" s="1444" t="s">
        <v>641</v>
      </c>
      <c r="C532" s="475"/>
      <c r="D532" s="475"/>
      <c r="E532" s="475"/>
      <c r="F532" s="475"/>
      <c r="G532" s="475"/>
      <c r="H532" s="475"/>
      <c r="I532" s="475"/>
      <c r="J532" s="475"/>
      <c r="K532" s="475"/>
      <c r="L532" s="475"/>
      <c r="M532" s="475"/>
      <c r="N532" s="475"/>
      <c r="O532" s="475"/>
      <c r="P532" s="475"/>
      <c r="Q532" s="475"/>
      <c r="R532" s="475">
        <v>1</v>
      </c>
      <c r="S532" s="475">
        <v>0.625</v>
      </c>
      <c r="T532" s="475">
        <v>0.81818181818181801</v>
      </c>
      <c r="U532" s="475">
        <v>0.16666666666666666</v>
      </c>
      <c r="V532" s="475">
        <v>0.5</v>
      </c>
      <c r="W532" s="475">
        <v>0.33333333333333298</v>
      </c>
      <c r="X532" s="475">
        <v>0.23529411764705899</v>
      </c>
      <c r="Y532" s="475">
        <v>0.28571428571428598</v>
      </c>
      <c r="Z532" s="475">
        <v>0.35714285714285698</v>
      </c>
      <c r="AA532" s="475">
        <v>0.16666666666666666</v>
      </c>
      <c r="AB532" s="475">
        <v>0.16666666666666699</v>
      </c>
      <c r="AC532" s="475">
        <v>0.18181818181818199</v>
      </c>
      <c r="AD532" s="475">
        <v>0.42105263157894701</v>
      </c>
      <c r="AE532" s="475">
        <v>0.33333333333333331</v>
      </c>
      <c r="AF532" s="475">
        <v>0.23529411764705899</v>
      </c>
      <c r="AG532" s="475">
        <v>0.25</v>
      </c>
      <c r="AH532" s="475">
        <v>0.25</v>
      </c>
      <c r="AI532" s="475">
        <v>0.133333333333333</v>
      </c>
      <c r="AJ532" s="475">
        <v>0.11111111111111099</v>
      </c>
      <c r="AK532" s="475">
        <v>0.42105263157894701</v>
      </c>
      <c r="AL532" s="475">
        <v>0.375</v>
      </c>
      <c r="AM532" s="475">
        <v>0.23529411764705882</v>
      </c>
      <c r="AN532" s="475">
        <v>0.1875</v>
      </c>
      <c r="AO532" s="475">
        <v>0.6</v>
      </c>
      <c r="AP532" s="475">
        <v>0.5</v>
      </c>
      <c r="AQ532" s="475">
        <v>0.41176470588235292</v>
      </c>
      <c r="AR532" s="475">
        <v>0.41176470588235292</v>
      </c>
      <c r="AS532" s="475">
        <v>9.7129852818320295</v>
      </c>
    </row>
    <row r="533" spans="2:45" outlineLevel="1">
      <c r="B533" s="1444" t="s">
        <v>643</v>
      </c>
      <c r="C533" s="475"/>
      <c r="D533" s="475"/>
      <c r="E533" s="475"/>
      <c r="F533" s="475"/>
      <c r="G533" s="475"/>
      <c r="H533" s="475"/>
      <c r="I533" s="475"/>
      <c r="J533" s="475"/>
      <c r="K533" s="475"/>
      <c r="L533" s="475"/>
      <c r="M533" s="475"/>
      <c r="N533" s="475"/>
      <c r="O533" s="475"/>
      <c r="P533" s="475"/>
      <c r="Q533" s="475"/>
      <c r="R533" s="475">
        <v>1</v>
      </c>
      <c r="S533" s="475">
        <v>0.75</v>
      </c>
      <c r="T533" s="475">
        <v>0.375</v>
      </c>
      <c r="U533" s="475">
        <v>0.41666666666666669</v>
      </c>
      <c r="V533" s="475">
        <v>0.75</v>
      </c>
      <c r="W533" s="475">
        <v>0.30769230769230799</v>
      </c>
      <c r="X533" s="475">
        <v>0.230769230769231</v>
      </c>
      <c r="Y533" s="475">
        <v>0.214285714285714</v>
      </c>
      <c r="Z533" s="475">
        <v>6.25E-2</v>
      </c>
      <c r="AA533" s="475">
        <v>0.35294117647058826</v>
      </c>
      <c r="AB533" s="475">
        <v>5.2631578947368397E-2</v>
      </c>
      <c r="AC533" s="475">
        <v>0.157894736842105</v>
      </c>
      <c r="AD533" s="475">
        <v>0.26315789473684198</v>
      </c>
      <c r="AE533" s="475">
        <v>5.2631578947368418E-2</v>
      </c>
      <c r="AF533" s="475"/>
      <c r="AG533" s="475"/>
      <c r="AH533" s="475"/>
      <c r="AI533" s="475"/>
      <c r="AJ533" s="475"/>
      <c r="AK533" s="475"/>
      <c r="AL533" s="475"/>
      <c r="AM533" s="475"/>
      <c r="AN533" s="475"/>
      <c r="AO533" s="475"/>
      <c r="AP533" s="475"/>
      <c r="AQ533" s="475"/>
      <c r="AR533" s="475"/>
      <c r="AS533" s="475">
        <v>4.9861708853581908</v>
      </c>
    </row>
    <row r="534" spans="2:45" outlineLevel="1">
      <c r="B534" s="1444" t="s">
        <v>644</v>
      </c>
      <c r="C534" s="475"/>
      <c r="D534" s="475"/>
      <c r="E534" s="475"/>
      <c r="F534" s="475"/>
      <c r="G534" s="475"/>
      <c r="H534" s="475"/>
      <c r="I534" s="475"/>
      <c r="J534" s="475"/>
      <c r="K534" s="475"/>
      <c r="L534" s="475"/>
      <c r="M534" s="475"/>
      <c r="N534" s="475"/>
      <c r="O534" s="475"/>
      <c r="P534" s="475"/>
      <c r="Q534" s="475"/>
      <c r="R534" s="475">
        <v>0</v>
      </c>
      <c r="S534" s="475">
        <v>1</v>
      </c>
      <c r="T534" s="475">
        <v>0.42857142857142899</v>
      </c>
      <c r="U534" s="475">
        <v>0.45454545454545453</v>
      </c>
      <c r="V534" s="475">
        <v>0.36363636363636365</v>
      </c>
      <c r="W534" s="475">
        <v>0.3</v>
      </c>
      <c r="X534" s="475">
        <v>0.1</v>
      </c>
      <c r="Y534" s="475">
        <v>0.25</v>
      </c>
      <c r="Z534" s="475">
        <v>0.54545454545454497</v>
      </c>
      <c r="AA534" s="475">
        <v>0.21428571428571427</v>
      </c>
      <c r="AB534" s="475">
        <v>0.14285714285714299</v>
      </c>
      <c r="AC534" s="475">
        <v>0.17647058823529399</v>
      </c>
      <c r="AD534" s="475">
        <v>0.16666666666666699</v>
      </c>
      <c r="AE534" s="475">
        <v>0.36842105263157893</v>
      </c>
      <c r="AF534" s="475">
        <v>0.1875</v>
      </c>
      <c r="AG534" s="475">
        <v>0.214285714285714</v>
      </c>
      <c r="AH534" s="475">
        <v>0.5</v>
      </c>
      <c r="AI534" s="475">
        <v>0.133333333333333</v>
      </c>
      <c r="AJ534" s="475">
        <v>0.266666666666667</v>
      </c>
      <c r="AK534" s="475">
        <v>0.2</v>
      </c>
      <c r="AL534" s="475">
        <v>0.29411764705882354</v>
      </c>
      <c r="AM534" s="475">
        <v>0.13333333333333333</v>
      </c>
      <c r="AN534" s="475">
        <v>6.6666666666666666E-2</v>
      </c>
      <c r="AO534" s="475">
        <v>0.3888888888888889</v>
      </c>
      <c r="AP534" s="475">
        <v>0.26315789473684209</v>
      </c>
      <c r="AQ534" s="475">
        <v>0.41379310344827586</v>
      </c>
      <c r="AR534" s="475">
        <v>0.36666666666666664</v>
      </c>
      <c r="AS534" s="475">
        <v>7.9393188719694008</v>
      </c>
    </row>
    <row r="535" spans="2:45" outlineLevel="1">
      <c r="B535" s="1444" t="s">
        <v>655</v>
      </c>
      <c r="C535" s="475"/>
      <c r="D535" s="475"/>
      <c r="E535" s="475"/>
      <c r="F535" s="475"/>
      <c r="G535" s="475"/>
      <c r="H535" s="475"/>
      <c r="I535" s="475"/>
      <c r="J535" s="475"/>
      <c r="K535" s="475"/>
      <c r="L535" s="475"/>
      <c r="M535" s="475"/>
      <c r="N535" s="475"/>
      <c r="O535" s="475"/>
      <c r="P535" s="475"/>
      <c r="Q535" s="475"/>
      <c r="R535" s="475">
        <v>0.5</v>
      </c>
      <c r="S535" s="475">
        <v>0.7142857142857143</v>
      </c>
      <c r="T535" s="475">
        <v>0.6</v>
      </c>
      <c r="U535" s="475">
        <v>0.5</v>
      </c>
      <c r="V535" s="475">
        <v>0.45454545454545453</v>
      </c>
      <c r="W535" s="475">
        <v>0.75</v>
      </c>
      <c r="X535" s="475">
        <v>0.53846153846153799</v>
      </c>
      <c r="Y535" s="475">
        <v>0.46666666666666701</v>
      </c>
      <c r="Z535" s="475">
        <v>0.42105263157894701</v>
      </c>
      <c r="AA535" s="475">
        <v>0.21739130434782608</v>
      </c>
      <c r="AB535" s="475">
        <v>0.13043478260869601</v>
      </c>
      <c r="AC535" s="475">
        <v>0.34615384615384598</v>
      </c>
      <c r="AD535" s="475">
        <v>0.36666666666666697</v>
      </c>
      <c r="AE535" s="475">
        <v>0.38709677419354838</v>
      </c>
      <c r="AF535" s="475">
        <v>0.44444444444444398</v>
      </c>
      <c r="AG535" s="475">
        <v>0.30434782608695699</v>
      </c>
      <c r="AH535" s="475">
        <v>0.36842105263157898</v>
      </c>
      <c r="AI535" s="475">
        <v>0.38095238095238099</v>
      </c>
      <c r="AJ535" s="475">
        <v>0.19047619047618999</v>
      </c>
      <c r="AK535" s="475">
        <v>0.28000000000000003</v>
      </c>
      <c r="AL535" s="475">
        <v>0.4</v>
      </c>
      <c r="AM535" s="475">
        <v>0.04</v>
      </c>
      <c r="AN535" s="475">
        <v>0.16666666666666666</v>
      </c>
      <c r="AO535" s="475">
        <v>0.52</v>
      </c>
      <c r="AP535" s="475">
        <v>0.2608695652173913</v>
      </c>
      <c r="AQ535" s="475">
        <v>0.23809523809523808</v>
      </c>
      <c r="AR535" s="475"/>
      <c r="AS535" s="475">
        <v>9.9870287440797476</v>
      </c>
    </row>
    <row r="536" spans="2:45" outlineLevel="1">
      <c r="B536" s="1444" t="s">
        <v>656</v>
      </c>
      <c r="C536" s="475"/>
      <c r="D536" s="475"/>
      <c r="E536" s="475"/>
      <c r="F536" s="475"/>
      <c r="G536" s="475"/>
      <c r="H536" s="475"/>
      <c r="I536" s="475"/>
      <c r="J536" s="475"/>
      <c r="K536" s="475"/>
      <c r="L536" s="475"/>
      <c r="M536" s="475"/>
      <c r="N536" s="475"/>
      <c r="O536" s="475"/>
      <c r="P536" s="475"/>
      <c r="Q536" s="475"/>
      <c r="R536" s="475">
        <v>1</v>
      </c>
      <c r="S536" s="475">
        <v>0.83333333333333337</v>
      </c>
      <c r="T536" s="475">
        <v>1</v>
      </c>
      <c r="U536" s="475">
        <v>0.5</v>
      </c>
      <c r="V536" s="475">
        <v>0.66666666666666663</v>
      </c>
      <c r="W536" s="475">
        <v>0.42857142857142899</v>
      </c>
      <c r="X536" s="475">
        <v>0.14285714285714299</v>
      </c>
      <c r="Y536" s="475">
        <v>0.5</v>
      </c>
      <c r="Z536" s="475">
        <v>0.5</v>
      </c>
      <c r="AA536" s="475">
        <v>0.84210526315789469</v>
      </c>
      <c r="AB536" s="475">
        <v>0.105263157894737</v>
      </c>
      <c r="AC536" s="475">
        <v>0.76190476190476197</v>
      </c>
      <c r="AD536" s="475">
        <v>0.16</v>
      </c>
      <c r="AE536" s="475">
        <v>0.25</v>
      </c>
      <c r="AF536" s="475">
        <v>0.28571428571428598</v>
      </c>
      <c r="AG536" s="475">
        <v>0.38888888888888901</v>
      </c>
      <c r="AH536" s="475">
        <v>0.41176470588235298</v>
      </c>
      <c r="AI536" s="475">
        <v>0.4</v>
      </c>
      <c r="AJ536" s="475">
        <v>0.5</v>
      </c>
      <c r="AK536" s="475">
        <v>0.45833333333333298</v>
      </c>
      <c r="AL536" s="475">
        <v>0.20833333333333334</v>
      </c>
      <c r="AM536" s="475">
        <v>0.32</v>
      </c>
      <c r="AN536" s="475"/>
      <c r="AO536" s="475">
        <v>0.55555555555555558</v>
      </c>
      <c r="AP536" s="475">
        <v>0.26666666666666666</v>
      </c>
      <c r="AQ536" s="475"/>
      <c r="AR536" s="475"/>
      <c r="AS536" s="475">
        <v>11.485958523760383</v>
      </c>
    </row>
    <row r="537" spans="2:45" outlineLevel="1">
      <c r="B537" s="1444" t="s">
        <v>697</v>
      </c>
      <c r="C537" s="475"/>
      <c r="D537" s="475"/>
      <c r="E537" s="475"/>
      <c r="F537" s="475"/>
      <c r="G537" s="475"/>
      <c r="H537" s="475"/>
      <c r="I537" s="475"/>
      <c r="J537" s="475"/>
      <c r="K537" s="475"/>
      <c r="L537" s="475"/>
      <c r="M537" s="475"/>
      <c r="N537" s="475"/>
      <c r="O537" s="475"/>
      <c r="P537" s="475"/>
      <c r="Q537" s="475"/>
      <c r="R537" s="475"/>
      <c r="S537" s="475">
        <v>2</v>
      </c>
      <c r="T537" s="475">
        <v>0.8</v>
      </c>
      <c r="U537" s="475">
        <v>0.75</v>
      </c>
      <c r="V537" s="475">
        <v>0.81818181818181823</v>
      </c>
      <c r="W537" s="475">
        <v>0.81818181818181801</v>
      </c>
      <c r="X537" s="475">
        <v>0.41666666666666702</v>
      </c>
      <c r="Y537" s="475">
        <v>0.5</v>
      </c>
      <c r="Z537" s="475">
        <v>0.41176470588235298</v>
      </c>
      <c r="AA537" s="475">
        <v>0.47368421052631576</v>
      </c>
      <c r="AB537" s="475">
        <v>0.11764705882352899</v>
      </c>
      <c r="AC537" s="475">
        <v>0.41176470588235298</v>
      </c>
      <c r="AD537" s="475">
        <v>0.45</v>
      </c>
      <c r="AE537" s="475">
        <v>0.39130434782608697</v>
      </c>
      <c r="AF537" s="475">
        <v>0.30434782608695699</v>
      </c>
      <c r="AG537" s="475">
        <v>0.375</v>
      </c>
      <c r="AH537" s="475">
        <v>0.33333333333333298</v>
      </c>
      <c r="AI537" s="475">
        <v>0.35</v>
      </c>
      <c r="AJ537" s="475">
        <v>0.16666666666666699</v>
      </c>
      <c r="AK537" s="475">
        <v>0.33333333333333298</v>
      </c>
      <c r="AL537" s="475">
        <v>0.28000000000000003</v>
      </c>
      <c r="AM537" s="475">
        <v>4.1666666666666664E-2</v>
      </c>
      <c r="AN537" s="475">
        <v>4.3478260869565216E-2</v>
      </c>
      <c r="AO537" s="475">
        <v>0.32</v>
      </c>
      <c r="AP537" s="475">
        <v>0.20833333333333334</v>
      </c>
      <c r="AQ537" s="475">
        <v>0.17391304347826086</v>
      </c>
      <c r="AR537" s="475">
        <v>0.25</v>
      </c>
      <c r="AS537" s="475">
        <v>11.539267795739057</v>
      </c>
    </row>
    <row r="538" spans="2:45" outlineLevel="1">
      <c r="B538" s="1444" t="s">
        <v>658</v>
      </c>
      <c r="C538" s="475"/>
      <c r="D538" s="475"/>
      <c r="E538" s="475"/>
      <c r="F538" s="475"/>
      <c r="G538" s="475"/>
      <c r="H538" s="475"/>
      <c r="I538" s="475"/>
      <c r="J538" s="475"/>
      <c r="K538" s="475"/>
      <c r="L538" s="475"/>
      <c r="M538" s="475"/>
      <c r="N538" s="475"/>
      <c r="O538" s="475"/>
      <c r="P538" s="475"/>
      <c r="Q538" s="475"/>
      <c r="R538" s="475"/>
      <c r="S538" s="475"/>
      <c r="T538" s="475"/>
      <c r="U538" s="475"/>
      <c r="V538" s="475"/>
      <c r="W538" s="475"/>
      <c r="X538" s="475"/>
      <c r="Y538" s="475"/>
      <c r="Z538" s="475"/>
      <c r="AA538" s="475"/>
      <c r="AB538" s="475"/>
      <c r="AC538" s="475"/>
      <c r="AD538" s="475"/>
      <c r="AE538" s="475"/>
      <c r="AF538" s="475"/>
      <c r="AG538" s="475"/>
      <c r="AH538" s="475"/>
      <c r="AI538" s="475"/>
      <c r="AJ538" s="475"/>
      <c r="AK538" s="475"/>
      <c r="AL538" s="475"/>
      <c r="AM538" s="475"/>
      <c r="AN538" s="475"/>
      <c r="AO538" s="475"/>
      <c r="AP538" s="475"/>
      <c r="AQ538" s="475"/>
      <c r="AR538" s="475"/>
      <c r="AS538" s="475"/>
    </row>
    <row r="539" spans="2:45" outlineLevel="1">
      <c r="B539" s="1444" t="s">
        <v>698</v>
      </c>
      <c r="C539" s="475"/>
      <c r="D539" s="475"/>
      <c r="E539" s="475"/>
      <c r="F539" s="475"/>
      <c r="G539" s="475"/>
      <c r="H539" s="475"/>
      <c r="I539" s="475"/>
      <c r="J539" s="475"/>
      <c r="K539" s="475"/>
      <c r="L539" s="475"/>
      <c r="M539" s="475"/>
      <c r="N539" s="475"/>
      <c r="O539" s="475"/>
      <c r="P539" s="475"/>
      <c r="Q539" s="475"/>
      <c r="R539" s="475"/>
      <c r="S539" s="475"/>
      <c r="T539" s="475">
        <v>0.75</v>
      </c>
      <c r="U539" s="475">
        <v>0.25</v>
      </c>
      <c r="V539" s="475">
        <v>0.8</v>
      </c>
      <c r="W539" s="475">
        <v>0.66666666666666696</v>
      </c>
      <c r="X539" s="475">
        <v>0.375</v>
      </c>
      <c r="Y539" s="475">
        <v>0.5</v>
      </c>
      <c r="Z539" s="475">
        <v>0.55555555555555602</v>
      </c>
      <c r="AA539" s="475">
        <v>0.3125</v>
      </c>
      <c r="AB539" s="475">
        <v>5.8823529411764698E-2</v>
      </c>
      <c r="AC539" s="475">
        <v>0.375</v>
      </c>
      <c r="AD539" s="475">
        <v>0.375</v>
      </c>
      <c r="AE539" s="475">
        <v>0.3125</v>
      </c>
      <c r="AF539" s="475">
        <v>0.35714285714285698</v>
      </c>
      <c r="AG539" s="475">
        <v>0.33333333333333298</v>
      </c>
      <c r="AH539" s="475">
        <v>0.25</v>
      </c>
      <c r="AI539" s="475">
        <v>0.25</v>
      </c>
      <c r="AJ539" s="475">
        <v>0.18181818181818199</v>
      </c>
      <c r="AK539" s="475">
        <v>0.33333333333333298</v>
      </c>
      <c r="AL539" s="475">
        <v>0.33333333333333331</v>
      </c>
      <c r="AM539" s="475">
        <v>0.33333333333333331</v>
      </c>
      <c r="AN539" s="475">
        <v>0.66666666666666663</v>
      </c>
      <c r="AO539" s="475">
        <v>0.14285714285714285</v>
      </c>
      <c r="AP539" s="475">
        <v>0.14285714285714285</v>
      </c>
      <c r="AQ539" s="475">
        <v>0.2857142857142857</v>
      </c>
      <c r="AR539" s="475"/>
      <c r="AS539" s="475">
        <v>8.9414353620235953</v>
      </c>
    </row>
    <row r="540" spans="2:45" outlineLevel="1">
      <c r="B540" s="1444" t="s">
        <v>790</v>
      </c>
      <c r="C540" s="475"/>
      <c r="D540" s="475"/>
      <c r="E540" s="475"/>
      <c r="F540" s="475"/>
      <c r="G540" s="475"/>
      <c r="H540" s="475"/>
      <c r="I540" s="475"/>
      <c r="J540" s="475"/>
      <c r="K540" s="475"/>
      <c r="L540" s="475"/>
      <c r="M540" s="475"/>
      <c r="N540" s="475"/>
      <c r="O540" s="475"/>
      <c r="P540" s="475"/>
      <c r="Q540" s="475"/>
      <c r="R540" s="475"/>
      <c r="S540" s="475"/>
      <c r="T540" s="475">
        <v>1</v>
      </c>
      <c r="U540" s="475">
        <v>0.66666666666666663</v>
      </c>
      <c r="V540" s="475">
        <v>0.33333333333333331</v>
      </c>
      <c r="W540" s="475">
        <v>1</v>
      </c>
      <c r="X540" s="475">
        <v>0.33333333333333298</v>
      </c>
      <c r="Y540" s="475">
        <v>0.42857142857142899</v>
      </c>
      <c r="Z540" s="475">
        <v>0.57142857142857095</v>
      </c>
      <c r="AA540" s="475">
        <v>0.2857142857142857</v>
      </c>
      <c r="AB540" s="475"/>
      <c r="AC540" s="475">
        <v>0.55555555555555602</v>
      </c>
      <c r="AD540" s="475">
        <v>0.8</v>
      </c>
      <c r="AE540" s="475">
        <v>0.33333333333333331</v>
      </c>
      <c r="AF540" s="475">
        <v>0.35714285714285698</v>
      </c>
      <c r="AG540" s="475">
        <v>0.35714285714285698</v>
      </c>
      <c r="AH540" s="475">
        <v>0.266666666666667</v>
      </c>
      <c r="AI540" s="475">
        <v>6.6666666666666693E-2</v>
      </c>
      <c r="AJ540" s="475">
        <v>0.214285714285714</v>
      </c>
      <c r="AK540" s="475">
        <v>0.29411764705882398</v>
      </c>
      <c r="AL540" s="475">
        <v>0.27777777777777779</v>
      </c>
      <c r="AM540" s="475">
        <v>0.1875</v>
      </c>
      <c r="AN540" s="475">
        <v>6.6666666666666666E-2</v>
      </c>
      <c r="AO540" s="475">
        <v>0.26666666666666666</v>
      </c>
      <c r="AP540" s="475"/>
      <c r="AQ540" s="475">
        <v>0.13636363636363635</v>
      </c>
      <c r="AR540" s="475">
        <v>0.1</v>
      </c>
      <c r="AS540" s="475">
        <v>8.8989336643748409</v>
      </c>
    </row>
    <row r="541" spans="2:45" outlineLevel="1">
      <c r="B541" s="1444" t="s">
        <v>797</v>
      </c>
      <c r="C541" s="475"/>
      <c r="D541" s="475"/>
      <c r="E541" s="475"/>
      <c r="F541" s="475"/>
      <c r="G541" s="475"/>
      <c r="H541" s="475"/>
      <c r="I541" s="475"/>
      <c r="J541" s="475"/>
      <c r="K541" s="475"/>
      <c r="L541" s="475"/>
      <c r="M541" s="475"/>
      <c r="N541" s="475"/>
      <c r="O541" s="475"/>
      <c r="P541" s="475"/>
      <c r="Q541" s="475"/>
      <c r="R541" s="475"/>
      <c r="S541" s="475"/>
      <c r="T541" s="475"/>
      <c r="U541" s="475">
        <v>1</v>
      </c>
      <c r="V541" s="475">
        <v>0.42857142857142855</v>
      </c>
      <c r="W541" s="475">
        <v>0.875</v>
      </c>
      <c r="X541" s="475">
        <v>0.5</v>
      </c>
      <c r="Y541" s="475">
        <v>0.63636363636363602</v>
      </c>
      <c r="Z541" s="475">
        <v>0.71428571428571397</v>
      </c>
      <c r="AA541" s="475">
        <v>0.47058823529411764</v>
      </c>
      <c r="AB541" s="475">
        <v>0.29411764705882398</v>
      </c>
      <c r="AC541" s="475">
        <v>0.22222222222222199</v>
      </c>
      <c r="AD541" s="475">
        <v>0.35714285714285698</v>
      </c>
      <c r="AE541" s="475">
        <v>0.375</v>
      </c>
      <c r="AF541" s="475">
        <v>0.18518518518518501</v>
      </c>
      <c r="AG541" s="475">
        <v>0.230769230769231</v>
      </c>
      <c r="AH541" s="475">
        <v>0.36</v>
      </c>
      <c r="AI541" s="475">
        <v>0.18181818181818199</v>
      </c>
      <c r="AJ541" s="475">
        <v>0.28571428571428598</v>
      </c>
      <c r="AK541" s="475">
        <v>0.23529411764705899</v>
      </c>
      <c r="AL541" s="475">
        <v>8.3333333333333329E-2</v>
      </c>
      <c r="AM541" s="475"/>
      <c r="AN541" s="475">
        <v>7.6923076923076927E-2</v>
      </c>
      <c r="AO541" s="475">
        <v>0.14285714285714285</v>
      </c>
      <c r="AP541" s="475">
        <v>0.2</v>
      </c>
      <c r="AQ541" s="475">
        <v>0.33333333333333331</v>
      </c>
      <c r="AR541" s="475">
        <v>0.46153846153846156</v>
      </c>
      <c r="AS541" s="475">
        <v>8.6500580900580903</v>
      </c>
    </row>
    <row r="542" spans="2:45" outlineLevel="1">
      <c r="B542" s="1444" t="s">
        <v>800</v>
      </c>
      <c r="C542" s="475"/>
      <c r="D542" s="475"/>
      <c r="E542" s="475"/>
      <c r="F542" s="475"/>
      <c r="G542" s="475"/>
      <c r="H542" s="475"/>
      <c r="I542" s="475"/>
      <c r="J542" s="475"/>
      <c r="K542" s="475"/>
      <c r="L542" s="475"/>
      <c r="M542" s="475"/>
      <c r="N542" s="475"/>
      <c r="O542" s="475"/>
      <c r="P542" s="475"/>
      <c r="Q542" s="475"/>
      <c r="R542" s="475"/>
      <c r="S542" s="475"/>
      <c r="T542" s="475"/>
      <c r="U542" s="475">
        <v>1</v>
      </c>
      <c r="V542" s="475">
        <v>0.83333333333333337</v>
      </c>
      <c r="W542" s="475">
        <v>0.375</v>
      </c>
      <c r="X542" s="475">
        <v>0.33333333333333298</v>
      </c>
      <c r="Y542" s="475">
        <v>0.2</v>
      </c>
      <c r="Z542" s="475">
        <v>0.42857142857142899</v>
      </c>
      <c r="AA542" s="475">
        <v>6.25E-2</v>
      </c>
      <c r="AB542" s="475">
        <v>0.157894736842105</v>
      </c>
      <c r="AC542" s="475">
        <v>0.11764705882352899</v>
      </c>
      <c r="AD542" s="475">
        <v>0.21052631578947401</v>
      </c>
      <c r="AE542" s="475">
        <v>0.27777777777777779</v>
      </c>
      <c r="AF542" s="475">
        <v>0.28571428571428598</v>
      </c>
      <c r="AG542" s="475">
        <v>0.46153846153846201</v>
      </c>
      <c r="AH542" s="475">
        <v>0.266666666666667</v>
      </c>
      <c r="AI542" s="475">
        <v>0.66666666666666696</v>
      </c>
      <c r="AJ542" s="475">
        <v>0.5</v>
      </c>
      <c r="AK542" s="475">
        <v>0.5</v>
      </c>
      <c r="AL542" s="475">
        <v>0.41176470588235292</v>
      </c>
      <c r="AM542" s="475">
        <v>0.25</v>
      </c>
      <c r="AN542" s="475">
        <v>0.25</v>
      </c>
      <c r="AO542" s="475">
        <v>0.5</v>
      </c>
      <c r="AP542" s="475">
        <v>0.44827586206896552</v>
      </c>
      <c r="AQ542" s="475">
        <v>0.53125</v>
      </c>
      <c r="AR542" s="475">
        <v>0.54545454545454541</v>
      </c>
      <c r="AS542" s="475">
        <v>9.6139151784629266</v>
      </c>
    </row>
    <row r="543" spans="2:45" outlineLevel="1">
      <c r="B543" s="1444" t="s">
        <v>904</v>
      </c>
      <c r="C543" s="475"/>
      <c r="D543" s="475"/>
      <c r="E543" s="475"/>
      <c r="F543" s="475"/>
      <c r="G543" s="475"/>
      <c r="H543" s="475"/>
      <c r="I543" s="475"/>
      <c r="J543" s="475"/>
      <c r="K543" s="475"/>
      <c r="L543" s="475"/>
      <c r="M543" s="475"/>
      <c r="N543" s="475"/>
      <c r="O543" s="475"/>
      <c r="P543" s="475"/>
      <c r="Q543" s="475"/>
      <c r="R543" s="475"/>
      <c r="S543" s="475"/>
      <c r="T543" s="475"/>
      <c r="U543" s="475"/>
      <c r="V543" s="475"/>
      <c r="W543" s="475"/>
      <c r="X543" s="475">
        <v>2</v>
      </c>
      <c r="Y543" s="475">
        <v>6</v>
      </c>
      <c r="Z543" s="475">
        <v>1.3333333333333299</v>
      </c>
      <c r="AA543" s="475">
        <v>0.5</v>
      </c>
      <c r="AB543" s="475">
        <v>0.18181818181818199</v>
      </c>
      <c r="AC543" s="475">
        <v>0.5</v>
      </c>
      <c r="AD543" s="475">
        <v>0.51851851851851805</v>
      </c>
      <c r="AE543" s="475">
        <v>0.25</v>
      </c>
      <c r="AF543" s="475">
        <v>0.27586206896551702</v>
      </c>
      <c r="AG543" s="475">
        <v>0.25</v>
      </c>
      <c r="AH543" s="475">
        <v>0.27586206896551702</v>
      </c>
      <c r="AI543" s="475">
        <v>0.25</v>
      </c>
      <c r="AJ543" s="475">
        <v>9.6774193548387094E-2</v>
      </c>
      <c r="AK543" s="475">
        <v>0.28571428571428598</v>
      </c>
      <c r="AL543" s="475">
        <v>0.5</v>
      </c>
      <c r="AM543" s="475">
        <v>0.16666666666666666</v>
      </c>
      <c r="AN543" s="475">
        <v>0.13333333333333333</v>
      </c>
      <c r="AO543" s="475">
        <v>0.41935483870967744</v>
      </c>
      <c r="AP543" s="475">
        <v>0.22222222222222221</v>
      </c>
      <c r="AQ543" s="475">
        <v>0.29729729729729731</v>
      </c>
      <c r="AR543" s="475">
        <v>0.16129032258064516</v>
      </c>
      <c r="AS543" s="475">
        <v>14.61804733167358</v>
      </c>
    </row>
    <row r="544" spans="2:45" outlineLevel="1">
      <c r="B544" s="1444" t="s">
        <v>906</v>
      </c>
      <c r="C544" s="475"/>
      <c r="D544" s="475"/>
      <c r="E544" s="475"/>
      <c r="F544" s="475"/>
      <c r="G544" s="475"/>
      <c r="H544" s="475"/>
      <c r="I544" s="475"/>
      <c r="J544" s="475"/>
      <c r="K544" s="475"/>
      <c r="L544" s="475"/>
      <c r="M544" s="475"/>
      <c r="N544" s="475"/>
      <c r="O544" s="475"/>
      <c r="P544" s="475"/>
      <c r="Q544" s="475"/>
      <c r="R544" s="475"/>
      <c r="S544" s="475"/>
      <c r="T544" s="475"/>
      <c r="U544" s="475"/>
      <c r="V544" s="475"/>
      <c r="W544" s="475"/>
      <c r="X544" s="475">
        <v>1</v>
      </c>
      <c r="Y544" s="475">
        <v>0.66666666666666696</v>
      </c>
      <c r="Z544" s="475">
        <v>0.66666666666666696</v>
      </c>
      <c r="AA544" s="475">
        <v>0.44444444444444442</v>
      </c>
      <c r="AB544" s="475">
        <v>0.22222222222222199</v>
      </c>
      <c r="AC544" s="475">
        <v>0.22222222222222199</v>
      </c>
      <c r="AD544" s="475">
        <v>0.5</v>
      </c>
      <c r="AE544" s="475">
        <v>0.22222222222222221</v>
      </c>
      <c r="AF544" s="475">
        <v>0.1875</v>
      </c>
      <c r="AG544" s="475">
        <v>0.125</v>
      </c>
      <c r="AH544" s="475">
        <v>0.33333333333333298</v>
      </c>
      <c r="AI544" s="475">
        <v>0.125</v>
      </c>
      <c r="AJ544" s="475">
        <v>0.25</v>
      </c>
      <c r="AK544" s="475">
        <v>0.2</v>
      </c>
      <c r="AL544" s="475">
        <v>0.46666666666666667</v>
      </c>
      <c r="AM544" s="475">
        <v>7.1428571428571425E-2</v>
      </c>
      <c r="AN544" s="475">
        <v>6.6666666666666666E-2</v>
      </c>
      <c r="AO544" s="475"/>
      <c r="AP544" s="475">
        <v>0.16666666666666666</v>
      </c>
      <c r="AQ544" s="475"/>
      <c r="AR544" s="475"/>
      <c r="AS544" s="475">
        <v>5.9367063492063492</v>
      </c>
    </row>
    <row r="545" spans="2:45" outlineLevel="1">
      <c r="B545" s="1444" t="s">
        <v>901</v>
      </c>
      <c r="C545" s="475"/>
      <c r="D545" s="475"/>
      <c r="E545" s="475"/>
      <c r="F545" s="475"/>
      <c r="G545" s="475"/>
      <c r="H545" s="475"/>
      <c r="I545" s="475"/>
      <c r="J545" s="475"/>
      <c r="K545" s="475"/>
      <c r="L545" s="475"/>
      <c r="M545" s="475"/>
      <c r="N545" s="475"/>
      <c r="O545" s="475"/>
      <c r="P545" s="475"/>
      <c r="Q545" s="475"/>
      <c r="R545" s="475"/>
      <c r="S545" s="475"/>
      <c r="T545" s="475"/>
      <c r="U545" s="475"/>
      <c r="V545" s="475"/>
      <c r="W545" s="475"/>
      <c r="X545" s="475"/>
      <c r="Y545" s="475">
        <v>2</v>
      </c>
      <c r="Z545" s="475">
        <v>1.1111111111111101</v>
      </c>
      <c r="AA545" s="475">
        <v>0.75</v>
      </c>
      <c r="AB545" s="475">
        <v>0.2</v>
      </c>
      <c r="AC545" s="475">
        <v>0.22222222222222199</v>
      </c>
      <c r="AD545" s="475">
        <v>0.33333333333333298</v>
      </c>
      <c r="AE545" s="475">
        <v>0.125</v>
      </c>
      <c r="AF545" s="475">
        <v>0.66666666666666696</v>
      </c>
      <c r="AG545" s="475">
        <v>0.22222222222222199</v>
      </c>
      <c r="AH545" s="475">
        <v>0.30769230769230799</v>
      </c>
      <c r="AI545" s="475">
        <v>0.4</v>
      </c>
      <c r="AJ545" s="475">
        <v>0.133333333333333</v>
      </c>
      <c r="AK545" s="475">
        <v>0.4</v>
      </c>
      <c r="AL545" s="475">
        <v>0.35714285714285715</v>
      </c>
      <c r="AM545" s="475"/>
      <c r="AN545" s="475"/>
      <c r="AO545" s="475">
        <v>5.8823529411764705E-2</v>
      </c>
      <c r="AP545" s="475">
        <v>0.35294117647058826</v>
      </c>
      <c r="AQ545" s="475">
        <v>0.10526315789473684</v>
      </c>
      <c r="AR545" s="475">
        <v>0.1111111111111111</v>
      </c>
      <c r="AS545" s="475">
        <v>7.8568630286122536</v>
      </c>
    </row>
    <row r="546" spans="2:45" outlineLevel="1">
      <c r="B546" s="1444" t="s">
        <v>950</v>
      </c>
      <c r="C546" s="475"/>
      <c r="D546" s="475"/>
      <c r="E546" s="475"/>
      <c r="F546" s="475"/>
      <c r="G546" s="475"/>
      <c r="H546" s="475"/>
      <c r="I546" s="475"/>
      <c r="J546" s="475"/>
      <c r="K546" s="475"/>
      <c r="L546" s="475"/>
      <c r="M546" s="475"/>
      <c r="N546" s="475"/>
      <c r="O546" s="475"/>
      <c r="P546" s="475"/>
      <c r="Q546" s="475"/>
      <c r="R546" s="475"/>
      <c r="S546" s="475"/>
      <c r="T546" s="475"/>
      <c r="U546" s="475"/>
      <c r="V546" s="475"/>
      <c r="W546" s="475"/>
      <c r="X546" s="475"/>
      <c r="Y546" s="475">
        <v>1</v>
      </c>
      <c r="Z546" s="475">
        <v>0.6</v>
      </c>
      <c r="AA546" s="475">
        <v>0.52941176470588236</v>
      </c>
      <c r="AB546" s="475"/>
      <c r="AC546" s="475">
        <v>0.266666666666667</v>
      </c>
      <c r="AD546" s="475">
        <v>0.42424242424242398</v>
      </c>
      <c r="AE546" s="475">
        <v>0.30769230769230771</v>
      </c>
      <c r="AF546" s="475">
        <v>0.15384615384615399</v>
      </c>
      <c r="AG546" s="475">
        <v>0.27272727272727298</v>
      </c>
      <c r="AH546" s="475">
        <v>0.56000000000000005</v>
      </c>
      <c r="AI546" s="475">
        <v>0.30769230769230799</v>
      </c>
      <c r="AJ546" s="475"/>
      <c r="AK546" s="475">
        <v>0.12</v>
      </c>
      <c r="AL546" s="475">
        <v>0.29166666666666669</v>
      </c>
      <c r="AM546" s="475">
        <v>0.16</v>
      </c>
      <c r="AN546" s="475">
        <v>0.04</v>
      </c>
      <c r="AO546" s="475">
        <v>0.29629629629629628</v>
      </c>
      <c r="AP546" s="475">
        <v>0.29629629629629628</v>
      </c>
      <c r="AQ546" s="475">
        <v>0.10714285714285714</v>
      </c>
      <c r="AR546" s="475">
        <v>0.22222222222222221</v>
      </c>
      <c r="AS546" s="475">
        <v>5.9559032361973543</v>
      </c>
    </row>
    <row r="547" spans="2:45" outlineLevel="1">
      <c r="B547" s="1444" t="s">
        <v>1014</v>
      </c>
      <c r="C547" s="475"/>
      <c r="D547" s="475"/>
      <c r="E547" s="475"/>
      <c r="F547" s="475"/>
      <c r="G547" s="475"/>
      <c r="H547" s="475"/>
      <c r="I547" s="475"/>
      <c r="J547" s="475"/>
      <c r="K547" s="475"/>
      <c r="L547" s="475"/>
      <c r="M547" s="475"/>
      <c r="N547" s="475"/>
      <c r="O547" s="475"/>
      <c r="P547" s="475"/>
      <c r="Q547" s="475"/>
      <c r="R547" s="475"/>
      <c r="S547" s="475"/>
      <c r="T547" s="475"/>
      <c r="U547" s="475"/>
      <c r="V547" s="475"/>
      <c r="W547" s="475"/>
      <c r="X547" s="475">
        <v>0.5</v>
      </c>
      <c r="Y547" s="475">
        <v>0.5</v>
      </c>
      <c r="Z547" s="475">
        <v>0.55555555555555602</v>
      </c>
      <c r="AA547" s="475">
        <v>0.3</v>
      </c>
      <c r="AB547" s="475">
        <v>0.2</v>
      </c>
      <c r="AC547" s="475">
        <v>0.64285714285714302</v>
      </c>
      <c r="AD547" s="475">
        <v>0.3125</v>
      </c>
      <c r="AE547" s="475">
        <v>0.33333333333333331</v>
      </c>
      <c r="AF547" s="475">
        <v>0.38888888888888901</v>
      </c>
      <c r="AG547" s="475">
        <v>0.47368421052631599</v>
      </c>
      <c r="AH547" s="475">
        <v>0.25</v>
      </c>
      <c r="AI547" s="475">
        <v>0.3</v>
      </c>
      <c r="AJ547" s="475">
        <v>0.28571428571428598</v>
      </c>
      <c r="AK547" s="475">
        <v>0.434782608695652</v>
      </c>
      <c r="AL547" s="475">
        <v>0.375</v>
      </c>
      <c r="AM547" s="475">
        <v>0.11538461538461539</v>
      </c>
      <c r="AN547" s="475">
        <v>0.13043478260869565</v>
      </c>
      <c r="AO547" s="475">
        <v>0.47826086956521741</v>
      </c>
      <c r="AP547" s="475">
        <v>0.36</v>
      </c>
      <c r="AQ547" s="475">
        <v>0.21428571428571427</v>
      </c>
      <c r="AR547" s="475">
        <v>0.3</v>
      </c>
      <c r="AS547" s="475">
        <v>7.4506820074154181</v>
      </c>
    </row>
    <row r="548" spans="2:45" outlineLevel="1">
      <c r="B548" s="1444" t="s">
        <v>1162</v>
      </c>
      <c r="C548" s="475"/>
      <c r="D548" s="475"/>
      <c r="E548" s="475"/>
      <c r="F548" s="475"/>
      <c r="G548" s="475"/>
      <c r="H548" s="475"/>
      <c r="I548" s="475"/>
      <c r="J548" s="475"/>
      <c r="K548" s="475"/>
      <c r="L548" s="475"/>
      <c r="M548" s="475"/>
      <c r="N548" s="475"/>
      <c r="O548" s="475"/>
      <c r="P548" s="475"/>
      <c r="Q548" s="475"/>
      <c r="R548" s="475"/>
      <c r="S548" s="475"/>
      <c r="T548" s="475"/>
      <c r="U548" s="475"/>
      <c r="V548" s="475"/>
      <c r="W548" s="475"/>
      <c r="X548" s="475"/>
      <c r="Y548" s="475"/>
      <c r="Z548" s="475"/>
      <c r="AA548" s="475">
        <v>0.5714285714285714</v>
      </c>
      <c r="AB548" s="475">
        <v>0.4</v>
      </c>
      <c r="AC548" s="475">
        <v>0.6</v>
      </c>
      <c r="AD548" s="475">
        <v>0.5</v>
      </c>
      <c r="AE548" s="475">
        <v>0.3125</v>
      </c>
      <c r="AF548" s="475">
        <v>0.214285714285714</v>
      </c>
      <c r="AG548" s="475">
        <v>0.28571428571428598</v>
      </c>
      <c r="AH548" s="475">
        <v>0.47368421052631599</v>
      </c>
      <c r="AI548" s="475">
        <v>0.5</v>
      </c>
      <c r="AJ548" s="475">
        <v>0.15</v>
      </c>
      <c r="AK548" s="475">
        <v>0.46666666666666701</v>
      </c>
      <c r="AL548" s="475">
        <v>0.33333333333333331</v>
      </c>
      <c r="AM548" s="475"/>
      <c r="AN548" s="475">
        <v>6.6666666666666666E-2</v>
      </c>
      <c r="AO548" s="475">
        <v>0.33333333333333331</v>
      </c>
      <c r="AP548" s="475">
        <v>0.25</v>
      </c>
      <c r="AQ548" s="475"/>
      <c r="AR548" s="475"/>
      <c r="AS548" s="475">
        <v>5.4576127819548867</v>
      </c>
    </row>
    <row r="549" spans="2:45" outlineLevel="1">
      <c r="B549" s="1444" t="s">
        <v>1163</v>
      </c>
      <c r="C549" s="475"/>
      <c r="D549" s="475"/>
      <c r="E549" s="475"/>
      <c r="F549" s="475"/>
      <c r="G549" s="475"/>
      <c r="H549" s="475"/>
      <c r="I549" s="475"/>
      <c r="J549" s="475"/>
      <c r="K549" s="475"/>
      <c r="L549" s="475"/>
      <c r="M549" s="475"/>
      <c r="N549" s="475"/>
      <c r="O549" s="475"/>
      <c r="P549" s="475"/>
      <c r="Q549" s="475"/>
      <c r="R549" s="475"/>
      <c r="S549" s="475"/>
      <c r="T549" s="475"/>
      <c r="U549" s="475"/>
      <c r="V549" s="475"/>
      <c r="W549" s="475"/>
      <c r="X549" s="475"/>
      <c r="Y549" s="475"/>
      <c r="Z549" s="475"/>
      <c r="AA549" s="475">
        <v>0.25</v>
      </c>
      <c r="AB549" s="475">
        <v>0.71428571428571397</v>
      </c>
      <c r="AC549" s="475">
        <v>0.5</v>
      </c>
      <c r="AD549" s="475">
        <v>0.4375</v>
      </c>
      <c r="AE549" s="475">
        <v>0.4375</v>
      </c>
      <c r="AF549" s="475">
        <v>0.44444444444444398</v>
      </c>
      <c r="AG549" s="475">
        <v>0.35714285714285698</v>
      </c>
      <c r="AH549" s="475">
        <v>0.29166666666666702</v>
      </c>
      <c r="AI549" s="475">
        <v>0.27777777777777801</v>
      </c>
      <c r="AJ549" s="475">
        <v>0.45</v>
      </c>
      <c r="AK549" s="475">
        <v>0.44</v>
      </c>
      <c r="AL549" s="475">
        <v>0.37931034482758619</v>
      </c>
      <c r="AM549" s="475">
        <v>0.12903225806451613</v>
      </c>
      <c r="AN549" s="475">
        <v>0.21875</v>
      </c>
      <c r="AO549" s="475">
        <v>0.12903225806451613</v>
      </c>
      <c r="AP549" s="475">
        <v>0.21875</v>
      </c>
      <c r="AQ549" s="475">
        <v>3.125E-2</v>
      </c>
      <c r="AR549" s="475">
        <v>0.17241379310344829</v>
      </c>
      <c r="AS549" s="475">
        <v>5.8788561143775269</v>
      </c>
    </row>
    <row r="550" spans="2:45" outlineLevel="1">
      <c r="B550" s="1444" t="s">
        <v>1286</v>
      </c>
      <c r="C550" s="475"/>
      <c r="D550" s="475"/>
      <c r="E550" s="475"/>
      <c r="F550" s="475"/>
      <c r="G550" s="475"/>
      <c r="H550" s="475"/>
      <c r="I550" s="475"/>
      <c r="J550" s="475"/>
      <c r="K550" s="475"/>
      <c r="L550" s="475"/>
      <c r="M550" s="475"/>
      <c r="N550" s="475"/>
      <c r="O550" s="475"/>
      <c r="P550" s="475"/>
      <c r="Q550" s="475"/>
      <c r="R550" s="475"/>
      <c r="S550" s="475"/>
      <c r="T550" s="475"/>
      <c r="U550" s="475"/>
      <c r="V550" s="475"/>
      <c r="W550" s="475"/>
      <c r="X550" s="475"/>
      <c r="Y550" s="475"/>
      <c r="Z550" s="475"/>
      <c r="AA550" s="475"/>
      <c r="AB550" s="475">
        <v>0.16666666666666699</v>
      </c>
      <c r="AC550" s="475">
        <v>0.38461538461538503</v>
      </c>
      <c r="AD550" s="475">
        <v>0.29411764705882398</v>
      </c>
      <c r="AE550" s="475">
        <v>6.25E-2</v>
      </c>
      <c r="AF550" s="475">
        <v>0.35714285714285698</v>
      </c>
      <c r="AG550" s="475">
        <v>0.33333333333333298</v>
      </c>
      <c r="AH550" s="475">
        <v>6.6666666666666693E-2</v>
      </c>
      <c r="AI550" s="475">
        <v>0.1875</v>
      </c>
      <c r="AJ550" s="475">
        <v>0.35294117647058798</v>
      </c>
      <c r="AK550" s="475">
        <v>0.36842105263157898</v>
      </c>
      <c r="AL550" s="475">
        <v>0.23809523809523808</v>
      </c>
      <c r="AM550" s="475">
        <v>0.23809523809523808</v>
      </c>
      <c r="AN550" s="475">
        <v>9.5238095238095233E-2</v>
      </c>
      <c r="AO550" s="475">
        <v>0.33333333333333331</v>
      </c>
      <c r="AP550" s="475">
        <v>0.14285714285714285</v>
      </c>
      <c r="AQ550" s="475"/>
      <c r="AR550" s="475"/>
      <c r="AS550" s="475">
        <v>3.6215238322049479</v>
      </c>
    </row>
    <row r="551" spans="2:45" outlineLevel="1">
      <c r="B551" s="1444" t="s">
        <v>1161</v>
      </c>
      <c r="C551" s="475"/>
      <c r="D551" s="475"/>
      <c r="E551" s="475"/>
      <c r="F551" s="475"/>
      <c r="G551" s="475"/>
      <c r="H551" s="475"/>
      <c r="I551" s="475"/>
      <c r="J551" s="475"/>
      <c r="K551" s="475"/>
      <c r="L551" s="475"/>
      <c r="M551" s="475"/>
      <c r="N551" s="475"/>
      <c r="O551" s="475"/>
      <c r="P551" s="475"/>
      <c r="Q551" s="475"/>
      <c r="R551" s="475"/>
      <c r="S551" s="475"/>
      <c r="T551" s="475"/>
      <c r="U551" s="475"/>
      <c r="V551" s="475"/>
      <c r="W551" s="475"/>
      <c r="X551" s="475"/>
      <c r="Y551" s="475"/>
      <c r="Z551" s="475"/>
      <c r="AA551" s="475"/>
      <c r="AB551" s="475"/>
      <c r="AC551" s="475">
        <v>1</v>
      </c>
      <c r="AD551" s="475">
        <v>0.33333333333333298</v>
      </c>
      <c r="AE551" s="475">
        <v>0.4</v>
      </c>
      <c r="AF551" s="475">
        <v>0.25</v>
      </c>
      <c r="AG551" s="475">
        <v>0.125</v>
      </c>
      <c r="AH551" s="475">
        <v>0.57142857142857095</v>
      </c>
      <c r="AI551" s="475">
        <v>0.57142857142857095</v>
      </c>
      <c r="AJ551" s="475">
        <v>0.375</v>
      </c>
      <c r="AK551" s="475">
        <v>0.66666666666666696</v>
      </c>
      <c r="AL551" s="475">
        <v>0.3125</v>
      </c>
      <c r="AM551" s="475">
        <v>0.125</v>
      </c>
      <c r="AN551" s="475">
        <v>0.11764705882352941</v>
      </c>
      <c r="AO551" s="475">
        <v>0.16666666666666666</v>
      </c>
      <c r="AP551" s="475">
        <v>0.17647058823529413</v>
      </c>
      <c r="AQ551" s="475">
        <v>0.13333333333333333</v>
      </c>
      <c r="AR551" s="475">
        <v>0.2</v>
      </c>
      <c r="AS551" s="475">
        <v>5.5244747899159661</v>
      </c>
    </row>
    <row r="552" spans="2:45" outlineLevel="1">
      <c r="B552" s="1444" t="s">
        <v>1287</v>
      </c>
      <c r="C552" s="475"/>
      <c r="D552" s="475"/>
      <c r="E552" s="475"/>
      <c r="F552" s="475"/>
      <c r="G552" s="475"/>
      <c r="H552" s="475"/>
      <c r="I552" s="475"/>
      <c r="J552" s="475"/>
      <c r="K552" s="475"/>
      <c r="L552" s="475"/>
      <c r="M552" s="475"/>
      <c r="N552" s="475"/>
      <c r="O552" s="475"/>
      <c r="P552" s="475"/>
      <c r="Q552" s="475"/>
      <c r="R552" s="475"/>
      <c r="S552" s="475"/>
      <c r="T552" s="475"/>
      <c r="U552" s="475"/>
      <c r="V552" s="475"/>
      <c r="W552" s="475"/>
      <c r="X552" s="475"/>
      <c r="Y552" s="475"/>
      <c r="Z552" s="475"/>
      <c r="AA552" s="475"/>
      <c r="AB552" s="475">
        <v>0.71428571428571397</v>
      </c>
      <c r="AC552" s="475">
        <v>0.46666666666666701</v>
      </c>
      <c r="AD552" s="475">
        <v>0.78947368421052599</v>
      </c>
      <c r="AE552" s="475">
        <v>0.4</v>
      </c>
      <c r="AF552" s="475">
        <v>0.52631578947368396</v>
      </c>
      <c r="AG552" s="475">
        <v>0.36842105263157898</v>
      </c>
      <c r="AH552" s="475">
        <v>0.31578947368421101</v>
      </c>
      <c r="AI552" s="475">
        <v>0.58333333333333304</v>
      </c>
      <c r="AJ552" s="475">
        <v>0.32</v>
      </c>
      <c r="AK552" s="475">
        <v>0.41379310344827602</v>
      </c>
      <c r="AL552" s="475">
        <v>0.37931034482758619</v>
      </c>
      <c r="AM552" s="475">
        <v>6.6666666666666666E-2</v>
      </c>
      <c r="AN552" s="475">
        <v>0.25</v>
      </c>
      <c r="AO552" s="475">
        <v>0.35294117647058826</v>
      </c>
      <c r="AP552" s="475">
        <v>0.25</v>
      </c>
      <c r="AQ552" s="475">
        <v>0.4</v>
      </c>
      <c r="AR552" s="475">
        <v>0.5</v>
      </c>
      <c r="AS552" s="475">
        <v>7.0969970056988316</v>
      </c>
    </row>
    <row r="553" spans="2:45" outlineLevel="1">
      <c r="B553" s="1444" t="s">
        <v>1348</v>
      </c>
      <c r="C553" s="475"/>
      <c r="D553" s="475"/>
      <c r="E553" s="475"/>
      <c r="F553" s="475"/>
      <c r="G553" s="475"/>
      <c r="H553" s="475"/>
      <c r="I553" s="475"/>
      <c r="J553" s="475"/>
      <c r="K553" s="475"/>
      <c r="L553" s="475"/>
      <c r="M553" s="475"/>
      <c r="N553" s="475"/>
      <c r="O553" s="475"/>
      <c r="P553" s="475"/>
      <c r="Q553" s="475"/>
      <c r="R553" s="475"/>
      <c r="S553" s="475"/>
      <c r="T553" s="475"/>
      <c r="U553" s="475"/>
      <c r="V553" s="475"/>
      <c r="W553" s="475"/>
      <c r="X553" s="475"/>
      <c r="Y553" s="475"/>
      <c r="Z553" s="475"/>
      <c r="AA553" s="475"/>
      <c r="AB553" s="475">
        <v>0.6</v>
      </c>
      <c r="AC553" s="475">
        <v>0.625</v>
      </c>
      <c r="AD553" s="475">
        <v>0.44444444444444398</v>
      </c>
      <c r="AE553" s="475">
        <v>0.58333333333333337</v>
      </c>
      <c r="AF553" s="475">
        <v>0.5</v>
      </c>
      <c r="AG553" s="475">
        <v>0.53333333333333299</v>
      </c>
      <c r="AH553" s="475">
        <v>0.5</v>
      </c>
      <c r="AI553" s="475">
        <v>0.27777777777777801</v>
      </c>
      <c r="AJ553" s="475">
        <v>0.58823529411764697</v>
      </c>
      <c r="AK553" s="475">
        <v>0.8125</v>
      </c>
      <c r="AL553" s="475">
        <v>0.375</v>
      </c>
      <c r="AM553" s="475">
        <v>0.4</v>
      </c>
      <c r="AN553" s="475">
        <v>0.2</v>
      </c>
      <c r="AO553" s="475">
        <v>0.53333333333333333</v>
      </c>
      <c r="AP553" s="475">
        <v>0.35294117647058826</v>
      </c>
      <c r="AQ553" s="475">
        <v>0.27777777777777779</v>
      </c>
      <c r="AR553" s="475">
        <v>0.42105263157894735</v>
      </c>
      <c r="AS553" s="475">
        <v>8.024729102167182</v>
      </c>
    </row>
    <row r="554" spans="2:45" outlineLevel="1">
      <c r="B554" s="1444" t="s">
        <v>1420</v>
      </c>
      <c r="C554" s="475"/>
      <c r="D554" s="475"/>
      <c r="E554" s="475"/>
      <c r="F554" s="475"/>
      <c r="G554" s="475"/>
      <c r="H554" s="475"/>
      <c r="I554" s="475"/>
      <c r="J554" s="475"/>
      <c r="K554" s="475"/>
      <c r="L554" s="475"/>
      <c r="M554" s="475"/>
      <c r="N554" s="475"/>
      <c r="O554" s="475"/>
      <c r="P554" s="475"/>
      <c r="Q554" s="475"/>
      <c r="R554" s="475"/>
      <c r="S554" s="475"/>
      <c r="T554" s="475"/>
      <c r="U554" s="475"/>
      <c r="V554" s="475"/>
      <c r="W554" s="475"/>
      <c r="X554" s="475"/>
      <c r="Y554" s="475"/>
      <c r="Z554" s="475"/>
      <c r="AA554" s="475"/>
      <c r="AB554" s="475"/>
      <c r="AC554" s="475"/>
      <c r="AD554" s="475">
        <v>1</v>
      </c>
      <c r="AE554" s="475">
        <v>0.4</v>
      </c>
      <c r="AF554" s="475">
        <v>0.58823529411764697</v>
      </c>
      <c r="AG554" s="475">
        <v>0.25</v>
      </c>
      <c r="AH554" s="475">
        <v>0.75</v>
      </c>
      <c r="AI554" s="475">
        <v>0.33333333333333298</v>
      </c>
      <c r="AJ554" s="475">
        <v>0.4</v>
      </c>
      <c r="AK554" s="475">
        <v>0.39130434782608697</v>
      </c>
      <c r="AL554" s="475">
        <v>0.5</v>
      </c>
      <c r="AM554" s="475">
        <v>0.08</v>
      </c>
      <c r="AN554" s="475">
        <v>0.24</v>
      </c>
      <c r="AO554" s="475">
        <v>0.32</v>
      </c>
      <c r="AP554" s="475">
        <v>0.2</v>
      </c>
      <c r="AQ554" s="475">
        <v>0.36</v>
      </c>
      <c r="AR554" s="475">
        <v>0.4642857142857143</v>
      </c>
      <c r="AS554" s="475">
        <v>6.2771586895627829</v>
      </c>
    </row>
    <row r="555" spans="2:45" outlineLevel="1">
      <c r="B555" s="1444" t="s">
        <v>1566</v>
      </c>
      <c r="C555" s="475"/>
      <c r="D555" s="475"/>
      <c r="E555" s="475"/>
      <c r="F555" s="475"/>
      <c r="G555" s="475"/>
      <c r="H555" s="475"/>
      <c r="I555" s="475"/>
      <c r="J555" s="475"/>
      <c r="K555" s="475"/>
      <c r="L555" s="475"/>
      <c r="M555" s="475"/>
      <c r="N555" s="475"/>
      <c r="O555" s="475"/>
      <c r="P555" s="475"/>
      <c r="Q555" s="475"/>
      <c r="R555" s="475"/>
      <c r="S555" s="475"/>
      <c r="T555" s="475"/>
      <c r="U555" s="475"/>
      <c r="V555" s="475"/>
      <c r="W555" s="475"/>
      <c r="X555" s="475"/>
      <c r="Y555" s="475"/>
      <c r="Z555" s="475"/>
      <c r="AA555" s="475"/>
      <c r="AB555" s="475"/>
      <c r="AC555" s="475"/>
      <c r="AD555" s="475"/>
      <c r="AE555" s="475"/>
      <c r="AF555" s="475">
        <v>1</v>
      </c>
      <c r="AG555" s="475">
        <v>0.6</v>
      </c>
      <c r="AH555" s="475">
        <v>1</v>
      </c>
      <c r="AI555" s="475">
        <v>0.66666666666666696</v>
      </c>
      <c r="AJ555" s="475">
        <v>0.33333333333333298</v>
      </c>
      <c r="AK555" s="475">
        <v>0.5</v>
      </c>
      <c r="AL555" s="475">
        <v>0.6</v>
      </c>
      <c r="AM555" s="475">
        <v>0.16666666666666666</v>
      </c>
      <c r="AN555" s="475"/>
      <c r="AO555" s="475"/>
      <c r="AP555" s="475"/>
      <c r="AQ555" s="475"/>
      <c r="AR555" s="475"/>
      <c r="AS555" s="475">
        <v>4.8666666666666663</v>
      </c>
    </row>
    <row r="556" spans="2:45" outlineLevel="1">
      <c r="B556" s="1444" t="s">
        <v>1670</v>
      </c>
      <c r="C556" s="475"/>
      <c r="D556" s="475"/>
      <c r="E556" s="475"/>
      <c r="F556" s="475"/>
      <c r="G556" s="475"/>
      <c r="H556" s="475"/>
      <c r="I556" s="475"/>
      <c r="J556" s="475"/>
      <c r="K556" s="475"/>
      <c r="L556" s="475"/>
      <c r="M556" s="475"/>
      <c r="N556" s="475"/>
      <c r="O556" s="475"/>
      <c r="P556" s="475"/>
      <c r="Q556" s="475"/>
      <c r="R556" s="475"/>
      <c r="S556" s="475"/>
      <c r="T556" s="475"/>
      <c r="U556" s="475"/>
      <c r="V556" s="475"/>
      <c r="W556" s="475"/>
      <c r="X556" s="475"/>
      <c r="Y556" s="475"/>
      <c r="Z556" s="475"/>
      <c r="AA556" s="475"/>
      <c r="AB556" s="475"/>
      <c r="AC556" s="475"/>
      <c r="AD556" s="475"/>
      <c r="AE556" s="475"/>
      <c r="AF556" s="475">
        <v>0.66666666666666696</v>
      </c>
      <c r="AG556" s="475">
        <v>1</v>
      </c>
      <c r="AH556" s="475">
        <v>0.33333333333333298</v>
      </c>
      <c r="AI556" s="475"/>
      <c r="AJ556" s="475">
        <v>0.33333333333333298</v>
      </c>
      <c r="AK556" s="475">
        <v>1</v>
      </c>
      <c r="AL556" s="475">
        <v>0.25</v>
      </c>
      <c r="AM556" s="475">
        <v>0.25</v>
      </c>
      <c r="AN556" s="475"/>
      <c r="AO556" s="475">
        <v>0.21052631578947367</v>
      </c>
      <c r="AP556" s="475"/>
      <c r="AQ556" s="475"/>
      <c r="AR556" s="475"/>
      <c r="AS556" s="475">
        <v>4.0438596491228065</v>
      </c>
    </row>
    <row r="557" spans="2:45" outlineLevel="1">
      <c r="B557" s="1444" t="s">
        <v>1571</v>
      </c>
      <c r="C557" s="475"/>
      <c r="D557" s="475"/>
      <c r="E557" s="475"/>
      <c r="F557" s="475"/>
      <c r="G557" s="475"/>
      <c r="H557" s="475"/>
      <c r="I557" s="475"/>
      <c r="J557" s="475"/>
      <c r="K557" s="475"/>
      <c r="L557" s="475"/>
      <c r="M557" s="475"/>
      <c r="N557" s="475"/>
      <c r="O557" s="475"/>
      <c r="P557" s="475"/>
      <c r="Q557" s="475"/>
      <c r="R557" s="475"/>
      <c r="S557" s="475"/>
      <c r="T557" s="475"/>
      <c r="U557" s="475"/>
      <c r="V557" s="475"/>
      <c r="W557" s="475"/>
      <c r="X557" s="475"/>
      <c r="Y557" s="475"/>
      <c r="Z557" s="475"/>
      <c r="AA557" s="475"/>
      <c r="AB557" s="475"/>
      <c r="AC557" s="475"/>
      <c r="AD557" s="475"/>
      <c r="AE557" s="475"/>
      <c r="AF557" s="475">
        <v>0.625</v>
      </c>
      <c r="AG557" s="475">
        <v>0.66666666666666696</v>
      </c>
      <c r="AH557" s="475">
        <v>0.35294117647058798</v>
      </c>
      <c r="AI557" s="475">
        <v>0.44</v>
      </c>
      <c r="AJ557" s="475">
        <v>0.52</v>
      </c>
      <c r="AK557" s="475">
        <v>0.68965517241379304</v>
      </c>
      <c r="AL557" s="475">
        <v>0.51724137931034486</v>
      </c>
      <c r="AM557" s="475">
        <v>0.5</v>
      </c>
      <c r="AN557" s="475">
        <v>3.3333333333333333E-2</v>
      </c>
      <c r="AO557" s="475">
        <v>0.2857142857142857</v>
      </c>
      <c r="AP557" s="475">
        <v>0.12903225806451613</v>
      </c>
      <c r="AQ557" s="475">
        <v>0.23684210526315788</v>
      </c>
      <c r="AR557" s="475">
        <v>0.35416666666666669</v>
      </c>
      <c r="AS557" s="475">
        <v>5.350593043903352</v>
      </c>
    </row>
    <row r="558" spans="2:45" outlineLevel="1">
      <c r="B558" s="1444" t="s">
        <v>1564</v>
      </c>
      <c r="C558" s="475"/>
      <c r="D558" s="475"/>
      <c r="E558" s="475"/>
      <c r="F558" s="475"/>
      <c r="G558" s="475"/>
      <c r="H558" s="475"/>
      <c r="I558" s="475"/>
      <c r="J558" s="475"/>
      <c r="K558" s="475"/>
      <c r="L558" s="475"/>
      <c r="M558" s="475"/>
      <c r="N558" s="475"/>
      <c r="O558" s="475"/>
      <c r="P558" s="475"/>
      <c r="Q558" s="475"/>
      <c r="R558" s="475"/>
      <c r="S558" s="475"/>
      <c r="T558" s="475"/>
      <c r="U558" s="475"/>
      <c r="V558" s="475"/>
      <c r="W558" s="475"/>
      <c r="X558" s="475"/>
      <c r="Y558" s="475"/>
      <c r="Z558" s="475"/>
      <c r="AA558" s="475"/>
      <c r="AB558" s="475"/>
      <c r="AC558" s="475"/>
      <c r="AD558" s="475">
        <v>0.66666666666666696</v>
      </c>
      <c r="AE558" s="475">
        <v>0.6</v>
      </c>
      <c r="AF558" s="475">
        <v>0.625</v>
      </c>
      <c r="AG558" s="475">
        <v>0.44444444444444398</v>
      </c>
      <c r="AH558" s="475">
        <v>0.22222222222222199</v>
      </c>
      <c r="AI558" s="475"/>
      <c r="AJ558" s="475">
        <v>0.42857142857142899</v>
      </c>
      <c r="AK558" s="475">
        <v>0.75</v>
      </c>
      <c r="AL558" s="475">
        <v>0.4</v>
      </c>
      <c r="AM558" s="475">
        <v>0.3</v>
      </c>
      <c r="AN558" s="475">
        <v>0.25</v>
      </c>
      <c r="AO558" s="475">
        <v>0.75</v>
      </c>
      <c r="AP558" s="475">
        <v>0.33333333333333331</v>
      </c>
      <c r="AQ558" s="475">
        <v>0.2</v>
      </c>
      <c r="AR558" s="475">
        <v>0.46666666666666667</v>
      </c>
      <c r="AS558" s="475">
        <v>6.4369047619047617</v>
      </c>
    </row>
    <row r="559" spans="2:45" outlineLevel="1">
      <c r="B559" s="1444" t="s">
        <v>1766</v>
      </c>
      <c r="C559" s="475"/>
      <c r="D559" s="475"/>
      <c r="E559" s="475"/>
      <c r="F559" s="475"/>
      <c r="G559" s="475"/>
      <c r="H559" s="475"/>
      <c r="I559" s="475"/>
      <c r="J559" s="475"/>
      <c r="K559" s="475"/>
      <c r="L559" s="475"/>
      <c r="M559" s="475"/>
      <c r="N559" s="475"/>
      <c r="O559" s="475"/>
      <c r="P559" s="475"/>
      <c r="Q559" s="475"/>
      <c r="R559" s="475"/>
      <c r="S559" s="475"/>
      <c r="T559" s="475">
        <v>0.33333333333333298</v>
      </c>
      <c r="U559" s="475">
        <v>0.5</v>
      </c>
      <c r="V559" s="475">
        <v>0.66666666666666663</v>
      </c>
      <c r="W559" s="475">
        <v>0.6</v>
      </c>
      <c r="X559" s="475">
        <v>0.73333333333333295</v>
      </c>
      <c r="Y559" s="475">
        <v>0.5</v>
      </c>
      <c r="Z559" s="475">
        <v>0.434782608695652</v>
      </c>
      <c r="AA559" s="475">
        <v>0.48</v>
      </c>
      <c r="AB559" s="475">
        <v>7.69230769230769E-2</v>
      </c>
      <c r="AC559" s="475">
        <v>0.19230769230769201</v>
      </c>
      <c r="AD559" s="475">
        <v>0.5</v>
      </c>
      <c r="AE559" s="475">
        <v>0.3</v>
      </c>
      <c r="AF559" s="475">
        <v>0.27272727272727298</v>
      </c>
      <c r="AG559" s="475">
        <v>0.30952380952380998</v>
      </c>
      <c r="AH559" s="475">
        <v>0.30232558139534899</v>
      </c>
      <c r="AI559" s="475">
        <v>0.25581395348837199</v>
      </c>
      <c r="AJ559" s="475">
        <v>9.3023255813953501E-2</v>
      </c>
      <c r="AK559" s="475">
        <v>0.25581395348837199</v>
      </c>
      <c r="AL559" s="475">
        <v>0.25806451612903225</v>
      </c>
      <c r="AM559" s="475">
        <v>3.2258064516129031E-2</v>
      </c>
      <c r="AN559" s="475">
        <v>3.3333333333333333E-2</v>
      </c>
      <c r="AO559" s="475">
        <v>0.22580645161290322</v>
      </c>
      <c r="AP559" s="475">
        <v>0.1875</v>
      </c>
      <c r="AQ559" s="475">
        <v>0.125</v>
      </c>
      <c r="AR559" s="475">
        <v>0.2857142857142857</v>
      </c>
      <c r="AS559" s="475">
        <v>7.9542511890025658</v>
      </c>
    </row>
    <row r="560" spans="2:45" outlineLevel="1">
      <c r="B560" s="1444" t="s">
        <v>1768</v>
      </c>
      <c r="C560" s="475"/>
      <c r="D560" s="475"/>
      <c r="E560" s="475"/>
      <c r="F560" s="475"/>
      <c r="G560" s="475"/>
      <c r="H560" s="475"/>
      <c r="I560" s="475"/>
      <c r="J560" s="475"/>
      <c r="K560" s="475"/>
      <c r="L560" s="475"/>
      <c r="M560" s="475"/>
      <c r="N560" s="475"/>
      <c r="O560" s="475"/>
      <c r="P560" s="475"/>
      <c r="Q560" s="475"/>
      <c r="R560" s="475"/>
      <c r="S560" s="475"/>
      <c r="T560" s="475"/>
      <c r="U560" s="475">
        <v>1</v>
      </c>
      <c r="V560" s="475">
        <v>0.5</v>
      </c>
      <c r="W560" s="475"/>
      <c r="X560" s="475"/>
      <c r="Y560" s="475">
        <v>0.28571428571428598</v>
      </c>
      <c r="Z560" s="475">
        <v>0.375</v>
      </c>
      <c r="AA560" s="475">
        <v>0.25</v>
      </c>
      <c r="AB560" s="475">
        <v>0.11111111111111099</v>
      </c>
      <c r="AC560" s="475">
        <v>0.16666666666666699</v>
      </c>
      <c r="AD560" s="475">
        <v>0.230769230769231</v>
      </c>
      <c r="AE560" s="475">
        <v>0.15384615384615385</v>
      </c>
      <c r="AF560" s="475">
        <v>0.27272727272727298</v>
      </c>
      <c r="AG560" s="475">
        <v>0.230769230769231</v>
      </c>
      <c r="AH560" s="475">
        <v>0.30769230769230799</v>
      </c>
      <c r="AI560" s="475">
        <v>0.230769230769231</v>
      </c>
      <c r="AJ560" s="475">
        <v>7.69230769230769E-2</v>
      </c>
      <c r="AK560" s="475">
        <v>7.69230769230769E-2</v>
      </c>
      <c r="AL560" s="475">
        <v>0.30769230769230771</v>
      </c>
      <c r="AM560" s="475"/>
      <c r="AN560" s="475"/>
      <c r="AO560" s="475">
        <v>0.25</v>
      </c>
      <c r="AP560" s="475">
        <v>0.21875</v>
      </c>
      <c r="AQ560" s="475">
        <v>0.15625</v>
      </c>
      <c r="AR560" s="475"/>
      <c r="AS560" s="475">
        <v>5.2016039516039525</v>
      </c>
    </row>
    <row r="561" spans="2:45" outlineLevel="1">
      <c r="B561" s="1444" t="s">
        <v>1771</v>
      </c>
      <c r="C561" s="475"/>
      <c r="D561" s="475"/>
      <c r="E561" s="475"/>
      <c r="F561" s="475"/>
      <c r="G561" s="475"/>
      <c r="H561" s="475"/>
      <c r="I561" s="475"/>
      <c r="J561" s="475"/>
      <c r="K561" s="475"/>
      <c r="L561" s="475"/>
      <c r="M561" s="475"/>
      <c r="N561" s="475"/>
      <c r="O561" s="475"/>
      <c r="P561" s="475"/>
      <c r="Q561" s="475"/>
      <c r="R561" s="475"/>
      <c r="S561" s="475"/>
      <c r="T561" s="475"/>
      <c r="U561" s="475"/>
      <c r="V561" s="475"/>
      <c r="W561" s="475"/>
      <c r="X561" s="475"/>
      <c r="Y561" s="475"/>
      <c r="Z561" s="475"/>
      <c r="AA561" s="475"/>
      <c r="AB561" s="475"/>
      <c r="AC561" s="475"/>
      <c r="AD561" s="475">
        <v>0.8</v>
      </c>
      <c r="AE561" s="475">
        <v>0.58333333333333337</v>
      </c>
      <c r="AF561" s="475">
        <v>0.46153846153846201</v>
      </c>
      <c r="AG561" s="475">
        <v>0.4</v>
      </c>
      <c r="AH561" s="475">
        <v>0.46153846153846201</v>
      </c>
      <c r="AI561" s="475">
        <v>0.35714285714285698</v>
      </c>
      <c r="AJ561" s="475">
        <v>0.38888888888888901</v>
      </c>
      <c r="AK561" s="475">
        <v>0.29411764705882398</v>
      </c>
      <c r="AL561" s="475">
        <v>0.16666666666666666</v>
      </c>
      <c r="AM561" s="475"/>
      <c r="AN561" s="475"/>
      <c r="AO561" s="475">
        <v>0.15</v>
      </c>
      <c r="AP561" s="475">
        <v>0.17391304347826086</v>
      </c>
      <c r="AQ561" s="475">
        <v>0.18518518518518517</v>
      </c>
      <c r="AR561" s="475"/>
      <c r="AS561" s="475">
        <v>4.4223245448309392</v>
      </c>
    </row>
    <row r="562" spans="2:45" outlineLevel="1">
      <c r="B562" s="1444" t="s">
        <v>1774</v>
      </c>
      <c r="C562" s="475"/>
      <c r="D562" s="475"/>
      <c r="E562" s="475"/>
      <c r="F562" s="475"/>
      <c r="G562" s="475"/>
      <c r="H562" s="475"/>
      <c r="I562" s="475"/>
      <c r="J562" s="475"/>
      <c r="K562" s="475"/>
      <c r="L562" s="475"/>
      <c r="M562" s="475"/>
      <c r="N562" s="475"/>
      <c r="O562" s="475"/>
      <c r="P562" s="475"/>
      <c r="Q562" s="475"/>
      <c r="R562" s="475"/>
      <c r="S562" s="475"/>
      <c r="T562" s="475"/>
      <c r="U562" s="475"/>
      <c r="V562" s="475"/>
      <c r="W562" s="475"/>
      <c r="X562" s="475"/>
      <c r="Y562" s="475"/>
      <c r="Z562" s="475"/>
      <c r="AA562" s="475">
        <v>0.5</v>
      </c>
      <c r="AB562" s="475">
        <v>0.592592592592593</v>
      </c>
      <c r="AC562" s="475">
        <v>0.37931034482758602</v>
      </c>
      <c r="AD562" s="475">
        <v>0.407407407407407</v>
      </c>
      <c r="AE562" s="475">
        <v>0.6333333333333333</v>
      </c>
      <c r="AF562" s="475">
        <v>0.29166666666666702</v>
      </c>
      <c r="AG562" s="475">
        <v>0.54545454545454497</v>
      </c>
      <c r="AH562" s="475">
        <v>0.133333333333333</v>
      </c>
      <c r="AI562" s="475">
        <v>0.371428571428571</v>
      </c>
      <c r="AJ562" s="475">
        <v>0.256410256410256</v>
      </c>
      <c r="AK562" s="475">
        <v>0.42499999999999999</v>
      </c>
      <c r="AL562" s="475">
        <v>0.29032258064516131</v>
      </c>
      <c r="AM562" s="475">
        <v>0.19354838709677419</v>
      </c>
      <c r="AN562" s="475">
        <v>0.22222222222222221</v>
      </c>
      <c r="AO562" s="475">
        <v>0.30769230769230771</v>
      </c>
      <c r="AP562" s="475">
        <v>0.12</v>
      </c>
      <c r="AQ562" s="475">
        <v>0.25</v>
      </c>
      <c r="AR562" s="475">
        <v>0.5</v>
      </c>
      <c r="AS562" s="475">
        <v>6.4197225491107561</v>
      </c>
    </row>
    <row r="563" spans="2:45" outlineLevel="1">
      <c r="B563" s="1444" t="s">
        <v>1028</v>
      </c>
      <c r="C563" s="475"/>
      <c r="D563" s="475"/>
      <c r="E563" s="475"/>
      <c r="F563" s="475"/>
      <c r="G563" s="475"/>
      <c r="H563" s="475"/>
      <c r="I563" s="475"/>
      <c r="J563" s="475"/>
      <c r="K563" s="475"/>
      <c r="L563" s="475"/>
      <c r="M563" s="475"/>
      <c r="N563" s="475"/>
      <c r="O563" s="475"/>
      <c r="P563" s="475"/>
      <c r="Q563" s="475"/>
      <c r="R563" s="475"/>
      <c r="S563" s="475"/>
      <c r="T563" s="475"/>
      <c r="U563" s="475"/>
      <c r="V563" s="475"/>
      <c r="W563" s="475"/>
      <c r="X563" s="475"/>
      <c r="Y563" s="475"/>
      <c r="Z563" s="475"/>
      <c r="AA563" s="475"/>
      <c r="AB563" s="475"/>
      <c r="AC563" s="475"/>
      <c r="AD563" s="475"/>
      <c r="AE563" s="475">
        <v>0.45454545454545453</v>
      </c>
      <c r="AF563" s="475">
        <v>0.4</v>
      </c>
      <c r="AG563" s="475">
        <v>0.4</v>
      </c>
      <c r="AH563" s="475">
        <v>0.31818181818181801</v>
      </c>
      <c r="AI563" s="475">
        <v>0.44444444444444398</v>
      </c>
      <c r="AJ563" s="475">
        <v>0.19354838709677399</v>
      </c>
      <c r="AK563" s="475">
        <v>0.45714285714285702</v>
      </c>
      <c r="AL563" s="475">
        <v>0.32500000000000001</v>
      </c>
      <c r="AM563" s="475">
        <v>0.16666666666666666</v>
      </c>
      <c r="AN563" s="475">
        <v>0.24390243902439024</v>
      </c>
      <c r="AO563" s="475">
        <v>0.35555555555555557</v>
      </c>
      <c r="AP563" s="475">
        <v>0.34</v>
      </c>
      <c r="AQ563" s="475">
        <v>0.33333333333333331</v>
      </c>
      <c r="AR563" s="475">
        <v>0.22</v>
      </c>
      <c r="AS563" s="475">
        <v>4.6523209559912928</v>
      </c>
    </row>
    <row r="564" spans="2:45" outlineLevel="1">
      <c r="B564" s="1444" t="s">
        <v>1569</v>
      </c>
      <c r="C564" s="475"/>
      <c r="D564" s="475"/>
      <c r="E564" s="475"/>
      <c r="F564" s="475"/>
      <c r="G564" s="475"/>
      <c r="H564" s="475"/>
      <c r="I564" s="475"/>
      <c r="J564" s="475"/>
      <c r="K564" s="475"/>
      <c r="L564" s="475"/>
      <c r="M564" s="475"/>
      <c r="N564" s="475"/>
      <c r="O564" s="475"/>
      <c r="P564" s="475"/>
      <c r="Q564" s="475"/>
      <c r="R564" s="475"/>
      <c r="S564" s="475"/>
      <c r="T564" s="475"/>
      <c r="U564" s="475"/>
      <c r="V564" s="475"/>
      <c r="W564" s="475"/>
      <c r="X564" s="475"/>
      <c r="Y564" s="475"/>
      <c r="Z564" s="475"/>
      <c r="AA564" s="475"/>
      <c r="AB564" s="475"/>
      <c r="AC564" s="475"/>
      <c r="AD564" s="475"/>
      <c r="AE564" s="475">
        <v>0.29411764705882354</v>
      </c>
      <c r="AF564" s="475">
        <v>0.41176470588235298</v>
      </c>
      <c r="AG564" s="475">
        <v>0.34782608695652201</v>
      </c>
      <c r="AH564" s="475">
        <v>0.51851851851851805</v>
      </c>
      <c r="AI564" s="475">
        <v>0.39130434782608697</v>
      </c>
      <c r="AJ564" s="475">
        <v>0.54545454545454497</v>
      </c>
      <c r="AK564" s="475">
        <v>0.42105263157894701</v>
      </c>
      <c r="AL564" s="475">
        <v>0.31034482758620691</v>
      </c>
      <c r="AM564" s="475">
        <v>0.12962962962962962</v>
      </c>
      <c r="AN564" s="475">
        <v>5.5555555555555552E-2</v>
      </c>
      <c r="AO564" s="475">
        <v>0.43137254901960786</v>
      </c>
      <c r="AP564" s="475">
        <v>0.30357142857142855</v>
      </c>
      <c r="AQ564" s="475">
        <v>0.29508196721311475</v>
      </c>
      <c r="AR564" s="475">
        <v>0.5178571428571429</v>
      </c>
      <c r="AS564" s="475">
        <v>4.9734515837084823</v>
      </c>
    </row>
    <row r="565" spans="2:45" outlineLevel="1">
      <c r="B565" s="1444" t="s">
        <v>1573</v>
      </c>
      <c r="C565" s="475"/>
      <c r="D565" s="475"/>
      <c r="E565" s="475"/>
      <c r="F565" s="475"/>
      <c r="G565" s="475"/>
      <c r="H565" s="475"/>
      <c r="I565" s="475"/>
      <c r="J565" s="475"/>
      <c r="K565" s="475"/>
      <c r="L565" s="475"/>
      <c r="M565" s="475"/>
      <c r="N565" s="475"/>
      <c r="O565" s="475"/>
      <c r="P565" s="475"/>
      <c r="Q565" s="475"/>
      <c r="R565" s="475"/>
      <c r="S565" s="475"/>
      <c r="T565" s="475"/>
      <c r="U565" s="475"/>
      <c r="V565" s="475"/>
      <c r="W565" s="475"/>
      <c r="X565" s="475"/>
      <c r="Y565" s="475"/>
      <c r="Z565" s="475"/>
      <c r="AA565" s="475"/>
      <c r="AB565" s="475"/>
      <c r="AC565" s="475"/>
      <c r="AD565" s="475"/>
      <c r="AE565" s="475"/>
      <c r="AF565" s="475">
        <v>0.7</v>
      </c>
      <c r="AG565" s="475">
        <v>0.5</v>
      </c>
      <c r="AH565" s="475">
        <v>0.41666666666666702</v>
      </c>
      <c r="AI565" s="475">
        <v>0.53846153846153799</v>
      </c>
      <c r="AJ565" s="475">
        <v>0.4</v>
      </c>
      <c r="AK565" s="475">
        <v>0.28571428571428598</v>
      </c>
      <c r="AL565" s="475">
        <v>0.63636363636363635</v>
      </c>
      <c r="AM565" s="475">
        <v>7.6923076923076927E-2</v>
      </c>
      <c r="AN565" s="475">
        <v>0.38461538461538464</v>
      </c>
      <c r="AO565" s="475">
        <v>0.41666666666666669</v>
      </c>
      <c r="AP565" s="475">
        <v>6.6666666666666666E-2</v>
      </c>
      <c r="AQ565" s="475">
        <v>0.47368421052631576</v>
      </c>
      <c r="AR565" s="475">
        <v>0.6</v>
      </c>
      <c r="AS565" s="475">
        <v>5.4957621326042378</v>
      </c>
    </row>
    <row r="566" spans="2:45" outlineLevel="1">
      <c r="B566" s="1444" t="s">
        <v>1770</v>
      </c>
      <c r="C566" s="475"/>
      <c r="D566" s="475"/>
      <c r="E566" s="475"/>
      <c r="F566" s="475"/>
      <c r="G566" s="475"/>
      <c r="H566" s="475"/>
      <c r="I566" s="475"/>
      <c r="J566" s="475"/>
      <c r="K566" s="475"/>
      <c r="L566" s="475"/>
      <c r="M566" s="475"/>
      <c r="N566" s="475"/>
      <c r="O566" s="475">
        <v>0</v>
      </c>
      <c r="P566" s="475">
        <v>0</v>
      </c>
      <c r="Q566" s="475">
        <v>0</v>
      </c>
      <c r="R566" s="475">
        <v>0.75</v>
      </c>
      <c r="S566" s="475">
        <v>0.6</v>
      </c>
      <c r="T566" s="475">
        <v>0.2</v>
      </c>
      <c r="U566" s="475">
        <v>0.2</v>
      </c>
      <c r="V566" s="475">
        <v>0.5</v>
      </c>
      <c r="W566" s="475">
        <v>0.6</v>
      </c>
      <c r="X566" s="475">
        <v>0.44444444444444398</v>
      </c>
      <c r="Y566" s="475">
        <v>0.66666666666666696</v>
      </c>
      <c r="Z566" s="475">
        <v>0.44444444444444398</v>
      </c>
      <c r="AA566" s="475">
        <v>0.3</v>
      </c>
      <c r="AB566" s="475"/>
      <c r="AC566" s="475">
        <v>0.66666666666666696</v>
      </c>
      <c r="AD566" s="475">
        <v>0.266666666666667</v>
      </c>
      <c r="AE566" s="475">
        <v>0.33333333333333331</v>
      </c>
      <c r="AF566" s="475">
        <v>0.5</v>
      </c>
      <c r="AG566" s="475"/>
      <c r="AH566" s="475"/>
      <c r="AI566" s="475"/>
      <c r="AJ566" s="475"/>
      <c r="AK566" s="475"/>
      <c r="AL566" s="475"/>
      <c r="AM566" s="475"/>
      <c r="AN566" s="475"/>
      <c r="AO566" s="475"/>
      <c r="AP566" s="475"/>
      <c r="AQ566" s="475"/>
      <c r="AR566" s="475"/>
      <c r="AS566" s="475">
        <v>6.4722222222222214</v>
      </c>
    </row>
    <row r="567" spans="2:45" outlineLevel="1">
      <c r="B567" s="1444" t="s">
        <v>1777</v>
      </c>
      <c r="C567" s="475"/>
      <c r="D567" s="475"/>
      <c r="E567" s="475"/>
      <c r="F567" s="475"/>
      <c r="G567" s="475"/>
      <c r="H567" s="475"/>
      <c r="I567" s="475"/>
      <c r="J567" s="475"/>
      <c r="K567" s="475"/>
      <c r="L567" s="475"/>
      <c r="M567" s="475"/>
      <c r="N567" s="475"/>
      <c r="O567" s="475"/>
      <c r="P567" s="475"/>
      <c r="Q567" s="475"/>
      <c r="R567" s="475">
        <v>1</v>
      </c>
      <c r="S567" s="475">
        <v>0.66666666666666663</v>
      </c>
      <c r="T567" s="475">
        <v>0.625</v>
      </c>
      <c r="U567" s="475">
        <v>0.44444444444444442</v>
      </c>
      <c r="V567" s="475">
        <v>0.8</v>
      </c>
      <c r="W567" s="475">
        <v>0.2</v>
      </c>
      <c r="X567" s="475">
        <v>0.5</v>
      </c>
      <c r="Y567" s="475">
        <v>0.38461538461538503</v>
      </c>
      <c r="Z567" s="475">
        <v>0.2</v>
      </c>
      <c r="AA567" s="475">
        <v>0.11764705882352941</v>
      </c>
      <c r="AB567" s="475">
        <v>0.11764705882352899</v>
      </c>
      <c r="AC567" s="475">
        <v>0.157894736842105</v>
      </c>
      <c r="AD567" s="475">
        <v>0.1</v>
      </c>
      <c r="AE567" s="475">
        <v>0.10526315789473684</v>
      </c>
      <c r="AF567" s="475">
        <v>0.28571428571428598</v>
      </c>
      <c r="AG567" s="475">
        <v>0.13636363636363599</v>
      </c>
      <c r="AH567" s="475">
        <v>9.5238095238095205E-2</v>
      </c>
      <c r="AI567" s="475"/>
      <c r="AJ567" s="475">
        <v>6.25E-2</v>
      </c>
      <c r="AK567" s="475">
        <v>6.25E-2</v>
      </c>
      <c r="AL567" s="475"/>
      <c r="AM567" s="475"/>
      <c r="AN567" s="475"/>
      <c r="AO567" s="475"/>
      <c r="AP567" s="475"/>
      <c r="AQ567" s="475"/>
      <c r="AR567" s="475"/>
      <c r="AS567" s="475">
        <v>6.0614945254264123</v>
      </c>
    </row>
    <row r="568" spans="2:45" outlineLevel="1">
      <c r="B568" s="1444" t="s">
        <v>1773</v>
      </c>
      <c r="C568" s="475"/>
      <c r="D568" s="475"/>
      <c r="E568" s="475"/>
      <c r="F568" s="475"/>
      <c r="G568" s="475"/>
      <c r="H568" s="475"/>
      <c r="I568" s="475"/>
      <c r="J568" s="475"/>
      <c r="K568" s="475"/>
      <c r="L568" s="475"/>
      <c r="M568" s="475"/>
      <c r="N568" s="475"/>
      <c r="O568" s="475"/>
      <c r="P568" s="475"/>
      <c r="Q568" s="475"/>
      <c r="R568" s="475"/>
      <c r="S568" s="475"/>
      <c r="T568" s="475"/>
      <c r="U568" s="475"/>
      <c r="V568" s="475">
        <v>1.5</v>
      </c>
      <c r="W568" s="475">
        <v>0.625</v>
      </c>
      <c r="X568" s="475">
        <v>0.7</v>
      </c>
      <c r="Y568" s="475">
        <v>0.80645161290322598</v>
      </c>
      <c r="Z568" s="475">
        <v>0.56097560975609795</v>
      </c>
      <c r="AA568" s="475">
        <v>0.36363636363636365</v>
      </c>
      <c r="AB568" s="475">
        <v>0.16666666666666699</v>
      </c>
      <c r="AC568" s="475">
        <v>0.238095238095238</v>
      </c>
      <c r="AD568" s="475">
        <v>0.27777777777777801</v>
      </c>
      <c r="AE568" s="475">
        <v>0.2</v>
      </c>
      <c r="AF568" s="475">
        <v>0.46153846153846201</v>
      </c>
      <c r="AG568" s="475">
        <v>0.38461538461538503</v>
      </c>
      <c r="AH568" s="475">
        <v>0.230769230769231</v>
      </c>
      <c r="AI568" s="475">
        <v>0.33333333333333298</v>
      </c>
      <c r="AJ568" s="475">
        <v>0.3</v>
      </c>
      <c r="AK568" s="475">
        <v>0.52</v>
      </c>
      <c r="AL568" s="475">
        <v>0.48148148148148145</v>
      </c>
      <c r="AM568" s="475">
        <v>0.1</v>
      </c>
      <c r="AN568" s="475">
        <v>0.10714285714285714</v>
      </c>
      <c r="AO568" s="475">
        <v>0.35294117647058826</v>
      </c>
      <c r="AP568" s="475">
        <v>0.15151515151515152</v>
      </c>
      <c r="AQ568" s="475">
        <v>0.51428571428571423</v>
      </c>
      <c r="AR568" s="475">
        <v>0.25</v>
      </c>
      <c r="AS568" s="475">
        <v>9.6262260599875749</v>
      </c>
    </row>
    <row r="569" spans="2:45" outlineLevel="1">
      <c r="B569" s="1444" t="s">
        <v>1950</v>
      </c>
      <c r="C569" s="475"/>
      <c r="D569" s="475"/>
      <c r="E569" s="475"/>
      <c r="F569" s="475"/>
      <c r="G569" s="475"/>
      <c r="H569" s="475"/>
      <c r="I569" s="475"/>
      <c r="J569" s="475"/>
      <c r="K569" s="475"/>
      <c r="L569" s="475"/>
      <c r="M569" s="475"/>
      <c r="N569" s="475"/>
      <c r="O569" s="475"/>
      <c r="P569" s="475"/>
      <c r="Q569" s="475"/>
      <c r="R569" s="475">
        <v>1</v>
      </c>
      <c r="S569" s="475">
        <v>0.8</v>
      </c>
      <c r="T569" s="475">
        <v>0.45454545454545497</v>
      </c>
      <c r="U569" s="475">
        <v>0.22222222222222221</v>
      </c>
      <c r="V569" s="475">
        <v>0.33333333333333331</v>
      </c>
      <c r="W569" s="475">
        <v>0.55555555555555602</v>
      </c>
      <c r="X569" s="475">
        <v>0.36363636363636398</v>
      </c>
      <c r="Y569" s="475">
        <v>0.25</v>
      </c>
      <c r="Z569" s="475">
        <v>0.230769230769231</v>
      </c>
      <c r="AA569" s="475">
        <v>0.1</v>
      </c>
      <c r="AB569" s="475">
        <v>0.1</v>
      </c>
      <c r="AC569" s="475">
        <v>0.33333333333333298</v>
      </c>
      <c r="AD569" s="475">
        <v>7.69230769230769E-2</v>
      </c>
      <c r="AE569" s="475">
        <v>0.5</v>
      </c>
      <c r="AF569" s="475">
        <v>8.3333333333333301E-2</v>
      </c>
      <c r="AG569" s="475">
        <v>0.34782608695652201</v>
      </c>
      <c r="AH569" s="475">
        <v>0.23529411764705899</v>
      </c>
      <c r="AI569" s="475">
        <v>0.25</v>
      </c>
      <c r="AJ569" s="475"/>
      <c r="AK569" s="475">
        <v>0.18181818181818199</v>
      </c>
      <c r="AL569" s="475">
        <v>0.18181818181818182</v>
      </c>
      <c r="AM569" s="475">
        <v>9.0909090909090912E-2</v>
      </c>
      <c r="AN569" s="475">
        <v>0.1</v>
      </c>
      <c r="AO569" s="475">
        <v>0.3</v>
      </c>
      <c r="AP569" s="475">
        <v>0.1</v>
      </c>
      <c r="AQ569" s="475"/>
      <c r="AR569" s="475"/>
      <c r="AS569" s="475">
        <v>7.191317562800938</v>
      </c>
    </row>
    <row r="570" spans="2:45" outlineLevel="1">
      <c r="B570" s="1444" t="s">
        <v>2054</v>
      </c>
      <c r="C570" s="475"/>
      <c r="D570" s="475"/>
      <c r="E570" s="475"/>
      <c r="F570" s="475"/>
      <c r="G570" s="475"/>
      <c r="H570" s="475"/>
      <c r="I570" s="475"/>
      <c r="J570" s="475"/>
      <c r="K570" s="475"/>
      <c r="L570" s="475"/>
      <c r="M570" s="475"/>
      <c r="N570" s="475"/>
      <c r="O570" s="475"/>
      <c r="P570" s="475"/>
      <c r="Q570" s="475"/>
      <c r="R570" s="475"/>
      <c r="S570" s="475"/>
      <c r="T570" s="475"/>
      <c r="U570" s="475"/>
      <c r="V570" s="475"/>
      <c r="W570" s="475"/>
      <c r="X570" s="475"/>
      <c r="Y570" s="475"/>
      <c r="Z570" s="475"/>
      <c r="AA570" s="475"/>
      <c r="AB570" s="475"/>
      <c r="AC570" s="475"/>
      <c r="AD570" s="475"/>
      <c r="AE570" s="475"/>
      <c r="AF570" s="475"/>
      <c r="AG570" s="475"/>
      <c r="AH570" s="475"/>
      <c r="AI570" s="475">
        <v>0.88888888888888895</v>
      </c>
      <c r="AJ570" s="475">
        <v>0.48148148148148101</v>
      </c>
      <c r="AK570" s="475">
        <v>0.73333333333333295</v>
      </c>
      <c r="AL570" s="475">
        <v>0.29032258064516131</v>
      </c>
      <c r="AM570" s="475">
        <v>0.3235294117647059</v>
      </c>
      <c r="AN570" s="475">
        <v>0.3235294117647059</v>
      </c>
      <c r="AO570" s="475">
        <v>0.35483870967741937</v>
      </c>
      <c r="AP570" s="475">
        <v>0.25</v>
      </c>
      <c r="AQ570" s="475">
        <v>0.17948717948717949</v>
      </c>
      <c r="AR570" s="475">
        <v>0.5</v>
      </c>
      <c r="AS570" s="475">
        <v>4.3254109970428747</v>
      </c>
    </row>
    <row r="571" spans="2:45" outlineLevel="1">
      <c r="B571" s="1444" t="s">
        <v>2705</v>
      </c>
      <c r="C571" s="475"/>
      <c r="D571" s="475"/>
      <c r="E571" s="475"/>
      <c r="F571" s="475"/>
      <c r="G571" s="475"/>
      <c r="H571" s="475"/>
      <c r="I571" s="475"/>
      <c r="J571" s="475"/>
      <c r="K571" s="475"/>
      <c r="L571" s="475"/>
      <c r="M571" s="475"/>
      <c r="N571" s="475"/>
      <c r="O571" s="475"/>
      <c r="P571" s="475"/>
      <c r="Q571" s="475"/>
      <c r="R571" s="475"/>
      <c r="S571" s="475"/>
      <c r="T571" s="475"/>
      <c r="U571" s="475"/>
      <c r="V571" s="475"/>
      <c r="W571" s="475"/>
      <c r="X571" s="475"/>
      <c r="Y571" s="475"/>
      <c r="Z571" s="475"/>
      <c r="AA571" s="475"/>
      <c r="AB571" s="475"/>
      <c r="AC571" s="475"/>
      <c r="AD571" s="475"/>
      <c r="AE571" s="475"/>
      <c r="AF571" s="475"/>
      <c r="AG571" s="475"/>
      <c r="AH571" s="475"/>
      <c r="AI571" s="475"/>
      <c r="AJ571" s="475"/>
      <c r="AK571" s="475"/>
      <c r="AL571" s="475"/>
      <c r="AM571" s="475"/>
      <c r="AN571" s="475"/>
      <c r="AO571" s="475">
        <v>1</v>
      </c>
      <c r="AP571" s="475"/>
      <c r="AQ571" s="475">
        <v>0.5</v>
      </c>
      <c r="AR571" s="475">
        <v>0.22222222222222221</v>
      </c>
      <c r="AS571" s="475">
        <v>1.7222222222222223</v>
      </c>
    </row>
    <row r="572" spans="2:45" outlineLevel="1">
      <c r="B572" s="1444" t="s">
        <v>2706</v>
      </c>
      <c r="C572" s="475"/>
      <c r="D572" s="475"/>
      <c r="E572" s="475"/>
      <c r="F572" s="475"/>
      <c r="G572" s="475"/>
      <c r="H572" s="475"/>
      <c r="I572" s="475"/>
      <c r="J572" s="475"/>
      <c r="K572" s="475"/>
      <c r="L572" s="475"/>
      <c r="M572" s="475"/>
      <c r="N572" s="475"/>
      <c r="O572" s="475"/>
      <c r="P572" s="475"/>
      <c r="Q572" s="475"/>
      <c r="R572" s="475"/>
      <c r="S572" s="475"/>
      <c r="T572" s="475"/>
      <c r="U572" s="475"/>
      <c r="V572" s="475"/>
      <c r="W572" s="475"/>
      <c r="X572" s="475"/>
      <c r="Y572" s="475"/>
      <c r="Z572" s="475"/>
      <c r="AA572" s="475"/>
      <c r="AB572" s="475"/>
      <c r="AC572" s="475"/>
      <c r="AD572" s="475"/>
      <c r="AE572" s="475"/>
      <c r="AF572" s="475"/>
      <c r="AG572" s="475"/>
      <c r="AH572" s="475"/>
      <c r="AI572" s="475"/>
      <c r="AJ572" s="475"/>
      <c r="AK572" s="475"/>
      <c r="AL572" s="475"/>
      <c r="AM572" s="475"/>
      <c r="AN572" s="475"/>
      <c r="AO572" s="475">
        <v>0.83333333333333337</v>
      </c>
      <c r="AP572" s="475">
        <v>0.5</v>
      </c>
      <c r="AQ572" s="475">
        <v>0.54545454545454541</v>
      </c>
      <c r="AR572" s="475">
        <v>0.3125</v>
      </c>
      <c r="AS572" s="475">
        <v>2.1912878787878789</v>
      </c>
    </row>
    <row r="573" spans="2:45" outlineLevel="1">
      <c r="B573" s="1444" t="s">
        <v>2707</v>
      </c>
      <c r="C573" s="475"/>
      <c r="D573" s="475"/>
      <c r="E573" s="475"/>
      <c r="F573" s="475"/>
      <c r="G573" s="475"/>
      <c r="H573" s="475"/>
      <c r="I573" s="475"/>
      <c r="J573" s="475"/>
      <c r="K573" s="475"/>
      <c r="L573" s="475"/>
      <c r="M573" s="475"/>
      <c r="N573" s="475"/>
      <c r="O573" s="475"/>
      <c r="P573" s="475"/>
      <c r="Q573" s="475"/>
      <c r="R573" s="475"/>
      <c r="S573" s="475"/>
      <c r="T573" s="475"/>
      <c r="U573" s="475"/>
      <c r="V573" s="475"/>
      <c r="W573" s="475"/>
      <c r="X573" s="475"/>
      <c r="Y573" s="475"/>
      <c r="Z573" s="475"/>
      <c r="AA573" s="475"/>
      <c r="AB573" s="475"/>
      <c r="AC573" s="475"/>
      <c r="AD573" s="475"/>
      <c r="AE573" s="475"/>
      <c r="AF573" s="475"/>
      <c r="AG573" s="475"/>
      <c r="AH573" s="475"/>
      <c r="AI573" s="475"/>
      <c r="AJ573" s="475"/>
      <c r="AK573" s="475"/>
      <c r="AL573" s="475"/>
      <c r="AM573" s="475"/>
      <c r="AN573" s="475"/>
      <c r="AO573" s="475">
        <v>0.66666666666666663</v>
      </c>
      <c r="AP573" s="475">
        <v>0.2</v>
      </c>
      <c r="AQ573" s="475">
        <v>0.14285714285714285</v>
      </c>
      <c r="AR573" s="475"/>
      <c r="AS573" s="475">
        <v>1.0095238095238095</v>
      </c>
    </row>
    <row r="574" spans="2:45" outlineLevel="1">
      <c r="B574" s="1444" t="s">
        <v>2709</v>
      </c>
      <c r="C574" s="475"/>
      <c r="D574" s="475"/>
      <c r="E574" s="475"/>
      <c r="F574" s="475"/>
      <c r="G574" s="475"/>
      <c r="H574" s="475"/>
      <c r="I574" s="475"/>
      <c r="J574" s="475"/>
      <c r="K574" s="475"/>
      <c r="L574" s="475"/>
      <c r="M574" s="475"/>
      <c r="N574" s="475"/>
      <c r="O574" s="475"/>
      <c r="P574" s="475"/>
      <c r="Q574" s="475"/>
      <c r="R574" s="475"/>
      <c r="S574" s="475"/>
      <c r="T574" s="475"/>
      <c r="U574" s="475"/>
      <c r="V574" s="475"/>
      <c r="W574" s="475"/>
      <c r="X574" s="475"/>
      <c r="Y574" s="475"/>
      <c r="Z574" s="475"/>
      <c r="AA574" s="475"/>
      <c r="AB574" s="475"/>
      <c r="AC574" s="475"/>
      <c r="AD574" s="475"/>
      <c r="AE574" s="475"/>
      <c r="AF574" s="475"/>
      <c r="AG574" s="475"/>
      <c r="AH574" s="475"/>
      <c r="AI574" s="475"/>
      <c r="AJ574" s="475"/>
      <c r="AK574" s="475"/>
      <c r="AL574" s="475"/>
      <c r="AM574" s="475"/>
      <c r="AN574" s="475"/>
      <c r="AO574" s="475">
        <v>0.33333333333333331</v>
      </c>
      <c r="AP574" s="475">
        <v>0.36363636363636365</v>
      </c>
      <c r="AQ574" s="475">
        <v>0.42857142857142855</v>
      </c>
      <c r="AR574" s="475">
        <v>0.5</v>
      </c>
      <c r="AS574" s="475">
        <v>1.6255411255411256</v>
      </c>
    </row>
    <row r="575" spans="2:45" outlineLevel="1">
      <c r="B575" s="1444" t="s">
        <v>2711</v>
      </c>
      <c r="C575" s="475"/>
      <c r="D575" s="475"/>
      <c r="E575" s="475"/>
      <c r="F575" s="475"/>
      <c r="G575" s="475"/>
      <c r="H575" s="475"/>
      <c r="I575" s="475"/>
      <c r="J575" s="475"/>
      <c r="K575" s="475"/>
      <c r="L575" s="475"/>
      <c r="M575" s="475"/>
      <c r="N575" s="475"/>
      <c r="O575" s="475"/>
      <c r="P575" s="475"/>
      <c r="Q575" s="475"/>
      <c r="R575" s="475"/>
      <c r="S575" s="475"/>
      <c r="T575" s="475"/>
      <c r="U575" s="475"/>
      <c r="V575" s="475"/>
      <c r="W575" s="475"/>
      <c r="X575" s="475"/>
      <c r="Y575" s="475"/>
      <c r="Z575" s="475"/>
      <c r="AA575" s="475"/>
      <c r="AB575" s="475"/>
      <c r="AC575" s="475"/>
      <c r="AD575" s="475"/>
      <c r="AE575" s="475"/>
      <c r="AF575" s="475"/>
      <c r="AG575" s="475"/>
      <c r="AH575" s="475"/>
      <c r="AI575" s="475"/>
      <c r="AJ575" s="475"/>
      <c r="AK575" s="475"/>
      <c r="AL575" s="475"/>
      <c r="AM575" s="475"/>
      <c r="AN575" s="475"/>
      <c r="AO575" s="475">
        <v>0.33333333333333331</v>
      </c>
      <c r="AP575" s="475">
        <v>0.34482758620689657</v>
      </c>
      <c r="AQ575" s="475">
        <v>0.35294117647058826</v>
      </c>
      <c r="AR575" s="475">
        <v>0.35087719298245612</v>
      </c>
      <c r="AS575" s="475">
        <v>1.3819792889932743</v>
      </c>
    </row>
    <row r="576" spans="2:45" outlineLevel="1">
      <c r="B576" s="1444" t="s">
        <v>3169</v>
      </c>
      <c r="C576" s="475"/>
      <c r="D576" s="475"/>
      <c r="E576" s="475"/>
      <c r="F576" s="475"/>
      <c r="G576" s="475"/>
      <c r="H576" s="475"/>
      <c r="I576" s="475"/>
      <c r="J576" s="475"/>
      <c r="K576" s="475"/>
      <c r="L576" s="475"/>
      <c r="M576" s="475"/>
      <c r="N576" s="475"/>
      <c r="O576" s="475"/>
      <c r="P576" s="475"/>
      <c r="Q576" s="475"/>
      <c r="R576" s="475"/>
      <c r="S576" s="475"/>
      <c r="T576" s="475"/>
      <c r="U576" s="475"/>
      <c r="V576" s="475"/>
      <c r="W576" s="475"/>
      <c r="X576" s="475"/>
      <c r="Y576" s="475"/>
      <c r="Z576" s="475"/>
      <c r="AA576" s="475"/>
      <c r="AB576" s="475"/>
      <c r="AC576" s="475"/>
      <c r="AD576" s="475"/>
      <c r="AE576" s="475"/>
      <c r="AF576" s="475"/>
      <c r="AG576" s="475"/>
      <c r="AH576" s="475"/>
      <c r="AI576" s="475"/>
      <c r="AJ576" s="475"/>
      <c r="AK576" s="475"/>
      <c r="AL576" s="475"/>
      <c r="AM576" s="475"/>
      <c r="AN576" s="475"/>
      <c r="AO576" s="475"/>
      <c r="AP576" s="475"/>
      <c r="AQ576" s="475">
        <v>0.5</v>
      </c>
      <c r="AR576" s="475">
        <v>1</v>
      </c>
      <c r="AS576" s="475">
        <v>1.5</v>
      </c>
    </row>
    <row r="577" spans="2:45" outlineLevel="1">
      <c r="B577" s="1444" t="s">
        <v>1410</v>
      </c>
      <c r="C577" s="475"/>
      <c r="D577" s="475"/>
      <c r="E577" s="475"/>
      <c r="F577" s="475"/>
      <c r="G577" s="475"/>
      <c r="H577" s="475"/>
      <c r="I577" s="475"/>
      <c r="J577" s="475"/>
      <c r="K577" s="475"/>
      <c r="L577" s="475"/>
      <c r="M577" s="475"/>
      <c r="N577" s="475"/>
      <c r="O577" s="475"/>
      <c r="P577" s="475"/>
      <c r="Q577" s="475"/>
      <c r="R577" s="475"/>
      <c r="S577" s="475"/>
      <c r="T577" s="475"/>
      <c r="U577" s="475"/>
      <c r="V577" s="475"/>
      <c r="W577" s="475"/>
      <c r="X577" s="475"/>
      <c r="Y577" s="475"/>
      <c r="Z577" s="475"/>
      <c r="AA577" s="475"/>
      <c r="AB577" s="475"/>
      <c r="AC577" s="475"/>
      <c r="AD577" s="475"/>
      <c r="AE577" s="475"/>
      <c r="AF577" s="475"/>
      <c r="AG577" s="475"/>
      <c r="AH577" s="475"/>
      <c r="AI577" s="475"/>
      <c r="AJ577" s="475"/>
      <c r="AK577" s="475"/>
      <c r="AL577" s="475"/>
      <c r="AM577" s="475"/>
      <c r="AN577" s="475"/>
      <c r="AO577" s="475"/>
      <c r="AP577" s="475"/>
      <c r="AQ577" s="475">
        <v>1</v>
      </c>
      <c r="AR577" s="475">
        <v>0.7142857142857143</v>
      </c>
      <c r="AS577" s="475">
        <v>1.7142857142857144</v>
      </c>
    </row>
    <row r="578" spans="2:45" outlineLevel="1">
      <c r="B578" s="1444" t="s">
        <v>2897</v>
      </c>
      <c r="C578" s="475"/>
      <c r="D578" s="475"/>
      <c r="E578" s="475"/>
      <c r="F578" s="475"/>
      <c r="G578" s="475"/>
      <c r="H578" s="475"/>
      <c r="I578" s="475"/>
      <c r="J578" s="475"/>
      <c r="K578" s="475"/>
      <c r="L578" s="475"/>
      <c r="M578" s="475"/>
      <c r="N578" s="475"/>
      <c r="O578" s="475"/>
      <c r="P578" s="475"/>
      <c r="Q578" s="475"/>
      <c r="R578" s="475"/>
      <c r="S578" s="475"/>
      <c r="T578" s="475"/>
      <c r="U578" s="475"/>
      <c r="V578" s="475"/>
      <c r="W578" s="475"/>
      <c r="X578" s="475"/>
      <c r="Y578" s="475"/>
      <c r="Z578" s="475"/>
      <c r="AA578" s="475"/>
      <c r="AB578" s="475"/>
      <c r="AC578" s="475"/>
      <c r="AD578" s="475"/>
      <c r="AE578" s="475"/>
      <c r="AF578" s="475"/>
      <c r="AG578" s="475"/>
      <c r="AH578" s="475"/>
      <c r="AI578" s="475"/>
      <c r="AJ578" s="475"/>
      <c r="AK578" s="475"/>
      <c r="AL578" s="475"/>
      <c r="AM578" s="475"/>
      <c r="AN578" s="475"/>
      <c r="AO578" s="475"/>
      <c r="AP578" s="475"/>
      <c r="AQ578" s="475">
        <v>0.38095238095238093</v>
      </c>
      <c r="AR578" s="475">
        <v>0.29629629629629628</v>
      </c>
      <c r="AS578" s="475">
        <v>0.67724867724867721</v>
      </c>
    </row>
    <row r="579" spans="2:45" outlineLevel="1">
      <c r="B579" s="1444" t="s">
        <v>3184</v>
      </c>
      <c r="C579" s="475"/>
      <c r="D579" s="475"/>
      <c r="E579" s="475"/>
      <c r="F579" s="475"/>
      <c r="G579" s="475"/>
      <c r="H579" s="475"/>
      <c r="I579" s="475"/>
      <c r="J579" s="475"/>
      <c r="K579" s="475"/>
      <c r="L579" s="475"/>
      <c r="M579" s="475"/>
      <c r="N579" s="475"/>
      <c r="O579" s="475"/>
      <c r="P579" s="475"/>
      <c r="Q579" s="475"/>
      <c r="R579" s="475"/>
      <c r="S579" s="475"/>
      <c r="T579" s="475"/>
      <c r="U579" s="475"/>
      <c r="V579" s="475"/>
      <c r="W579" s="475"/>
      <c r="X579" s="475"/>
      <c r="Y579" s="475"/>
      <c r="Z579" s="475"/>
      <c r="AA579" s="475"/>
      <c r="AB579" s="475"/>
      <c r="AC579" s="475"/>
      <c r="AD579" s="475"/>
      <c r="AE579" s="475"/>
      <c r="AF579" s="475"/>
      <c r="AG579" s="475"/>
      <c r="AH579" s="475"/>
      <c r="AI579" s="475"/>
      <c r="AJ579" s="475"/>
      <c r="AK579" s="475"/>
      <c r="AL579" s="475"/>
      <c r="AM579" s="475"/>
      <c r="AN579" s="475"/>
      <c r="AO579" s="475"/>
      <c r="AP579" s="475"/>
      <c r="AQ579" s="475">
        <v>0.15384615384615385</v>
      </c>
      <c r="AR579" s="475">
        <v>0.17391304347826086</v>
      </c>
      <c r="AS579" s="475">
        <v>0.32775919732441472</v>
      </c>
    </row>
    <row r="580" spans="2:45" outlineLevel="1">
      <c r="B580" s="1444" t="s">
        <v>3180</v>
      </c>
      <c r="C580" s="475"/>
      <c r="D580" s="475"/>
      <c r="E580" s="475"/>
      <c r="F580" s="475"/>
      <c r="G580" s="475"/>
      <c r="H580" s="475"/>
      <c r="I580" s="475"/>
      <c r="J580" s="475"/>
      <c r="K580" s="475"/>
      <c r="L580" s="475"/>
      <c r="M580" s="475"/>
      <c r="N580" s="475"/>
      <c r="O580" s="475"/>
      <c r="P580" s="475"/>
      <c r="Q580" s="475"/>
      <c r="R580" s="475"/>
      <c r="S580" s="475"/>
      <c r="T580" s="475"/>
      <c r="U580" s="475"/>
      <c r="V580" s="475"/>
      <c r="W580" s="475"/>
      <c r="X580" s="475"/>
      <c r="Y580" s="475"/>
      <c r="Z580" s="475"/>
      <c r="AA580" s="475"/>
      <c r="AB580" s="475"/>
      <c r="AC580" s="475"/>
      <c r="AD580" s="475"/>
      <c r="AE580" s="475"/>
      <c r="AF580" s="475"/>
      <c r="AG580" s="475"/>
      <c r="AH580" s="475"/>
      <c r="AI580" s="475"/>
      <c r="AJ580" s="475"/>
      <c r="AK580" s="475"/>
      <c r="AL580" s="475"/>
      <c r="AM580" s="475"/>
      <c r="AN580" s="475"/>
      <c r="AO580" s="475"/>
      <c r="AP580" s="475"/>
      <c r="AQ580" s="475">
        <v>0.1</v>
      </c>
      <c r="AR580" s="475">
        <v>0.2</v>
      </c>
      <c r="AS580" s="475">
        <v>0.30000000000000004</v>
      </c>
    </row>
    <row r="581" spans="2:45" outlineLevel="1">
      <c r="B581" s="1444" t="s">
        <v>3189</v>
      </c>
      <c r="C581" s="475"/>
      <c r="D581" s="475"/>
      <c r="E581" s="475"/>
      <c r="F581" s="475"/>
      <c r="G581" s="475"/>
      <c r="H581" s="475"/>
      <c r="I581" s="475"/>
      <c r="J581" s="475"/>
      <c r="K581" s="475"/>
      <c r="L581" s="475"/>
      <c r="M581" s="475"/>
      <c r="N581" s="475"/>
      <c r="O581" s="475"/>
      <c r="P581" s="475"/>
      <c r="Q581" s="475"/>
      <c r="R581" s="475"/>
      <c r="S581" s="475"/>
      <c r="T581" s="475"/>
      <c r="U581" s="475"/>
      <c r="V581" s="475"/>
      <c r="W581" s="475"/>
      <c r="X581" s="475"/>
      <c r="Y581" s="475"/>
      <c r="Z581" s="475"/>
      <c r="AA581" s="475"/>
      <c r="AB581" s="475"/>
      <c r="AC581" s="475"/>
      <c r="AD581" s="475"/>
      <c r="AE581" s="475"/>
      <c r="AF581" s="475"/>
      <c r="AG581" s="475"/>
      <c r="AH581" s="475"/>
      <c r="AI581" s="475"/>
      <c r="AJ581" s="475"/>
      <c r="AK581" s="475"/>
      <c r="AL581" s="475"/>
      <c r="AM581" s="475"/>
      <c r="AN581" s="475"/>
      <c r="AO581" s="475"/>
      <c r="AP581" s="475"/>
      <c r="AQ581" s="475">
        <v>0.5714285714285714</v>
      </c>
      <c r="AR581" s="475">
        <v>0.76923076923076927</v>
      </c>
      <c r="AS581" s="475">
        <v>1.3406593406593408</v>
      </c>
    </row>
    <row r="582" spans="2:45" outlineLevel="1">
      <c r="B582" s="1444" t="s">
        <v>3190</v>
      </c>
      <c r="C582" s="475"/>
      <c r="D582" s="475"/>
      <c r="E582" s="475"/>
      <c r="F582" s="475"/>
      <c r="G582" s="475"/>
      <c r="H582" s="475"/>
      <c r="I582" s="475"/>
      <c r="J582" s="475"/>
      <c r="K582" s="475"/>
      <c r="L582" s="475"/>
      <c r="M582" s="475"/>
      <c r="N582" s="475"/>
      <c r="O582" s="475"/>
      <c r="P582" s="475"/>
      <c r="Q582" s="475"/>
      <c r="R582" s="475"/>
      <c r="S582" s="475"/>
      <c r="T582" s="475"/>
      <c r="U582" s="475"/>
      <c r="V582" s="475"/>
      <c r="W582" s="475"/>
      <c r="X582" s="475"/>
      <c r="Y582" s="475"/>
      <c r="Z582" s="475"/>
      <c r="AA582" s="475"/>
      <c r="AB582" s="475"/>
      <c r="AC582" s="475"/>
      <c r="AD582" s="475"/>
      <c r="AE582" s="475"/>
      <c r="AF582" s="475"/>
      <c r="AG582" s="475"/>
      <c r="AH582" s="475"/>
      <c r="AI582" s="475"/>
      <c r="AJ582" s="475"/>
      <c r="AK582" s="475"/>
      <c r="AL582" s="475"/>
      <c r="AM582" s="475"/>
      <c r="AN582" s="475"/>
      <c r="AO582" s="475"/>
      <c r="AP582" s="475"/>
      <c r="AQ582" s="475">
        <v>0.34090909090909088</v>
      </c>
      <c r="AR582" s="475">
        <v>0.42499999999999999</v>
      </c>
      <c r="AS582" s="475">
        <v>0.76590909090909087</v>
      </c>
    </row>
    <row r="583" spans="2:45" outlineLevel="1">
      <c r="B583" s="1444" t="s">
        <v>3191</v>
      </c>
      <c r="C583" s="475"/>
      <c r="D583" s="475"/>
      <c r="E583" s="475"/>
      <c r="F583" s="475"/>
      <c r="G583" s="475"/>
      <c r="H583" s="475"/>
      <c r="I583" s="475"/>
      <c r="J583" s="475"/>
      <c r="K583" s="475"/>
      <c r="L583" s="475"/>
      <c r="M583" s="475"/>
      <c r="N583" s="475"/>
      <c r="O583" s="475"/>
      <c r="P583" s="475"/>
      <c r="Q583" s="475"/>
      <c r="R583" s="475"/>
      <c r="S583" s="475"/>
      <c r="T583" s="475"/>
      <c r="U583" s="475"/>
      <c r="V583" s="475"/>
      <c r="W583" s="475"/>
      <c r="X583" s="475"/>
      <c r="Y583" s="475"/>
      <c r="Z583" s="475"/>
      <c r="AA583" s="475"/>
      <c r="AB583" s="475"/>
      <c r="AC583" s="475"/>
      <c r="AD583" s="475"/>
      <c r="AE583" s="475"/>
      <c r="AF583" s="475"/>
      <c r="AG583" s="475"/>
      <c r="AH583" s="475"/>
      <c r="AI583" s="475"/>
      <c r="AJ583" s="475"/>
      <c r="AK583" s="475"/>
      <c r="AL583" s="475"/>
      <c r="AM583" s="475"/>
      <c r="AN583" s="475"/>
      <c r="AO583" s="475"/>
      <c r="AP583" s="475"/>
      <c r="AQ583" s="475">
        <v>0.44117647058823528</v>
      </c>
      <c r="AR583" s="475">
        <v>0.52500000000000002</v>
      </c>
      <c r="AS583" s="475">
        <v>0.9661764705882353</v>
      </c>
    </row>
    <row r="584" spans="2:45" outlineLevel="1">
      <c r="B584" s="1444" t="s">
        <v>3528</v>
      </c>
      <c r="C584" s="475"/>
      <c r="D584" s="475"/>
      <c r="E584" s="475"/>
      <c r="F584" s="475"/>
      <c r="G584" s="475"/>
      <c r="H584" s="475"/>
      <c r="I584" s="475"/>
      <c r="J584" s="475"/>
      <c r="K584" s="475"/>
      <c r="L584" s="475"/>
      <c r="M584" s="475"/>
      <c r="N584" s="475"/>
      <c r="O584" s="475"/>
      <c r="P584" s="475"/>
      <c r="Q584" s="475"/>
      <c r="R584" s="475"/>
      <c r="S584" s="475"/>
      <c r="T584" s="475"/>
      <c r="U584" s="475"/>
      <c r="V584" s="475"/>
      <c r="W584" s="475"/>
      <c r="X584" s="475"/>
      <c r="Y584" s="475"/>
      <c r="Z584" s="475"/>
      <c r="AA584" s="475"/>
      <c r="AB584" s="475"/>
      <c r="AC584" s="475"/>
      <c r="AD584" s="475"/>
      <c r="AE584" s="475"/>
      <c r="AF584" s="475"/>
      <c r="AG584" s="475"/>
      <c r="AH584" s="475"/>
      <c r="AI584" s="475"/>
      <c r="AJ584" s="475"/>
      <c r="AK584" s="475"/>
      <c r="AL584" s="475"/>
      <c r="AM584" s="475"/>
      <c r="AN584" s="475"/>
      <c r="AO584" s="475"/>
      <c r="AP584" s="475"/>
      <c r="AQ584" s="475"/>
      <c r="AR584" s="475">
        <v>0.27272727272727271</v>
      </c>
      <c r="AS584" s="475">
        <v>0.27272727272727271</v>
      </c>
    </row>
    <row r="585" spans="2:45" outlineLevel="1">
      <c r="B585" s="1444" t="s">
        <v>3529</v>
      </c>
      <c r="C585" s="475"/>
      <c r="D585" s="475"/>
      <c r="E585" s="475"/>
      <c r="F585" s="475"/>
      <c r="G585" s="475"/>
      <c r="H585" s="475"/>
      <c r="I585" s="475"/>
      <c r="J585" s="475"/>
      <c r="K585" s="475"/>
      <c r="L585" s="475"/>
      <c r="M585" s="475"/>
      <c r="N585" s="475"/>
      <c r="O585" s="475"/>
      <c r="P585" s="475"/>
      <c r="Q585" s="475"/>
      <c r="R585" s="475"/>
      <c r="S585" s="475"/>
      <c r="T585" s="475"/>
      <c r="U585" s="475"/>
      <c r="V585" s="475"/>
      <c r="W585" s="475"/>
      <c r="X585" s="475"/>
      <c r="Y585" s="475"/>
      <c r="Z585" s="475"/>
      <c r="AA585" s="475"/>
      <c r="AB585" s="475"/>
      <c r="AC585" s="475"/>
      <c r="AD585" s="475"/>
      <c r="AE585" s="475"/>
      <c r="AF585" s="475"/>
      <c r="AG585" s="475"/>
      <c r="AH585" s="475"/>
      <c r="AI585" s="475"/>
      <c r="AJ585" s="475"/>
      <c r="AK585" s="475"/>
      <c r="AL585" s="475"/>
      <c r="AM585" s="475"/>
      <c r="AN585" s="475"/>
      <c r="AO585" s="475"/>
      <c r="AP585" s="475"/>
      <c r="AQ585" s="475"/>
      <c r="AR585" s="475">
        <v>0.13559322033898305</v>
      </c>
      <c r="AS585" s="475">
        <v>0.13559322033898305</v>
      </c>
    </row>
    <row r="586" spans="2:45" outlineLevel="1">
      <c r="B586" s="1444" t="s">
        <v>3530</v>
      </c>
      <c r="C586" s="475"/>
      <c r="D586" s="475"/>
      <c r="E586" s="475"/>
      <c r="F586" s="475"/>
      <c r="G586" s="475"/>
      <c r="H586" s="475"/>
      <c r="I586" s="475"/>
      <c r="J586" s="475"/>
      <c r="K586" s="475"/>
      <c r="L586" s="475"/>
      <c r="M586" s="475"/>
      <c r="N586" s="475"/>
      <c r="O586" s="475"/>
      <c r="P586" s="475"/>
      <c r="Q586" s="475"/>
      <c r="R586" s="475"/>
      <c r="S586" s="475"/>
      <c r="T586" s="475"/>
      <c r="U586" s="475"/>
      <c r="V586" s="475"/>
      <c r="W586" s="475"/>
      <c r="X586" s="475"/>
      <c r="Y586" s="475"/>
      <c r="Z586" s="475"/>
      <c r="AA586" s="475"/>
      <c r="AB586" s="475"/>
      <c r="AC586" s="475"/>
      <c r="AD586" s="475"/>
      <c r="AE586" s="475"/>
      <c r="AF586" s="475"/>
      <c r="AG586" s="475"/>
      <c r="AH586" s="475"/>
      <c r="AI586" s="475"/>
      <c r="AJ586" s="475"/>
      <c r="AK586" s="475"/>
      <c r="AL586" s="475"/>
      <c r="AM586" s="475"/>
      <c r="AN586" s="475"/>
      <c r="AO586" s="475"/>
      <c r="AP586" s="475"/>
      <c r="AQ586" s="475"/>
      <c r="AR586" s="475">
        <v>0.25531914893617019</v>
      </c>
      <c r="AS586" s="475">
        <v>0.25531914893617019</v>
      </c>
    </row>
    <row r="587" spans="2:45" outlineLevel="1">
      <c r="B587" s="1444" t="s">
        <v>3575</v>
      </c>
      <c r="C587" s="475"/>
      <c r="D587" s="475"/>
      <c r="E587" s="475"/>
      <c r="F587" s="475"/>
      <c r="G587" s="475"/>
      <c r="H587" s="475"/>
      <c r="I587" s="475"/>
      <c r="J587" s="475"/>
      <c r="K587" s="475"/>
      <c r="L587" s="475"/>
      <c r="M587" s="475"/>
      <c r="N587" s="475"/>
      <c r="O587" s="475"/>
      <c r="P587" s="475"/>
      <c r="Q587" s="475"/>
      <c r="R587" s="475"/>
      <c r="S587" s="475"/>
      <c r="T587" s="475"/>
      <c r="U587" s="475"/>
      <c r="V587" s="475"/>
      <c r="W587" s="475"/>
      <c r="X587" s="475"/>
      <c r="Y587" s="475"/>
      <c r="Z587" s="475"/>
      <c r="AA587" s="475"/>
      <c r="AB587" s="475"/>
      <c r="AC587" s="475"/>
      <c r="AD587" s="475"/>
      <c r="AE587" s="475"/>
      <c r="AF587" s="475"/>
      <c r="AG587" s="475"/>
      <c r="AH587" s="475"/>
      <c r="AI587" s="475"/>
      <c r="AJ587" s="475"/>
      <c r="AK587" s="475"/>
      <c r="AL587" s="475"/>
      <c r="AM587" s="475"/>
      <c r="AN587" s="475"/>
      <c r="AO587" s="475"/>
      <c r="AP587" s="475"/>
      <c r="AQ587" s="475"/>
      <c r="AR587" s="475">
        <v>0.2857142857142857</v>
      </c>
      <c r="AS587" s="475">
        <v>0.2857142857142857</v>
      </c>
    </row>
    <row r="588" spans="2:45" outlineLevel="1">
      <c r="B588" s="1444" t="s">
        <v>3519</v>
      </c>
      <c r="C588" s="475"/>
      <c r="D588" s="475"/>
      <c r="E588" s="475"/>
      <c r="F588" s="475"/>
      <c r="G588" s="475"/>
      <c r="H588" s="475"/>
      <c r="I588" s="475"/>
      <c r="J588" s="475"/>
      <c r="K588" s="475"/>
      <c r="L588" s="475"/>
      <c r="M588" s="475"/>
      <c r="N588" s="475"/>
      <c r="O588" s="475"/>
      <c r="P588" s="475"/>
      <c r="Q588" s="475"/>
      <c r="R588" s="475"/>
      <c r="S588" s="475"/>
      <c r="T588" s="475"/>
      <c r="U588" s="475"/>
      <c r="V588" s="475"/>
      <c r="W588" s="475"/>
      <c r="X588" s="475"/>
      <c r="Y588" s="475"/>
      <c r="Z588" s="475"/>
      <c r="AA588" s="475"/>
      <c r="AB588" s="475"/>
      <c r="AC588" s="475"/>
      <c r="AD588" s="475"/>
      <c r="AE588" s="475"/>
      <c r="AF588" s="475"/>
      <c r="AG588" s="475"/>
      <c r="AH588" s="475"/>
      <c r="AI588" s="475"/>
      <c r="AJ588" s="475"/>
      <c r="AK588" s="475"/>
      <c r="AL588" s="475"/>
      <c r="AM588" s="475"/>
      <c r="AN588" s="475"/>
      <c r="AO588" s="475"/>
      <c r="AP588" s="475"/>
      <c r="AQ588" s="475"/>
      <c r="AR588" s="475">
        <v>0.375</v>
      </c>
      <c r="AS588" s="475">
        <v>0.375</v>
      </c>
    </row>
    <row r="589" spans="2:45" outlineLevel="1">
      <c r="B589" s="1444" t="s">
        <v>3521</v>
      </c>
      <c r="C589" s="475"/>
      <c r="D589" s="475"/>
      <c r="E589" s="475"/>
      <c r="F589" s="475"/>
      <c r="G589" s="475"/>
      <c r="H589" s="475"/>
      <c r="I589" s="475"/>
      <c r="J589" s="475"/>
      <c r="K589" s="475"/>
      <c r="L589" s="475"/>
      <c r="M589" s="475"/>
      <c r="N589" s="475"/>
      <c r="O589" s="475"/>
      <c r="P589" s="475"/>
      <c r="Q589" s="475"/>
      <c r="R589" s="475"/>
      <c r="S589" s="475"/>
      <c r="T589" s="475"/>
      <c r="U589" s="475"/>
      <c r="V589" s="475"/>
      <c r="W589" s="475"/>
      <c r="X589" s="475"/>
      <c r="Y589" s="475"/>
      <c r="Z589" s="475"/>
      <c r="AA589" s="475"/>
      <c r="AB589" s="475"/>
      <c r="AC589" s="475"/>
      <c r="AD589" s="475"/>
      <c r="AE589" s="475"/>
      <c r="AF589" s="475"/>
      <c r="AG589" s="475"/>
      <c r="AH589" s="475"/>
      <c r="AI589" s="475"/>
      <c r="AJ589" s="475"/>
      <c r="AK589" s="475"/>
      <c r="AL589" s="475"/>
      <c r="AM589" s="475"/>
      <c r="AN589" s="475"/>
      <c r="AO589" s="475"/>
      <c r="AP589" s="475"/>
      <c r="AQ589" s="475"/>
      <c r="AR589" s="475">
        <v>0.5</v>
      </c>
      <c r="AS589" s="475">
        <v>0.5</v>
      </c>
    </row>
    <row r="590" spans="2:45" outlineLevel="1">
      <c r="B590" s="1444" t="s">
        <v>3523</v>
      </c>
      <c r="C590" s="475"/>
      <c r="D590" s="475"/>
      <c r="E590" s="475"/>
      <c r="F590" s="475"/>
      <c r="G590" s="475"/>
      <c r="H590" s="475"/>
      <c r="I590" s="475"/>
      <c r="J590" s="475"/>
      <c r="K590" s="475"/>
      <c r="L590" s="475"/>
      <c r="M590" s="475"/>
      <c r="N590" s="475"/>
      <c r="O590" s="475"/>
      <c r="P590" s="475"/>
      <c r="Q590" s="475"/>
      <c r="R590" s="475"/>
      <c r="S590" s="475"/>
      <c r="T590" s="475"/>
      <c r="U590" s="475"/>
      <c r="V590" s="475"/>
      <c r="W590" s="475"/>
      <c r="X590" s="475"/>
      <c r="Y590" s="475"/>
      <c r="Z590" s="475"/>
      <c r="AA590" s="475"/>
      <c r="AB590" s="475"/>
      <c r="AC590" s="475"/>
      <c r="AD590" s="475"/>
      <c r="AE590" s="475"/>
      <c r="AF590" s="475"/>
      <c r="AG590" s="475"/>
      <c r="AH590" s="475"/>
      <c r="AI590" s="475"/>
      <c r="AJ590" s="475"/>
      <c r="AK590" s="475"/>
      <c r="AL590" s="475"/>
      <c r="AM590" s="475"/>
      <c r="AN590" s="475"/>
      <c r="AO590" s="475"/>
      <c r="AP590" s="475"/>
      <c r="AQ590" s="475"/>
      <c r="AR590" s="475">
        <v>0.2857142857142857</v>
      </c>
      <c r="AS590" s="475">
        <v>0.2857142857142857</v>
      </c>
    </row>
    <row r="591" spans="2:45" outlineLevel="1">
      <c r="B591" s="1444" t="s">
        <v>3573</v>
      </c>
      <c r="C591" s="475"/>
      <c r="D591" s="475"/>
      <c r="E591" s="475"/>
      <c r="F591" s="475"/>
      <c r="G591" s="475"/>
      <c r="H591" s="475"/>
      <c r="I591" s="475"/>
      <c r="J591" s="475"/>
      <c r="K591" s="475"/>
      <c r="L591" s="475"/>
      <c r="M591" s="475"/>
      <c r="N591" s="475"/>
      <c r="O591" s="475"/>
      <c r="P591" s="475"/>
      <c r="Q591" s="475"/>
      <c r="R591" s="475"/>
      <c r="S591" s="475"/>
      <c r="T591" s="475"/>
      <c r="U591" s="475"/>
      <c r="V591" s="475"/>
      <c r="W591" s="475"/>
      <c r="X591" s="475"/>
      <c r="Y591" s="475"/>
      <c r="Z591" s="475"/>
      <c r="AA591" s="475"/>
      <c r="AB591" s="475"/>
      <c r="AC591" s="475"/>
      <c r="AD591" s="475"/>
      <c r="AE591" s="475"/>
      <c r="AF591" s="475"/>
      <c r="AG591" s="475"/>
      <c r="AH591" s="475"/>
      <c r="AI591" s="475"/>
      <c r="AJ591" s="475"/>
      <c r="AK591" s="475"/>
      <c r="AL591" s="475"/>
      <c r="AM591" s="475"/>
      <c r="AN591" s="475"/>
      <c r="AO591" s="475"/>
      <c r="AP591" s="475"/>
      <c r="AQ591" s="475"/>
      <c r="AR591" s="475">
        <v>0.39130434782608697</v>
      </c>
      <c r="AS591" s="475">
        <v>0.39130434782608697</v>
      </c>
    </row>
    <row r="592" spans="2:45" outlineLevel="1">
      <c r="B592" s="1444" t="s">
        <v>3525</v>
      </c>
      <c r="C592" s="475"/>
      <c r="D592" s="475"/>
      <c r="E592" s="475"/>
      <c r="F592" s="475"/>
      <c r="G592" s="475"/>
      <c r="H592" s="475"/>
      <c r="I592" s="475"/>
      <c r="J592" s="475"/>
      <c r="K592" s="475"/>
      <c r="L592" s="475"/>
      <c r="M592" s="475"/>
      <c r="N592" s="475"/>
      <c r="O592" s="475"/>
      <c r="P592" s="475"/>
      <c r="Q592" s="475"/>
      <c r="R592" s="475"/>
      <c r="S592" s="475"/>
      <c r="T592" s="475"/>
      <c r="U592" s="475"/>
      <c r="V592" s="475"/>
      <c r="W592" s="475"/>
      <c r="X592" s="475"/>
      <c r="Y592" s="475"/>
      <c r="Z592" s="475"/>
      <c r="AA592" s="475"/>
      <c r="AB592" s="475"/>
      <c r="AC592" s="475"/>
      <c r="AD592" s="475"/>
      <c r="AE592" s="475"/>
      <c r="AF592" s="475"/>
      <c r="AG592" s="475"/>
      <c r="AH592" s="475"/>
      <c r="AI592" s="475"/>
      <c r="AJ592" s="475"/>
      <c r="AK592" s="475"/>
      <c r="AL592" s="475"/>
      <c r="AM592" s="475"/>
      <c r="AN592" s="475"/>
      <c r="AO592" s="475"/>
      <c r="AP592" s="475"/>
      <c r="AQ592" s="475"/>
      <c r="AR592" s="475">
        <v>0.5</v>
      </c>
      <c r="AS592" s="475">
        <v>0.5</v>
      </c>
    </row>
    <row r="593" spans="2:45" outlineLevel="1">
      <c r="B593" s="1387" t="s">
        <v>274</v>
      </c>
      <c r="C593" s="1016">
        <v>0.5</v>
      </c>
      <c r="D593" s="1016">
        <v>0.25</v>
      </c>
      <c r="E593" s="1016">
        <v>3.875</v>
      </c>
      <c r="F593" s="1016">
        <v>4.2080808080808074</v>
      </c>
      <c r="G593" s="1016">
        <v>3.567676767676768</v>
      </c>
      <c r="H593" s="1016">
        <v>2.8291125541125539</v>
      </c>
      <c r="I593" s="1016">
        <v>2.5829545454545455</v>
      </c>
      <c r="J593" s="1016">
        <v>2.8440115440115443</v>
      </c>
      <c r="K593" s="1016">
        <v>2.7861326581914816</v>
      </c>
      <c r="L593" s="1016">
        <v>3.5294068676421615</v>
      </c>
      <c r="M593" s="1016">
        <v>3.7898712398712395</v>
      </c>
      <c r="N593" s="1016">
        <v>4.8660256410256402</v>
      </c>
      <c r="O593" s="1016">
        <v>2.0599101878513641</v>
      </c>
      <c r="P593" s="1016">
        <v>2.0028711484593837</v>
      </c>
      <c r="Q593" s="1016">
        <v>2.8149450991842295</v>
      </c>
      <c r="R593" s="1016">
        <v>11.233710733710733</v>
      </c>
      <c r="S593" s="1016">
        <v>12.672025197025198</v>
      </c>
      <c r="T593" s="1016">
        <v>12.972266622266622</v>
      </c>
      <c r="U593" s="1016">
        <v>12.576142811436927</v>
      </c>
      <c r="V593" s="1016">
        <v>15.121548633971237</v>
      </c>
      <c r="W593" s="1016">
        <v>12.646473063578327</v>
      </c>
      <c r="X593" s="1016">
        <v>12.627414919157651</v>
      </c>
      <c r="Y593" s="1016">
        <v>20.882108355466684</v>
      </c>
      <c r="Z593" s="1016">
        <v>14.300533384507032</v>
      </c>
      <c r="AA593" s="1016">
        <v>12.509421425779118</v>
      </c>
      <c r="AB593" s="1016">
        <v>7.372817961620016</v>
      </c>
      <c r="AC593" s="1016">
        <v>13.916807849043353</v>
      </c>
      <c r="AD593" s="1016">
        <v>15.94506434475273</v>
      </c>
      <c r="AE593" s="1016">
        <v>13.938971042332792</v>
      </c>
      <c r="AF593" s="1016">
        <v>17.648101397146498</v>
      </c>
      <c r="AG593" s="1016">
        <v>15.978610407403202</v>
      </c>
      <c r="AH593" s="1016">
        <v>15.863433814735666</v>
      </c>
      <c r="AI593" s="1016">
        <v>14.33482885037513</v>
      </c>
      <c r="AJ593" s="1016">
        <v>12.411410956666176</v>
      </c>
      <c r="AK593" s="1016">
        <v>18.048045633544401</v>
      </c>
      <c r="AL593" s="1016">
        <v>15.114628199491525</v>
      </c>
      <c r="AM593" s="1016">
        <v>6.4399195696623712</v>
      </c>
      <c r="AN593" s="1016">
        <v>5.6654070536907701</v>
      </c>
      <c r="AO593" s="1016">
        <v>16.529550585283182</v>
      </c>
      <c r="AP593" s="1016">
        <v>10.550843208711226</v>
      </c>
      <c r="AQ593" s="1016">
        <v>13.743031450586548</v>
      </c>
      <c r="AR593" s="1016">
        <v>17.914739470775558</v>
      </c>
      <c r="AS593" s="1016">
        <v>411.46385600428215</v>
      </c>
    </row>
    <row r="594" spans="2:45" outlineLevel="1">
      <c r="B594" s="1387"/>
    </row>
    <row r="595" spans="2:45" outlineLevel="1">
      <c r="B595" s="1387"/>
    </row>
    <row r="596" spans="2:45" outlineLevel="1">
      <c r="B596" s="1387"/>
    </row>
    <row r="597" spans="2:45" outlineLevel="1">
      <c r="B597" s="1387"/>
    </row>
    <row r="598" spans="2:45" outlineLevel="1">
      <c r="B598" s="1387"/>
    </row>
    <row r="599" spans="2:45" outlineLevel="1">
      <c r="B599" s="1387"/>
    </row>
    <row r="600" spans="2:45" outlineLevel="1">
      <c r="B600" s="1444"/>
      <c r="C600" s="475"/>
      <c r="D600" s="475"/>
      <c r="E600" s="475"/>
      <c r="F600" s="475"/>
      <c r="G600" s="475"/>
      <c r="H600" s="475"/>
      <c r="I600" s="475"/>
      <c r="J600" s="475"/>
      <c r="K600" s="475"/>
      <c r="L600" s="475"/>
      <c r="M600" s="475"/>
      <c r="N600" s="475"/>
      <c r="O600" s="475"/>
      <c r="P600" s="475"/>
      <c r="Q600" s="475"/>
      <c r="R600" s="475"/>
      <c r="S600" s="475"/>
      <c r="T600" s="475"/>
      <c r="U600" s="475"/>
      <c r="V600" s="475"/>
      <c r="W600" s="475"/>
      <c r="X600" s="475"/>
      <c r="Y600" s="475"/>
      <c r="Z600" s="475"/>
      <c r="AA600" s="475"/>
      <c r="AB600" s="475"/>
      <c r="AC600" s="475"/>
      <c r="AD600" s="475"/>
      <c r="AE600" s="475"/>
      <c r="AF600" s="475"/>
      <c r="AG600" s="475"/>
      <c r="AH600" s="475"/>
      <c r="AI600" s="475"/>
      <c r="AJ600" s="475"/>
      <c r="AK600" s="475"/>
      <c r="AL600" s="475"/>
      <c r="AM600" s="475"/>
      <c r="AN600" s="475"/>
      <c r="AO600" s="475"/>
      <c r="AP600" s="475"/>
    </row>
    <row r="601" spans="2:45" outlineLevel="1">
      <c r="B601" s="1444"/>
      <c r="C601" s="475"/>
      <c r="D601" s="475"/>
      <c r="E601" s="475"/>
      <c r="F601" s="475"/>
      <c r="G601" s="475"/>
      <c r="H601" s="475"/>
      <c r="I601" s="475"/>
      <c r="J601" s="475"/>
      <c r="K601" s="475"/>
      <c r="L601" s="475"/>
      <c r="M601" s="475"/>
      <c r="N601" s="475"/>
      <c r="O601" s="475"/>
      <c r="P601" s="475"/>
      <c r="Q601" s="475"/>
      <c r="R601" s="475"/>
      <c r="S601" s="475"/>
      <c r="T601" s="475"/>
      <c r="U601" s="475"/>
      <c r="V601" s="475"/>
      <c r="W601" s="475"/>
      <c r="X601" s="475"/>
      <c r="Y601" s="475"/>
      <c r="Z601" s="475"/>
      <c r="AA601" s="475"/>
      <c r="AB601" s="475"/>
      <c r="AC601" s="475"/>
      <c r="AD601" s="475"/>
      <c r="AE601" s="475"/>
      <c r="AF601" s="475"/>
      <c r="AG601" s="475"/>
      <c r="AH601" s="475"/>
      <c r="AI601" s="475"/>
      <c r="AJ601" s="475"/>
      <c r="AK601" s="475"/>
      <c r="AL601" s="475"/>
      <c r="AM601" s="475"/>
      <c r="AN601" s="475"/>
      <c r="AO601" s="475"/>
      <c r="AP601" s="475"/>
    </row>
    <row r="602" spans="2:45" outlineLevel="1">
      <c r="B602" s="1444"/>
      <c r="C602" s="475"/>
      <c r="D602" s="475"/>
      <c r="E602" s="475"/>
      <c r="F602" s="475"/>
      <c r="G602" s="475"/>
      <c r="H602" s="475"/>
      <c r="I602" s="475"/>
      <c r="J602" s="475"/>
      <c r="K602" s="475"/>
      <c r="L602" s="475"/>
      <c r="M602" s="475"/>
      <c r="N602" s="475"/>
      <c r="O602" s="475"/>
      <c r="P602" s="475"/>
      <c r="Q602" s="475"/>
      <c r="R602" s="475"/>
      <c r="S602" s="475"/>
      <c r="T602" s="475"/>
      <c r="U602" s="475"/>
      <c r="V602" s="475"/>
      <c r="W602" s="475"/>
      <c r="X602" s="475"/>
      <c r="Y602" s="475"/>
      <c r="Z602" s="475"/>
      <c r="AA602" s="475"/>
      <c r="AB602" s="475"/>
      <c r="AC602" s="475"/>
      <c r="AD602" s="475"/>
      <c r="AE602" s="475"/>
      <c r="AF602" s="475"/>
      <c r="AG602" s="475"/>
      <c r="AH602" s="475"/>
      <c r="AI602" s="475"/>
      <c r="AJ602" s="475"/>
      <c r="AK602" s="475"/>
      <c r="AL602" s="475"/>
      <c r="AM602" s="475"/>
      <c r="AN602" s="475"/>
      <c r="AO602" s="475"/>
      <c r="AP602" s="475"/>
    </row>
    <row r="603" spans="2:45" outlineLevel="1">
      <c r="B603" s="1444"/>
      <c r="C603" s="475"/>
      <c r="D603" s="475"/>
      <c r="E603" s="475"/>
      <c r="F603" s="475"/>
      <c r="G603" s="475"/>
      <c r="H603" s="475"/>
      <c r="I603" s="475"/>
      <c r="J603" s="475"/>
      <c r="K603" s="475"/>
      <c r="L603" s="475"/>
      <c r="M603" s="475"/>
      <c r="N603" s="475"/>
      <c r="O603" s="475"/>
      <c r="P603" s="475"/>
      <c r="Q603" s="475"/>
      <c r="R603" s="475"/>
      <c r="S603" s="475"/>
      <c r="T603" s="475"/>
      <c r="U603" s="475"/>
      <c r="V603" s="475"/>
      <c r="W603" s="475"/>
      <c r="X603" s="475"/>
      <c r="Y603" s="475"/>
      <c r="Z603" s="475"/>
      <c r="AA603" s="475"/>
      <c r="AB603" s="475"/>
      <c r="AC603" s="475"/>
      <c r="AD603" s="475"/>
      <c r="AE603" s="475"/>
      <c r="AF603" s="475"/>
      <c r="AG603" s="475"/>
      <c r="AH603" s="475"/>
      <c r="AI603" s="475"/>
      <c r="AJ603" s="475"/>
      <c r="AK603" s="475"/>
      <c r="AL603" s="475"/>
      <c r="AM603" s="475"/>
      <c r="AN603" s="475"/>
      <c r="AO603" s="475"/>
      <c r="AP603" s="475"/>
    </row>
    <row r="604" spans="2:45" outlineLevel="1">
      <c r="B604" s="1444"/>
      <c r="C604" s="475"/>
      <c r="D604" s="475"/>
      <c r="E604" s="475"/>
      <c r="F604" s="475"/>
      <c r="G604" s="475"/>
      <c r="H604" s="475"/>
      <c r="I604" s="475"/>
      <c r="J604" s="475"/>
      <c r="K604" s="475"/>
      <c r="L604" s="475"/>
      <c r="M604" s="475"/>
      <c r="N604" s="475"/>
      <c r="O604" s="475"/>
      <c r="P604" s="475"/>
      <c r="Q604" s="475"/>
      <c r="R604" s="475"/>
      <c r="S604" s="475"/>
      <c r="T604" s="475"/>
      <c r="U604" s="475"/>
      <c r="V604" s="475"/>
      <c r="W604" s="475"/>
      <c r="X604" s="475"/>
      <c r="Y604" s="475"/>
      <c r="Z604" s="475"/>
      <c r="AA604" s="475"/>
      <c r="AB604" s="475"/>
      <c r="AC604" s="475"/>
      <c r="AD604" s="475"/>
      <c r="AE604" s="475"/>
      <c r="AF604" s="475"/>
      <c r="AG604" s="475"/>
      <c r="AH604" s="475"/>
      <c r="AI604" s="475"/>
      <c r="AJ604" s="475"/>
      <c r="AK604" s="475"/>
      <c r="AL604" s="475"/>
      <c r="AM604" s="475"/>
      <c r="AN604" s="475"/>
      <c r="AO604" s="475"/>
      <c r="AP604" s="475"/>
    </row>
    <row r="605" spans="2:45" outlineLevel="1">
      <c r="B605" s="1488" t="s">
        <v>425</v>
      </c>
      <c r="C605" s="1487" t="s">
        <v>275</v>
      </c>
    </row>
    <row r="606" spans="2:45" outlineLevel="1">
      <c r="B606" s="1487" t="s">
        <v>253</v>
      </c>
      <c r="C606" s="1016">
        <v>201301</v>
      </c>
      <c r="D606" s="1016">
        <v>201302</v>
      </c>
      <c r="E606" s="1016">
        <v>201303</v>
      </c>
      <c r="F606" s="1016">
        <v>201304</v>
      </c>
      <c r="G606" s="1016">
        <v>201305</v>
      </c>
      <c r="H606" s="1016">
        <v>201306</v>
      </c>
      <c r="I606" s="1016">
        <v>201307</v>
      </c>
      <c r="J606" s="1016">
        <v>201308</v>
      </c>
      <c r="K606" s="1016">
        <v>201309</v>
      </c>
      <c r="L606" s="1016">
        <v>201310</v>
      </c>
      <c r="M606" s="1016">
        <v>201311</v>
      </c>
      <c r="N606" s="1016">
        <v>201312</v>
      </c>
      <c r="O606" s="1016">
        <v>201401</v>
      </c>
      <c r="P606" s="1016">
        <v>201402</v>
      </c>
      <c r="Q606" s="1016">
        <v>201403</v>
      </c>
      <c r="R606" s="1016">
        <v>201404</v>
      </c>
      <c r="S606" s="1016">
        <v>201405</v>
      </c>
      <c r="T606" s="1016">
        <v>201406</v>
      </c>
      <c r="U606" s="1016">
        <v>201407</v>
      </c>
      <c r="V606" s="1016">
        <v>201408</v>
      </c>
      <c r="W606" s="1016">
        <v>201409</v>
      </c>
      <c r="X606" s="1016">
        <v>201410</v>
      </c>
      <c r="Y606" s="1016">
        <v>201411</v>
      </c>
      <c r="Z606" s="1016">
        <v>201412</v>
      </c>
      <c r="AA606" s="1016">
        <v>201501</v>
      </c>
      <c r="AB606" s="1016">
        <v>201502</v>
      </c>
      <c r="AC606" s="1016">
        <v>201503</v>
      </c>
      <c r="AD606" s="1016">
        <v>201504</v>
      </c>
      <c r="AE606" s="1016">
        <v>201505</v>
      </c>
      <c r="AF606" s="1016">
        <v>201506</v>
      </c>
      <c r="AG606" s="1016">
        <v>201507</v>
      </c>
      <c r="AH606" s="1016">
        <v>201508</v>
      </c>
      <c r="AI606" s="1016">
        <v>201509</v>
      </c>
      <c r="AJ606" s="1016">
        <v>201510</v>
      </c>
      <c r="AK606" s="1016">
        <v>201511</v>
      </c>
      <c r="AL606" s="1016">
        <v>201512</v>
      </c>
      <c r="AM606" s="1016">
        <v>201601</v>
      </c>
      <c r="AN606" s="1016">
        <v>201602</v>
      </c>
      <c r="AO606" s="1016">
        <v>201603</v>
      </c>
      <c r="AP606" s="1016">
        <v>201604</v>
      </c>
      <c r="AQ606" s="1016">
        <v>201605</v>
      </c>
      <c r="AR606" s="1016">
        <v>201606</v>
      </c>
      <c r="AS606" s="1016" t="s">
        <v>274</v>
      </c>
    </row>
    <row r="607" spans="2:45" outlineLevel="1">
      <c r="B607" s="1387" t="s">
        <v>191</v>
      </c>
      <c r="E607" s="1016">
        <v>1</v>
      </c>
      <c r="F607" s="1016">
        <v>9</v>
      </c>
      <c r="G607" s="1016">
        <v>9</v>
      </c>
      <c r="H607" s="1016">
        <v>12</v>
      </c>
      <c r="I607" s="1016">
        <v>12</v>
      </c>
      <c r="J607" s="1016">
        <v>13</v>
      </c>
      <c r="K607" s="1016">
        <v>16</v>
      </c>
      <c r="L607" s="1016">
        <v>16</v>
      </c>
      <c r="M607" s="1016">
        <v>17</v>
      </c>
      <c r="N607" s="1016">
        <v>15</v>
      </c>
      <c r="O607" s="1016">
        <v>13</v>
      </c>
      <c r="P607" s="1016">
        <v>13</v>
      </c>
      <c r="Q607" s="1016">
        <v>12</v>
      </c>
      <c r="R607" s="1016">
        <v>15</v>
      </c>
      <c r="S607" s="1016">
        <v>14</v>
      </c>
      <c r="T607" s="1016">
        <v>19</v>
      </c>
      <c r="U607" s="1016">
        <v>17</v>
      </c>
      <c r="V607" s="1016">
        <v>22</v>
      </c>
      <c r="W607" s="1016">
        <v>26</v>
      </c>
      <c r="X607" s="1016">
        <v>29</v>
      </c>
      <c r="Y607" s="1016">
        <v>33</v>
      </c>
      <c r="Z607" s="1016">
        <v>41</v>
      </c>
      <c r="AA607" s="1016">
        <v>57</v>
      </c>
      <c r="AB607" s="1016">
        <v>57</v>
      </c>
      <c r="AC607" s="1016">
        <v>61</v>
      </c>
      <c r="AD607" s="1016">
        <v>67</v>
      </c>
      <c r="AE607" s="1016">
        <v>67</v>
      </c>
      <c r="AF607" s="1016">
        <v>54</v>
      </c>
      <c r="AG607" s="1016">
        <v>51</v>
      </c>
      <c r="AH607" s="1016">
        <v>35</v>
      </c>
      <c r="AI607" s="1016">
        <v>40</v>
      </c>
      <c r="AJ607" s="1016">
        <v>43</v>
      </c>
      <c r="AK607" s="1016">
        <v>40</v>
      </c>
      <c r="AL607" s="1016">
        <v>40</v>
      </c>
      <c r="AM607" s="1016">
        <v>43</v>
      </c>
      <c r="AN607" s="1016">
        <v>43</v>
      </c>
      <c r="AO607" s="1016">
        <v>41</v>
      </c>
      <c r="AP607" s="1016">
        <v>50</v>
      </c>
      <c r="AQ607" s="1016">
        <v>66</v>
      </c>
      <c r="AR607" s="1016">
        <v>92</v>
      </c>
      <c r="AS607" s="1016">
        <v>1321</v>
      </c>
    </row>
    <row r="608" spans="2:45" outlineLevel="1">
      <c r="B608" s="1387" t="s">
        <v>189</v>
      </c>
      <c r="E608" s="1016">
        <v>4</v>
      </c>
      <c r="F608" s="1016">
        <v>9</v>
      </c>
      <c r="G608" s="1016">
        <v>12</v>
      </c>
      <c r="H608" s="1016">
        <v>14</v>
      </c>
      <c r="I608" s="1016">
        <v>15</v>
      </c>
      <c r="J608" s="1016">
        <v>15</v>
      </c>
      <c r="K608" s="1016">
        <v>15</v>
      </c>
      <c r="L608" s="1016">
        <v>11</v>
      </c>
      <c r="M608" s="1016">
        <v>12</v>
      </c>
      <c r="N608" s="1016">
        <v>11</v>
      </c>
      <c r="O608" s="1016">
        <v>11</v>
      </c>
      <c r="P608" s="1016">
        <v>10</v>
      </c>
      <c r="Q608" s="1016">
        <v>17</v>
      </c>
      <c r="R608" s="1016">
        <v>23</v>
      </c>
      <c r="S608" s="1016">
        <v>26</v>
      </c>
      <c r="T608" s="1016">
        <v>30</v>
      </c>
      <c r="U608" s="1016">
        <v>28</v>
      </c>
      <c r="V608" s="1016">
        <v>26</v>
      </c>
      <c r="W608" s="1016">
        <v>29</v>
      </c>
      <c r="X608" s="1016">
        <v>16</v>
      </c>
      <c r="Y608" s="1016">
        <v>21</v>
      </c>
      <c r="Z608" s="1016">
        <v>26</v>
      </c>
      <c r="AA608" s="1016">
        <v>27</v>
      </c>
      <c r="AB608" s="1016">
        <v>27</v>
      </c>
      <c r="AC608" s="1016">
        <v>31</v>
      </c>
      <c r="AD608" s="1016">
        <v>43</v>
      </c>
      <c r="AE608" s="1016">
        <v>26</v>
      </c>
      <c r="AF608" s="1016">
        <v>27</v>
      </c>
      <c r="AG608" s="1016">
        <v>29</v>
      </c>
      <c r="AH608" s="1016">
        <v>29</v>
      </c>
      <c r="AI608" s="1016">
        <v>30</v>
      </c>
      <c r="AJ608" s="1016">
        <v>24</v>
      </c>
      <c r="AK608" s="1016">
        <v>22</v>
      </c>
      <c r="AL608" s="1016">
        <v>19</v>
      </c>
      <c r="AM608" s="1016">
        <v>19</v>
      </c>
      <c r="AN608" s="1016">
        <v>19</v>
      </c>
      <c r="AO608" s="1016">
        <v>19</v>
      </c>
      <c r="AP608" s="1016">
        <v>18</v>
      </c>
      <c r="AQ608" s="1016">
        <v>19</v>
      </c>
      <c r="AS608" s="1016">
        <v>809</v>
      </c>
    </row>
    <row r="609" spans="2:45" outlineLevel="1">
      <c r="B609" s="1387" t="s">
        <v>192</v>
      </c>
      <c r="E609" s="1016">
        <v>2</v>
      </c>
      <c r="F609" s="1016">
        <v>4</v>
      </c>
      <c r="G609" s="1016">
        <v>11</v>
      </c>
      <c r="H609" s="1016">
        <v>12</v>
      </c>
      <c r="I609" s="1016">
        <v>11</v>
      </c>
      <c r="J609" s="1016">
        <v>11</v>
      </c>
      <c r="K609" s="1016">
        <v>12</v>
      </c>
      <c r="L609" s="1016">
        <v>11</v>
      </c>
      <c r="M609" s="1016">
        <v>12</v>
      </c>
      <c r="N609" s="1016">
        <v>13</v>
      </c>
      <c r="O609" s="1016">
        <v>13</v>
      </c>
      <c r="P609" s="1016">
        <v>12</v>
      </c>
      <c r="Q609" s="1016">
        <v>12</v>
      </c>
      <c r="R609" s="1016">
        <v>10</v>
      </c>
      <c r="S609" s="1016">
        <v>6</v>
      </c>
      <c r="AS609" s="1016">
        <v>152</v>
      </c>
    </row>
    <row r="610" spans="2:45" outlineLevel="1">
      <c r="B610" s="1387" t="s">
        <v>194</v>
      </c>
      <c r="F610" s="1016">
        <v>6</v>
      </c>
      <c r="G610" s="1016">
        <v>8</v>
      </c>
      <c r="H610" s="1016">
        <v>10</v>
      </c>
      <c r="I610" s="1016">
        <v>10</v>
      </c>
      <c r="J610" s="1016">
        <v>11</v>
      </c>
      <c r="K610" s="1016">
        <v>13</v>
      </c>
      <c r="L610" s="1016">
        <v>12</v>
      </c>
      <c r="M610" s="1016">
        <v>12</v>
      </c>
      <c r="N610" s="1016">
        <v>14</v>
      </c>
      <c r="O610" s="1016">
        <v>14</v>
      </c>
      <c r="P610" s="1016">
        <v>16</v>
      </c>
      <c r="Q610" s="1016">
        <v>12</v>
      </c>
      <c r="R610" s="1016">
        <v>10</v>
      </c>
      <c r="S610" s="1016">
        <v>10</v>
      </c>
      <c r="T610" s="1016">
        <v>12</v>
      </c>
      <c r="U610" s="1016">
        <v>10</v>
      </c>
      <c r="V610" s="1016">
        <v>11</v>
      </c>
      <c r="W610" s="1016">
        <v>13</v>
      </c>
      <c r="X610" s="1016">
        <v>14</v>
      </c>
      <c r="Y610" s="1016">
        <v>16</v>
      </c>
      <c r="Z610" s="1016">
        <v>12</v>
      </c>
      <c r="AA610" s="1016">
        <v>12</v>
      </c>
      <c r="AB610" s="1016">
        <v>10</v>
      </c>
      <c r="AC610" s="1016">
        <v>9</v>
      </c>
      <c r="AD610" s="1016">
        <v>13</v>
      </c>
      <c r="AE610" s="1016">
        <v>18</v>
      </c>
      <c r="AF610" s="1016">
        <v>15</v>
      </c>
      <c r="AG610" s="1016">
        <v>15</v>
      </c>
      <c r="AH610" s="1016">
        <v>15</v>
      </c>
      <c r="AI610" s="1016">
        <v>15</v>
      </c>
      <c r="AJ610" s="1016">
        <v>15</v>
      </c>
      <c r="AK610" s="1016">
        <v>15</v>
      </c>
      <c r="AL610" s="1016">
        <v>14</v>
      </c>
      <c r="AM610" s="1016">
        <v>15</v>
      </c>
      <c r="AN610" s="1016">
        <v>15</v>
      </c>
      <c r="AO610" s="1016">
        <v>15</v>
      </c>
      <c r="AP610" s="1016">
        <v>16</v>
      </c>
      <c r="AQ610" s="1016">
        <v>16</v>
      </c>
      <c r="AR610" s="1016">
        <v>0</v>
      </c>
      <c r="AS610" s="1016">
        <v>489</v>
      </c>
    </row>
    <row r="611" spans="2:45" outlineLevel="1">
      <c r="B611" s="1387" t="s">
        <v>190</v>
      </c>
      <c r="E611" s="1016">
        <v>0</v>
      </c>
      <c r="F611" s="1016">
        <v>6</v>
      </c>
      <c r="G611" s="1016">
        <v>6</v>
      </c>
      <c r="H611" s="1016">
        <v>10</v>
      </c>
      <c r="I611" s="1016">
        <v>10</v>
      </c>
      <c r="J611" s="1016">
        <v>11</v>
      </c>
      <c r="K611" s="1016">
        <v>13</v>
      </c>
      <c r="L611" s="1016">
        <v>11</v>
      </c>
      <c r="M611" s="1016">
        <v>12</v>
      </c>
      <c r="N611" s="1016">
        <v>11</v>
      </c>
      <c r="O611" s="1016">
        <v>12</v>
      </c>
      <c r="P611" s="1016">
        <v>12</v>
      </c>
      <c r="Q611" s="1016">
        <v>9</v>
      </c>
      <c r="R611" s="1016">
        <v>10</v>
      </c>
      <c r="S611" s="1016">
        <v>11</v>
      </c>
      <c r="T611" s="1016">
        <v>11</v>
      </c>
      <c r="U611" s="1016">
        <v>10</v>
      </c>
      <c r="V611" s="1016">
        <v>10</v>
      </c>
      <c r="W611" s="1016">
        <v>10</v>
      </c>
      <c r="X611" s="1016">
        <v>12</v>
      </c>
      <c r="Y611" s="1016">
        <v>10</v>
      </c>
      <c r="Z611" s="1016">
        <v>10</v>
      </c>
      <c r="AA611" s="1016">
        <v>7</v>
      </c>
      <c r="AB611" s="1016">
        <v>7</v>
      </c>
      <c r="AC611" s="1016">
        <v>7</v>
      </c>
      <c r="AD611" s="1016">
        <v>7</v>
      </c>
      <c r="AE611" s="1016">
        <v>8</v>
      </c>
      <c r="AF611" s="1016">
        <v>8</v>
      </c>
      <c r="AG611" s="1016">
        <v>11</v>
      </c>
      <c r="AH611" s="1016">
        <v>10</v>
      </c>
      <c r="AI611" s="1016">
        <v>12</v>
      </c>
      <c r="AJ611" s="1016">
        <v>16</v>
      </c>
      <c r="AK611" s="1016">
        <v>17</v>
      </c>
      <c r="AL611" s="1016">
        <v>18</v>
      </c>
      <c r="AM611" s="1016">
        <v>19</v>
      </c>
      <c r="AN611" s="1016">
        <v>19</v>
      </c>
      <c r="AO611" s="1016">
        <v>20</v>
      </c>
      <c r="AP611" s="1016">
        <v>20</v>
      </c>
      <c r="AS611" s="1016">
        <v>423</v>
      </c>
    </row>
    <row r="612" spans="2:45" outlineLevel="1">
      <c r="B612" s="1387" t="s">
        <v>92</v>
      </c>
      <c r="C612" s="1016">
        <v>4</v>
      </c>
      <c r="D612" s="1016">
        <v>4</v>
      </c>
      <c r="E612" s="1016">
        <v>4</v>
      </c>
      <c r="F612" s="1016">
        <v>4</v>
      </c>
      <c r="G612" s="1016">
        <v>5</v>
      </c>
      <c r="H612" s="1016">
        <v>6</v>
      </c>
      <c r="I612" s="1016">
        <v>4</v>
      </c>
      <c r="J612" s="1016">
        <v>7</v>
      </c>
      <c r="K612" s="1016">
        <v>16</v>
      </c>
      <c r="L612" s="1016">
        <v>16</v>
      </c>
      <c r="M612" s="1016">
        <v>20</v>
      </c>
      <c r="N612" s="1016">
        <v>22</v>
      </c>
      <c r="O612" s="1016">
        <v>22</v>
      </c>
      <c r="P612" s="1016">
        <v>20</v>
      </c>
      <c r="Q612" s="1016">
        <v>17</v>
      </c>
      <c r="R612" s="1016">
        <v>17</v>
      </c>
      <c r="S612" s="1016">
        <v>19</v>
      </c>
      <c r="T612" s="1016">
        <v>21</v>
      </c>
      <c r="U612" s="1016">
        <v>20</v>
      </c>
      <c r="V612" s="1016">
        <v>20</v>
      </c>
      <c r="W612" s="1016">
        <v>19</v>
      </c>
      <c r="X612" s="1016">
        <v>21</v>
      </c>
      <c r="Y612" s="1016">
        <v>20</v>
      </c>
      <c r="Z612" s="1016">
        <v>20</v>
      </c>
      <c r="AA612" s="1016">
        <v>20</v>
      </c>
      <c r="AB612" s="1016">
        <v>20</v>
      </c>
      <c r="AC612" s="1016">
        <v>21</v>
      </c>
      <c r="AD612" s="1016">
        <v>19</v>
      </c>
      <c r="AE612" s="1016">
        <v>19</v>
      </c>
      <c r="AF612" s="1016">
        <v>18</v>
      </c>
      <c r="AG612" s="1016">
        <v>26</v>
      </c>
      <c r="AH612" s="1016">
        <v>25</v>
      </c>
      <c r="AI612" s="1016">
        <v>26</v>
      </c>
      <c r="AJ612" s="1016">
        <v>25</v>
      </c>
      <c r="AK612" s="1016">
        <v>25</v>
      </c>
      <c r="AL612" s="1016">
        <v>27</v>
      </c>
      <c r="AM612" s="1016">
        <v>28</v>
      </c>
      <c r="AN612" s="1016">
        <v>24</v>
      </c>
      <c r="AO612" s="1016">
        <v>25</v>
      </c>
      <c r="AP612" s="1016">
        <v>26</v>
      </c>
      <c r="AQ612" s="1016">
        <v>28</v>
      </c>
      <c r="AS612" s="1016">
        <v>750</v>
      </c>
    </row>
    <row r="613" spans="2:45" outlineLevel="1">
      <c r="B613" s="1387" t="s">
        <v>17</v>
      </c>
      <c r="C613" s="1016">
        <v>7</v>
      </c>
      <c r="D613" s="1016">
        <v>7</v>
      </c>
      <c r="E613" s="1016">
        <v>7</v>
      </c>
      <c r="F613" s="1016">
        <v>7</v>
      </c>
      <c r="G613" s="1016">
        <v>7</v>
      </c>
      <c r="H613" s="1016">
        <v>8</v>
      </c>
      <c r="I613" s="1016">
        <v>4</v>
      </c>
      <c r="J613" s="1016">
        <v>4</v>
      </c>
      <c r="K613" s="1016">
        <v>4</v>
      </c>
      <c r="L613" s="1016">
        <v>9</v>
      </c>
      <c r="M613" s="1016">
        <v>9</v>
      </c>
      <c r="N613" s="1016">
        <v>10</v>
      </c>
      <c r="O613" s="1016">
        <v>19</v>
      </c>
      <c r="P613" s="1016">
        <v>18</v>
      </c>
      <c r="Q613" s="1016">
        <v>17</v>
      </c>
      <c r="R613" s="1016">
        <v>18</v>
      </c>
      <c r="S613" s="1016">
        <v>19</v>
      </c>
      <c r="T613" s="1016">
        <v>17</v>
      </c>
      <c r="U613" s="1016">
        <v>15</v>
      </c>
      <c r="V613" s="1016">
        <v>15</v>
      </c>
      <c r="W613" s="1016">
        <v>17</v>
      </c>
      <c r="X613" s="1016">
        <v>17</v>
      </c>
      <c r="Y613" s="1016">
        <v>17</v>
      </c>
      <c r="Z613" s="1016">
        <v>15</v>
      </c>
      <c r="AA613" s="1016">
        <v>14</v>
      </c>
      <c r="AB613" s="1016">
        <v>14</v>
      </c>
      <c r="AC613" s="1016">
        <v>14</v>
      </c>
      <c r="AD613" s="1016">
        <v>14</v>
      </c>
      <c r="AE613" s="1016">
        <v>15</v>
      </c>
      <c r="AF613" s="1016">
        <v>14</v>
      </c>
      <c r="AG613" s="1016">
        <v>14</v>
      </c>
      <c r="AH613" s="1016">
        <v>11</v>
      </c>
      <c r="AI613" s="1016">
        <v>11</v>
      </c>
      <c r="AJ613" s="1016">
        <v>11</v>
      </c>
      <c r="AK613" s="1016">
        <v>11</v>
      </c>
      <c r="AL613" s="1016">
        <v>10</v>
      </c>
      <c r="AM613" s="1016">
        <v>10</v>
      </c>
      <c r="AN613" s="1016">
        <v>10</v>
      </c>
      <c r="AO613" s="1016">
        <v>10</v>
      </c>
      <c r="AP613" s="1016">
        <v>9</v>
      </c>
      <c r="AQ613" s="1016">
        <v>8</v>
      </c>
      <c r="AR613" s="1016">
        <v>8</v>
      </c>
      <c r="AS613" s="1016">
        <v>495</v>
      </c>
    </row>
    <row r="614" spans="2:45" outlineLevel="1">
      <c r="B614" s="1387" t="s">
        <v>188</v>
      </c>
      <c r="E614" s="1016">
        <v>4</v>
      </c>
      <c r="F614" s="1016">
        <v>11</v>
      </c>
      <c r="G614" s="1016">
        <v>16</v>
      </c>
      <c r="H614" s="1016">
        <v>16</v>
      </c>
      <c r="I614" s="1016">
        <v>15</v>
      </c>
      <c r="J614" s="1016">
        <v>16</v>
      </c>
      <c r="K614" s="1016">
        <v>16</v>
      </c>
      <c r="L614" s="1016">
        <v>12</v>
      </c>
      <c r="M614" s="1016">
        <v>9</v>
      </c>
      <c r="N614" s="1016">
        <v>8</v>
      </c>
      <c r="O614" s="1016">
        <v>8</v>
      </c>
      <c r="P614" s="1016">
        <v>6</v>
      </c>
      <c r="Q614" s="1016">
        <v>6</v>
      </c>
      <c r="R614" s="1016">
        <v>7</v>
      </c>
      <c r="S614" s="1016">
        <v>13</v>
      </c>
      <c r="T614" s="1016">
        <v>17</v>
      </c>
      <c r="U614" s="1016">
        <v>13</v>
      </c>
      <c r="V614" s="1016">
        <v>15</v>
      </c>
      <c r="W614" s="1016">
        <v>15</v>
      </c>
      <c r="X614" s="1016">
        <v>26</v>
      </c>
      <c r="Y614" s="1016">
        <v>27</v>
      </c>
      <c r="Z614" s="1016">
        <v>28</v>
      </c>
      <c r="AA614" s="1016">
        <v>27</v>
      </c>
      <c r="AB614" s="1016">
        <v>27</v>
      </c>
      <c r="AC614" s="1016">
        <v>27</v>
      </c>
      <c r="AD614" s="1016">
        <v>29</v>
      </c>
      <c r="AE614" s="1016">
        <v>30</v>
      </c>
      <c r="AF614" s="1016">
        <v>27</v>
      </c>
      <c r="AG614" s="1016">
        <v>25</v>
      </c>
      <c r="AH614" s="1016">
        <v>27</v>
      </c>
      <c r="AI614" s="1016">
        <v>28</v>
      </c>
      <c r="AJ614" s="1016">
        <v>30</v>
      </c>
      <c r="AK614" s="1016">
        <v>29</v>
      </c>
      <c r="AL614" s="1016">
        <v>34</v>
      </c>
      <c r="AM614" s="1016">
        <v>35</v>
      </c>
      <c r="AN614" s="1016">
        <v>36</v>
      </c>
      <c r="AO614" s="1016">
        <v>32</v>
      </c>
      <c r="AP614" s="1016">
        <v>33</v>
      </c>
      <c r="AS614" s="1016">
        <v>780</v>
      </c>
    </row>
    <row r="615" spans="2:45" outlineLevel="1">
      <c r="B615" s="1387" t="s">
        <v>381</v>
      </c>
      <c r="I615" s="1016">
        <v>4</v>
      </c>
      <c r="J615" s="1016">
        <v>4</v>
      </c>
      <c r="K615" s="1016">
        <v>2</v>
      </c>
      <c r="N615" s="1016">
        <v>1</v>
      </c>
      <c r="O615" s="1016">
        <v>1</v>
      </c>
      <c r="P615" s="1016">
        <v>1</v>
      </c>
      <c r="S615" s="1016">
        <v>2</v>
      </c>
      <c r="T615" s="1016">
        <v>10</v>
      </c>
      <c r="U615" s="1016">
        <v>10</v>
      </c>
      <c r="V615" s="1016">
        <v>12</v>
      </c>
      <c r="W615" s="1016">
        <v>14</v>
      </c>
      <c r="X615" s="1016">
        <v>16</v>
      </c>
      <c r="Y615" s="1016">
        <v>17</v>
      </c>
      <c r="Z615" s="1016">
        <v>17</v>
      </c>
      <c r="AA615" s="1016">
        <v>18</v>
      </c>
      <c r="AB615" s="1016">
        <v>20</v>
      </c>
      <c r="AC615" s="1016">
        <v>19</v>
      </c>
      <c r="AD615" s="1016">
        <v>17</v>
      </c>
      <c r="AE615" s="1016">
        <v>17</v>
      </c>
      <c r="AF615" s="1016">
        <v>17</v>
      </c>
      <c r="AG615" s="1016">
        <v>3</v>
      </c>
      <c r="AH615" s="1016">
        <v>0</v>
      </c>
      <c r="AI615" s="1016">
        <v>0</v>
      </c>
      <c r="AJ615" s="1016">
        <v>0</v>
      </c>
      <c r="AS615" s="1016">
        <v>222</v>
      </c>
    </row>
    <row r="616" spans="2:45" outlineLevel="1">
      <c r="B616" s="1387"/>
      <c r="L616" s="1016">
        <v>1</v>
      </c>
      <c r="M616" s="1016">
        <v>1</v>
      </c>
      <c r="AS616" s="1016">
        <v>2</v>
      </c>
    </row>
    <row r="617" spans="2:45" outlineLevel="1">
      <c r="B617" s="1387" t="s">
        <v>461</v>
      </c>
      <c r="M617" s="1016">
        <v>2</v>
      </c>
      <c r="N617" s="1016">
        <v>3</v>
      </c>
      <c r="O617" s="1016">
        <v>4</v>
      </c>
      <c r="P617" s="1016">
        <v>4</v>
      </c>
      <c r="AS617" s="1016">
        <v>13</v>
      </c>
    </row>
    <row r="618" spans="2:45" outlineLevel="1">
      <c r="B618" s="1387" t="s">
        <v>483</v>
      </c>
      <c r="N618" s="1016">
        <v>3</v>
      </c>
      <c r="O618" s="1016">
        <v>3</v>
      </c>
      <c r="P618" s="1016">
        <v>4</v>
      </c>
      <c r="Q618" s="1016">
        <v>6</v>
      </c>
      <c r="R618" s="1016">
        <v>9</v>
      </c>
      <c r="S618" s="1016">
        <v>9</v>
      </c>
      <c r="T618" s="1016">
        <v>9</v>
      </c>
      <c r="U618" s="1016">
        <v>9</v>
      </c>
      <c r="V618" s="1016">
        <v>12</v>
      </c>
      <c r="W618" s="1016">
        <v>13</v>
      </c>
      <c r="X618" s="1016">
        <v>12</v>
      </c>
      <c r="Y618" s="1016">
        <v>13</v>
      </c>
      <c r="Z618" s="1016">
        <v>16</v>
      </c>
      <c r="AA618" s="1016">
        <v>15</v>
      </c>
      <c r="AB618" s="1016">
        <v>15</v>
      </c>
      <c r="AC618" s="1016">
        <v>15</v>
      </c>
      <c r="AD618" s="1016">
        <v>16</v>
      </c>
      <c r="AE618" s="1016">
        <v>16</v>
      </c>
      <c r="AF618" s="1016">
        <v>15</v>
      </c>
      <c r="AG618" s="1016">
        <v>15</v>
      </c>
      <c r="AH618" s="1016">
        <v>14</v>
      </c>
      <c r="AI618" s="1016">
        <v>11</v>
      </c>
      <c r="AJ618" s="1016">
        <v>11</v>
      </c>
      <c r="AK618" s="1016">
        <v>11</v>
      </c>
      <c r="AL618" s="1016">
        <v>10</v>
      </c>
      <c r="AM618" s="1016">
        <v>11</v>
      </c>
      <c r="AN618" s="1016">
        <v>0</v>
      </c>
      <c r="AO618" s="1016">
        <v>0</v>
      </c>
      <c r="AP618" s="1016">
        <v>0</v>
      </c>
      <c r="AS618" s="1016">
        <v>293</v>
      </c>
    </row>
    <row r="619" spans="2:45" outlineLevel="1">
      <c r="B619" s="1387" t="s">
        <v>629</v>
      </c>
      <c r="Q619" s="1016">
        <v>9</v>
      </c>
      <c r="R619" s="1016">
        <v>12</v>
      </c>
      <c r="S619" s="1016">
        <v>13</v>
      </c>
      <c r="T619" s="1016">
        <v>21</v>
      </c>
      <c r="U619" s="1016">
        <v>21</v>
      </c>
      <c r="V619" s="1016">
        <v>22</v>
      </c>
      <c r="W619" s="1016">
        <v>22</v>
      </c>
      <c r="X619" s="1016">
        <v>20</v>
      </c>
      <c r="Y619" s="1016">
        <v>20</v>
      </c>
      <c r="Z619" s="1016">
        <v>20</v>
      </c>
      <c r="AA619" s="1016">
        <v>20</v>
      </c>
      <c r="AB619" s="1016">
        <v>20</v>
      </c>
      <c r="AC619" s="1016">
        <v>19</v>
      </c>
      <c r="AD619" s="1016">
        <v>19</v>
      </c>
      <c r="AE619" s="1016">
        <v>19</v>
      </c>
      <c r="AF619" s="1016">
        <v>14</v>
      </c>
      <c r="AG619" s="1016">
        <v>14</v>
      </c>
      <c r="AH619" s="1016">
        <v>14</v>
      </c>
      <c r="AI619" s="1016">
        <v>11</v>
      </c>
      <c r="AJ619" s="1016">
        <v>10</v>
      </c>
      <c r="AK619" s="1016">
        <v>10</v>
      </c>
      <c r="AL619" s="1016">
        <v>10</v>
      </c>
      <c r="AM619" s="1016">
        <v>10</v>
      </c>
      <c r="AN619" s="1016">
        <v>10</v>
      </c>
      <c r="AO619" s="1016">
        <v>10</v>
      </c>
      <c r="AP619" s="1016">
        <v>10</v>
      </c>
      <c r="AS619" s="1016">
        <v>400</v>
      </c>
    </row>
    <row r="620" spans="2:45" outlineLevel="1">
      <c r="B620" s="1387" t="s">
        <v>645</v>
      </c>
      <c r="R620" s="1016">
        <v>4</v>
      </c>
      <c r="S620" s="1016">
        <v>5</v>
      </c>
      <c r="T620" s="1016">
        <v>5</v>
      </c>
      <c r="U620" s="1016">
        <v>8</v>
      </c>
      <c r="V620" s="1016">
        <v>8</v>
      </c>
      <c r="W620" s="1016">
        <v>9</v>
      </c>
      <c r="X620" s="1016">
        <v>8</v>
      </c>
      <c r="Y620" s="1016">
        <v>9</v>
      </c>
      <c r="Z620" s="1016">
        <v>11</v>
      </c>
      <c r="AA620" s="1016">
        <v>11</v>
      </c>
      <c r="AB620" s="1016">
        <v>11</v>
      </c>
      <c r="AC620" s="1016">
        <v>13</v>
      </c>
      <c r="AD620" s="1016">
        <v>13</v>
      </c>
      <c r="AE620" s="1016">
        <v>17</v>
      </c>
      <c r="AF620" s="1016">
        <v>14</v>
      </c>
      <c r="AG620" s="1016">
        <v>13</v>
      </c>
      <c r="AH620" s="1016">
        <v>16</v>
      </c>
      <c r="AI620" s="1016">
        <v>16</v>
      </c>
      <c r="AJ620" s="1016">
        <v>20</v>
      </c>
      <c r="AK620" s="1016">
        <v>18</v>
      </c>
      <c r="AL620" s="1016">
        <v>17</v>
      </c>
      <c r="AM620" s="1016">
        <v>19</v>
      </c>
      <c r="AN620" s="1016">
        <v>14</v>
      </c>
      <c r="AO620" s="1016">
        <v>14</v>
      </c>
      <c r="AP620" s="1016">
        <v>14</v>
      </c>
      <c r="AQ620" s="1016">
        <v>17</v>
      </c>
      <c r="AR620" s="1016">
        <v>16</v>
      </c>
      <c r="AS620" s="1016">
        <v>340</v>
      </c>
    </row>
    <row r="621" spans="2:45" outlineLevel="1">
      <c r="B621" s="1387" t="s">
        <v>641</v>
      </c>
      <c r="R621" s="1016">
        <v>3</v>
      </c>
      <c r="S621" s="1016">
        <v>8</v>
      </c>
      <c r="T621" s="1016">
        <v>11</v>
      </c>
      <c r="U621" s="1016">
        <v>12</v>
      </c>
      <c r="V621" s="1016">
        <v>12</v>
      </c>
      <c r="W621" s="1016">
        <v>15</v>
      </c>
      <c r="X621" s="1016">
        <v>17</v>
      </c>
      <c r="Y621" s="1016">
        <v>14</v>
      </c>
      <c r="Z621" s="1016">
        <v>14</v>
      </c>
      <c r="AA621" s="1016">
        <v>12</v>
      </c>
      <c r="AB621" s="1016">
        <v>12</v>
      </c>
      <c r="AC621" s="1016">
        <v>11</v>
      </c>
      <c r="AD621" s="1016">
        <v>19</v>
      </c>
      <c r="AE621" s="1016">
        <v>18</v>
      </c>
      <c r="AF621" s="1016">
        <v>17</v>
      </c>
      <c r="AG621" s="1016">
        <v>16</v>
      </c>
      <c r="AH621" s="1016">
        <v>16</v>
      </c>
      <c r="AI621" s="1016">
        <v>15</v>
      </c>
      <c r="AJ621" s="1016">
        <v>18</v>
      </c>
      <c r="AK621" s="1016">
        <v>19</v>
      </c>
      <c r="AL621" s="1016">
        <v>16</v>
      </c>
      <c r="AM621" s="1016">
        <v>17</v>
      </c>
      <c r="AN621" s="1016">
        <v>16</v>
      </c>
      <c r="AO621" s="1016">
        <v>15</v>
      </c>
      <c r="AP621" s="1016">
        <v>15</v>
      </c>
      <c r="AQ621" s="1016">
        <v>16</v>
      </c>
      <c r="AR621" s="1016">
        <v>15</v>
      </c>
      <c r="AS621" s="1016">
        <v>389</v>
      </c>
    </row>
    <row r="622" spans="2:45" outlineLevel="1">
      <c r="B622" s="1387" t="s">
        <v>643</v>
      </c>
      <c r="R622" s="1016">
        <v>1</v>
      </c>
      <c r="S622" s="1016">
        <v>8</v>
      </c>
      <c r="T622" s="1016">
        <v>8</v>
      </c>
      <c r="U622" s="1016">
        <v>11</v>
      </c>
      <c r="V622" s="1016">
        <v>11</v>
      </c>
      <c r="W622" s="1016">
        <v>11</v>
      </c>
      <c r="X622" s="1016">
        <v>11</v>
      </c>
      <c r="Y622" s="1016">
        <v>11</v>
      </c>
      <c r="Z622" s="1016">
        <v>12</v>
      </c>
      <c r="AA622" s="1016">
        <v>13</v>
      </c>
      <c r="AB622" s="1016">
        <v>13</v>
      </c>
      <c r="AC622" s="1016">
        <v>13</v>
      </c>
      <c r="AD622" s="1016">
        <v>13</v>
      </c>
      <c r="AE622" s="1016">
        <v>13</v>
      </c>
      <c r="AF622" s="1016">
        <v>1</v>
      </c>
      <c r="AS622" s="1016">
        <v>150</v>
      </c>
    </row>
    <row r="623" spans="2:45" outlineLevel="1">
      <c r="B623" s="1387" t="s">
        <v>644</v>
      </c>
      <c r="R623" s="1016">
        <v>0</v>
      </c>
      <c r="S623" s="1016">
        <v>3</v>
      </c>
      <c r="T623" s="1016">
        <v>7</v>
      </c>
      <c r="U623" s="1016">
        <v>11</v>
      </c>
      <c r="V623" s="1016">
        <v>11</v>
      </c>
      <c r="W623" s="1016">
        <v>10</v>
      </c>
      <c r="X623" s="1016">
        <v>10</v>
      </c>
      <c r="Y623" s="1016">
        <v>12</v>
      </c>
      <c r="Z623" s="1016">
        <v>11</v>
      </c>
      <c r="AA623" s="1016">
        <v>13</v>
      </c>
      <c r="AB623" s="1016">
        <v>13</v>
      </c>
      <c r="AC623" s="1016">
        <v>15</v>
      </c>
      <c r="AD623" s="1016">
        <v>16</v>
      </c>
      <c r="AE623" s="1016">
        <v>17</v>
      </c>
      <c r="AF623" s="1016">
        <v>14</v>
      </c>
      <c r="AG623" s="1016">
        <v>12</v>
      </c>
      <c r="AH623" s="1016">
        <v>12</v>
      </c>
      <c r="AI623" s="1016">
        <v>13</v>
      </c>
      <c r="AJ623" s="1016">
        <v>13</v>
      </c>
      <c r="AK623" s="1016">
        <v>13</v>
      </c>
      <c r="AL623" s="1016">
        <v>15</v>
      </c>
      <c r="AM623" s="1016">
        <v>14</v>
      </c>
      <c r="AN623" s="1016">
        <v>14</v>
      </c>
      <c r="AO623" s="1016">
        <v>16</v>
      </c>
      <c r="AP623" s="1016">
        <v>17</v>
      </c>
      <c r="AQ623" s="1016">
        <v>27</v>
      </c>
      <c r="AR623" s="1016">
        <v>28</v>
      </c>
      <c r="AS623" s="1016">
        <v>357</v>
      </c>
    </row>
    <row r="624" spans="2:45" outlineLevel="1">
      <c r="B624" s="1387" t="s">
        <v>655</v>
      </c>
      <c r="R624" s="1016">
        <v>6</v>
      </c>
      <c r="S624" s="1016">
        <v>7</v>
      </c>
      <c r="T624" s="1016">
        <v>10</v>
      </c>
      <c r="U624" s="1016">
        <v>10</v>
      </c>
      <c r="V624" s="1016">
        <v>8</v>
      </c>
      <c r="W624" s="1016">
        <v>9</v>
      </c>
      <c r="X624" s="1016">
        <v>9</v>
      </c>
      <c r="Y624" s="1016">
        <v>11</v>
      </c>
      <c r="Z624" s="1016">
        <v>13</v>
      </c>
      <c r="AA624" s="1016">
        <v>14</v>
      </c>
      <c r="AB624" s="1016">
        <v>14</v>
      </c>
      <c r="AC624" s="1016">
        <v>16</v>
      </c>
      <c r="AD624" s="1016">
        <v>18</v>
      </c>
      <c r="AE624" s="1016">
        <v>19</v>
      </c>
      <c r="AF624" s="1016">
        <v>18</v>
      </c>
      <c r="AG624" s="1016">
        <v>18</v>
      </c>
      <c r="AH624" s="1016">
        <v>17</v>
      </c>
      <c r="AI624" s="1016">
        <v>19</v>
      </c>
      <c r="AJ624" s="1016">
        <v>19</v>
      </c>
      <c r="AK624" s="1016">
        <v>22</v>
      </c>
      <c r="AL624" s="1016">
        <v>22</v>
      </c>
      <c r="AM624" s="1016">
        <v>22</v>
      </c>
      <c r="AN624" s="1016">
        <v>21</v>
      </c>
      <c r="AO624" s="1016">
        <v>22</v>
      </c>
      <c r="AP624" s="1016">
        <v>21</v>
      </c>
      <c r="AQ624" s="1016">
        <v>19</v>
      </c>
      <c r="AS624" s="1016">
        <v>404</v>
      </c>
    </row>
    <row r="625" spans="2:45" outlineLevel="1">
      <c r="B625" s="1387" t="s">
        <v>656</v>
      </c>
      <c r="R625" s="1016">
        <v>1</v>
      </c>
      <c r="S625" s="1016">
        <v>6</v>
      </c>
      <c r="T625" s="1016">
        <v>5</v>
      </c>
      <c r="U625" s="1016">
        <v>6</v>
      </c>
      <c r="V625" s="1016">
        <v>6</v>
      </c>
      <c r="W625" s="1016">
        <v>6</v>
      </c>
      <c r="X625" s="1016">
        <v>6</v>
      </c>
      <c r="Y625" s="1016">
        <v>7</v>
      </c>
      <c r="Z625" s="1016">
        <v>8</v>
      </c>
      <c r="AA625" s="1016">
        <v>13</v>
      </c>
      <c r="AB625" s="1016">
        <v>14</v>
      </c>
      <c r="AC625" s="1016">
        <v>15</v>
      </c>
      <c r="AD625" s="1016">
        <v>19</v>
      </c>
      <c r="AE625" s="1016">
        <v>21</v>
      </c>
      <c r="AF625" s="1016">
        <v>18</v>
      </c>
      <c r="AG625" s="1016">
        <v>17</v>
      </c>
      <c r="AH625" s="1016">
        <v>16</v>
      </c>
      <c r="AI625" s="1016">
        <v>19</v>
      </c>
      <c r="AJ625" s="1016">
        <v>20</v>
      </c>
      <c r="AK625" s="1016">
        <v>22</v>
      </c>
      <c r="AL625" s="1016">
        <v>22</v>
      </c>
      <c r="AM625" s="1016">
        <v>23</v>
      </c>
      <c r="AN625" s="1016">
        <v>23</v>
      </c>
      <c r="AO625" s="1016">
        <v>23</v>
      </c>
      <c r="AP625" s="1016">
        <v>24</v>
      </c>
      <c r="AS625" s="1016">
        <v>360</v>
      </c>
    </row>
    <row r="626" spans="2:45" outlineLevel="1">
      <c r="B626" s="1387" t="s">
        <v>697</v>
      </c>
      <c r="S626" s="1016">
        <v>1</v>
      </c>
      <c r="T626" s="1016">
        <v>5</v>
      </c>
      <c r="U626" s="1016">
        <v>8</v>
      </c>
      <c r="V626" s="1016">
        <v>11</v>
      </c>
      <c r="W626" s="1016">
        <v>11</v>
      </c>
      <c r="X626" s="1016">
        <v>11</v>
      </c>
      <c r="Y626" s="1016">
        <v>11</v>
      </c>
      <c r="Z626" s="1016">
        <v>11</v>
      </c>
      <c r="AA626" s="1016">
        <v>12</v>
      </c>
      <c r="AB626" s="1016">
        <v>10</v>
      </c>
      <c r="AC626" s="1016">
        <v>10</v>
      </c>
      <c r="AD626" s="1016">
        <v>13</v>
      </c>
      <c r="AE626" s="1016">
        <v>14</v>
      </c>
      <c r="AF626" s="1016">
        <v>15</v>
      </c>
      <c r="AG626" s="1016">
        <v>16</v>
      </c>
      <c r="AH626" s="1016">
        <v>13</v>
      </c>
      <c r="AI626" s="1016">
        <v>16</v>
      </c>
      <c r="AJ626" s="1016">
        <v>16</v>
      </c>
      <c r="AK626" s="1016">
        <v>17</v>
      </c>
      <c r="AL626" s="1016">
        <v>17</v>
      </c>
      <c r="AM626" s="1016">
        <v>16</v>
      </c>
      <c r="AN626" s="1016">
        <v>16</v>
      </c>
      <c r="AO626" s="1016">
        <v>18</v>
      </c>
      <c r="AP626" s="1016">
        <v>18</v>
      </c>
      <c r="AQ626" s="1016">
        <v>17</v>
      </c>
      <c r="AR626" s="1016">
        <v>16</v>
      </c>
      <c r="AS626" s="1016">
        <v>339</v>
      </c>
    </row>
    <row r="627" spans="2:45" outlineLevel="1">
      <c r="B627" s="1387" t="s">
        <v>658</v>
      </c>
      <c r="AK627" s="1016">
        <v>0</v>
      </c>
      <c r="AL627" s="1016">
        <v>0</v>
      </c>
      <c r="AM627" s="1016">
        <v>0</v>
      </c>
      <c r="AN627" s="1016">
        <v>0</v>
      </c>
      <c r="AO627" s="1016">
        <v>0</v>
      </c>
      <c r="AP627" s="1016">
        <v>0</v>
      </c>
      <c r="AS627" s="1016">
        <v>0</v>
      </c>
    </row>
    <row r="628" spans="2:45" outlineLevel="1">
      <c r="B628" s="1387" t="s">
        <v>698</v>
      </c>
      <c r="T628" s="1016">
        <v>4</v>
      </c>
      <c r="U628" s="1016">
        <v>4</v>
      </c>
      <c r="V628" s="1016">
        <v>5</v>
      </c>
      <c r="W628" s="1016">
        <v>6</v>
      </c>
      <c r="X628" s="1016">
        <v>7</v>
      </c>
      <c r="Y628" s="1016">
        <v>9</v>
      </c>
      <c r="Z628" s="1016">
        <v>14</v>
      </c>
      <c r="AA628" s="1016">
        <v>12</v>
      </c>
      <c r="AB628" s="1016">
        <v>13</v>
      </c>
      <c r="AC628" s="1016">
        <v>13</v>
      </c>
      <c r="AD628" s="1016">
        <v>13</v>
      </c>
      <c r="AE628" s="1016">
        <v>14</v>
      </c>
      <c r="AF628" s="1016">
        <v>13</v>
      </c>
      <c r="AG628" s="1016">
        <v>10</v>
      </c>
      <c r="AH628" s="1016">
        <v>11</v>
      </c>
      <c r="AI628" s="1016">
        <v>11</v>
      </c>
      <c r="AJ628" s="1016">
        <v>9</v>
      </c>
      <c r="AK628" s="1016">
        <v>7</v>
      </c>
      <c r="AL628" s="1016">
        <v>5</v>
      </c>
      <c r="AM628" s="1016">
        <v>5</v>
      </c>
      <c r="AN628" s="1016">
        <v>4</v>
      </c>
      <c r="AO628" s="1016">
        <v>4</v>
      </c>
      <c r="AP628" s="1016">
        <v>4</v>
      </c>
      <c r="AQ628" s="1016">
        <v>4</v>
      </c>
      <c r="AS628" s="1016">
        <v>201</v>
      </c>
    </row>
    <row r="629" spans="2:45" outlineLevel="1">
      <c r="B629" s="1387" t="s">
        <v>790</v>
      </c>
      <c r="T629" s="1016">
        <v>3</v>
      </c>
      <c r="U629" s="1016">
        <v>3</v>
      </c>
      <c r="V629" s="1016">
        <v>3</v>
      </c>
      <c r="W629" s="1016">
        <v>4</v>
      </c>
      <c r="X629" s="1016">
        <v>4</v>
      </c>
      <c r="Y629" s="1016">
        <v>5</v>
      </c>
      <c r="Z629" s="1016">
        <v>5</v>
      </c>
      <c r="AA629" s="1016">
        <v>5</v>
      </c>
      <c r="AB629" s="1016">
        <v>5</v>
      </c>
      <c r="AC629" s="1016">
        <v>7</v>
      </c>
      <c r="AD629" s="1016">
        <v>9</v>
      </c>
      <c r="AE629" s="1016">
        <v>11</v>
      </c>
      <c r="AF629" s="1016">
        <v>12</v>
      </c>
      <c r="AG629" s="1016">
        <v>12</v>
      </c>
      <c r="AH629" s="1016">
        <v>13</v>
      </c>
      <c r="AI629" s="1016">
        <v>13</v>
      </c>
      <c r="AJ629" s="1016">
        <v>12</v>
      </c>
      <c r="AK629" s="1016">
        <v>14</v>
      </c>
      <c r="AL629" s="1016">
        <v>15</v>
      </c>
      <c r="AM629" s="1016">
        <v>14</v>
      </c>
      <c r="AN629" s="1016">
        <v>13</v>
      </c>
      <c r="AO629" s="1016">
        <v>13</v>
      </c>
      <c r="AP629" s="1016">
        <v>13</v>
      </c>
      <c r="AQ629" s="1016">
        <v>17</v>
      </c>
      <c r="AR629" s="1016">
        <v>15</v>
      </c>
      <c r="AS629" s="1016">
        <v>240</v>
      </c>
    </row>
    <row r="630" spans="2:45" outlineLevel="1">
      <c r="B630" s="1387" t="s">
        <v>797</v>
      </c>
      <c r="U630" s="1016">
        <v>3</v>
      </c>
      <c r="V630" s="1016">
        <v>7</v>
      </c>
      <c r="W630" s="1016">
        <v>8</v>
      </c>
      <c r="X630" s="1016">
        <v>8</v>
      </c>
      <c r="Y630" s="1016">
        <v>10</v>
      </c>
      <c r="Z630" s="1016">
        <v>12</v>
      </c>
      <c r="AA630" s="1016">
        <v>15</v>
      </c>
      <c r="AB630" s="1016">
        <v>15</v>
      </c>
      <c r="AC630" s="1016">
        <v>16</v>
      </c>
      <c r="AD630" s="1016">
        <v>14</v>
      </c>
      <c r="AE630" s="1016">
        <v>13</v>
      </c>
      <c r="AF630" s="1016">
        <v>22</v>
      </c>
      <c r="AG630" s="1016">
        <v>22</v>
      </c>
      <c r="AH630" s="1016">
        <v>21</v>
      </c>
      <c r="AI630" s="1016">
        <v>21</v>
      </c>
      <c r="AJ630" s="1016">
        <v>20</v>
      </c>
      <c r="AK630" s="1016">
        <v>17</v>
      </c>
      <c r="AL630" s="1016">
        <v>12</v>
      </c>
      <c r="AM630" s="1016">
        <v>12</v>
      </c>
      <c r="AN630" s="1016">
        <v>12</v>
      </c>
      <c r="AO630" s="1016">
        <v>13</v>
      </c>
      <c r="AP630" s="1016">
        <v>14</v>
      </c>
      <c r="AQ630" s="1016">
        <v>14</v>
      </c>
      <c r="AR630" s="1016">
        <v>12</v>
      </c>
      <c r="AS630" s="1016">
        <v>333</v>
      </c>
    </row>
    <row r="631" spans="2:45" outlineLevel="1">
      <c r="B631" s="1387" t="s">
        <v>800</v>
      </c>
      <c r="U631" s="1016">
        <v>2</v>
      </c>
      <c r="V631" s="1016">
        <v>6</v>
      </c>
      <c r="W631" s="1016">
        <v>8</v>
      </c>
      <c r="X631" s="1016">
        <v>9</v>
      </c>
      <c r="Y631" s="1016">
        <v>14</v>
      </c>
      <c r="Z631" s="1016">
        <v>13</v>
      </c>
      <c r="AA631" s="1016">
        <v>14</v>
      </c>
      <c r="AB631" s="1016">
        <v>16</v>
      </c>
      <c r="AC631" s="1016">
        <v>15</v>
      </c>
      <c r="AD631" s="1016">
        <v>18</v>
      </c>
      <c r="AE631" s="1016">
        <v>17</v>
      </c>
      <c r="AF631" s="1016">
        <v>13</v>
      </c>
      <c r="AG631" s="1016">
        <v>12</v>
      </c>
      <c r="AH631" s="1016">
        <v>14</v>
      </c>
      <c r="AI631" s="1016">
        <v>14</v>
      </c>
      <c r="AJ631" s="1016">
        <v>17</v>
      </c>
      <c r="AK631" s="1016">
        <v>17</v>
      </c>
      <c r="AL631" s="1016">
        <v>16</v>
      </c>
      <c r="AM631" s="1016">
        <v>17</v>
      </c>
      <c r="AN631" s="1016">
        <v>19</v>
      </c>
      <c r="AO631" s="1016">
        <v>19</v>
      </c>
      <c r="AP631" s="1016">
        <v>21</v>
      </c>
      <c r="AQ631" s="1016">
        <v>23</v>
      </c>
      <c r="AR631" s="1016">
        <v>24</v>
      </c>
      <c r="AS631" s="1016">
        <v>358</v>
      </c>
    </row>
    <row r="632" spans="2:45" outlineLevel="1">
      <c r="B632" s="1387" t="s">
        <v>904</v>
      </c>
      <c r="X632" s="1016">
        <v>1</v>
      </c>
      <c r="Y632" s="1016">
        <v>1</v>
      </c>
      <c r="Z632" s="1016">
        <v>6</v>
      </c>
      <c r="AA632" s="1016">
        <v>9</v>
      </c>
      <c r="AB632" s="1016">
        <v>9</v>
      </c>
      <c r="AC632" s="1016">
        <v>17</v>
      </c>
      <c r="AD632" s="1016">
        <v>24</v>
      </c>
      <c r="AE632" s="1016">
        <v>25</v>
      </c>
      <c r="AF632" s="1016">
        <v>25</v>
      </c>
      <c r="AG632" s="1016">
        <v>25</v>
      </c>
      <c r="AH632" s="1016">
        <v>26</v>
      </c>
      <c r="AI632" s="1016">
        <v>27</v>
      </c>
      <c r="AJ632" s="1016">
        <v>25</v>
      </c>
      <c r="AK632" s="1016">
        <v>22</v>
      </c>
      <c r="AL632" s="1016">
        <v>23</v>
      </c>
      <c r="AM632" s="1016">
        <v>25</v>
      </c>
      <c r="AN632" s="1016">
        <v>25</v>
      </c>
      <c r="AO632" s="1016">
        <v>26</v>
      </c>
      <c r="AP632" s="1016">
        <v>28</v>
      </c>
      <c r="AQ632" s="1016">
        <v>30</v>
      </c>
      <c r="AR632" s="1016">
        <v>27</v>
      </c>
      <c r="AS632" s="1016">
        <v>426</v>
      </c>
    </row>
    <row r="633" spans="2:45" outlineLevel="1">
      <c r="B633" s="1387" t="s">
        <v>906</v>
      </c>
      <c r="X633" s="1016">
        <v>5</v>
      </c>
      <c r="Y633" s="1016">
        <v>6</v>
      </c>
      <c r="Z633" s="1016">
        <v>9</v>
      </c>
      <c r="AA633" s="1016">
        <v>9</v>
      </c>
      <c r="AB633" s="1016">
        <v>9</v>
      </c>
      <c r="AC633" s="1016">
        <v>9</v>
      </c>
      <c r="AD633" s="1016">
        <v>8</v>
      </c>
      <c r="AE633" s="1016">
        <v>7</v>
      </c>
      <c r="AF633" s="1016">
        <v>12</v>
      </c>
      <c r="AG633" s="1016">
        <v>12</v>
      </c>
      <c r="AH633" s="1016">
        <v>11</v>
      </c>
      <c r="AI633" s="1016">
        <v>11</v>
      </c>
      <c r="AJ633" s="1016">
        <v>12</v>
      </c>
      <c r="AK633" s="1016">
        <v>12</v>
      </c>
      <c r="AL633" s="1016">
        <v>12</v>
      </c>
      <c r="AM633" s="1016">
        <v>13</v>
      </c>
      <c r="AN633" s="1016">
        <v>13</v>
      </c>
      <c r="AO633" s="1016">
        <v>13</v>
      </c>
      <c r="AP633" s="1016">
        <v>10</v>
      </c>
      <c r="AQ633" s="1016">
        <v>10</v>
      </c>
      <c r="AS633" s="1016">
        <v>203</v>
      </c>
    </row>
    <row r="634" spans="2:45" outlineLevel="1">
      <c r="B634" s="1387" t="s">
        <v>901</v>
      </c>
      <c r="Y634" s="1016">
        <v>1</v>
      </c>
      <c r="Z634" s="1016">
        <v>9</v>
      </c>
      <c r="AA634" s="1016">
        <v>15</v>
      </c>
      <c r="AB634" s="1016">
        <v>7</v>
      </c>
      <c r="AC634" s="1016">
        <v>8</v>
      </c>
      <c r="AD634" s="1016">
        <v>8</v>
      </c>
      <c r="AE634" s="1016">
        <v>7</v>
      </c>
      <c r="AF634" s="1016">
        <v>8</v>
      </c>
      <c r="AG634" s="1016">
        <v>8</v>
      </c>
      <c r="AH634" s="1016">
        <v>12</v>
      </c>
      <c r="AI634" s="1016">
        <v>14</v>
      </c>
      <c r="AJ634" s="1016">
        <v>14</v>
      </c>
      <c r="AK634" s="1016">
        <v>14</v>
      </c>
      <c r="AL634" s="1016">
        <v>13</v>
      </c>
      <c r="AM634" s="1016">
        <v>13</v>
      </c>
      <c r="AN634" s="1016">
        <v>13</v>
      </c>
      <c r="AO634" s="1016">
        <v>13</v>
      </c>
      <c r="AP634" s="1016">
        <v>14</v>
      </c>
      <c r="AQ634" s="1016">
        <v>14</v>
      </c>
      <c r="AR634" s="1016">
        <v>14</v>
      </c>
      <c r="AS634" s="1016">
        <v>219</v>
      </c>
    </row>
    <row r="635" spans="2:45" outlineLevel="1">
      <c r="B635" s="1387" t="s">
        <v>950</v>
      </c>
      <c r="Y635" s="1016">
        <v>2</v>
      </c>
      <c r="Z635" s="1016">
        <v>4</v>
      </c>
      <c r="AA635" s="1016">
        <v>9</v>
      </c>
      <c r="AB635" s="1016">
        <v>10</v>
      </c>
      <c r="AC635" s="1016">
        <v>16</v>
      </c>
      <c r="AD635" s="1016">
        <v>18</v>
      </c>
      <c r="AE635" s="1016">
        <v>18</v>
      </c>
      <c r="AF635" s="1016">
        <v>18</v>
      </c>
      <c r="AG635" s="1016">
        <v>18</v>
      </c>
      <c r="AH635" s="1016">
        <v>20</v>
      </c>
      <c r="AI635" s="1016">
        <v>21</v>
      </c>
      <c r="AJ635" s="1016">
        <v>20</v>
      </c>
      <c r="AK635" s="1016">
        <v>19</v>
      </c>
      <c r="AL635" s="1016">
        <v>20</v>
      </c>
      <c r="AM635" s="1016">
        <v>20</v>
      </c>
      <c r="AN635" s="1016">
        <v>19</v>
      </c>
      <c r="AO635" s="1016">
        <v>22</v>
      </c>
      <c r="AP635" s="1016">
        <v>21</v>
      </c>
      <c r="AQ635" s="1016">
        <v>21</v>
      </c>
      <c r="AR635" s="1016">
        <v>21</v>
      </c>
      <c r="AS635" s="1016">
        <v>337</v>
      </c>
    </row>
    <row r="636" spans="2:45" outlineLevel="1">
      <c r="B636" s="1387" t="s">
        <v>1014</v>
      </c>
      <c r="X636" s="1016">
        <v>2</v>
      </c>
      <c r="Y636" s="1016">
        <v>4</v>
      </c>
      <c r="Z636" s="1016">
        <v>8</v>
      </c>
      <c r="AA636" s="1016">
        <v>9</v>
      </c>
      <c r="AB636" s="1016">
        <v>9</v>
      </c>
      <c r="AC636" s="1016">
        <v>12</v>
      </c>
      <c r="AD636" s="1016">
        <v>14</v>
      </c>
      <c r="AE636" s="1016">
        <v>17</v>
      </c>
      <c r="AF636" s="1016">
        <v>18</v>
      </c>
      <c r="AG636" s="1016">
        <v>19</v>
      </c>
      <c r="AH636" s="1016">
        <v>20</v>
      </c>
      <c r="AI636" s="1016">
        <v>20</v>
      </c>
      <c r="AJ636" s="1016">
        <v>21</v>
      </c>
      <c r="AK636" s="1016">
        <v>23</v>
      </c>
      <c r="AL636" s="1016">
        <v>24</v>
      </c>
      <c r="AM636" s="1016">
        <v>24</v>
      </c>
      <c r="AN636" s="1016">
        <v>21</v>
      </c>
      <c r="AO636" s="1016">
        <v>21</v>
      </c>
      <c r="AP636" s="1016">
        <v>21</v>
      </c>
      <c r="AQ636" s="1016">
        <v>22</v>
      </c>
      <c r="AR636" s="1016">
        <v>24</v>
      </c>
      <c r="AS636" s="1016">
        <v>353</v>
      </c>
    </row>
    <row r="637" spans="2:45" outlineLevel="1">
      <c r="B637" s="1387" t="s">
        <v>1162</v>
      </c>
      <c r="AA637" s="1016">
        <v>6</v>
      </c>
      <c r="AB637" s="1016">
        <v>9</v>
      </c>
      <c r="AC637" s="1016">
        <v>9</v>
      </c>
      <c r="AD637" s="1016">
        <v>16</v>
      </c>
      <c r="AE637" s="1016">
        <v>16</v>
      </c>
      <c r="AF637" s="1016">
        <v>14</v>
      </c>
      <c r="AG637" s="1016">
        <v>14</v>
      </c>
      <c r="AH637" s="1016">
        <v>19</v>
      </c>
      <c r="AI637" s="1016">
        <v>20</v>
      </c>
      <c r="AJ637" s="1016">
        <v>20</v>
      </c>
      <c r="AK637" s="1016">
        <v>15</v>
      </c>
      <c r="AL637" s="1016">
        <v>15</v>
      </c>
      <c r="AM637" s="1016">
        <v>15</v>
      </c>
      <c r="AN637" s="1016">
        <v>15</v>
      </c>
      <c r="AO637" s="1016">
        <v>20</v>
      </c>
      <c r="AP637" s="1016">
        <v>19</v>
      </c>
      <c r="AS637" s="1016">
        <v>242</v>
      </c>
    </row>
    <row r="638" spans="2:45" outlineLevel="1">
      <c r="B638" s="1387" t="s">
        <v>1163</v>
      </c>
      <c r="AA638" s="1016">
        <v>7</v>
      </c>
      <c r="AB638" s="1016">
        <v>6</v>
      </c>
      <c r="AC638" s="1016">
        <v>10</v>
      </c>
      <c r="AD638" s="1016">
        <v>15</v>
      </c>
      <c r="AE638" s="1016">
        <v>15</v>
      </c>
      <c r="AF638" s="1016">
        <v>26</v>
      </c>
      <c r="AG638" s="1016">
        <v>28</v>
      </c>
      <c r="AH638" s="1016">
        <v>24</v>
      </c>
      <c r="AI638" s="1016">
        <v>18</v>
      </c>
      <c r="AJ638" s="1016">
        <v>20</v>
      </c>
      <c r="AK638" s="1016">
        <v>23</v>
      </c>
      <c r="AL638" s="1016">
        <v>27</v>
      </c>
      <c r="AM638" s="1016">
        <v>28</v>
      </c>
      <c r="AN638" s="1016">
        <v>29</v>
      </c>
      <c r="AO638" s="1016">
        <v>28</v>
      </c>
      <c r="AP638" s="1016">
        <v>29</v>
      </c>
      <c r="AQ638" s="1016">
        <v>29</v>
      </c>
      <c r="AR638" s="1016">
        <v>27</v>
      </c>
      <c r="AS638" s="1016">
        <v>389</v>
      </c>
    </row>
    <row r="639" spans="2:45" outlineLevel="1">
      <c r="B639" s="1387" t="s">
        <v>1286</v>
      </c>
      <c r="AB639" s="1016">
        <v>11</v>
      </c>
      <c r="AC639" s="1016">
        <v>12</v>
      </c>
      <c r="AD639" s="1016">
        <v>14</v>
      </c>
      <c r="AE639" s="1016">
        <v>14</v>
      </c>
      <c r="AF639" s="1016">
        <v>12</v>
      </c>
      <c r="AG639" s="1016">
        <v>13</v>
      </c>
      <c r="AH639" s="1016">
        <v>13</v>
      </c>
      <c r="AI639" s="1016">
        <v>13</v>
      </c>
      <c r="AJ639" s="1016">
        <v>13</v>
      </c>
      <c r="AK639" s="1016">
        <v>14</v>
      </c>
      <c r="AL639" s="1016">
        <v>16</v>
      </c>
      <c r="AM639" s="1016">
        <v>16</v>
      </c>
      <c r="AN639" s="1016">
        <v>16</v>
      </c>
      <c r="AO639" s="1016">
        <v>16</v>
      </c>
      <c r="AP639" s="1016">
        <v>17</v>
      </c>
      <c r="AQ639" s="1016">
        <v>17</v>
      </c>
      <c r="AR639" s="1016">
        <v>16</v>
      </c>
      <c r="AS639" s="1016">
        <v>243</v>
      </c>
    </row>
    <row r="640" spans="2:45" outlineLevel="1">
      <c r="B640" s="1387" t="s">
        <v>1161</v>
      </c>
      <c r="AC640" s="1016">
        <v>2</v>
      </c>
      <c r="AD640" s="1016">
        <v>3</v>
      </c>
      <c r="AE640" s="1016">
        <v>5</v>
      </c>
      <c r="AF640" s="1016">
        <v>8</v>
      </c>
      <c r="AG640" s="1016">
        <v>8</v>
      </c>
      <c r="AH640" s="1016">
        <v>7</v>
      </c>
      <c r="AI640" s="1016">
        <v>7</v>
      </c>
      <c r="AJ640" s="1016">
        <v>8</v>
      </c>
      <c r="AK640" s="1016">
        <v>12</v>
      </c>
      <c r="AL640" s="1016">
        <v>12</v>
      </c>
      <c r="AM640" s="1016">
        <v>12</v>
      </c>
      <c r="AN640" s="1016">
        <v>13</v>
      </c>
      <c r="AO640" s="1016">
        <v>14</v>
      </c>
      <c r="AP640" s="1016">
        <v>13</v>
      </c>
      <c r="AQ640" s="1016">
        <v>10</v>
      </c>
      <c r="AR640" s="1016">
        <v>10</v>
      </c>
      <c r="AS640" s="1016">
        <v>144</v>
      </c>
    </row>
    <row r="641" spans="2:45" outlineLevel="1">
      <c r="B641" s="1387" t="s">
        <v>1287</v>
      </c>
      <c r="AB641" s="1016">
        <v>8</v>
      </c>
      <c r="AC641" s="1016">
        <v>9</v>
      </c>
      <c r="AD641" s="1016">
        <v>13</v>
      </c>
      <c r="AE641" s="1016">
        <v>14</v>
      </c>
      <c r="AF641" s="1016">
        <v>14</v>
      </c>
      <c r="AG641" s="1016">
        <v>15</v>
      </c>
      <c r="AH641" s="1016">
        <v>15</v>
      </c>
      <c r="AI641" s="1016">
        <v>20</v>
      </c>
      <c r="AJ641" s="1016">
        <v>20</v>
      </c>
      <c r="AK641" s="1016">
        <v>21</v>
      </c>
      <c r="AL641" s="1016">
        <v>21</v>
      </c>
      <c r="AM641" s="1016">
        <v>22</v>
      </c>
      <c r="AN641" s="1016">
        <v>22</v>
      </c>
      <c r="AO641" s="1016">
        <v>23</v>
      </c>
      <c r="AP641" s="1016">
        <v>23</v>
      </c>
      <c r="AQ641" s="1016">
        <v>28</v>
      </c>
      <c r="AR641" s="1016">
        <v>26</v>
      </c>
      <c r="AS641" s="1016">
        <v>314</v>
      </c>
    </row>
    <row r="642" spans="2:45" outlineLevel="1">
      <c r="B642" s="1387" t="s">
        <v>1348</v>
      </c>
      <c r="AB642" s="1016">
        <v>4</v>
      </c>
      <c r="AC642" s="1016">
        <v>7</v>
      </c>
      <c r="AD642" s="1016">
        <v>8</v>
      </c>
      <c r="AE642" s="1016">
        <v>11</v>
      </c>
      <c r="AF642" s="1016">
        <v>11</v>
      </c>
      <c r="AG642" s="1016">
        <v>15</v>
      </c>
      <c r="AH642" s="1016">
        <v>18</v>
      </c>
      <c r="AI642" s="1016">
        <v>18</v>
      </c>
      <c r="AJ642" s="1016">
        <v>17</v>
      </c>
      <c r="AK642" s="1016">
        <v>15</v>
      </c>
      <c r="AL642" s="1016">
        <v>15</v>
      </c>
      <c r="AM642" s="1016">
        <v>14</v>
      </c>
      <c r="AN642" s="1016">
        <v>14</v>
      </c>
      <c r="AO642" s="1016">
        <v>13</v>
      </c>
      <c r="AP642" s="1016">
        <v>12</v>
      </c>
      <c r="AQ642" s="1016">
        <v>12</v>
      </c>
      <c r="AR642" s="1016">
        <v>13</v>
      </c>
      <c r="AS642" s="1016">
        <v>217</v>
      </c>
    </row>
    <row r="643" spans="2:45" outlineLevel="1">
      <c r="B643" s="1387" t="s">
        <v>1420</v>
      </c>
      <c r="AD643" s="1016">
        <v>13</v>
      </c>
      <c r="AE643" s="1016">
        <v>15</v>
      </c>
      <c r="AF643" s="1016">
        <v>17</v>
      </c>
      <c r="AG643" s="1016">
        <v>16</v>
      </c>
      <c r="AH643" s="1016">
        <v>16</v>
      </c>
      <c r="AI643" s="1016">
        <v>16</v>
      </c>
      <c r="AJ643" s="1016">
        <v>17</v>
      </c>
      <c r="AK643" s="1016">
        <v>19</v>
      </c>
      <c r="AL643" s="1016">
        <v>18</v>
      </c>
      <c r="AM643" s="1016">
        <v>18</v>
      </c>
      <c r="AN643" s="1016">
        <v>18</v>
      </c>
      <c r="AO643" s="1016">
        <v>18</v>
      </c>
      <c r="AP643" s="1016">
        <v>19</v>
      </c>
      <c r="AQ643" s="1016">
        <v>18</v>
      </c>
      <c r="AR643" s="1016">
        <v>22</v>
      </c>
      <c r="AS643" s="1016">
        <v>260</v>
      </c>
    </row>
    <row r="644" spans="2:45" outlineLevel="1">
      <c r="B644" s="1387" t="s">
        <v>1566</v>
      </c>
      <c r="AF644" s="1016">
        <v>2</v>
      </c>
      <c r="AG644" s="1016">
        <v>5</v>
      </c>
      <c r="AH644" s="1016">
        <v>6</v>
      </c>
      <c r="AI644" s="1016">
        <v>6</v>
      </c>
      <c r="AJ644" s="1016">
        <v>6</v>
      </c>
      <c r="AK644" s="1016">
        <v>6</v>
      </c>
      <c r="AL644" s="1016">
        <v>5</v>
      </c>
      <c r="AM644" s="1016">
        <v>5</v>
      </c>
      <c r="AS644" s="1016">
        <v>41</v>
      </c>
    </row>
    <row r="645" spans="2:45" outlineLevel="1">
      <c r="B645" s="1387" t="s">
        <v>1670</v>
      </c>
      <c r="AF645" s="1016">
        <v>3</v>
      </c>
      <c r="AG645" s="1016">
        <v>3</v>
      </c>
      <c r="AH645" s="1016">
        <v>3</v>
      </c>
      <c r="AI645" s="1016">
        <v>3</v>
      </c>
      <c r="AJ645" s="1016">
        <v>3</v>
      </c>
      <c r="AK645" s="1016">
        <v>4</v>
      </c>
      <c r="AL645" s="1016">
        <v>4</v>
      </c>
      <c r="AM645" s="1016">
        <v>4</v>
      </c>
      <c r="AN645" s="1016">
        <v>15</v>
      </c>
      <c r="AO645" s="1016">
        <v>14</v>
      </c>
      <c r="AS645" s="1016">
        <v>56</v>
      </c>
    </row>
    <row r="646" spans="2:45" outlineLevel="1">
      <c r="B646" s="1387" t="s">
        <v>1571</v>
      </c>
      <c r="AF646" s="1016">
        <v>8</v>
      </c>
      <c r="AG646" s="1016">
        <v>9</v>
      </c>
      <c r="AH646" s="1016">
        <v>16</v>
      </c>
      <c r="AI646" s="1016">
        <v>24</v>
      </c>
      <c r="AJ646" s="1016">
        <v>24</v>
      </c>
      <c r="AK646" s="1016">
        <v>28</v>
      </c>
      <c r="AL646" s="1016">
        <v>29</v>
      </c>
      <c r="AM646" s="1016">
        <v>30</v>
      </c>
      <c r="AN646" s="1016">
        <v>30</v>
      </c>
      <c r="AO646" s="1016">
        <v>32</v>
      </c>
      <c r="AP646" s="1016">
        <v>28</v>
      </c>
      <c r="AQ646" s="1016">
        <v>34</v>
      </c>
      <c r="AR646" s="1016">
        <v>43</v>
      </c>
      <c r="AS646" s="1016">
        <v>335</v>
      </c>
    </row>
    <row r="647" spans="2:45" outlineLevel="1">
      <c r="B647" s="1387" t="s">
        <v>1564</v>
      </c>
      <c r="AD647" s="1016">
        <v>3</v>
      </c>
      <c r="AE647" s="1016">
        <v>5</v>
      </c>
      <c r="AF647" s="1016">
        <v>7</v>
      </c>
      <c r="AG647" s="1016">
        <v>8</v>
      </c>
      <c r="AH647" s="1016">
        <v>8</v>
      </c>
      <c r="AI647" s="1016">
        <v>7</v>
      </c>
      <c r="AJ647" s="1016">
        <v>7</v>
      </c>
      <c r="AK647" s="1016">
        <v>7</v>
      </c>
      <c r="AL647" s="1016">
        <v>7</v>
      </c>
      <c r="AM647" s="1016">
        <v>7</v>
      </c>
      <c r="AN647" s="1016">
        <v>7</v>
      </c>
      <c r="AO647" s="1016">
        <v>7</v>
      </c>
      <c r="AP647" s="1016">
        <v>10</v>
      </c>
      <c r="AQ647" s="1016">
        <v>10</v>
      </c>
      <c r="AR647" s="1016">
        <v>10</v>
      </c>
      <c r="AS647" s="1016">
        <v>110</v>
      </c>
    </row>
    <row r="648" spans="2:45" outlineLevel="1">
      <c r="B648" s="1387" t="s">
        <v>1766</v>
      </c>
      <c r="T648" s="1016">
        <v>3</v>
      </c>
      <c r="U648" s="1016">
        <v>4</v>
      </c>
      <c r="V648" s="1016">
        <v>9</v>
      </c>
      <c r="W648" s="1016">
        <v>10</v>
      </c>
      <c r="X648" s="1016">
        <v>15</v>
      </c>
      <c r="Y648" s="1016">
        <v>18</v>
      </c>
      <c r="Z648" s="1016">
        <v>23</v>
      </c>
      <c r="AA648" s="1016">
        <v>24</v>
      </c>
      <c r="AB648" s="1016">
        <v>25</v>
      </c>
      <c r="AC648" s="1016">
        <v>25</v>
      </c>
      <c r="AD648" s="1016">
        <v>27</v>
      </c>
      <c r="AE648" s="1016">
        <v>30</v>
      </c>
      <c r="AF648" s="1016">
        <v>31</v>
      </c>
      <c r="AG648" s="1016">
        <v>38</v>
      </c>
      <c r="AH648" s="1016">
        <v>39</v>
      </c>
      <c r="AI648" s="1016">
        <v>39</v>
      </c>
      <c r="AJ648" s="1016">
        <v>39</v>
      </c>
      <c r="AK648" s="1016">
        <v>39</v>
      </c>
      <c r="AL648" s="1016">
        <v>28</v>
      </c>
      <c r="AM648" s="1016">
        <v>28</v>
      </c>
      <c r="AN648" s="1016">
        <v>27</v>
      </c>
      <c r="AO648" s="1016">
        <v>28</v>
      </c>
      <c r="AP648" s="1016">
        <v>28</v>
      </c>
      <c r="AQ648" s="1016">
        <v>28</v>
      </c>
      <c r="AR648" s="1016">
        <v>30</v>
      </c>
      <c r="AS648" s="1016">
        <v>635</v>
      </c>
    </row>
    <row r="649" spans="2:45" outlineLevel="1">
      <c r="B649" s="1387" t="s">
        <v>1768</v>
      </c>
      <c r="U649" s="1016">
        <v>1</v>
      </c>
      <c r="V649" s="1016">
        <v>2</v>
      </c>
      <c r="W649" s="1016">
        <v>3</v>
      </c>
      <c r="X649" s="1016">
        <v>3</v>
      </c>
      <c r="Y649" s="1016">
        <v>7</v>
      </c>
      <c r="Z649" s="1016">
        <v>8</v>
      </c>
      <c r="AA649" s="1016">
        <v>8</v>
      </c>
      <c r="AB649" s="1016">
        <v>8</v>
      </c>
      <c r="AC649" s="1016">
        <v>10</v>
      </c>
      <c r="AD649" s="1016">
        <v>11</v>
      </c>
      <c r="AE649" s="1016">
        <v>11</v>
      </c>
      <c r="AF649" s="1016">
        <v>9</v>
      </c>
      <c r="AG649" s="1016">
        <v>11</v>
      </c>
      <c r="AH649" s="1016">
        <v>11</v>
      </c>
      <c r="AI649" s="1016">
        <v>11</v>
      </c>
      <c r="AJ649" s="1016">
        <v>11</v>
      </c>
      <c r="AK649" s="1016">
        <v>11</v>
      </c>
      <c r="AL649" s="1016">
        <v>11</v>
      </c>
      <c r="AM649" s="1016">
        <v>11</v>
      </c>
      <c r="AN649" s="1016">
        <v>11</v>
      </c>
      <c r="AO649" s="1016">
        <v>10</v>
      </c>
      <c r="AP649" s="1016">
        <v>24</v>
      </c>
      <c r="AQ649" s="1016">
        <v>23</v>
      </c>
      <c r="AS649" s="1016">
        <v>226</v>
      </c>
    </row>
    <row r="650" spans="2:45" outlineLevel="1">
      <c r="B650" s="1387" t="s">
        <v>1771</v>
      </c>
      <c r="AD650" s="1016">
        <v>5</v>
      </c>
      <c r="AE650" s="1016">
        <v>9</v>
      </c>
      <c r="AF650" s="1016">
        <v>10</v>
      </c>
      <c r="AG650" s="1016">
        <v>12</v>
      </c>
      <c r="AH650" s="1016">
        <v>10</v>
      </c>
      <c r="AI650" s="1016">
        <v>11</v>
      </c>
      <c r="AJ650" s="1016">
        <v>14</v>
      </c>
      <c r="AK650" s="1016">
        <v>13</v>
      </c>
      <c r="AL650" s="1016">
        <v>15</v>
      </c>
      <c r="AM650" s="1016">
        <v>15</v>
      </c>
      <c r="AN650" s="1016">
        <v>19</v>
      </c>
      <c r="AO650" s="1016">
        <v>19</v>
      </c>
      <c r="AP650" s="1016">
        <v>21</v>
      </c>
      <c r="AQ650" s="1016">
        <v>25</v>
      </c>
      <c r="AS650" s="1016">
        <v>198</v>
      </c>
    </row>
    <row r="651" spans="2:45" outlineLevel="1">
      <c r="B651" s="1387" t="s">
        <v>1774</v>
      </c>
      <c r="AA651" s="1016">
        <v>17</v>
      </c>
      <c r="AB651" s="1016">
        <v>22</v>
      </c>
      <c r="AC651" s="1016">
        <v>22</v>
      </c>
      <c r="AD651" s="1016">
        <v>22</v>
      </c>
      <c r="AE651" s="1016">
        <v>25</v>
      </c>
      <c r="AF651" s="1016">
        <v>20</v>
      </c>
      <c r="AG651" s="1016">
        <v>25</v>
      </c>
      <c r="AH651" s="1016">
        <v>23</v>
      </c>
      <c r="AI651" s="1016">
        <v>28</v>
      </c>
      <c r="AJ651" s="1016">
        <v>29</v>
      </c>
      <c r="AK651" s="1016">
        <v>30</v>
      </c>
      <c r="AL651" s="1016">
        <v>22</v>
      </c>
      <c r="AM651" s="1016">
        <v>23</v>
      </c>
      <c r="AN651" s="1016">
        <v>20</v>
      </c>
      <c r="AO651" s="1016">
        <v>19</v>
      </c>
      <c r="AP651" s="1016">
        <v>19</v>
      </c>
      <c r="AQ651" s="1016">
        <v>15</v>
      </c>
      <c r="AR651" s="1016">
        <v>23</v>
      </c>
      <c r="AS651" s="1016">
        <v>404</v>
      </c>
    </row>
    <row r="652" spans="2:45" outlineLevel="1">
      <c r="B652" s="1387" t="s">
        <v>1028</v>
      </c>
      <c r="AE652" s="1016">
        <v>10</v>
      </c>
      <c r="AF652" s="1016">
        <v>14</v>
      </c>
      <c r="AG652" s="1016">
        <v>14</v>
      </c>
      <c r="AH652" s="1016">
        <v>21</v>
      </c>
      <c r="AI652" s="1016">
        <v>26</v>
      </c>
      <c r="AJ652" s="1016">
        <v>27</v>
      </c>
      <c r="AK652" s="1016">
        <v>30</v>
      </c>
      <c r="AL652" s="1016">
        <v>35</v>
      </c>
      <c r="AM652" s="1016">
        <v>35</v>
      </c>
      <c r="AN652" s="1016">
        <v>34</v>
      </c>
      <c r="AO652" s="1016">
        <v>38</v>
      </c>
      <c r="AP652" s="1016">
        <v>41</v>
      </c>
      <c r="AQ652" s="1016">
        <v>39</v>
      </c>
      <c r="AR652" s="1016">
        <v>40</v>
      </c>
      <c r="AS652" s="1016">
        <v>404</v>
      </c>
    </row>
    <row r="653" spans="2:45" outlineLevel="1">
      <c r="B653" s="1387" t="s">
        <v>1569</v>
      </c>
      <c r="AE653" s="1016">
        <v>17</v>
      </c>
      <c r="AF653" s="1016">
        <v>17</v>
      </c>
      <c r="AG653" s="1016">
        <v>23</v>
      </c>
      <c r="AH653" s="1016">
        <v>27</v>
      </c>
      <c r="AI653" s="1016">
        <v>45</v>
      </c>
      <c r="AJ653" s="1016">
        <v>54</v>
      </c>
      <c r="AK653" s="1016">
        <v>56</v>
      </c>
      <c r="AL653" s="1016">
        <v>57</v>
      </c>
      <c r="AM653" s="1016">
        <v>53</v>
      </c>
      <c r="AN653" s="1016">
        <v>53</v>
      </c>
      <c r="AO653" s="1016">
        <v>50</v>
      </c>
      <c r="AP653" s="1016">
        <v>52</v>
      </c>
      <c r="AQ653" s="1016">
        <v>57</v>
      </c>
      <c r="AR653" s="1016">
        <v>52</v>
      </c>
      <c r="AS653" s="1016">
        <v>613</v>
      </c>
    </row>
    <row r="654" spans="2:45" outlineLevel="1">
      <c r="B654" s="1387" t="s">
        <v>1573</v>
      </c>
      <c r="AE654" s="1016">
        <v>1</v>
      </c>
      <c r="AF654" s="1016">
        <v>10</v>
      </c>
      <c r="AG654" s="1016">
        <v>12</v>
      </c>
      <c r="AH654" s="1016">
        <v>12</v>
      </c>
      <c r="AI654" s="1016">
        <v>13</v>
      </c>
      <c r="AJ654" s="1016">
        <v>15</v>
      </c>
      <c r="AK654" s="1016">
        <v>14</v>
      </c>
      <c r="AL654" s="1016">
        <v>11</v>
      </c>
      <c r="AM654" s="1016">
        <v>10</v>
      </c>
      <c r="AN654" s="1016">
        <v>10</v>
      </c>
      <c r="AO654" s="1016">
        <v>8</v>
      </c>
      <c r="AP654" s="1016">
        <v>8</v>
      </c>
      <c r="AQ654" s="1016">
        <v>14</v>
      </c>
      <c r="AR654" s="1016">
        <v>14</v>
      </c>
      <c r="AS654" s="1016">
        <v>152</v>
      </c>
    </row>
    <row r="655" spans="2:45" outlineLevel="1">
      <c r="B655" s="1387" t="s">
        <v>1770</v>
      </c>
      <c r="O655" s="1016">
        <v>0</v>
      </c>
      <c r="P655" s="1016">
        <v>0</v>
      </c>
      <c r="Q655" s="1016">
        <v>0</v>
      </c>
      <c r="R655" s="1016">
        <v>4</v>
      </c>
      <c r="S655" s="1016">
        <v>5</v>
      </c>
      <c r="T655" s="1016">
        <v>5</v>
      </c>
      <c r="U655" s="1016">
        <v>5</v>
      </c>
      <c r="V655" s="1016">
        <v>6</v>
      </c>
      <c r="W655" s="1016">
        <v>10</v>
      </c>
      <c r="X655" s="1016">
        <v>9</v>
      </c>
      <c r="Y655" s="1016">
        <v>9</v>
      </c>
      <c r="Z655" s="1016">
        <v>9</v>
      </c>
      <c r="AA655" s="1016">
        <v>9</v>
      </c>
      <c r="AB655" s="1016">
        <v>9</v>
      </c>
      <c r="AC655" s="1016">
        <v>12</v>
      </c>
      <c r="AD655" s="1016">
        <v>12</v>
      </c>
      <c r="AE655" s="1016">
        <v>11</v>
      </c>
      <c r="AF655" s="1016">
        <v>10</v>
      </c>
      <c r="AS655" s="1016">
        <v>125</v>
      </c>
    </row>
    <row r="656" spans="2:45" outlineLevel="1">
      <c r="B656" s="1387" t="s">
        <v>1777</v>
      </c>
      <c r="R656" s="1016">
        <v>3</v>
      </c>
      <c r="S656" s="1016">
        <v>3</v>
      </c>
      <c r="T656" s="1016">
        <v>8</v>
      </c>
      <c r="U656" s="1016">
        <v>9</v>
      </c>
      <c r="V656" s="1016">
        <v>10</v>
      </c>
      <c r="W656" s="1016">
        <v>10</v>
      </c>
      <c r="X656" s="1016">
        <v>10</v>
      </c>
      <c r="Y656" s="1016">
        <v>10</v>
      </c>
      <c r="Z656" s="1016">
        <v>12</v>
      </c>
      <c r="AA656" s="1016">
        <v>12</v>
      </c>
      <c r="AB656" s="1016">
        <v>12</v>
      </c>
      <c r="AC656" s="1016">
        <v>14</v>
      </c>
      <c r="AD656" s="1016">
        <v>15</v>
      </c>
      <c r="AE656" s="1016">
        <v>14</v>
      </c>
      <c r="AF656" s="1016">
        <v>16</v>
      </c>
      <c r="AG656" s="1016">
        <v>17</v>
      </c>
      <c r="AH656" s="1016">
        <v>16</v>
      </c>
      <c r="AI656" s="1016">
        <v>16</v>
      </c>
      <c r="AJ656" s="1016">
        <v>13</v>
      </c>
      <c r="AK656" s="1016">
        <v>13</v>
      </c>
      <c r="AL656" s="1016">
        <v>13</v>
      </c>
      <c r="AM656" s="1016">
        <v>9</v>
      </c>
      <c r="AN656" s="1016">
        <v>8</v>
      </c>
      <c r="AO656" s="1016">
        <v>8</v>
      </c>
      <c r="AP656" s="1016">
        <v>8</v>
      </c>
      <c r="AS656" s="1016">
        <v>279</v>
      </c>
    </row>
    <row r="657" spans="2:45" outlineLevel="1">
      <c r="B657" s="1387" t="s">
        <v>1773</v>
      </c>
      <c r="V657" s="1016">
        <v>2</v>
      </c>
      <c r="W657" s="1016">
        <v>8</v>
      </c>
      <c r="X657" s="1016">
        <v>10</v>
      </c>
      <c r="Y657" s="1016">
        <v>27</v>
      </c>
      <c r="Z657" s="1016">
        <v>34</v>
      </c>
      <c r="AA657" s="1016">
        <v>19</v>
      </c>
      <c r="AB657" s="1016">
        <v>20</v>
      </c>
      <c r="AC657" s="1016">
        <v>18</v>
      </c>
      <c r="AD657" s="1016">
        <v>15</v>
      </c>
      <c r="AE657" s="1016">
        <v>11</v>
      </c>
      <c r="AF657" s="1016">
        <v>9</v>
      </c>
      <c r="AG657" s="1016">
        <v>9</v>
      </c>
      <c r="AH657" s="1016">
        <v>9</v>
      </c>
      <c r="AI657" s="1016">
        <v>14</v>
      </c>
      <c r="AJ657" s="1016">
        <v>17</v>
      </c>
      <c r="AK657" s="1016">
        <v>22</v>
      </c>
      <c r="AL657" s="1016">
        <v>25</v>
      </c>
      <c r="AM657" s="1016">
        <v>26</v>
      </c>
      <c r="AN657" s="1016">
        <v>25</v>
      </c>
      <c r="AO657" s="1016">
        <v>31</v>
      </c>
      <c r="AP657" s="1016">
        <v>29</v>
      </c>
      <c r="AQ657" s="1016">
        <v>31</v>
      </c>
      <c r="AR657" s="1016">
        <v>19</v>
      </c>
      <c r="AS657" s="1016">
        <v>430</v>
      </c>
    </row>
    <row r="658" spans="2:45" outlineLevel="1">
      <c r="B658" s="1387" t="s">
        <v>1950</v>
      </c>
      <c r="R658" s="1016">
        <v>3</v>
      </c>
      <c r="S658" s="1016">
        <v>5</v>
      </c>
      <c r="T658" s="1016">
        <v>8</v>
      </c>
      <c r="U658" s="1016">
        <v>7</v>
      </c>
      <c r="V658" s="1016">
        <v>7</v>
      </c>
      <c r="W658" s="1016">
        <v>7</v>
      </c>
      <c r="X658" s="1016">
        <v>8</v>
      </c>
      <c r="Y658" s="1016">
        <v>9</v>
      </c>
      <c r="Z658" s="1016">
        <v>9</v>
      </c>
      <c r="AA658" s="1016">
        <v>6</v>
      </c>
      <c r="AB658" s="1016">
        <v>6</v>
      </c>
      <c r="AC658" s="1016">
        <v>7</v>
      </c>
      <c r="AD658" s="1016">
        <v>8</v>
      </c>
      <c r="AE658" s="1016">
        <v>8</v>
      </c>
      <c r="AF658" s="1016">
        <v>8</v>
      </c>
      <c r="AG658" s="1016">
        <v>19</v>
      </c>
      <c r="AH658" s="1016">
        <v>13</v>
      </c>
      <c r="AI658" s="1016">
        <v>12</v>
      </c>
      <c r="AJ658" s="1016">
        <v>12</v>
      </c>
      <c r="AK658" s="1016">
        <v>9</v>
      </c>
      <c r="AL658" s="1016">
        <v>9</v>
      </c>
      <c r="AM658" s="1016">
        <v>9</v>
      </c>
      <c r="AN658" s="1016">
        <v>8</v>
      </c>
      <c r="AO658" s="1016">
        <v>8</v>
      </c>
      <c r="AP658" s="1016">
        <v>8</v>
      </c>
      <c r="AS658" s="1016">
        <v>213</v>
      </c>
    </row>
    <row r="659" spans="2:45" outlineLevel="1">
      <c r="B659" s="1387" t="s">
        <v>2054</v>
      </c>
      <c r="AI659" s="1016">
        <v>18</v>
      </c>
      <c r="AJ659" s="1016">
        <v>27</v>
      </c>
      <c r="AK659" s="1016">
        <v>30</v>
      </c>
      <c r="AL659" s="1016">
        <v>31</v>
      </c>
      <c r="AM659" s="1016">
        <v>34</v>
      </c>
      <c r="AN659" s="1016">
        <v>34</v>
      </c>
      <c r="AO659" s="1016">
        <v>31</v>
      </c>
      <c r="AP659" s="1016">
        <v>31</v>
      </c>
      <c r="AQ659" s="1016">
        <v>37</v>
      </c>
      <c r="AR659" s="1016">
        <v>33</v>
      </c>
      <c r="AS659" s="1016">
        <v>306</v>
      </c>
    </row>
    <row r="660" spans="2:45" outlineLevel="1">
      <c r="B660" s="1387" t="s">
        <v>2705</v>
      </c>
      <c r="AO660" s="1016">
        <v>5</v>
      </c>
      <c r="AP660" s="1016">
        <v>5</v>
      </c>
      <c r="AQ660" s="1016">
        <v>6</v>
      </c>
      <c r="AR660" s="1016">
        <v>9</v>
      </c>
      <c r="AS660" s="1016">
        <v>25</v>
      </c>
    </row>
    <row r="661" spans="2:45" outlineLevel="1">
      <c r="B661" s="1387" t="s">
        <v>2706</v>
      </c>
      <c r="AO661" s="1016">
        <v>6</v>
      </c>
      <c r="AP661" s="1016">
        <v>10</v>
      </c>
      <c r="AQ661" s="1016">
        <v>11</v>
      </c>
      <c r="AR661" s="1016">
        <v>16</v>
      </c>
      <c r="AS661" s="1016">
        <v>43</v>
      </c>
    </row>
    <row r="662" spans="2:45" outlineLevel="1">
      <c r="B662" s="1387" t="s">
        <v>2707</v>
      </c>
      <c r="AO662" s="1016">
        <v>3</v>
      </c>
      <c r="AP662" s="1016">
        <v>5</v>
      </c>
      <c r="AQ662" s="1016">
        <v>7</v>
      </c>
      <c r="AS662" s="1016">
        <v>15</v>
      </c>
    </row>
    <row r="663" spans="2:45" outlineLevel="1">
      <c r="B663" s="1387" t="s">
        <v>2709</v>
      </c>
      <c r="AO663" s="1016">
        <v>6</v>
      </c>
      <c r="AP663" s="1016">
        <v>11</v>
      </c>
      <c r="AQ663" s="1016">
        <v>21</v>
      </c>
      <c r="AR663" s="1016">
        <v>52</v>
      </c>
      <c r="AS663" s="1016">
        <v>90</v>
      </c>
    </row>
    <row r="664" spans="2:45" outlineLevel="1">
      <c r="B664" s="1387" t="s">
        <v>2711</v>
      </c>
      <c r="AO664" s="1016">
        <v>6</v>
      </c>
      <c r="AP664" s="1016">
        <v>29</v>
      </c>
      <c r="AQ664" s="1016">
        <v>34</v>
      </c>
      <c r="AR664" s="1016">
        <v>54</v>
      </c>
      <c r="AS664" s="1016">
        <v>123</v>
      </c>
    </row>
    <row r="665" spans="2:45" outlineLevel="1">
      <c r="B665" s="1387" t="s">
        <v>3169</v>
      </c>
      <c r="AQ665" s="1016">
        <v>2</v>
      </c>
      <c r="AR665" s="1016">
        <v>9</v>
      </c>
      <c r="AS665" s="1016">
        <v>11</v>
      </c>
    </row>
    <row r="666" spans="2:45" outlineLevel="1">
      <c r="B666" s="1387" t="s">
        <v>1410</v>
      </c>
      <c r="AQ666" s="1016">
        <v>3</v>
      </c>
      <c r="AR666" s="1016">
        <v>7</v>
      </c>
      <c r="AS666" s="1016">
        <v>10</v>
      </c>
    </row>
    <row r="667" spans="2:45" outlineLevel="1">
      <c r="B667" s="1387" t="s">
        <v>2897</v>
      </c>
      <c r="AQ667" s="1016">
        <v>20</v>
      </c>
      <c r="AR667" s="1016">
        <v>26</v>
      </c>
      <c r="AS667" s="1016">
        <v>46</v>
      </c>
    </row>
    <row r="668" spans="2:45" outlineLevel="1">
      <c r="B668" s="1387" t="s">
        <v>3184</v>
      </c>
      <c r="AQ668" s="1016">
        <v>19</v>
      </c>
      <c r="AR668" s="1016">
        <v>18</v>
      </c>
      <c r="AS668" s="1016">
        <v>37</v>
      </c>
    </row>
    <row r="669" spans="2:45" outlineLevel="1">
      <c r="B669" s="1387" t="s">
        <v>3180</v>
      </c>
      <c r="AQ669" s="1016">
        <v>8</v>
      </c>
      <c r="AR669" s="1016">
        <v>8</v>
      </c>
      <c r="AS669" s="1016">
        <v>16</v>
      </c>
    </row>
    <row r="670" spans="2:45" outlineLevel="1">
      <c r="B670" s="1387" t="s">
        <v>3189</v>
      </c>
      <c r="AQ670" s="1016">
        <v>7</v>
      </c>
      <c r="AR670" s="1016">
        <v>13</v>
      </c>
      <c r="AS670" s="1016">
        <v>20</v>
      </c>
    </row>
    <row r="671" spans="2:45" outlineLevel="1">
      <c r="B671" s="1387" t="s">
        <v>3190</v>
      </c>
      <c r="AQ671" s="1016">
        <v>33</v>
      </c>
      <c r="AR671" s="1016">
        <v>32</v>
      </c>
      <c r="AS671" s="1016">
        <v>65</v>
      </c>
    </row>
    <row r="672" spans="2:45" outlineLevel="1">
      <c r="B672" s="1387" t="s">
        <v>3191</v>
      </c>
      <c r="AQ672" s="1016">
        <v>28</v>
      </c>
      <c r="AR672" s="1016">
        <v>33</v>
      </c>
      <c r="AS672" s="1016">
        <v>61</v>
      </c>
    </row>
    <row r="673" spans="2:45" outlineLevel="1">
      <c r="B673" s="1387" t="s">
        <v>3528</v>
      </c>
      <c r="AR673" s="1016">
        <v>11</v>
      </c>
      <c r="AS673" s="1016">
        <v>11</v>
      </c>
    </row>
    <row r="674" spans="2:45" outlineLevel="1">
      <c r="B674" s="1387" t="s">
        <v>3529</v>
      </c>
      <c r="AR674" s="1016">
        <v>45</v>
      </c>
      <c r="AS674" s="1016">
        <v>45</v>
      </c>
    </row>
    <row r="675" spans="2:45" outlineLevel="1">
      <c r="B675" s="1387" t="s">
        <v>3530</v>
      </c>
      <c r="AR675" s="1016">
        <v>38</v>
      </c>
      <c r="AS675" s="1016">
        <v>38</v>
      </c>
    </row>
    <row r="676" spans="2:45" outlineLevel="1">
      <c r="B676" s="1387" t="s">
        <v>3575</v>
      </c>
      <c r="AR676" s="1016">
        <v>6</v>
      </c>
      <c r="AS676" s="1016">
        <v>6</v>
      </c>
    </row>
    <row r="677" spans="2:45" outlineLevel="1">
      <c r="B677" s="1387" t="s">
        <v>3519</v>
      </c>
      <c r="AR677" s="1016">
        <v>7</v>
      </c>
      <c r="AS677" s="1016">
        <v>7</v>
      </c>
    </row>
    <row r="678" spans="2:45" outlineLevel="1">
      <c r="B678" s="1387" t="s">
        <v>3521</v>
      </c>
      <c r="AR678" s="1016">
        <v>17</v>
      </c>
      <c r="AS678" s="1016">
        <v>17</v>
      </c>
    </row>
    <row r="679" spans="2:45" outlineLevel="1">
      <c r="B679" s="1387" t="s">
        <v>3523</v>
      </c>
      <c r="AR679" s="1016">
        <v>7</v>
      </c>
      <c r="AS679" s="1016">
        <v>7</v>
      </c>
    </row>
    <row r="680" spans="2:45" outlineLevel="1">
      <c r="B680" s="1387" t="s">
        <v>3573</v>
      </c>
      <c r="AR680" s="1016">
        <v>18</v>
      </c>
      <c r="AS680" s="1016">
        <v>18</v>
      </c>
    </row>
    <row r="681" spans="2:45" outlineLevel="1">
      <c r="B681" s="1387" t="s">
        <v>3525</v>
      </c>
      <c r="AR681" s="1016">
        <v>8</v>
      </c>
      <c r="AS681" s="1016">
        <v>8</v>
      </c>
    </row>
    <row r="682" spans="2:45" outlineLevel="1">
      <c r="B682" s="1387" t="s">
        <v>274</v>
      </c>
      <c r="C682" s="1016">
        <v>11</v>
      </c>
      <c r="D682" s="1016">
        <v>11</v>
      </c>
      <c r="E682" s="1016">
        <v>22</v>
      </c>
      <c r="F682" s="1016">
        <v>56</v>
      </c>
      <c r="G682" s="1016">
        <v>74</v>
      </c>
      <c r="H682" s="1016">
        <v>88</v>
      </c>
      <c r="I682" s="1016">
        <v>85</v>
      </c>
      <c r="J682" s="1016">
        <v>92</v>
      </c>
      <c r="K682" s="1016">
        <v>107</v>
      </c>
      <c r="L682" s="1016">
        <v>99</v>
      </c>
      <c r="M682" s="1016">
        <v>106</v>
      </c>
      <c r="N682" s="1016">
        <v>111</v>
      </c>
      <c r="O682" s="1016">
        <v>120</v>
      </c>
      <c r="P682" s="1016">
        <v>116</v>
      </c>
      <c r="Q682" s="1016">
        <v>117</v>
      </c>
      <c r="R682" s="1016">
        <v>156</v>
      </c>
      <c r="S682" s="1016">
        <v>193</v>
      </c>
      <c r="T682" s="1016">
        <v>249</v>
      </c>
      <c r="U682" s="1016">
        <v>257</v>
      </c>
      <c r="V682" s="1016">
        <v>289</v>
      </c>
      <c r="W682" s="1016">
        <v>323</v>
      </c>
      <c r="X682" s="1016">
        <v>346</v>
      </c>
      <c r="Y682" s="1016">
        <v>401</v>
      </c>
      <c r="Z682" s="1016">
        <v>460</v>
      </c>
      <c r="AA682" s="1016">
        <v>510</v>
      </c>
      <c r="AB682" s="1016">
        <v>537</v>
      </c>
      <c r="AC682" s="1016">
        <v>586</v>
      </c>
      <c r="AD682" s="1016">
        <v>681</v>
      </c>
      <c r="AE682" s="1016">
        <v>725</v>
      </c>
      <c r="AF682" s="1016">
        <v>723</v>
      </c>
      <c r="AG682" s="1016">
        <v>747</v>
      </c>
      <c r="AH682" s="1016">
        <v>744</v>
      </c>
      <c r="AI682" s="1016">
        <v>819</v>
      </c>
      <c r="AJ682" s="1016">
        <v>854</v>
      </c>
      <c r="AK682" s="1016">
        <v>867</v>
      </c>
      <c r="AL682" s="1016">
        <v>857</v>
      </c>
      <c r="AM682" s="1016">
        <v>868</v>
      </c>
      <c r="AN682" s="1016">
        <v>847</v>
      </c>
      <c r="AO682" s="1016">
        <v>885</v>
      </c>
      <c r="AP682" s="1016">
        <v>936</v>
      </c>
      <c r="AQ682" s="1016">
        <v>1014</v>
      </c>
      <c r="AR682" s="1016">
        <v>1124</v>
      </c>
      <c r="AS682" s="1016">
        <v>18213</v>
      </c>
    </row>
    <row r="683" spans="2:45" outlineLevel="1">
      <c r="B683" s="1387"/>
    </row>
    <row r="684" spans="2:45" outlineLevel="1">
      <c r="B684" s="1387"/>
    </row>
    <row r="685" spans="2:45" outlineLevel="1">
      <c r="B685" s="1387"/>
    </row>
    <row r="686" spans="2:45" outlineLevel="1">
      <c r="B686" s="1387"/>
    </row>
    <row r="687" spans="2:45" outlineLevel="1">
      <c r="B687" s="1387"/>
    </row>
    <row r="688" spans="2:45" outlineLevel="1">
      <c r="B688" s="1387"/>
    </row>
    <row r="689" spans="2:45" outlineLevel="1">
      <c r="B689" s="1387"/>
    </row>
    <row r="690" spans="2:45" outlineLevel="1">
      <c r="B690" s="1387"/>
    </row>
    <row r="691" spans="2:45" outlineLevel="1">
      <c r="B691" s="1387"/>
    </row>
    <row r="692" spans="2:45" outlineLevel="1">
      <c r="B692" s="1387"/>
    </row>
    <row r="693" spans="2:45" outlineLevel="1">
      <c r="B693" s="1387"/>
    </row>
    <row r="694" spans="2:45" outlineLevel="1">
      <c r="B694" s="1387"/>
    </row>
    <row r="695" spans="2:45" outlineLevel="1">
      <c r="B695" s="1387"/>
    </row>
    <row r="696" spans="2:45" outlineLevel="1">
      <c r="B696" s="1387"/>
    </row>
    <row r="697" spans="2:45" outlineLevel="1">
      <c r="B697" s="1387"/>
    </row>
    <row r="698" spans="2:45" outlineLevel="1">
      <c r="B698" s="1488" t="s">
        <v>424</v>
      </c>
      <c r="C698" s="1487" t="s">
        <v>275</v>
      </c>
    </row>
    <row r="699" spans="2:45" outlineLevel="1">
      <c r="B699" s="1487" t="s">
        <v>253</v>
      </c>
      <c r="C699" s="1016">
        <v>201301</v>
      </c>
      <c r="D699" s="1016">
        <v>201302</v>
      </c>
      <c r="E699" s="1016">
        <v>201303</v>
      </c>
      <c r="F699" s="1016">
        <v>201304</v>
      </c>
      <c r="G699" s="1016">
        <v>201305</v>
      </c>
      <c r="H699" s="1016">
        <v>201306</v>
      </c>
      <c r="I699" s="1016">
        <v>201307</v>
      </c>
      <c r="J699" s="1016">
        <v>201308</v>
      </c>
      <c r="K699" s="1016">
        <v>201309</v>
      </c>
      <c r="L699" s="1016">
        <v>201310</v>
      </c>
      <c r="M699" s="1016">
        <v>201311</v>
      </c>
      <c r="N699" s="1016">
        <v>201312</v>
      </c>
      <c r="O699" s="1016">
        <v>201401</v>
      </c>
      <c r="P699" s="1016">
        <v>201402</v>
      </c>
      <c r="Q699" s="1016">
        <v>201403</v>
      </c>
      <c r="R699" s="1016">
        <v>201404</v>
      </c>
      <c r="S699" s="1016">
        <v>201405</v>
      </c>
      <c r="T699" s="1016">
        <v>201406</v>
      </c>
      <c r="U699" s="1016">
        <v>201407</v>
      </c>
      <c r="V699" s="1016">
        <v>201408</v>
      </c>
      <c r="W699" s="1016">
        <v>201409</v>
      </c>
      <c r="X699" s="1016">
        <v>201410</v>
      </c>
      <c r="Y699" s="1016">
        <v>201411</v>
      </c>
      <c r="Z699" s="1016">
        <v>201412</v>
      </c>
      <c r="AA699" s="1016">
        <v>201501</v>
      </c>
      <c r="AB699" s="1016">
        <v>201502</v>
      </c>
      <c r="AC699" s="1016">
        <v>201503</v>
      </c>
      <c r="AD699" s="1016">
        <v>201504</v>
      </c>
      <c r="AE699" s="1016">
        <v>201505</v>
      </c>
      <c r="AF699" s="1016">
        <v>201506</v>
      </c>
      <c r="AG699" s="1016">
        <v>201507</v>
      </c>
      <c r="AH699" s="1016">
        <v>201508</v>
      </c>
      <c r="AI699" s="1016">
        <v>201509</v>
      </c>
      <c r="AJ699" s="1016">
        <v>201510</v>
      </c>
      <c r="AK699" s="1016">
        <v>201511</v>
      </c>
      <c r="AL699" s="1016">
        <v>201512</v>
      </c>
      <c r="AM699" s="1016">
        <v>201601</v>
      </c>
      <c r="AN699" s="1016">
        <v>201602</v>
      </c>
      <c r="AO699" s="1016">
        <v>201603</v>
      </c>
      <c r="AP699" s="1016">
        <v>201604</v>
      </c>
      <c r="AQ699" s="1016">
        <v>201605</v>
      </c>
      <c r="AR699" s="1016">
        <v>201606</v>
      </c>
      <c r="AS699" s="1016" t="s">
        <v>274</v>
      </c>
    </row>
    <row r="700" spans="2:45" outlineLevel="1">
      <c r="B700" s="1387" t="s">
        <v>191</v>
      </c>
      <c r="E700" s="1016">
        <v>0</v>
      </c>
      <c r="F700" s="1016">
        <v>0</v>
      </c>
      <c r="G700" s="1016">
        <v>0</v>
      </c>
      <c r="H700" s="1016">
        <v>0</v>
      </c>
      <c r="I700" s="1016">
        <v>0</v>
      </c>
      <c r="J700" s="1016">
        <v>1</v>
      </c>
      <c r="K700" s="1016">
        <v>1</v>
      </c>
      <c r="L700" s="1016">
        <v>1</v>
      </c>
      <c r="M700" s="1016">
        <v>1</v>
      </c>
      <c r="N700" s="1016">
        <v>0</v>
      </c>
      <c r="O700" s="1016">
        <v>2</v>
      </c>
      <c r="P700" s="1016">
        <v>2</v>
      </c>
      <c r="Q700" s="1016">
        <v>2</v>
      </c>
      <c r="R700" s="1016">
        <v>1</v>
      </c>
      <c r="S700" s="1016">
        <v>1</v>
      </c>
      <c r="T700" s="1016">
        <v>2</v>
      </c>
      <c r="U700" s="1016">
        <v>3</v>
      </c>
      <c r="V700" s="1016">
        <v>3</v>
      </c>
      <c r="W700" s="1016">
        <v>4</v>
      </c>
      <c r="X700" s="1016">
        <v>5</v>
      </c>
      <c r="Y700" s="1016">
        <v>5</v>
      </c>
      <c r="Z700" s="1016">
        <v>5</v>
      </c>
      <c r="AA700" s="1016">
        <v>5</v>
      </c>
      <c r="AB700" s="1016">
        <v>5</v>
      </c>
      <c r="AC700" s="1016">
        <v>5</v>
      </c>
      <c r="AD700" s="1016">
        <v>5</v>
      </c>
      <c r="AE700" s="1016">
        <v>5</v>
      </c>
      <c r="AF700" s="1016">
        <v>1</v>
      </c>
      <c r="AG700" s="1016">
        <v>2</v>
      </c>
      <c r="AH700" s="1016">
        <v>2</v>
      </c>
      <c r="AI700" s="1016">
        <v>2</v>
      </c>
      <c r="AJ700" s="1016">
        <v>2</v>
      </c>
      <c r="AK700" s="1016">
        <v>2</v>
      </c>
      <c r="AL700" s="1016">
        <v>2</v>
      </c>
      <c r="AM700" s="1016">
        <v>1</v>
      </c>
      <c r="AN700" s="1016">
        <v>3</v>
      </c>
      <c r="AO700" s="1016">
        <v>4</v>
      </c>
      <c r="AP700" s="1016">
        <v>5</v>
      </c>
      <c r="AQ700" s="1016">
        <v>8</v>
      </c>
      <c r="AR700" s="1016">
        <v>6</v>
      </c>
      <c r="AS700" s="1016">
        <v>104</v>
      </c>
    </row>
    <row r="701" spans="2:45" outlineLevel="1">
      <c r="B701" s="1387" t="s">
        <v>189</v>
      </c>
      <c r="E701" s="1016">
        <v>0</v>
      </c>
      <c r="F701" s="1016">
        <v>0</v>
      </c>
      <c r="G701" s="1016">
        <v>0</v>
      </c>
      <c r="H701" s="1016">
        <v>0</v>
      </c>
      <c r="I701" s="1016">
        <v>0</v>
      </c>
      <c r="J701" s="1016">
        <v>0</v>
      </c>
      <c r="K701" s="1016">
        <v>0</v>
      </c>
      <c r="L701" s="1016">
        <v>2</v>
      </c>
      <c r="M701" s="1016">
        <v>3</v>
      </c>
      <c r="N701" s="1016">
        <v>4</v>
      </c>
      <c r="O701" s="1016">
        <v>7</v>
      </c>
      <c r="P701" s="1016">
        <v>10</v>
      </c>
      <c r="Q701" s="1016">
        <v>10</v>
      </c>
      <c r="R701" s="1016">
        <v>9</v>
      </c>
      <c r="S701" s="1016">
        <v>9</v>
      </c>
      <c r="T701" s="1016">
        <v>6</v>
      </c>
      <c r="U701" s="1016">
        <v>6</v>
      </c>
      <c r="V701" s="1016">
        <v>6</v>
      </c>
      <c r="W701" s="1016">
        <v>8</v>
      </c>
      <c r="X701" s="1016">
        <v>4</v>
      </c>
      <c r="Y701" s="1016">
        <v>2</v>
      </c>
      <c r="Z701" s="1016">
        <v>2</v>
      </c>
      <c r="AA701" s="1016">
        <v>2</v>
      </c>
      <c r="AB701" s="1016">
        <v>2</v>
      </c>
      <c r="AC701" s="1016">
        <v>2</v>
      </c>
      <c r="AD701" s="1016">
        <v>2</v>
      </c>
      <c r="AE701" s="1016">
        <v>2</v>
      </c>
      <c r="AF701" s="1016">
        <v>2</v>
      </c>
      <c r="AG701" s="1016">
        <v>2</v>
      </c>
      <c r="AH701" s="1016">
        <v>1</v>
      </c>
      <c r="AI701" s="1016">
        <v>1</v>
      </c>
      <c r="AJ701" s="1016">
        <v>1</v>
      </c>
      <c r="AK701" s="1016">
        <v>1</v>
      </c>
      <c r="AL701" s="1016">
        <v>1</v>
      </c>
      <c r="AM701" s="1016">
        <v>2</v>
      </c>
      <c r="AN701" s="1016">
        <v>2</v>
      </c>
      <c r="AO701" s="1016">
        <v>2</v>
      </c>
      <c r="AP701" s="1016">
        <v>5</v>
      </c>
      <c r="AQ701" s="1016">
        <v>5</v>
      </c>
      <c r="AS701" s="1016">
        <v>123</v>
      </c>
    </row>
    <row r="702" spans="2:45" outlineLevel="1">
      <c r="B702" s="1387" t="s">
        <v>192</v>
      </c>
      <c r="E702" s="1016">
        <v>0</v>
      </c>
      <c r="F702" s="1016">
        <v>0</v>
      </c>
      <c r="G702" s="1016">
        <v>0</v>
      </c>
      <c r="H702" s="1016">
        <v>0</v>
      </c>
      <c r="I702" s="1016">
        <v>1</v>
      </c>
      <c r="J702" s="1016">
        <v>1</v>
      </c>
      <c r="K702" s="1016">
        <v>2</v>
      </c>
      <c r="L702" s="1016">
        <v>2</v>
      </c>
      <c r="M702" s="1016">
        <v>3</v>
      </c>
      <c r="N702" s="1016">
        <v>3</v>
      </c>
      <c r="O702" s="1016">
        <v>3</v>
      </c>
      <c r="P702" s="1016">
        <v>3</v>
      </c>
      <c r="Q702" s="1016">
        <v>4</v>
      </c>
      <c r="R702" s="1016">
        <v>4</v>
      </c>
      <c r="S702" s="1016">
        <v>4</v>
      </c>
      <c r="AS702" s="1016">
        <v>30</v>
      </c>
    </row>
    <row r="703" spans="2:45" outlineLevel="1">
      <c r="B703" s="1387" t="s">
        <v>194</v>
      </c>
      <c r="F703" s="1016">
        <v>0</v>
      </c>
      <c r="G703" s="1016">
        <v>0</v>
      </c>
      <c r="H703" s="1016">
        <v>0</v>
      </c>
      <c r="I703" s="1016">
        <v>0</v>
      </c>
      <c r="J703" s="1016">
        <v>0</v>
      </c>
      <c r="K703" s="1016">
        <v>0</v>
      </c>
      <c r="L703" s="1016">
        <v>0</v>
      </c>
      <c r="M703" s="1016">
        <v>0</v>
      </c>
      <c r="N703" s="1016">
        <v>1</v>
      </c>
      <c r="O703" s="1016">
        <v>1</v>
      </c>
      <c r="P703" s="1016">
        <v>1</v>
      </c>
      <c r="Q703" s="1016">
        <v>1</v>
      </c>
      <c r="R703" s="1016">
        <v>1</v>
      </c>
      <c r="S703" s="1016">
        <v>1</v>
      </c>
      <c r="T703" s="1016">
        <v>0</v>
      </c>
      <c r="U703" s="1016">
        <v>0</v>
      </c>
      <c r="V703" s="1016">
        <v>1</v>
      </c>
      <c r="W703" s="1016">
        <v>1</v>
      </c>
      <c r="X703" s="1016">
        <v>0</v>
      </c>
      <c r="Y703" s="1016">
        <v>1</v>
      </c>
      <c r="Z703" s="1016">
        <v>1</v>
      </c>
      <c r="AA703" s="1016">
        <v>1</v>
      </c>
      <c r="AB703" s="1016">
        <v>1</v>
      </c>
      <c r="AC703" s="1016">
        <v>2</v>
      </c>
      <c r="AD703" s="1016">
        <v>2</v>
      </c>
      <c r="AE703" s="1016">
        <v>2</v>
      </c>
      <c r="AF703" s="1016">
        <v>2</v>
      </c>
      <c r="AG703" s="1016">
        <v>2</v>
      </c>
      <c r="AH703" s="1016">
        <v>2</v>
      </c>
      <c r="AI703" s="1016">
        <v>2</v>
      </c>
      <c r="AJ703" s="1016">
        <v>2</v>
      </c>
      <c r="AK703" s="1016">
        <v>6</v>
      </c>
      <c r="AL703" s="1016">
        <v>6</v>
      </c>
      <c r="AM703" s="1016">
        <v>6</v>
      </c>
      <c r="AN703" s="1016">
        <v>6</v>
      </c>
      <c r="AO703" s="1016">
        <v>6</v>
      </c>
      <c r="AP703" s="1016">
        <v>7</v>
      </c>
      <c r="AQ703" s="1016">
        <v>7</v>
      </c>
      <c r="AR703" s="1016">
        <v>0</v>
      </c>
      <c r="AS703" s="1016">
        <v>72</v>
      </c>
    </row>
    <row r="704" spans="2:45" outlineLevel="1">
      <c r="B704" s="1387" t="s">
        <v>190</v>
      </c>
      <c r="E704" s="1016">
        <v>0</v>
      </c>
      <c r="F704" s="1016">
        <v>0</v>
      </c>
      <c r="G704" s="1016">
        <v>0</v>
      </c>
      <c r="H704" s="1016">
        <v>0</v>
      </c>
      <c r="I704" s="1016">
        <v>1</v>
      </c>
      <c r="J704" s="1016">
        <v>1</v>
      </c>
      <c r="K704" s="1016">
        <v>1</v>
      </c>
      <c r="L704" s="1016">
        <v>1</v>
      </c>
      <c r="M704" s="1016">
        <v>1</v>
      </c>
      <c r="N704" s="1016">
        <v>1</v>
      </c>
      <c r="O704" s="1016">
        <v>3</v>
      </c>
      <c r="P704" s="1016">
        <v>3</v>
      </c>
      <c r="Q704" s="1016">
        <v>3</v>
      </c>
      <c r="R704" s="1016">
        <v>3</v>
      </c>
      <c r="S704" s="1016">
        <v>4</v>
      </c>
      <c r="T704" s="1016">
        <v>4</v>
      </c>
      <c r="U704" s="1016">
        <v>3</v>
      </c>
      <c r="V704" s="1016">
        <v>3</v>
      </c>
      <c r="W704" s="1016">
        <v>3</v>
      </c>
      <c r="X704" s="1016">
        <v>5</v>
      </c>
      <c r="Y704" s="1016">
        <v>5</v>
      </c>
      <c r="Z704" s="1016">
        <v>6</v>
      </c>
      <c r="AA704" s="1016">
        <v>6</v>
      </c>
      <c r="AB704" s="1016">
        <v>7</v>
      </c>
      <c r="AC704" s="1016">
        <v>6</v>
      </c>
      <c r="AD704" s="1016">
        <v>6</v>
      </c>
      <c r="AE704" s="1016">
        <v>5</v>
      </c>
      <c r="AF704" s="1016">
        <v>4</v>
      </c>
      <c r="AG704" s="1016">
        <v>4</v>
      </c>
      <c r="AH704" s="1016">
        <v>4</v>
      </c>
      <c r="AI704" s="1016">
        <v>3</v>
      </c>
      <c r="AJ704" s="1016">
        <v>2</v>
      </c>
      <c r="AK704" s="1016">
        <v>2</v>
      </c>
      <c r="AL704" s="1016">
        <v>4</v>
      </c>
      <c r="AM704" s="1016">
        <v>4</v>
      </c>
      <c r="AN704" s="1016">
        <v>4</v>
      </c>
      <c r="AO704" s="1016">
        <v>5</v>
      </c>
      <c r="AP704" s="1016">
        <v>7</v>
      </c>
      <c r="AS704" s="1016">
        <v>124</v>
      </c>
    </row>
    <row r="705" spans="2:45" outlineLevel="1">
      <c r="B705" s="1387" t="s">
        <v>92</v>
      </c>
      <c r="C705" s="1016">
        <v>0</v>
      </c>
      <c r="D705" s="1016">
        <v>0</v>
      </c>
      <c r="E705" s="1016">
        <v>0</v>
      </c>
      <c r="F705" s="1016">
        <v>4</v>
      </c>
      <c r="G705" s="1016">
        <v>4</v>
      </c>
      <c r="H705" s="1016">
        <v>4</v>
      </c>
      <c r="I705" s="1016">
        <v>4</v>
      </c>
      <c r="J705" s="1016">
        <v>4</v>
      </c>
      <c r="K705" s="1016">
        <v>1</v>
      </c>
      <c r="L705" s="1016">
        <v>1</v>
      </c>
      <c r="M705" s="1016">
        <v>1</v>
      </c>
      <c r="N705" s="1016">
        <v>4</v>
      </c>
      <c r="O705" s="1016">
        <v>4</v>
      </c>
      <c r="P705" s="1016">
        <v>4</v>
      </c>
      <c r="Q705" s="1016">
        <v>6</v>
      </c>
      <c r="R705" s="1016">
        <v>7</v>
      </c>
      <c r="S705" s="1016">
        <v>5</v>
      </c>
      <c r="T705" s="1016">
        <v>5</v>
      </c>
      <c r="U705" s="1016">
        <v>6</v>
      </c>
      <c r="V705" s="1016">
        <v>7</v>
      </c>
      <c r="W705" s="1016">
        <v>8</v>
      </c>
      <c r="X705" s="1016">
        <v>4</v>
      </c>
      <c r="Y705" s="1016">
        <v>3</v>
      </c>
      <c r="Z705" s="1016">
        <v>3</v>
      </c>
      <c r="AA705" s="1016">
        <v>3</v>
      </c>
      <c r="AB705" s="1016">
        <v>3</v>
      </c>
      <c r="AC705" s="1016">
        <v>3</v>
      </c>
      <c r="AD705" s="1016">
        <v>3</v>
      </c>
      <c r="AE705" s="1016">
        <v>3</v>
      </c>
      <c r="AF705" s="1016">
        <v>3</v>
      </c>
      <c r="AG705" s="1016">
        <v>3</v>
      </c>
      <c r="AH705" s="1016">
        <v>5</v>
      </c>
      <c r="AI705" s="1016">
        <v>4</v>
      </c>
      <c r="AJ705" s="1016">
        <v>5</v>
      </c>
      <c r="AK705" s="1016">
        <v>5</v>
      </c>
      <c r="AL705" s="1016">
        <v>5</v>
      </c>
      <c r="AM705" s="1016">
        <v>6</v>
      </c>
      <c r="AN705" s="1016">
        <v>6</v>
      </c>
      <c r="AO705" s="1016">
        <v>6</v>
      </c>
      <c r="AP705" s="1016">
        <v>7</v>
      </c>
      <c r="AQ705" s="1016">
        <v>7</v>
      </c>
      <c r="AS705" s="1016">
        <v>166</v>
      </c>
    </row>
    <row r="706" spans="2:45" outlineLevel="1">
      <c r="B706" s="1387" t="s">
        <v>17</v>
      </c>
      <c r="C706" s="1016">
        <v>1</v>
      </c>
      <c r="D706" s="1016">
        <v>1</v>
      </c>
      <c r="E706" s="1016">
        <v>1</v>
      </c>
      <c r="F706" s="1016">
        <v>3</v>
      </c>
      <c r="G706" s="1016">
        <v>3</v>
      </c>
      <c r="H706" s="1016">
        <v>3</v>
      </c>
      <c r="I706" s="1016">
        <v>5</v>
      </c>
      <c r="J706" s="1016">
        <v>5</v>
      </c>
      <c r="K706" s="1016">
        <v>4</v>
      </c>
      <c r="L706" s="1016">
        <v>2</v>
      </c>
      <c r="M706" s="1016">
        <v>2</v>
      </c>
      <c r="N706" s="1016">
        <v>2</v>
      </c>
      <c r="O706" s="1016">
        <v>3</v>
      </c>
      <c r="P706" s="1016">
        <v>3</v>
      </c>
      <c r="Q706" s="1016">
        <v>3</v>
      </c>
      <c r="R706" s="1016">
        <v>3</v>
      </c>
      <c r="S706" s="1016">
        <v>3</v>
      </c>
      <c r="T706" s="1016">
        <v>3</v>
      </c>
      <c r="U706" s="1016">
        <v>2</v>
      </c>
      <c r="V706" s="1016">
        <v>2</v>
      </c>
      <c r="W706" s="1016">
        <v>2</v>
      </c>
      <c r="X706" s="1016">
        <v>2</v>
      </c>
      <c r="Y706" s="1016">
        <v>2</v>
      </c>
      <c r="Z706" s="1016">
        <v>1</v>
      </c>
      <c r="AA706" s="1016">
        <v>0</v>
      </c>
      <c r="AB706" s="1016">
        <v>0</v>
      </c>
      <c r="AC706" s="1016">
        <v>0</v>
      </c>
      <c r="AD706" s="1016">
        <v>0</v>
      </c>
      <c r="AE706" s="1016">
        <v>1</v>
      </c>
      <c r="AF706" s="1016">
        <v>1</v>
      </c>
      <c r="AG706" s="1016">
        <v>1</v>
      </c>
      <c r="AH706" s="1016">
        <v>1</v>
      </c>
      <c r="AI706" s="1016">
        <v>1</v>
      </c>
      <c r="AJ706" s="1016">
        <v>1</v>
      </c>
      <c r="AK706" s="1016">
        <v>2</v>
      </c>
      <c r="AL706" s="1016">
        <v>2</v>
      </c>
      <c r="AM706" s="1016">
        <v>2</v>
      </c>
      <c r="AN706" s="1016">
        <v>2</v>
      </c>
      <c r="AO706" s="1016">
        <v>2</v>
      </c>
      <c r="AP706" s="1016">
        <v>2</v>
      </c>
      <c r="AQ706" s="1016">
        <v>2</v>
      </c>
      <c r="AR706" s="1016">
        <v>2</v>
      </c>
      <c r="AS706" s="1016">
        <v>83</v>
      </c>
    </row>
    <row r="707" spans="2:45" outlineLevel="1">
      <c r="B707" s="1387" t="s">
        <v>188</v>
      </c>
      <c r="E707" s="1016">
        <v>0</v>
      </c>
      <c r="F707" s="1016">
        <v>0</v>
      </c>
      <c r="G707" s="1016">
        <v>0</v>
      </c>
      <c r="H707" s="1016">
        <v>0</v>
      </c>
      <c r="I707" s="1016">
        <v>1</v>
      </c>
      <c r="J707" s="1016">
        <v>2</v>
      </c>
      <c r="K707" s="1016">
        <v>2</v>
      </c>
      <c r="L707" s="1016">
        <v>2</v>
      </c>
      <c r="M707" s="1016">
        <v>3</v>
      </c>
      <c r="N707" s="1016">
        <v>4</v>
      </c>
      <c r="O707" s="1016">
        <v>9</v>
      </c>
      <c r="P707" s="1016">
        <v>9</v>
      </c>
      <c r="Q707" s="1016">
        <v>9</v>
      </c>
      <c r="R707" s="1016">
        <v>5</v>
      </c>
      <c r="S707" s="1016">
        <v>5</v>
      </c>
      <c r="T707" s="1016">
        <v>5</v>
      </c>
      <c r="U707" s="1016">
        <v>5</v>
      </c>
      <c r="V707" s="1016">
        <v>4</v>
      </c>
      <c r="W707" s="1016">
        <v>4</v>
      </c>
      <c r="X707" s="1016">
        <v>5</v>
      </c>
      <c r="Y707" s="1016">
        <v>5</v>
      </c>
      <c r="Z707" s="1016">
        <v>5</v>
      </c>
      <c r="AA707" s="1016">
        <v>6</v>
      </c>
      <c r="AB707" s="1016">
        <v>7</v>
      </c>
      <c r="AC707" s="1016">
        <v>6</v>
      </c>
      <c r="AD707" s="1016">
        <v>5</v>
      </c>
      <c r="AE707" s="1016">
        <v>8</v>
      </c>
      <c r="AF707" s="1016">
        <v>7</v>
      </c>
      <c r="AG707" s="1016">
        <v>5</v>
      </c>
      <c r="AH707" s="1016">
        <v>4</v>
      </c>
      <c r="AI707" s="1016">
        <v>4</v>
      </c>
      <c r="AJ707" s="1016">
        <v>3</v>
      </c>
      <c r="AK707" s="1016">
        <v>4</v>
      </c>
      <c r="AL707" s="1016">
        <v>6</v>
      </c>
      <c r="AM707" s="1016">
        <v>7</v>
      </c>
      <c r="AN707" s="1016">
        <v>10</v>
      </c>
      <c r="AO707" s="1016">
        <v>10</v>
      </c>
      <c r="AP707" s="1016">
        <v>11</v>
      </c>
      <c r="AS707" s="1016">
        <v>187</v>
      </c>
    </row>
    <row r="708" spans="2:45" outlineLevel="1">
      <c r="B708" s="1387" t="s">
        <v>381</v>
      </c>
      <c r="I708" s="1016">
        <v>0</v>
      </c>
      <c r="J708" s="1016">
        <v>0</v>
      </c>
      <c r="K708" s="1016">
        <v>0</v>
      </c>
      <c r="N708" s="1016">
        <v>0</v>
      </c>
      <c r="O708" s="1016">
        <v>0</v>
      </c>
      <c r="P708" s="1016">
        <v>0</v>
      </c>
      <c r="S708" s="1016">
        <v>0</v>
      </c>
      <c r="T708" s="1016">
        <v>0</v>
      </c>
      <c r="U708" s="1016">
        <v>0</v>
      </c>
      <c r="V708" s="1016">
        <v>0</v>
      </c>
      <c r="W708" s="1016">
        <v>0</v>
      </c>
      <c r="X708" s="1016">
        <v>0</v>
      </c>
      <c r="Y708" s="1016">
        <v>0</v>
      </c>
      <c r="Z708" s="1016">
        <v>2</v>
      </c>
      <c r="AA708" s="1016">
        <v>2</v>
      </c>
      <c r="AB708" s="1016">
        <v>3</v>
      </c>
      <c r="AC708" s="1016">
        <v>3</v>
      </c>
      <c r="AD708" s="1016">
        <v>3</v>
      </c>
      <c r="AE708" s="1016">
        <v>3</v>
      </c>
      <c r="AF708" s="1016">
        <v>2</v>
      </c>
      <c r="AG708" s="1016">
        <v>0</v>
      </c>
      <c r="AH708" s="1016">
        <v>0</v>
      </c>
      <c r="AI708" s="1016">
        <v>0</v>
      </c>
      <c r="AJ708" s="1016">
        <v>0</v>
      </c>
      <c r="AS708" s="1016">
        <v>18</v>
      </c>
    </row>
    <row r="709" spans="2:45" outlineLevel="1">
      <c r="B709" s="1387"/>
      <c r="L709" s="1016">
        <v>0</v>
      </c>
      <c r="M709" s="1016">
        <v>0</v>
      </c>
      <c r="AS709" s="1016">
        <v>0</v>
      </c>
    </row>
    <row r="710" spans="2:45" outlineLevel="1">
      <c r="B710" s="1387" t="s">
        <v>461</v>
      </c>
      <c r="M710" s="1016">
        <v>0</v>
      </c>
      <c r="N710" s="1016">
        <v>0</v>
      </c>
      <c r="O710" s="1016">
        <v>0</v>
      </c>
      <c r="P710" s="1016">
        <v>0</v>
      </c>
      <c r="AS710" s="1016">
        <v>0</v>
      </c>
    </row>
    <row r="711" spans="2:45" outlineLevel="1">
      <c r="B711" s="1387" t="s">
        <v>483</v>
      </c>
      <c r="N711" s="1016">
        <v>0</v>
      </c>
      <c r="O711" s="1016">
        <v>0</v>
      </c>
      <c r="P711" s="1016">
        <v>0</v>
      </c>
      <c r="Q711" s="1016">
        <v>0</v>
      </c>
      <c r="R711" s="1016">
        <v>0</v>
      </c>
      <c r="S711" s="1016">
        <v>0</v>
      </c>
      <c r="T711" s="1016">
        <v>0</v>
      </c>
      <c r="U711" s="1016">
        <v>0</v>
      </c>
      <c r="V711" s="1016">
        <v>0</v>
      </c>
      <c r="W711" s="1016">
        <v>0</v>
      </c>
      <c r="X711" s="1016">
        <v>0</v>
      </c>
      <c r="Y711" s="1016">
        <v>2</v>
      </c>
      <c r="Z711" s="1016">
        <v>3</v>
      </c>
      <c r="AA711" s="1016">
        <v>5</v>
      </c>
      <c r="AB711" s="1016">
        <v>5</v>
      </c>
      <c r="AC711" s="1016">
        <v>6</v>
      </c>
      <c r="AD711" s="1016">
        <v>7</v>
      </c>
      <c r="AE711" s="1016">
        <v>7</v>
      </c>
      <c r="AF711" s="1016">
        <v>5</v>
      </c>
      <c r="AG711" s="1016">
        <v>5</v>
      </c>
      <c r="AH711" s="1016">
        <v>5</v>
      </c>
      <c r="AI711" s="1016">
        <v>5</v>
      </c>
      <c r="AJ711" s="1016">
        <v>6</v>
      </c>
      <c r="AK711" s="1016">
        <v>6</v>
      </c>
      <c r="AL711" s="1016">
        <v>5</v>
      </c>
      <c r="AM711" s="1016">
        <v>4</v>
      </c>
      <c r="AN711" s="1016">
        <v>0</v>
      </c>
      <c r="AO711" s="1016">
        <v>0</v>
      </c>
      <c r="AP711" s="1016">
        <v>0</v>
      </c>
      <c r="AS711" s="1016">
        <v>76</v>
      </c>
    </row>
    <row r="712" spans="2:45" outlineLevel="1">
      <c r="B712" s="1387" t="s">
        <v>629</v>
      </c>
      <c r="Q712" s="1016">
        <v>0</v>
      </c>
      <c r="R712" s="1016">
        <v>0</v>
      </c>
      <c r="S712" s="1016">
        <v>0</v>
      </c>
      <c r="T712" s="1016">
        <v>0</v>
      </c>
      <c r="U712" s="1016">
        <v>0</v>
      </c>
      <c r="V712" s="1016">
        <v>0</v>
      </c>
      <c r="W712" s="1016">
        <v>0</v>
      </c>
      <c r="X712" s="1016">
        <v>0</v>
      </c>
      <c r="Y712" s="1016">
        <v>0</v>
      </c>
      <c r="Z712" s="1016">
        <v>1</v>
      </c>
      <c r="AA712" s="1016">
        <v>1</v>
      </c>
      <c r="AB712" s="1016">
        <v>1</v>
      </c>
      <c r="AC712" s="1016">
        <v>2</v>
      </c>
      <c r="AD712" s="1016">
        <v>3</v>
      </c>
      <c r="AE712" s="1016">
        <v>6</v>
      </c>
      <c r="AF712" s="1016">
        <v>7</v>
      </c>
      <c r="AG712" s="1016">
        <v>7</v>
      </c>
      <c r="AH712" s="1016">
        <v>7</v>
      </c>
      <c r="AI712" s="1016">
        <v>7</v>
      </c>
      <c r="AJ712" s="1016">
        <v>7</v>
      </c>
      <c r="AK712" s="1016">
        <v>7</v>
      </c>
      <c r="AL712" s="1016">
        <v>10</v>
      </c>
      <c r="AM712" s="1016">
        <v>11</v>
      </c>
      <c r="AN712" s="1016">
        <v>11</v>
      </c>
      <c r="AO712" s="1016">
        <v>11</v>
      </c>
      <c r="AP712" s="1016">
        <v>11</v>
      </c>
      <c r="AS712" s="1016">
        <v>110</v>
      </c>
    </row>
    <row r="713" spans="2:45" outlineLevel="1">
      <c r="B713" s="1387" t="s">
        <v>645</v>
      </c>
      <c r="R713" s="1016">
        <v>0</v>
      </c>
      <c r="S713" s="1016">
        <v>0</v>
      </c>
      <c r="T713" s="1016">
        <v>0</v>
      </c>
      <c r="U713" s="1016">
        <v>0</v>
      </c>
      <c r="V713" s="1016">
        <v>0</v>
      </c>
      <c r="W713" s="1016">
        <v>0</v>
      </c>
      <c r="X713" s="1016">
        <v>0</v>
      </c>
      <c r="Y713" s="1016">
        <v>1</v>
      </c>
      <c r="Z713" s="1016">
        <v>4</v>
      </c>
      <c r="AA713" s="1016">
        <v>4</v>
      </c>
      <c r="AB713" s="1016">
        <v>4</v>
      </c>
      <c r="AC713" s="1016">
        <v>4</v>
      </c>
      <c r="AD713" s="1016">
        <v>4</v>
      </c>
      <c r="AE713" s="1016">
        <v>4</v>
      </c>
      <c r="AF713" s="1016">
        <v>2</v>
      </c>
      <c r="AG713" s="1016">
        <v>2</v>
      </c>
      <c r="AH713" s="1016">
        <v>2</v>
      </c>
      <c r="AI713" s="1016">
        <v>3</v>
      </c>
      <c r="AJ713" s="1016">
        <v>3</v>
      </c>
      <c r="AK713" s="1016">
        <v>3</v>
      </c>
      <c r="AL713" s="1016">
        <v>4</v>
      </c>
      <c r="AM713" s="1016">
        <v>1</v>
      </c>
      <c r="AN713" s="1016">
        <v>1</v>
      </c>
      <c r="AO713" s="1016">
        <v>1</v>
      </c>
      <c r="AP713" s="1016">
        <v>1</v>
      </c>
      <c r="AQ713" s="1016">
        <v>7</v>
      </c>
      <c r="AR713" s="1016">
        <v>8</v>
      </c>
      <c r="AS713" s="1016">
        <v>63</v>
      </c>
    </row>
    <row r="714" spans="2:45" outlineLevel="1">
      <c r="B714" s="1387" t="s">
        <v>641</v>
      </c>
      <c r="R714" s="1016">
        <v>0</v>
      </c>
      <c r="S714" s="1016">
        <v>0</v>
      </c>
      <c r="T714" s="1016">
        <v>0</v>
      </c>
      <c r="U714" s="1016">
        <v>0</v>
      </c>
      <c r="V714" s="1016">
        <v>0</v>
      </c>
      <c r="W714" s="1016">
        <v>0</v>
      </c>
      <c r="X714" s="1016">
        <v>0</v>
      </c>
      <c r="Y714" s="1016">
        <v>0</v>
      </c>
      <c r="Z714" s="1016">
        <v>0</v>
      </c>
      <c r="AA714" s="1016">
        <v>0</v>
      </c>
      <c r="AB714" s="1016">
        <v>0</v>
      </c>
      <c r="AC714" s="1016">
        <v>0</v>
      </c>
      <c r="AD714" s="1016">
        <v>0</v>
      </c>
      <c r="AE714" s="1016">
        <v>0</v>
      </c>
      <c r="AF714" s="1016">
        <v>0</v>
      </c>
      <c r="AG714" s="1016">
        <v>0</v>
      </c>
      <c r="AH714" s="1016">
        <v>0</v>
      </c>
      <c r="AI714" s="1016">
        <v>0</v>
      </c>
      <c r="AJ714" s="1016">
        <v>0</v>
      </c>
      <c r="AK714" s="1016">
        <v>0</v>
      </c>
      <c r="AL714" s="1016">
        <v>0</v>
      </c>
      <c r="AM714" s="1016">
        <v>0</v>
      </c>
      <c r="AN714" s="1016">
        <v>0</v>
      </c>
      <c r="AO714" s="1016">
        <v>0</v>
      </c>
      <c r="AP714" s="1016">
        <v>1</v>
      </c>
      <c r="AQ714" s="1016">
        <v>1</v>
      </c>
      <c r="AR714" s="1016">
        <v>2</v>
      </c>
      <c r="AS714" s="1016">
        <v>4</v>
      </c>
    </row>
    <row r="715" spans="2:45" outlineLevel="1">
      <c r="B715" s="1387" t="s">
        <v>643</v>
      </c>
      <c r="R715" s="1016">
        <v>0</v>
      </c>
      <c r="S715" s="1016">
        <v>0</v>
      </c>
      <c r="T715" s="1016">
        <v>0</v>
      </c>
      <c r="U715" s="1016">
        <v>1</v>
      </c>
      <c r="V715" s="1016">
        <v>1</v>
      </c>
      <c r="W715" s="1016">
        <v>2</v>
      </c>
      <c r="X715" s="1016">
        <v>2</v>
      </c>
      <c r="Y715" s="1016">
        <v>3</v>
      </c>
      <c r="Z715" s="1016">
        <v>4</v>
      </c>
      <c r="AA715" s="1016">
        <v>4</v>
      </c>
      <c r="AB715" s="1016">
        <v>6</v>
      </c>
      <c r="AC715" s="1016">
        <v>6</v>
      </c>
      <c r="AD715" s="1016">
        <v>6</v>
      </c>
      <c r="AE715" s="1016">
        <v>6</v>
      </c>
      <c r="AF715" s="1016">
        <v>0</v>
      </c>
      <c r="AS715" s="1016">
        <v>41</v>
      </c>
    </row>
    <row r="716" spans="2:45" outlineLevel="1">
      <c r="B716" s="1387" t="s">
        <v>644</v>
      </c>
      <c r="R716" s="1016">
        <v>0</v>
      </c>
      <c r="S716" s="1016">
        <v>0</v>
      </c>
      <c r="T716" s="1016">
        <v>0</v>
      </c>
      <c r="U716" s="1016">
        <v>0</v>
      </c>
      <c r="V716" s="1016">
        <v>0</v>
      </c>
      <c r="W716" s="1016">
        <v>0</v>
      </c>
      <c r="X716" s="1016">
        <v>0</v>
      </c>
      <c r="Y716" s="1016">
        <v>0</v>
      </c>
      <c r="Z716" s="1016">
        <v>0</v>
      </c>
      <c r="AA716" s="1016">
        <v>1</v>
      </c>
      <c r="AB716" s="1016">
        <v>1</v>
      </c>
      <c r="AC716" s="1016">
        <v>2</v>
      </c>
      <c r="AD716" s="1016">
        <v>2</v>
      </c>
      <c r="AE716" s="1016">
        <v>2</v>
      </c>
      <c r="AF716" s="1016">
        <v>2</v>
      </c>
      <c r="AG716" s="1016">
        <v>2</v>
      </c>
      <c r="AH716" s="1016">
        <v>2</v>
      </c>
      <c r="AI716" s="1016">
        <v>2</v>
      </c>
      <c r="AJ716" s="1016">
        <v>2</v>
      </c>
      <c r="AK716" s="1016">
        <v>2</v>
      </c>
      <c r="AL716" s="1016">
        <v>2</v>
      </c>
      <c r="AM716" s="1016">
        <v>1</v>
      </c>
      <c r="AN716" s="1016">
        <v>1</v>
      </c>
      <c r="AO716" s="1016">
        <v>2</v>
      </c>
      <c r="AP716" s="1016">
        <v>2</v>
      </c>
      <c r="AQ716" s="1016">
        <v>2</v>
      </c>
      <c r="AR716" s="1016">
        <v>2</v>
      </c>
      <c r="AS716" s="1016">
        <v>32</v>
      </c>
    </row>
    <row r="717" spans="2:45" outlineLevel="1">
      <c r="B717" s="1387" t="s">
        <v>655</v>
      </c>
      <c r="R717" s="1016">
        <v>0</v>
      </c>
      <c r="S717" s="1016">
        <v>0</v>
      </c>
      <c r="T717" s="1016">
        <v>0</v>
      </c>
      <c r="U717" s="1016">
        <v>0</v>
      </c>
      <c r="V717" s="1016">
        <v>3</v>
      </c>
      <c r="W717" s="1016">
        <v>3</v>
      </c>
      <c r="X717" s="1016">
        <v>4</v>
      </c>
      <c r="Y717" s="1016">
        <v>4</v>
      </c>
      <c r="Z717" s="1016">
        <v>6</v>
      </c>
      <c r="AA717" s="1016">
        <v>9</v>
      </c>
      <c r="AB717" s="1016">
        <v>9</v>
      </c>
      <c r="AC717" s="1016">
        <v>10</v>
      </c>
      <c r="AD717" s="1016">
        <v>12</v>
      </c>
      <c r="AE717" s="1016">
        <v>12</v>
      </c>
      <c r="AF717" s="1016">
        <v>9</v>
      </c>
      <c r="AG717" s="1016">
        <v>5</v>
      </c>
      <c r="AH717" s="1016">
        <v>2</v>
      </c>
      <c r="AI717" s="1016">
        <v>2</v>
      </c>
      <c r="AJ717" s="1016">
        <v>2</v>
      </c>
      <c r="AK717" s="1016">
        <v>3</v>
      </c>
      <c r="AL717" s="1016">
        <v>3</v>
      </c>
      <c r="AM717" s="1016">
        <v>3</v>
      </c>
      <c r="AN717" s="1016">
        <v>3</v>
      </c>
      <c r="AO717" s="1016">
        <v>3</v>
      </c>
      <c r="AP717" s="1016">
        <v>2</v>
      </c>
      <c r="AQ717" s="1016">
        <v>2</v>
      </c>
      <c r="AS717" s="1016">
        <v>111</v>
      </c>
    </row>
    <row r="718" spans="2:45" outlineLevel="1">
      <c r="B718" s="1387" t="s">
        <v>656</v>
      </c>
      <c r="R718" s="1016">
        <v>0</v>
      </c>
      <c r="S718" s="1016">
        <v>0</v>
      </c>
      <c r="T718" s="1016">
        <v>0</v>
      </c>
      <c r="U718" s="1016">
        <v>0</v>
      </c>
      <c r="V718" s="1016">
        <v>0</v>
      </c>
      <c r="W718" s="1016">
        <v>1</v>
      </c>
      <c r="X718" s="1016">
        <v>1</v>
      </c>
      <c r="Y718" s="1016">
        <v>1</v>
      </c>
      <c r="Z718" s="1016">
        <v>2</v>
      </c>
      <c r="AA718" s="1016">
        <v>6</v>
      </c>
      <c r="AB718" s="1016">
        <v>5</v>
      </c>
      <c r="AC718" s="1016">
        <v>6</v>
      </c>
      <c r="AD718" s="1016">
        <v>6</v>
      </c>
      <c r="AE718" s="1016">
        <v>3</v>
      </c>
      <c r="AF718" s="1016">
        <v>3</v>
      </c>
      <c r="AG718" s="1016">
        <v>1</v>
      </c>
      <c r="AH718" s="1016">
        <v>1</v>
      </c>
      <c r="AI718" s="1016">
        <v>1</v>
      </c>
      <c r="AJ718" s="1016">
        <v>2</v>
      </c>
      <c r="AK718" s="1016">
        <v>2</v>
      </c>
      <c r="AL718" s="1016">
        <v>2</v>
      </c>
      <c r="AM718" s="1016">
        <v>2</v>
      </c>
      <c r="AN718" s="1016">
        <v>4</v>
      </c>
      <c r="AO718" s="1016">
        <v>4</v>
      </c>
      <c r="AP718" s="1016">
        <v>6</v>
      </c>
      <c r="AS718" s="1016">
        <v>59</v>
      </c>
    </row>
    <row r="719" spans="2:45" outlineLevel="1">
      <c r="B719" s="1387" t="s">
        <v>697</v>
      </c>
      <c r="S719" s="1016">
        <v>0</v>
      </c>
      <c r="T719" s="1016">
        <v>0</v>
      </c>
      <c r="U719" s="1016">
        <v>0</v>
      </c>
      <c r="V719" s="1016">
        <v>0</v>
      </c>
      <c r="W719" s="1016">
        <v>0</v>
      </c>
      <c r="X719" s="1016">
        <v>1</v>
      </c>
      <c r="Y719" s="1016">
        <v>1</v>
      </c>
      <c r="Z719" s="1016">
        <v>6</v>
      </c>
      <c r="AA719" s="1016">
        <v>7</v>
      </c>
      <c r="AB719" s="1016">
        <v>7</v>
      </c>
      <c r="AC719" s="1016">
        <v>7</v>
      </c>
      <c r="AD719" s="1016">
        <v>7</v>
      </c>
      <c r="AE719" s="1016">
        <v>9</v>
      </c>
      <c r="AF719" s="1016">
        <v>8</v>
      </c>
      <c r="AG719" s="1016">
        <v>8</v>
      </c>
      <c r="AH719" s="1016">
        <v>5</v>
      </c>
      <c r="AI719" s="1016">
        <v>4</v>
      </c>
      <c r="AJ719" s="1016">
        <v>8</v>
      </c>
      <c r="AK719" s="1016">
        <v>7</v>
      </c>
      <c r="AL719" s="1016">
        <v>8</v>
      </c>
      <c r="AM719" s="1016">
        <v>8</v>
      </c>
      <c r="AN719" s="1016">
        <v>7</v>
      </c>
      <c r="AO719" s="1016">
        <v>7</v>
      </c>
      <c r="AP719" s="1016">
        <v>6</v>
      </c>
      <c r="AQ719" s="1016">
        <v>6</v>
      </c>
      <c r="AR719" s="1016">
        <v>4</v>
      </c>
      <c r="AS719" s="1016">
        <v>131</v>
      </c>
    </row>
    <row r="720" spans="2:45" outlineLevel="1">
      <c r="B720" s="1387" t="s">
        <v>658</v>
      </c>
      <c r="AK720" s="1016">
        <v>0</v>
      </c>
      <c r="AL720" s="1016">
        <v>0</v>
      </c>
      <c r="AM720" s="1016">
        <v>0</v>
      </c>
      <c r="AN720" s="1016">
        <v>0</v>
      </c>
      <c r="AO720" s="1016">
        <v>0</v>
      </c>
      <c r="AP720" s="1016">
        <v>0</v>
      </c>
      <c r="AS720" s="1016">
        <v>0</v>
      </c>
    </row>
    <row r="721" spans="2:45" outlineLevel="1">
      <c r="B721" s="1387" t="s">
        <v>698</v>
      </c>
      <c r="T721" s="1016">
        <v>0</v>
      </c>
      <c r="U721" s="1016">
        <v>0</v>
      </c>
      <c r="V721" s="1016">
        <v>0</v>
      </c>
      <c r="W721" s="1016">
        <v>0</v>
      </c>
      <c r="X721" s="1016">
        <v>1</v>
      </c>
      <c r="Y721" s="1016">
        <v>3</v>
      </c>
      <c r="Z721" s="1016">
        <v>4</v>
      </c>
      <c r="AA721" s="1016">
        <v>4</v>
      </c>
      <c r="AB721" s="1016">
        <v>4</v>
      </c>
      <c r="AC721" s="1016">
        <v>3</v>
      </c>
      <c r="AD721" s="1016">
        <v>3</v>
      </c>
      <c r="AE721" s="1016">
        <v>2</v>
      </c>
      <c r="AF721" s="1016">
        <v>1</v>
      </c>
      <c r="AG721" s="1016">
        <v>2</v>
      </c>
      <c r="AH721" s="1016">
        <v>1</v>
      </c>
      <c r="AI721" s="1016">
        <v>1</v>
      </c>
      <c r="AJ721" s="1016">
        <v>2</v>
      </c>
      <c r="AK721" s="1016">
        <v>2</v>
      </c>
      <c r="AL721" s="1016">
        <v>1</v>
      </c>
      <c r="AM721" s="1016">
        <v>1</v>
      </c>
      <c r="AN721" s="1016">
        <v>2</v>
      </c>
      <c r="AO721" s="1016">
        <v>3</v>
      </c>
      <c r="AP721" s="1016">
        <v>3</v>
      </c>
      <c r="AQ721" s="1016">
        <v>3</v>
      </c>
      <c r="AS721" s="1016">
        <v>46</v>
      </c>
    </row>
    <row r="722" spans="2:45" outlineLevel="1">
      <c r="B722" s="1387" t="s">
        <v>790</v>
      </c>
      <c r="T722" s="1016">
        <v>0</v>
      </c>
      <c r="U722" s="1016">
        <v>0</v>
      </c>
      <c r="V722" s="1016">
        <v>0</v>
      </c>
      <c r="W722" s="1016">
        <v>0</v>
      </c>
      <c r="X722" s="1016">
        <v>2</v>
      </c>
      <c r="Y722" s="1016">
        <v>2</v>
      </c>
      <c r="Z722" s="1016">
        <v>2</v>
      </c>
      <c r="AA722" s="1016">
        <v>2</v>
      </c>
      <c r="AB722" s="1016">
        <v>2</v>
      </c>
      <c r="AC722" s="1016">
        <v>2</v>
      </c>
      <c r="AD722" s="1016">
        <v>1</v>
      </c>
      <c r="AE722" s="1016">
        <v>1</v>
      </c>
      <c r="AF722" s="1016">
        <v>2</v>
      </c>
      <c r="AG722" s="1016">
        <v>2</v>
      </c>
      <c r="AH722" s="1016">
        <v>2</v>
      </c>
      <c r="AI722" s="1016">
        <v>2</v>
      </c>
      <c r="AJ722" s="1016">
        <v>2</v>
      </c>
      <c r="AK722" s="1016">
        <v>3</v>
      </c>
      <c r="AL722" s="1016">
        <v>3</v>
      </c>
      <c r="AM722" s="1016">
        <v>2</v>
      </c>
      <c r="AN722" s="1016">
        <v>2</v>
      </c>
      <c r="AO722" s="1016">
        <v>2</v>
      </c>
      <c r="AP722" s="1016">
        <v>3</v>
      </c>
      <c r="AQ722" s="1016">
        <v>5</v>
      </c>
      <c r="AR722" s="1016">
        <v>5</v>
      </c>
      <c r="AS722" s="1016">
        <v>49</v>
      </c>
    </row>
    <row r="723" spans="2:45" outlineLevel="1">
      <c r="B723" s="1387" t="s">
        <v>797</v>
      </c>
      <c r="U723" s="1016">
        <v>0</v>
      </c>
      <c r="V723" s="1016">
        <v>0</v>
      </c>
      <c r="W723" s="1016">
        <v>0</v>
      </c>
      <c r="X723" s="1016">
        <v>0</v>
      </c>
      <c r="Y723" s="1016">
        <v>1</v>
      </c>
      <c r="Z723" s="1016">
        <v>2</v>
      </c>
      <c r="AA723" s="1016">
        <v>2</v>
      </c>
      <c r="AB723" s="1016">
        <v>2</v>
      </c>
      <c r="AC723" s="1016">
        <v>2</v>
      </c>
      <c r="AD723" s="1016">
        <v>0</v>
      </c>
      <c r="AE723" s="1016">
        <v>3</v>
      </c>
      <c r="AF723" s="1016">
        <v>5</v>
      </c>
      <c r="AG723" s="1016">
        <v>4</v>
      </c>
      <c r="AH723" s="1016">
        <v>4</v>
      </c>
      <c r="AI723" s="1016">
        <v>1</v>
      </c>
      <c r="AJ723" s="1016">
        <v>1</v>
      </c>
      <c r="AK723" s="1016">
        <v>0</v>
      </c>
      <c r="AL723" s="1016">
        <v>0</v>
      </c>
      <c r="AM723" s="1016">
        <v>1</v>
      </c>
      <c r="AN723" s="1016">
        <v>1</v>
      </c>
      <c r="AO723" s="1016">
        <v>1</v>
      </c>
      <c r="AP723" s="1016">
        <v>1</v>
      </c>
      <c r="AQ723" s="1016">
        <v>1</v>
      </c>
      <c r="AR723" s="1016">
        <v>1</v>
      </c>
      <c r="AS723" s="1016">
        <v>33</v>
      </c>
    </row>
    <row r="724" spans="2:45" outlineLevel="1">
      <c r="B724" s="1387" t="s">
        <v>800</v>
      </c>
      <c r="U724" s="1016">
        <v>0</v>
      </c>
      <c r="V724" s="1016">
        <v>0</v>
      </c>
      <c r="W724" s="1016">
        <v>0</v>
      </c>
      <c r="X724" s="1016">
        <v>0</v>
      </c>
      <c r="Y724" s="1016">
        <v>1</v>
      </c>
      <c r="Z724" s="1016">
        <v>1</v>
      </c>
      <c r="AA724" s="1016">
        <v>2</v>
      </c>
      <c r="AB724" s="1016">
        <v>3</v>
      </c>
      <c r="AC724" s="1016">
        <v>2</v>
      </c>
      <c r="AD724" s="1016">
        <v>1</v>
      </c>
      <c r="AE724" s="1016">
        <v>1</v>
      </c>
      <c r="AF724" s="1016">
        <v>1</v>
      </c>
      <c r="AG724" s="1016">
        <v>1</v>
      </c>
      <c r="AH724" s="1016">
        <v>1</v>
      </c>
      <c r="AI724" s="1016">
        <v>1</v>
      </c>
      <c r="AJ724" s="1016">
        <v>1</v>
      </c>
      <c r="AK724" s="1016">
        <v>1</v>
      </c>
      <c r="AL724" s="1016">
        <v>1</v>
      </c>
      <c r="AM724" s="1016">
        <v>3</v>
      </c>
      <c r="AN724" s="1016">
        <v>5</v>
      </c>
      <c r="AO724" s="1016">
        <v>5</v>
      </c>
      <c r="AP724" s="1016">
        <v>8</v>
      </c>
      <c r="AQ724" s="1016">
        <v>9</v>
      </c>
      <c r="AR724" s="1016">
        <v>9</v>
      </c>
      <c r="AS724" s="1016">
        <v>57</v>
      </c>
    </row>
    <row r="725" spans="2:45" outlineLevel="1">
      <c r="B725" s="1387" t="s">
        <v>904</v>
      </c>
      <c r="X725" s="1016">
        <v>0</v>
      </c>
      <c r="Y725" s="1016">
        <v>0</v>
      </c>
      <c r="Z725" s="1016">
        <v>0</v>
      </c>
      <c r="AA725" s="1016">
        <v>1</v>
      </c>
      <c r="AB725" s="1016">
        <v>2</v>
      </c>
      <c r="AC725" s="1016">
        <v>3</v>
      </c>
      <c r="AD725" s="1016">
        <v>3</v>
      </c>
      <c r="AE725" s="1016">
        <v>3</v>
      </c>
      <c r="AF725" s="1016">
        <v>4</v>
      </c>
      <c r="AG725" s="1016">
        <v>3</v>
      </c>
      <c r="AH725" s="1016">
        <v>3</v>
      </c>
      <c r="AI725" s="1016">
        <v>5</v>
      </c>
      <c r="AJ725" s="1016">
        <v>6</v>
      </c>
      <c r="AK725" s="1016">
        <v>6</v>
      </c>
      <c r="AL725" s="1016">
        <v>5</v>
      </c>
      <c r="AM725" s="1016">
        <v>5</v>
      </c>
      <c r="AN725" s="1016">
        <v>5</v>
      </c>
      <c r="AO725" s="1016">
        <v>5</v>
      </c>
      <c r="AP725" s="1016">
        <v>8</v>
      </c>
      <c r="AQ725" s="1016">
        <v>7</v>
      </c>
      <c r="AR725" s="1016">
        <v>4</v>
      </c>
      <c r="AS725" s="1016">
        <v>78</v>
      </c>
    </row>
    <row r="726" spans="2:45" outlineLevel="1">
      <c r="B726" s="1387" t="s">
        <v>906</v>
      </c>
      <c r="X726" s="1016">
        <v>0</v>
      </c>
      <c r="Y726" s="1016">
        <v>0</v>
      </c>
      <c r="Z726" s="1016">
        <v>0</v>
      </c>
      <c r="AA726" s="1016">
        <v>0</v>
      </c>
      <c r="AB726" s="1016">
        <v>0</v>
      </c>
      <c r="AC726" s="1016">
        <v>0</v>
      </c>
      <c r="AD726" s="1016">
        <v>0</v>
      </c>
      <c r="AE726" s="1016">
        <v>2</v>
      </c>
      <c r="AF726" s="1016">
        <v>4</v>
      </c>
      <c r="AG726" s="1016">
        <v>4</v>
      </c>
      <c r="AH726" s="1016">
        <v>4</v>
      </c>
      <c r="AI726" s="1016">
        <v>5</v>
      </c>
      <c r="AJ726" s="1016">
        <v>4</v>
      </c>
      <c r="AK726" s="1016">
        <v>3</v>
      </c>
      <c r="AL726" s="1016">
        <v>3</v>
      </c>
      <c r="AM726" s="1016">
        <v>1</v>
      </c>
      <c r="AN726" s="1016">
        <v>2</v>
      </c>
      <c r="AO726" s="1016">
        <v>3</v>
      </c>
      <c r="AP726" s="1016">
        <v>2</v>
      </c>
      <c r="AQ726" s="1016">
        <v>2</v>
      </c>
      <c r="AS726" s="1016">
        <v>39</v>
      </c>
    </row>
    <row r="727" spans="2:45" outlineLevel="1">
      <c r="B727" s="1387" t="s">
        <v>901</v>
      </c>
      <c r="Y727" s="1016">
        <v>0</v>
      </c>
      <c r="Z727" s="1016">
        <v>0</v>
      </c>
      <c r="AA727" s="1016">
        <v>1</v>
      </c>
      <c r="AB727" s="1016">
        <v>3</v>
      </c>
      <c r="AC727" s="1016">
        <v>1</v>
      </c>
      <c r="AD727" s="1016">
        <v>1</v>
      </c>
      <c r="AE727" s="1016">
        <v>1</v>
      </c>
      <c r="AF727" s="1016">
        <v>1</v>
      </c>
      <c r="AG727" s="1016">
        <v>1</v>
      </c>
      <c r="AH727" s="1016">
        <v>1</v>
      </c>
      <c r="AI727" s="1016">
        <v>1</v>
      </c>
      <c r="AJ727" s="1016">
        <v>1</v>
      </c>
      <c r="AK727" s="1016">
        <v>1</v>
      </c>
      <c r="AL727" s="1016">
        <v>1</v>
      </c>
      <c r="AM727" s="1016">
        <v>2</v>
      </c>
      <c r="AN727" s="1016">
        <v>2</v>
      </c>
      <c r="AO727" s="1016">
        <v>4</v>
      </c>
      <c r="AP727" s="1016">
        <v>3</v>
      </c>
      <c r="AQ727" s="1016">
        <v>5</v>
      </c>
      <c r="AR727" s="1016">
        <v>4</v>
      </c>
      <c r="AS727" s="1016">
        <v>34</v>
      </c>
    </row>
    <row r="728" spans="2:45" outlineLevel="1">
      <c r="B728" s="1387" t="s">
        <v>950</v>
      </c>
      <c r="Y728" s="1016">
        <v>0</v>
      </c>
      <c r="Z728" s="1016">
        <v>1</v>
      </c>
      <c r="AA728" s="1016">
        <v>8</v>
      </c>
      <c r="AB728" s="1016">
        <v>8</v>
      </c>
      <c r="AC728" s="1016">
        <v>14</v>
      </c>
      <c r="AD728" s="1016">
        <v>15</v>
      </c>
      <c r="AE728" s="1016">
        <v>8</v>
      </c>
      <c r="AF728" s="1016">
        <v>8</v>
      </c>
      <c r="AG728" s="1016">
        <v>4</v>
      </c>
      <c r="AH728" s="1016">
        <v>5</v>
      </c>
      <c r="AI728" s="1016">
        <v>5</v>
      </c>
      <c r="AJ728" s="1016">
        <v>6</v>
      </c>
      <c r="AK728" s="1016">
        <v>6</v>
      </c>
      <c r="AL728" s="1016">
        <v>4</v>
      </c>
      <c r="AM728" s="1016">
        <v>5</v>
      </c>
      <c r="AN728" s="1016">
        <v>6</v>
      </c>
      <c r="AO728" s="1016">
        <v>5</v>
      </c>
      <c r="AP728" s="1016">
        <v>6</v>
      </c>
      <c r="AQ728" s="1016">
        <v>7</v>
      </c>
      <c r="AR728" s="1016">
        <v>6</v>
      </c>
      <c r="AS728" s="1016">
        <v>127</v>
      </c>
    </row>
    <row r="729" spans="2:45" outlineLevel="1">
      <c r="B729" s="1387" t="s">
        <v>1014</v>
      </c>
      <c r="X729" s="1016">
        <v>0</v>
      </c>
      <c r="Y729" s="1016">
        <v>0</v>
      </c>
      <c r="Z729" s="1016">
        <v>1</v>
      </c>
      <c r="AA729" s="1016">
        <v>1</v>
      </c>
      <c r="AB729" s="1016">
        <v>1</v>
      </c>
      <c r="AC729" s="1016">
        <v>2</v>
      </c>
      <c r="AD729" s="1016">
        <v>2</v>
      </c>
      <c r="AE729" s="1016">
        <v>1</v>
      </c>
      <c r="AF729" s="1016">
        <v>0</v>
      </c>
      <c r="AG729" s="1016">
        <v>0</v>
      </c>
      <c r="AH729" s="1016">
        <v>0</v>
      </c>
      <c r="AI729" s="1016">
        <v>0</v>
      </c>
      <c r="AJ729" s="1016">
        <v>0</v>
      </c>
      <c r="AK729" s="1016">
        <v>0</v>
      </c>
      <c r="AL729" s="1016">
        <v>0</v>
      </c>
      <c r="AM729" s="1016">
        <v>2</v>
      </c>
      <c r="AN729" s="1016">
        <v>2</v>
      </c>
      <c r="AO729" s="1016">
        <v>2</v>
      </c>
      <c r="AP729" s="1016">
        <v>4</v>
      </c>
      <c r="AQ729" s="1016">
        <v>6</v>
      </c>
      <c r="AR729" s="1016">
        <v>6</v>
      </c>
      <c r="AS729" s="1016">
        <v>30</v>
      </c>
    </row>
    <row r="730" spans="2:45" outlineLevel="1">
      <c r="B730" s="1387" t="s">
        <v>1162</v>
      </c>
      <c r="AA730" s="1016">
        <v>1</v>
      </c>
      <c r="AB730" s="1016">
        <v>1</v>
      </c>
      <c r="AC730" s="1016">
        <v>1</v>
      </c>
      <c r="AD730" s="1016">
        <v>0</v>
      </c>
      <c r="AE730" s="1016">
        <v>0</v>
      </c>
      <c r="AF730" s="1016">
        <v>0</v>
      </c>
      <c r="AG730" s="1016">
        <v>0</v>
      </c>
      <c r="AH730" s="1016">
        <v>0</v>
      </c>
      <c r="AI730" s="1016">
        <v>0</v>
      </c>
      <c r="AJ730" s="1016">
        <v>0</v>
      </c>
      <c r="AK730" s="1016">
        <v>0</v>
      </c>
      <c r="AL730" s="1016">
        <v>0</v>
      </c>
      <c r="AM730" s="1016">
        <v>0</v>
      </c>
      <c r="AN730" s="1016">
        <v>0</v>
      </c>
      <c r="AO730" s="1016">
        <v>1</v>
      </c>
      <c r="AP730" s="1016">
        <v>1</v>
      </c>
      <c r="AS730" s="1016">
        <v>5</v>
      </c>
    </row>
    <row r="731" spans="2:45" outlineLevel="1">
      <c r="B731" s="1387" t="s">
        <v>1163</v>
      </c>
      <c r="AA731" s="1016">
        <v>1</v>
      </c>
      <c r="AB731" s="1016">
        <v>1</v>
      </c>
      <c r="AC731" s="1016">
        <v>2</v>
      </c>
      <c r="AD731" s="1016">
        <v>1</v>
      </c>
      <c r="AE731" s="1016">
        <v>1</v>
      </c>
      <c r="AF731" s="1016">
        <v>1</v>
      </c>
      <c r="AG731" s="1016">
        <v>0</v>
      </c>
      <c r="AH731" s="1016">
        <v>0</v>
      </c>
      <c r="AI731" s="1016">
        <v>0</v>
      </c>
      <c r="AJ731" s="1016">
        <v>0</v>
      </c>
      <c r="AK731" s="1016">
        <v>2</v>
      </c>
      <c r="AL731" s="1016">
        <v>2</v>
      </c>
      <c r="AM731" s="1016">
        <v>3</v>
      </c>
      <c r="AN731" s="1016">
        <v>3</v>
      </c>
      <c r="AO731" s="1016">
        <v>3</v>
      </c>
      <c r="AP731" s="1016">
        <v>3</v>
      </c>
      <c r="AQ731" s="1016">
        <v>3</v>
      </c>
      <c r="AR731" s="1016">
        <v>2</v>
      </c>
      <c r="AS731" s="1016">
        <v>28</v>
      </c>
    </row>
    <row r="732" spans="2:45" outlineLevel="1">
      <c r="B732" s="1387" t="s">
        <v>1286</v>
      </c>
      <c r="AB732" s="1016">
        <v>1</v>
      </c>
      <c r="AC732" s="1016">
        <v>1</v>
      </c>
      <c r="AD732" s="1016">
        <v>3</v>
      </c>
      <c r="AE732" s="1016">
        <v>2</v>
      </c>
      <c r="AF732" s="1016">
        <v>2</v>
      </c>
      <c r="AG732" s="1016">
        <v>2</v>
      </c>
      <c r="AH732" s="1016">
        <v>2</v>
      </c>
      <c r="AI732" s="1016">
        <v>3</v>
      </c>
      <c r="AJ732" s="1016">
        <v>4</v>
      </c>
      <c r="AK732" s="1016">
        <v>5</v>
      </c>
      <c r="AL732" s="1016">
        <v>5</v>
      </c>
      <c r="AM732" s="1016">
        <v>5</v>
      </c>
      <c r="AN732" s="1016">
        <v>5</v>
      </c>
      <c r="AO732" s="1016">
        <v>5</v>
      </c>
      <c r="AP732" s="1016">
        <v>4</v>
      </c>
      <c r="AQ732" s="1016">
        <v>4</v>
      </c>
      <c r="AR732" s="1016">
        <v>2</v>
      </c>
      <c r="AS732" s="1016">
        <v>55</v>
      </c>
    </row>
    <row r="733" spans="2:45" outlineLevel="1">
      <c r="B733" s="1387" t="s">
        <v>1161</v>
      </c>
      <c r="AC733" s="1016">
        <v>0</v>
      </c>
      <c r="AD733" s="1016">
        <v>0</v>
      </c>
      <c r="AE733" s="1016">
        <v>0</v>
      </c>
      <c r="AF733" s="1016">
        <v>0</v>
      </c>
      <c r="AG733" s="1016">
        <v>0</v>
      </c>
      <c r="AH733" s="1016">
        <v>0</v>
      </c>
      <c r="AI733" s="1016">
        <v>0</v>
      </c>
      <c r="AJ733" s="1016">
        <v>0</v>
      </c>
      <c r="AK733" s="1016">
        <v>3</v>
      </c>
      <c r="AL733" s="1016">
        <v>4</v>
      </c>
      <c r="AM733" s="1016">
        <v>4</v>
      </c>
      <c r="AN733" s="1016">
        <v>4</v>
      </c>
      <c r="AO733" s="1016">
        <v>4</v>
      </c>
      <c r="AP733" s="1016">
        <v>4</v>
      </c>
      <c r="AQ733" s="1016">
        <v>5</v>
      </c>
      <c r="AR733" s="1016">
        <v>5</v>
      </c>
      <c r="AS733" s="1016">
        <v>33</v>
      </c>
    </row>
    <row r="734" spans="2:45" outlineLevel="1">
      <c r="B734" s="1387" t="s">
        <v>1287</v>
      </c>
      <c r="AB734" s="1016">
        <v>6</v>
      </c>
      <c r="AC734" s="1016">
        <v>6</v>
      </c>
      <c r="AD734" s="1016">
        <v>6</v>
      </c>
      <c r="AE734" s="1016">
        <v>6</v>
      </c>
      <c r="AF734" s="1016">
        <v>5</v>
      </c>
      <c r="AG734" s="1016">
        <v>4</v>
      </c>
      <c r="AH734" s="1016">
        <v>4</v>
      </c>
      <c r="AI734" s="1016">
        <v>4</v>
      </c>
      <c r="AJ734" s="1016">
        <v>5</v>
      </c>
      <c r="AK734" s="1016">
        <v>8</v>
      </c>
      <c r="AL734" s="1016">
        <v>8</v>
      </c>
      <c r="AM734" s="1016">
        <v>8</v>
      </c>
      <c r="AN734" s="1016">
        <v>10</v>
      </c>
      <c r="AO734" s="1016">
        <v>11</v>
      </c>
      <c r="AP734" s="1016">
        <v>13</v>
      </c>
      <c r="AQ734" s="1016">
        <v>12</v>
      </c>
      <c r="AR734" s="1016">
        <v>14</v>
      </c>
      <c r="AS734" s="1016">
        <v>130</v>
      </c>
    </row>
    <row r="735" spans="2:45" outlineLevel="1">
      <c r="B735" s="1387" t="s">
        <v>1348</v>
      </c>
      <c r="AB735" s="1016">
        <v>1</v>
      </c>
      <c r="AC735" s="1016">
        <v>1</v>
      </c>
      <c r="AD735" s="1016">
        <v>1</v>
      </c>
      <c r="AE735" s="1016">
        <v>1</v>
      </c>
      <c r="AF735" s="1016">
        <v>1</v>
      </c>
      <c r="AG735" s="1016">
        <v>0</v>
      </c>
      <c r="AH735" s="1016">
        <v>0</v>
      </c>
      <c r="AI735" s="1016">
        <v>0</v>
      </c>
      <c r="AJ735" s="1016">
        <v>0</v>
      </c>
      <c r="AK735" s="1016">
        <v>1</v>
      </c>
      <c r="AL735" s="1016">
        <v>1</v>
      </c>
      <c r="AM735" s="1016">
        <v>1</v>
      </c>
      <c r="AN735" s="1016">
        <v>1</v>
      </c>
      <c r="AO735" s="1016">
        <v>2</v>
      </c>
      <c r="AP735" s="1016">
        <v>5</v>
      </c>
      <c r="AQ735" s="1016">
        <v>6</v>
      </c>
      <c r="AR735" s="1016">
        <v>6</v>
      </c>
      <c r="AS735" s="1016">
        <v>28</v>
      </c>
    </row>
    <row r="736" spans="2:45" outlineLevel="1">
      <c r="B736" s="1387" t="s">
        <v>1420</v>
      </c>
      <c r="AD736" s="1016">
        <v>0</v>
      </c>
      <c r="AE736" s="1016">
        <v>0</v>
      </c>
      <c r="AF736" s="1016">
        <v>0</v>
      </c>
      <c r="AG736" s="1016">
        <v>0</v>
      </c>
      <c r="AH736" s="1016">
        <v>0</v>
      </c>
      <c r="AI736" s="1016">
        <v>2</v>
      </c>
      <c r="AJ736" s="1016">
        <v>3</v>
      </c>
      <c r="AK736" s="1016">
        <v>4</v>
      </c>
      <c r="AL736" s="1016">
        <v>6</v>
      </c>
      <c r="AM736" s="1016">
        <v>7</v>
      </c>
      <c r="AN736" s="1016">
        <v>7</v>
      </c>
      <c r="AO736" s="1016">
        <v>7</v>
      </c>
      <c r="AP736" s="1016">
        <v>6</v>
      </c>
      <c r="AQ736" s="1016">
        <v>7</v>
      </c>
      <c r="AR736" s="1016">
        <v>6</v>
      </c>
      <c r="AS736" s="1016">
        <v>55</v>
      </c>
    </row>
    <row r="737" spans="2:45" outlineLevel="1">
      <c r="B737" s="1387" t="s">
        <v>1566</v>
      </c>
      <c r="AF737" s="1016">
        <v>0</v>
      </c>
      <c r="AG737" s="1016">
        <v>0</v>
      </c>
      <c r="AH737" s="1016">
        <v>0</v>
      </c>
      <c r="AI737" s="1016">
        <v>0</v>
      </c>
      <c r="AJ737" s="1016">
        <v>0</v>
      </c>
      <c r="AK737" s="1016">
        <v>0</v>
      </c>
      <c r="AL737" s="1016">
        <v>0</v>
      </c>
      <c r="AM737" s="1016">
        <v>1</v>
      </c>
      <c r="AS737" s="1016">
        <v>1</v>
      </c>
    </row>
    <row r="738" spans="2:45" outlineLevel="1">
      <c r="B738" s="1387" t="s">
        <v>1670</v>
      </c>
      <c r="AF738" s="1016">
        <v>0</v>
      </c>
      <c r="AG738" s="1016">
        <v>0</v>
      </c>
      <c r="AH738" s="1016">
        <v>0</v>
      </c>
      <c r="AI738" s="1016">
        <v>0</v>
      </c>
      <c r="AJ738" s="1016">
        <v>0</v>
      </c>
      <c r="AK738" s="1016">
        <v>0</v>
      </c>
      <c r="AL738" s="1016">
        <v>0</v>
      </c>
      <c r="AM738" s="1016">
        <v>0</v>
      </c>
      <c r="AN738" s="1016">
        <v>4</v>
      </c>
      <c r="AO738" s="1016">
        <v>5</v>
      </c>
      <c r="AS738" s="1016">
        <v>9</v>
      </c>
    </row>
    <row r="739" spans="2:45" outlineLevel="1">
      <c r="B739" s="1387" t="s">
        <v>1571</v>
      </c>
      <c r="AF739" s="1016">
        <v>0</v>
      </c>
      <c r="AG739" s="1016">
        <v>0</v>
      </c>
      <c r="AH739" s="1016">
        <v>1</v>
      </c>
      <c r="AI739" s="1016">
        <v>1</v>
      </c>
      <c r="AJ739" s="1016">
        <v>1</v>
      </c>
      <c r="AK739" s="1016">
        <v>1</v>
      </c>
      <c r="AL739" s="1016">
        <v>0</v>
      </c>
      <c r="AM739" s="1016">
        <v>0</v>
      </c>
      <c r="AN739" s="1016">
        <v>0</v>
      </c>
      <c r="AO739" s="1016">
        <v>3</v>
      </c>
      <c r="AP739" s="1016">
        <v>3</v>
      </c>
      <c r="AQ739" s="1016">
        <v>4</v>
      </c>
      <c r="AR739" s="1016">
        <v>5</v>
      </c>
      <c r="AS739" s="1016">
        <v>19</v>
      </c>
    </row>
    <row r="740" spans="2:45" outlineLevel="1">
      <c r="B740" s="1387" t="s">
        <v>1564</v>
      </c>
      <c r="AD740" s="1016">
        <v>0</v>
      </c>
      <c r="AE740" s="1016">
        <v>0</v>
      </c>
      <c r="AF740" s="1016">
        <v>1</v>
      </c>
      <c r="AG740" s="1016">
        <v>1</v>
      </c>
      <c r="AH740" s="1016">
        <v>1</v>
      </c>
      <c r="AI740" s="1016">
        <v>0</v>
      </c>
      <c r="AJ740" s="1016">
        <v>0</v>
      </c>
      <c r="AK740" s="1016">
        <v>1</v>
      </c>
      <c r="AL740" s="1016">
        <v>3</v>
      </c>
      <c r="AM740" s="1016">
        <v>3</v>
      </c>
      <c r="AN740" s="1016">
        <v>5</v>
      </c>
      <c r="AO740" s="1016">
        <v>5</v>
      </c>
      <c r="AP740" s="1016">
        <v>5</v>
      </c>
      <c r="AQ740" s="1016">
        <v>5</v>
      </c>
      <c r="AR740" s="1016">
        <v>5</v>
      </c>
      <c r="AS740" s="1016">
        <v>35</v>
      </c>
    </row>
    <row r="741" spans="2:45" outlineLevel="1">
      <c r="B741" s="1387" t="s">
        <v>1766</v>
      </c>
      <c r="T741" s="1016">
        <v>0</v>
      </c>
      <c r="U741" s="1016">
        <v>0</v>
      </c>
      <c r="V741" s="1016">
        <v>0</v>
      </c>
      <c r="W741" s="1016">
        <v>0</v>
      </c>
      <c r="X741" s="1016">
        <v>0</v>
      </c>
      <c r="Y741" s="1016">
        <v>0</v>
      </c>
      <c r="Z741" s="1016">
        <v>0</v>
      </c>
      <c r="AA741" s="1016">
        <v>1</v>
      </c>
      <c r="AB741" s="1016">
        <v>1</v>
      </c>
      <c r="AC741" s="1016">
        <v>1</v>
      </c>
      <c r="AD741" s="1016">
        <v>1</v>
      </c>
      <c r="AE741" s="1016">
        <v>0</v>
      </c>
      <c r="AF741" s="1016">
        <v>2</v>
      </c>
      <c r="AG741" s="1016">
        <v>4</v>
      </c>
      <c r="AH741" s="1016">
        <v>4</v>
      </c>
      <c r="AI741" s="1016">
        <v>4</v>
      </c>
      <c r="AJ741" s="1016">
        <v>4</v>
      </c>
      <c r="AK741" s="1016">
        <v>4</v>
      </c>
      <c r="AL741" s="1016">
        <v>3</v>
      </c>
      <c r="AM741" s="1016">
        <v>3</v>
      </c>
      <c r="AN741" s="1016">
        <v>3</v>
      </c>
      <c r="AO741" s="1016">
        <v>3</v>
      </c>
      <c r="AP741" s="1016">
        <v>4</v>
      </c>
      <c r="AQ741" s="1016">
        <v>4</v>
      </c>
      <c r="AR741" s="1016">
        <v>5</v>
      </c>
      <c r="AS741" s="1016">
        <v>51</v>
      </c>
    </row>
    <row r="742" spans="2:45" outlineLevel="1">
      <c r="B742" s="1387" t="s">
        <v>1768</v>
      </c>
      <c r="U742" s="1016">
        <v>0</v>
      </c>
      <c r="V742" s="1016">
        <v>0</v>
      </c>
      <c r="W742" s="1016">
        <v>0</v>
      </c>
      <c r="X742" s="1016">
        <v>0</v>
      </c>
      <c r="Y742" s="1016">
        <v>0</v>
      </c>
      <c r="Z742" s="1016">
        <v>0</v>
      </c>
      <c r="AA742" s="1016">
        <v>0</v>
      </c>
      <c r="AB742" s="1016">
        <v>1</v>
      </c>
      <c r="AC742" s="1016">
        <v>2</v>
      </c>
      <c r="AD742" s="1016">
        <v>2</v>
      </c>
      <c r="AE742" s="1016">
        <v>2</v>
      </c>
      <c r="AF742" s="1016">
        <v>2</v>
      </c>
      <c r="AG742" s="1016">
        <v>2</v>
      </c>
      <c r="AH742" s="1016">
        <v>2</v>
      </c>
      <c r="AI742" s="1016">
        <v>2</v>
      </c>
      <c r="AJ742" s="1016">
        <v>2</v>
      </c>
      <c r="AK742" s="1016">
        <v>2</v>
      </c>
      <c r="AL742" s="1016">
        <v>2</v>
      </c>
      <c r="AM742" s="1016">
        <v>2</v>
      </c>
      <c r="AN742" s="1016">
        <v>2</v>
      </c>
      <c r="AO742" s="1016">
        <v>2</v>
      </c>
      <c r="AP742" s="1016">
        <v>8</v>
      </c>
      <c r="AQ742" s="1016">
        <v>9</v>
      </c>
      <c r="AS742" s="1016">
        <v>44</v>
      </c>
    </row>
    <row r="743" spans="2:45" outlineLevel="1">
      <c r="B743" s="1387" t="s">
        <v>1771</v>
      </c>
      <c r="AD743" s="1016">
        <v>0</v>
      </c>
      <c r="AE743" s="1016">
        <v>3</v>
      </c>
      <c r="AF743" s="1016">
        <v>3</v>
      </c>
      <c r="AG743" s="1016">
        <v>3</v>
      </c>
      <c r="AH743" s="1016">
        <v>3</v>
      </c>
      <c r="AI743" s="1016">
        <v>3</v>
      </c>
      <c r="AJ743" s="1016">
        <v>4</v>
      </c>
      <c r="AK743" s="1016">
        <v>4</v>
      </c>
      <c r="AL743" s="1016">
        <v>3</v>
      </c>
      <c r="AM743" s="1016">
        <v>1</v>
      </c>
      <c r="AN743" s="1016">
        <v>1</v>
      </c>
      <c r="AO743" s="1016">
        <v>1</v>
      </c>
      <c r="AP743" s="1016">
        <v>2</v>
      </c>
      <c r="AQ743" s="1016">
        <v>2</v>
      </c>
      <c r="AS743" s="1016">
        <v>33</v>
      </c>
    </row>
    <row r="744" spans="2:45" outlineLevel="1">
      <c r="B744" s="1387" t="s">
        <v>1774</v>
      </c>
      <c r="AA744" s="1016">
        <v>5</v>
      </c>
      <c r="AB744" s="1016">
        <v>5</v>
      </c>
      <c r="AC744" s="1016">
        <v>7</v>
      </c>
      <c r="AD744" s="1016">
        <v>5</v>
      </c>
      <c r="AE744" s="1016">
        <v>5</v>
      </c>
      <c r="AF744" s="1016">
        <v>4</v>
      </c>
      <c r="AG744" s="1016">
        <v>8</v>
      </c>
      <c r="AH744" s="1016">
        <v>7</v>
      </c>
      <c r="AI744" s="1016">
        <v>7</v>
      </c>
      <c r="AJ744" s="1016">
        <v>10</v>
      </c>
      <c r="AK744" s="1016">
        <v>10</v>
      </c>
      <c r="AL744" s="1016">
        <v>9</v>
      </c>
      <c r="AM744" s="1016">
        <v>8</v>
      </c>
      <c r="AN744" s="1016">
        <v>7</v>
      </c>
      <c r="AO744" s="1016">
        <v>7</v>
      </c>
      <c r="AP744" s="1016">
        <v>6</v>
      </c>
      <c r="AQ744" s="1016">
        <v>5</v>
      </c>
      <c r="AR744" s="1016">
        <v>7</v>
      </c>
      <c r="AS744" s="1016">
        <v>122</v>
      </c>
    </row>
    <row r="745" spans="2:45" outlineLevel="1">
      <c r="B745" s="1387" t="s">
        <v>1028</v>
      </c>
      <c r="AE745" s="1016">
        <v>1</v>
      </c>
      <c r="AF745" s="1016">
        <v>1</v>
      </c>
      <c r="AG745" s="1016">
        <v>1</v>
      </c>
      <c r="AH745" s="1016">
        <v>1</v>
      </c>
      <c r="AI745" s="1016">
        <v>1</v>
      </c>
      <c r="AJ745" s="1016">
        <v>4</v>
      </c>
      <c r="AK745" s="1016">
        <v>5</v>
      </c>
      <c r="AL745" s="1016">
        <v>5</v>
      </c>
      <c r="AM745" s="1016">
        <v>7</v>
      </c>
      <c r="AN745" s="1016">
        <v>7</v>
      </c>
      <c r="AO745" s="1016">
        <v>7</v>
      </c>
      <c r="AP745" s="1016">
        <v>9</v>
      </c>
      <c r="AQ745" s="1016">
        <v>9</v>
      </c>
      <c r="AR745" s="1016">
        <v>10</v>
      </c>
      <c r="AS745" s="1016">
        <v>68</v>
      </c>
    </row>
    <row r="746" spans="2:45" outlineLevel="1">
      <c r="B746" s="1387" t="s">
        <v>1569</v>
      </c>
      <c r="AE746" s="1016">
        <v>0</v>
      </c>
      <c r="AF746" s="1016">
        <v>0</v>
      </c>
      <c r="AG746" s="1016">
        <v>0</v>
      </c>
      <c r="AH746" s="1016">
        <v>0</v>
      </c>
      <c r="AI746" s="1016">
        <v>1</v>
      </c>
      <c r="AJ746" s="1016">
        <v>1</v>
      </c>
      <c r="AK746" s="1016">
        <v>1</v>
      </c>
      <c r="AL746" s="1016">
        <v>1</v>
      </c>
      <c r="AM746" s="1016">
        <v>1</v>
      </c>
      <c r="AN746" s="1016">
        <v>1</v>
      </c>
      <c r="AO746" s="1016">
        <v>1</v>
      </c>
      <c r="AP746" s="1016">
        <v>4</v>
      </c>
      <c r="AQ746" s="1016">
        <v>4</v>
      </c>
      <c r="AR746" s="1016">
        <v>4</v>
      </c>
      <c r="AS746" s="1016">
        <v>19</v>
      </c>
    </row>
    <row r="747" spans="2:45" outlineLevel="1">
      <c r="B747" s="1387" t="s">
        <v>1573</v>
      </c>
      <c r="AE747" s="1016">
        <v>0</v>
      </c>
      <c r="AF747" s="1016">
        <v>0</v>
      </c>
      <c r="AG747" s="1016">
        <v>0</v>
      </c>
      <c r="AH747" s="1016">
        <v>0</v>
      </c>
      <c r="AI747" s="1016">
        <v>0</v>
      </c>
      <c r="AJ747" s="1016">
        <v>0</v>
      </c>
      <c r="AK747" s="1016">
        <v>0</v>
      </c>
      <c r="AL747" s="1016">
        <v>0</v>
      </c>
      <c r="AM747" s="1016">
        <v>3</v>
      </c>
      <c r="AN747" s="1016">
        <v>3</v>
      </c>
      <c r="AO747" s="1016">
        <v>4</v>
      </c>
      <c r="AP747" s="1016">
        <v>7</v>
      </c>
      <c r="AQ747" s="1016">
        <v>5</v>
      </c>
      <c r="AR747" s="1016">
        <v>6</v>
      </c>
      <c r="AS747" s="1016">
        <v>28</v>
      </c>
    </row>
    <row r="748" spans="2:45" outlineLevel="1">
      <c r="B748" s="1387" t="s">
        <v>1770</v>
      </c>
      <c r="O748" s="1016">
        <v>0</v>
      </c>
      <c r="P748" s="1016">
        <v>0</v>
      </c>
      <c r="Q748" s="1016">
        <v>0</v>
      </c>
      <c r="R748" s="1016">
        <v>0</v>
      </c>
      <c r="S748" s="1016">
        <v>0</v>
      </c>
      <c r="T748" s="1016">
        <v>0</v>
      </c>
      <c r="U748" s="1016">
        <v>0</v>
      </c>
      <c r="V748" s="1016">
        <v>0</v>
      </c>
      <c r="W748" s="1016">
        <v>0</v>
      </c>
      <c r="X748" s="1016">
        <v>0</v>
      </c>
      <c r="Y748" s="1016">
        <v>0</v>
      </c>
      <c r="Z748" s="1016">
        <v>0</v>
      </c>
      <c r="AA748" s="1016">
        <v>1</v>
      </c>
      <c r="AB748" s="1016">
        <v>2</v>
      </c>
      <c r="AC748" s="1016">
        <v>3</v>
      </c>
      <c r="AD748" s="1016">
        <v>3</v>
      </c>
      <c r="AE748" s="1016">
        <v>4</v>
      </c>
      <c r="AF748" s="1016">
        <v>4</v>
      </c>
      <c r="AS748" s="1016">
        <v>17</v>
      </c>
    </row>
    <row r="749" spans="2:45" outlineLevel="1">
      <c r="B749" s="1387" t="s">
        <v>1777</v>
      </c>
      <c r="R749" s="1016">
        <v>0</v>
      </c>
      <c r="S749" s="1016">
        <v>0</v>
      </c>
      <c r="T749" s="1016">
        <v>0</v>
      </c>
      <c r="U749" s="1016">
        <v>0</v>
      </c>
      <c r="V749" s="1016">
        <v>0</v>
      </c>
      <c r="W749" s="1016">
        <v>0</v>
      </c>
      <c r="X749" s="1016">
        <v>0</v>
      </c>
      <c r="Y749" s="1016">
        <v>3</v>
      </c>
      <c r="Z749" s="1016">
        <v>3</v>
      </c>
      <c r="AA749" s="1016">
        <v>5</v>
      </c>
      <c r="AB749" s="1016">
        <v>5</v>
      </c>
      <c r="AC749" s="1016">
        <v>5</v>
      </c>
      <c r="AD749" s="1016">
        <v>5</v>
      </c>
      <c r="AE749" s="1016">
        <v>5</v>
      </c>
      <c r="AF749" s="1016">
        <v>5</v>
      </c>
      <c r="AG749" s="1016">
        <v>5</v>
      </c>
      <c r="AH749" s="1016">
        <v>5</v>
      </c>
      <c r="AI749" s="1016">
        <v>4</v>
      </c>
      <c r="AJ749" s="1016">
        <v>3</v>
      </c>
      <c r="AK749" s="1016">
        <v>3</v>
      </c>
      <c r="AL749" s="1016">
        <v>3</v>
      </c>
      <c r="AM749" s="1016">
        <v>2</v>
      </c>
      <c r="AN749" s="1016">
        <v>2</v>
      </c>
      <c r="AO749" s="1016">
        <v>2</v>
      </c>
      <c r="AP749" s="1016">
        <v>2</v>
      </c>
      <c r="AS749" s="1016">
        <v>67</v>
      </c>
    </row>
    <row r="750" spans="2:45" outlineLevel="1">
      <c r="B750" s="1387" t="s">
        <v>1773</v>
      </c>
      <c r="V750" s="1016">
        <v>0</v>
      </c>
      <c r="W750" s="1016">
        <v>0</v>
      </c>
      <c r="X750" s="1016">
        <v>0</v>
      </c>
      <c r="Y750" s="1016">
        <v>4</v>
      </c>
      <c r="Z750" s="1016">
        <v>7</v>
      </c>
      <c r="AA750" s="1016">
        <v>3</v>
      </c>
      <c r="AB750" s="1016">
        <v>4</v>
      </c>
      <c r="AC750" s="1016">
        <v>3</v>
      </c>
      <c r="AD750" s="1016">
        <v>3</v>
      </c>
      <c r="AE750" s="1016">
        <v>4</v>
      </c>
      <c r="AF750" s="1016">
        <v>4</v>
      </c>
      <c r="AG750" s="1016">
        <v>4</v>
      </c>
      <c r="AH750" s="1016">
        <v>4</v>
      </c>
      <c r="AI750" s="1016">
        <v>4</v>
      </c>
      <c r="AJ750" s="1016">
        <v>3</v>
      </c>
      <c r="AK750" s="1016">
        <v>3</v>
      </c>
      <c r="AL750" s="1016">
        <v>2</v>
      </c>
      <c r="AM750" s="1016">
        <v>4</v>
      </c>
      <c r="AN750" s="1016">
        <v>3</v>
      </c>
      <c r="AO750" s="1016">
        <v>3</v>
      </c>
      <c r="AP750" s="1016">
        <v>4</v>
      </c>
      <c r="AQ750" s="1016">
        <v>4</v>
      </c>
      <c r="AR750" s="1016">
        <v>1</v>
      </c>
      <c r="AS750" s="1016">
        <v>71</v>
      </c>
    </row>
    <row r="751" spans="2:45" outlineLevel="1">
      <c r="B751" s="1387" t="s">
        <v>1950</v>
      </c>
      <c r="R751" s="1016">
        <v>0</v>
      </c>
      <c r="S751" s="1016">
        <v>0</v>
      </c>
      <c r="T751" s="1016">
        <v>3</v>
      </c>
      <c r="U751" s="1016">
        <v>2</v>
      </c>
      <c r="V751" s="1016">
        <v>2</v>
      </c>
      <c r="W751" s="1016">
        <v>2</v>
      </c>
      <c r="X751" s="1016">
        <v>3</v>
      </c>
      <c r="Y751" s="1016">
        <v>3</v>
      </c>
      <c r="Z751" s="1016">
        <v>4</v>
      </c>
      <c r="AA751" s="1016">
        <v>4</v>
      </c>
      <c r="AB751" s="1016">
        <v>4</v>
      </c>
      <c r="AC751" s="1016">
        <v>5</v>
      </c>
      <c r="AD751" s="1016">
        <v>5</v>
      </c>
      <c r="AE751" s="1016">
        <v>4</v>
      </c>
      <c r="AF751" s="1016">
        <v>4</v>
      </c>
      <c r="AG751" s="1016">
        <v>4</v>
      </c>
      <c r="AH751" s="1016">
        <v>4</v>
      </c>
      <c r="AI751" s="1016">
        <v>4</v>
      </c>
      <c r="AJ751" s="1016">
        <v>5</v>
      </c>
      <c r="AK751" s="1016">
        <v>2</v>
      </c>
      <c r="AL751" s="1016">
        <v>2</v>
      </c>
      <c r="AM751" s="1016">
        <v>2</v>
      </c>
      <c r="AN751" s="1016">
        <v>2</v>
      </c>
      <c r="AO751" s="1016">
        <v>2</v>
      </c>
      <c r="AP751" s="1016">
        <v>2</v>
      </c>
      <c r="AS751" s="1016">
        <v>74</v>
      </c>
    </row>
    <row r="752" spans="2:45" outlineLevel="1">
      <c r="B752" s="1387" t="s">
        <v>2054</v>
      </c>
      <c r="AI752" s="1016">
        <v>0</v>
      </c>
      <c r="AJ752" s="1016">
        <v>0</v>
      </c>
      <c r="AK752" s="1016">
        <v>0</v>
      </c>
      <c r="AL752" s="1016">
        <v>0</v>
      </c>
      <c r="AM752" s="1016">
        <v>0</v>
      </c>
      <c r="AN752" s="1016">
        <v>0</v>
      </c>
      <c r="AO752" s="1016">
        <v>0</v>
      </c>
      <c r="AP752" s="1016">
        <v>1</v>
      </c>
      <c r="AQ752" s="1016">
        <v>2</v>
      </c>
      <c r="AR752" s="1016">
        <v>3</v>
      </c>
      <c r="AS752" s="1016">
        <v>6</v>
      </c>
    </row>
    <row r="753" spans="2:45" outlineLevel="1">
      <c r="B753" s="1387" t="s">
        <v>2705</v>
      </c>
      <c r="AO753" s="1016">
        <v>0</v>
      </c>
      <c r="AP753" s="1016">
        <v>0</v>
      </c>
      <c r="AQ753" s="1016">
        <v>0</v>
      </c>
      <c r="AR753" s="1016">
        <v>0</v>
      </c>
      <c r="AS753" s="1016">
        <v>0</v>
      </c>
    </row>
    <row r="754" spans="2:45" outlineLevel="1">
      <c r="B754" s="1387" t="s">
        <v>2706</v>
      </c>
      <c r="AO754" s="1016">
        <v>0</v>
      </c>
      <c r="AP754" s="1016">
        <v>0</v>
      </c>
      <c r="AQ754" s="1016">
        <v>0</v>
      </c>
      <c r="AR754" s="1016">
        <v>0</v>
      </c>
      <c r="AS754" s="1016">
        <v>0</v>
      </c>
    </row>
    <row r="755" spans="2:45" outlineLevel="1">
      <c r="B755" s="1387" t="s">
        <v>2707</v>
      </c>
      <c r="AO755" s="1016">
        <v>0</v>
      </c>
      <c r="AP755" s="1016">
        <v>0</v>
      </c>
      <c r="AQ755" s="1016">
        <v>0</v>
      </c>
      <c r="AS755" s="1016">
        <v>0</v>
      </c>
    </row>
    <row r="756" spans="2:45" outlineLevel="1">
      <c r="B756" s="1387" t="s">
        <v>2709</v>
      </c>
      <c r="AO756" s="1016">
        <v>0</v>
      </c>
      <c r="AP756" s="1016">
        <v>0</v>
      </c>
      <c r="AQ756" s="1016">
        <v>0</v>
      </c>
      <c r="AR756" s="1016">
        <v>4</v>
      </c>
      <c r="AS756" s="1016">
        <v>4</v>
      </c>
    </row>
    <row r="757" spans="2:45" outlineLevel="1">
      <c r="B757" s="1387" t="s">
        <v>2711</v>
      </c>
      <c r="AO757" s="1016">
        <v>0</v>
      </c>
      <c r="AP757" s="1016">
        <v>0</v>
      </c>
      <c r="AQ757" s="1016">
        <v>0</v>
      </c>
      <c r="AR757" s="1016">
        <v>3</v>
      </c>
      <c r="AS757" s="1016">
        <v>3</v>
      </c>
    </row>
    <row r="758" spans="2:45" outlineLevel="1">
      <c r="B758" s="1387" t="s">
        <v>3169</v>
      </c>
      <c r="AQ758" s="1016">
        <v>0</v>
      </c>
      <c r="AR758" s="1016">
        <v>0</v>
      </c>
      <c r="AS758" s="1016">
        <v>0</v>
      </c>
    </row>
    <row r="759" spans="2:45" outlineLevel="1">
      <c r="B759" s="1387" t="s">
        <v>1410</v>
      </c>
      <c r="AQ759" s="1016">
        <v>0</v>
      </c>
      <c r="AR759" s="1016">
        <v>0</v>
      </c>
      <c r="AS759" s="1016">
        <v>0</v>
      </c>
    </row>
    <row r="760" spans="2:45" outlineLevel="1">
      <c r="B760" s="1387" t="s">
        <v>2897</v>
      </c>
      <c r="AQ760" s="1016">
        <v>1</v>
      </c>
      <c r="AR760" s="1016">
        <v>1</v>
      </c>
      <c r="AS760" s="1016">
        <v>2</v>
      </c>
    </row>
    <row r="761" spans="2:45" outlineLevel="1">
      <c r="B761" s="1387" t="s">
        <v>3184</v>
      </c>
      <c r="AQ761" s="1016">
        <v>7</v>
      </c>
      <c r="AR761" s="1016">
        <v>5</v>
      </c>
      <c r="AS761" s="1016">
        <v>12</v>
      </c>
    </row>
    <row r="762" spans="2:45" outlineLevel="1">
      <c r="B762" s="1387" t="s">
        <v>3180</v>
      </c>
      <c r="AQ762" s="1016">
        <v>2</v>
      </c>
      <c r="AR762" s="1016">
        <v>2</v>
      </c>
      <c r="AS762" s="1016">
        <v>4</v>
      </c>
    </row>
    <row r="763" spans="2:45" outlineLevel="1">
      <c r="B763" s="1387" t="s">
        <v>3189</v>
      </c>
      <c r="AQ763" s="1016">
        <v>0</v>
      </c>
      <c r="AR763" s="1016">
        <v>0</v>
      </c>
      <c r="AS763" s="1016">
        <v>0</v>
      </c>
    </row>
    <row r="764" spans="2:45" outlineLevel="1">
      <c r="B764" s="1387" t="s">
        <v>3190</v>
      </c>
      <c r="AQ764" s="1016">
        <v>11</v>
      </c>
      <c r="AR764" s="1016">
        <v>8</v>
      </c>
      <c r="AS764" s="1016">
        <v>19</v>
      </c>
    </row>
    <row r="765" spans="2:45" outlineLevel="1">
      <c r="B765" s="1387" t="s">
        <v>3191</v>
      </c>
      <c r="AQ765" s="1016">
        <v>6</v>
      </c>
      <c r="AR765" s="1016">
        <v>7</v>
      </c>
      <c r="AS765" s="1016">
        <v>13</v>
      </c>
    </row>
    <row r="766" spans="2:45" outlineLevel="1">
      <c r="B766" s="1387" t="s">
        <v>3528</v>
      </c>
      <c r="AR766" s="1016">
        <v>0</v>
      </c>
      <c r="AS766" s="1016">
        <v>0</v>
      </c>
    </row>
    <row r="767" spans="2:45" outlineLevel="1">
      <c r="B767" s="1387" t="s">
        <v>3529</v>
      </c>
      <c r="AR767" s="1016">
        <v>14</v>
      </c>
      <c r="AS767" s="1016">
        <v>14</v>
      </c>
    </row>
    <row r="768" spans="2:45" outlineLevel="1">
      <c r="B768" s="1387" t="s">
        <v>3530</v>
      </c>
      <c r="AR768" s="1016">
        <v>9</v>
      </c>
      <c r="AS768" s="1016">
        <v>9</v>
      </c>
    </row>
    <row r="769" spans="2:45" outlineLevel="1">
      <c r="B769" s="1387" t="s">
        <v>3575</v>
      </c>
      <c r="AR769" s="1016">
        <v>1</v>
      </c>
      <c r="AS769" s="1016">
        <v>1</v>
      </c>
    </row>
    <row r="770" spans="2:45" outlineLevel="1">
      <c r="B770" s="1387" t="s">
        <v>3519</v>
      </c>
      <c r="AR770" s="1016">
        <v>1</v>
      </c>
      <c r="AS770" s="1016">
        <v>1</v>
      </c>
    </row>
    <row r="771" spans="2:45" outlineLevel="1">
      <c r="B771" s="1387" t="s">
        <v>3521</v>
      </c>
      <c r="AR771" s="1016">
        <v>1</v>
      </c>
      <c r="AS771" s="1016">
        <v>1</v>
      </c>
    </row>
    <row r="772" spans="2:45" outlineLevel="1">
      <c r="B772" s="1387" t="s">
        <v>3523</v>
      </c>
      <c r="AR772" s="1016">
        <v>0</v>
      </c>
      <c r="AS772" s="1016">
        <v>0</v>
      </c>
    </row>
    <row r="773" spans="2:45" outlineLevel="1">
      <c r="B773" s="1387" t="s">
        <v>3573</v>
      </c>
      <c r="AR773" s="1016">
        <v>5</v>
      </c>
      <c r="AS773" s="1016">
        <v>5</v>
      </c>
    </row>
    <row r="774" spans="2:45" outlineLevel="1">
      <c r="B774" s="1387" t="s">
        <v>3525</v>
      </c>
      <c r="AR774" s="1016">
        <v>0</v>
      </c>
      <c r="AS774" s="1016">
        <v>0</v>
      </c>
    </row>
    <row r="775" spans="2:45" outlineLevel="1">
      <c r="B775" s="1387" t="s">
        <v>274</v>
      </c>
      <c r="C775" s="1016">
        <v>1</v>
      </c>
      <c r="D775" s="1016">
        <v>1</v>
      </c>
      <c r="E775" s="1016">
        <v>1</v>
      </c>
      <c r="F775" s="1016">
        <v>7</v>
      </c>
      <c r="G775" s="1016">
        <v>7</v>
      </c>
      <c r="H775" s="1016">
        <v>7</v>
      </c>
      <c r="I775" s="1016">
        <v>12</v>
      </c>
      <c r="J775" s="1016">
        <v>14</v>
      </c>
      <c r="K775" s="1016">
        <v>11</v>
      </c>
      <c r="L775" s="1016">
        <v>11</v>
      </c>
      <c r="M775" s="1016">
        <v>14</v>
      </c>
      <c r="N775" s="1016">
        <v>19</v>
      </c>
      <c r="O775" s="1016">
        <v>32</v>
      </c>
      <c r="P775" s="1016">
        <v>35</v>
      </c>
      <c r="Q775" s="1016">
        <v>38</v>
      </c>
      <c r="R775" s="1016">
        <v>33</v>
      </c>
      <c r="S775" s="1016">
        <v>32</v>
      </c>
      <c r="T775" s="1016">
        <v>28</v>
      </c>
      <c r="U775" s="1016">
        <v>28</v>
      </c>
      <c r="V775" s="1016">
        <v>32</v>
      </c>
      <c r="W775" s="1016">
        <v>38</v>
      </c>
      <c r="X775" s="1016">
        <v>39</v>
      </c>
      <c r="Y775" s="1016">
        <v>52</v>
      </c>
      <c r="Z775" s="1016">
        <v>76</v>
      </c>
      <c r="AA775" s="1016">
        <v>104</v>
      </c>
      <c r="AB775" s="1016">
        <v>123</v>
      </c>
      <c r="AC775" s="1016">
        <v>136</v>
      </c>
      <c r="AD775" s="1016">
        <v>134</v>
      </c>
      <c r="AE775" s="1016">
        <v>138</v>
      </c>
      <c r="AF775" s="1016">
        <v>123</v>
      </c>
      <c r="AG775" s="1016">
        <v>108</v>
      </c>
      <c r="AH775" s="1016">
        <v>102</v>
      </c>
      <c r="AI775" s="1016">
        <v>102</v>
      </c>
      <c r="AJ775" s="1016">
        <v>118</v>
      </c>
      <c r="AK775" s="1016">
        <v>133</v>
      </c>
      <c r="AL775" s="1016">
        <v>137</v>
      </c>
      <c r="AM775" s="1016">
        <v>145</v>
      </c>
      <c r="AN775" s="1016">
        <v>157</v>
      </c>
      <c r="AO775" s="1016">
        <v>171</v>
      </c>
      <c r="AP775" s="1016">
        <v>204</v>
      </c>
      <c r="AQ775" s="1016">
        <v>209</v>
      </c>
      <c r="AR775" s="1016">
        <v>201</v>
      </c>
      <c r="AS775" s="1016">
        <v>3113</v>
      </c>
    </row>
    <row r="776" spans="2:45" outlineLevel="1">
      <c r="B776" s="1387"/>
    </row>
    <row r="777" spans="2:45" outlineLevel="1">
      <c r="B777" s="1387"/>
    </row>
    <row r="778" spans="2:45" outlineLevel="1">
      <c r="B778" s="1387"/>
    </row>
    <row r="779" spans="2:45" outlineLevel="1">
      <c r="B779" s="1387"/>
    </row>
    <row r="780" spans="2:45" outlineLevel="1">
      <c r="B780" s="1387"/>
    </row>
    <row r="781" spans="2:45" outlineLevel="1">
      <c r="B781" s="1387"/>
    </row>
    <row r="782" spans="2:45" outlineLevel="1">
      <c r="B782" s="1387"/>
    </row>
    <row r="783" spans="2:45" ht="12" customHeight="1" outlineLevel="1">
      <c r="B783" s="1387"/>
    </row>
    <row r="784" spans="2:45" outlineLevel="1">
      <c r="B784" s="1387"/>
    </row>
    <row r="785" spans="2:45" outlineLevel="1">
      <c r="B785" s="1387"/>
    </row>
    <row r="786" spans="2:45" outlineLevel="1">
      <c r="B786" s="1387"/>
    </row>
    <row r="787" spans="2:45" outlineLevel="1">
      <c r="B787" s="1387"/>
    </row>
    <row r="788" spans="2:45" outlineLevel="1">
      <c r="B788" s="1387"/>
    </row>
    <row r="789" spans="2:45" outlineLevel="1">
      <c r="B789" s="1387"/>
    </row>
    <row r="790" spans="2:45" outlineLevel="1"/>
    <row r="791" spans="2:45" outlineLevel="1">
      <c r="B791" s="1488" t="s">
        <v>391</v>
      </c>
      <c r="C791" s="1487" t="s">
        <v>275</v>
      </c>
    </row>
    <row r="792" spans="2:45" outlineLevel="1">
      <c r="B792" s="1487" t="s">
        <v>253</v>
      </c>
      <c r="C792" s="1016">
        <v>201301</v>
      </c>
      <c r="D792" s="1016">
        <v>201302</v>
      </c>
      <c r="E792" s="1016">
        <v>201303</v>
      </c>
      <c r="F792" s="1016">
        <v>201304</v>
      </c>
      <c r="G792" s="1016">
        <v>201305</v>
      </c>
      <c r="H792" s="1016">
        <v>201306</v>
      </c>
      <c r="I792" s="1016">
        <v>201307</v>
      </c>
      <c r="J792" s="1016">
        <v>201308</v>
      </c>
      <c r="K792" s="1016">
        <v>201309</v>
      </c>
      <c r="L792" s="1016">
        <v>201310</v>
      </c>
      <c r="M792" s="1016">
        <v>201311</v>
      </c>
      <c r="N792" s="1016">
        <v>201312</v>
      </c>
      <c r="O792" s="1016">
        <v>201401</v>
      </c>
      <c r="P792" s="1016">
        <v>201402</v>
      </c>
      <c r="Q792" s="1016">
        <v>201403</v>
      </c>
      <c r="R792" s="1016">
        <v>201404</v>
      </c>
      <c r="S792" s="1016">
        <v>201405</v>
      </c>
      <c r="T792" s="1016">
        <v>201406</v>
      </c>
      <c r="U792" s="1016">
        <v>201407</v>
      </c>
      <c r="V792" s="1016">
        <v>201408</v>
      </c>
      <c r="W792" s="1016">
        <v>201409</v>
      </c>
      <c r="X792" s="1016">
        <v>201410</v>
      </c>
      <c r="Y792" s="1016">
        <v>201411</v>
      </c>
      <c r="Z792" s="1016">
        <v>201412</v>
      </c>
      <c r="AA792" s="1016">
        <v>201501</v>
      </c>
      <c r="AB792" s="1016">
        <v>201502</v>
      </c>
      <c r="AC792" s="1016">
        <v>201503</v>
      </c>
      <c r="AD792" s="1016">
        <v>201504</v>
      </c>
      <c r="AE792" s="1016">
        <v>201505</v>
      </c>
      <c r="AF792" s="1016">
        <v>201506</v>
      </c>
      <c r="AG792" s="1016">
        <v>201507</v>
      </c>
      <c r="AH792" s="1016">
        <v>201508</v>
      </c>
      <c r="AI792" s="1016">
        <v>201509</v>
      </c>
      <c r="AJ792" s="1016">
        <v>201510</v>
      </c>
      <c r="AK792" s="1016">
        <v>201511</v>
      </c>
      <c r="AL792" s="1016">
        <v>201512</v>
      </c>
      <c r="AM792" s="1016">
        <v>201601</v>
      </c>
      <c r="AN792" s="1016">
        <v>201602</v>
      </c>
      <c r="AO792" s="1016">
        <v>201603</v>
      </c>
      <c r="AP792" s="1016">
        <v>201604</v>
      </c>
      <c r="AQ792" s="1016">
        <v>201605</v>
      </c>
      <c r="AR792" s="1016">
        <v>201606</v>
      </c>
      <c r="AS792" s="1016" t="s">
        <v>274</v>
      </c>
    </row>
    <row r="793" spans="2:45" outlineLevel="1">
      <c r="B793" s="1387" t="s">
        <v>191</v>
      </c>
      <c r="E793" s="1016">
        <v>2</v>
      </c>
      <c r="F793" s="1016">
        <v>6</v>
      </c>
      <c r="G793" s="1016">
        <v>10</v>
      </c>
      <c r="H793" s="1016">
        <v>10</v>
      </c>
      <c r="I793" s="1016">
        <v>10</v>
      </c>
      <c r="J793" s="1016">
        <v>11</v>
      </c>
      <c r="K793" s="1016">
        <v>8</v>
      </c>
      <c r="L793" s="1016">
        <v>5</v>
      </c>
      <c r="M793" s="1016">
        <v>4</v>
      </c>
      <c r="N793" s="1016">
        <v>47</v>
      </c>
      <c r="O793" s="1016">
        <v>10</v>
      </c>
      <c r="P793" s="1016">
        <v>5</v>
      </c>
      <c r="Q793" s="1016">
        <v>8</v>
      </c>
      <c r="R793" s="1016">
        <v>4</v>
      </c>
      <c r="S793" s="1016">
        <v>3</v>
      </c>
      <c r="T793" s="1016">
        <v>12</v>
      </c>
      <c r="U793" s="1016">
        <v>8</v>
      </c>
      <c r="V793" s="1016">
        <v>18</v>
      </c>
      <c r="W793" s="1016">
        <v>18</v>
      </c>
      <c r="X793" s="1016">
        <v>5</v>
      </c>
      <c r="Y793" s="1016">
        <v>20</v>
      </c>
      <c r="Z793" s="1016">
        <v>19</v>
      </c>
      <c r="AA793" s="1016">
        <v>27</v>
      </c>
      <c r="AB793" s="1016">
        <v>17</v>
      </c>
      <c r="AC793" s="1016">
        <v>42</v>
      </c>
      <c r="AD793" s="1016">
        <v>28</v>
      </c>
      <c r="AE793" s="1016">
        <v>23</v>
      </c>
      <c r="AF793" s="1016">
        <v>14</v>
      </c>
      <c r="AG793" s="1016">
        <v>10</v>
      </c>
      <c r="AH793" s="1016">
        <v>22</v>
      </c>
      <c r="AI793" s="1016">
        <v>15</v>
      </c>
      <c r="AJ793" s="1016">
        <v>12</v>
      </c>
      <c r="AK793" s="1016">
        <v>29</v>
      </c>
      <c r="AL793" s="1016">
        <v>14</v>
      </c>
      <c r="AM793" s="1016">
        <v>7</v>
      </c>
      <c r="AN793" s="1016">
        <v>2</v>
      </c>
      <c r="AO793" s="1016">
        <v>12</v>
      </c>
      <c r="AP793" s="1016">
        <v>20</v>
      </c>
      <c r="AQ793" s="1016">
        <v>63</v>
      </c>
      <c r="AR793" s="1016">
        <v>147</v>
      </c>
      <c r="AS793" s="1016">
        <v>747</v>
      </c>
    </row>
    <row r="794" spans="2:45" outlineLevel="1">
      <c r="B794" s="1387" t="s">
        <v>189</v>
      </c>
      <c r="E794" s="1016">
        <v>5</v>
      </c>
      <c r="F794" s="1016">
        <v>11</v>
      </c>
      <c r="G794" s="1016">
        <v>8</v>
      </c>
      <c r="H794" s="1016">
        <v>8</v>
      </c>
      <c r="I794" s="1016">
        <v>10</v>
      </c>
      <c r="J794" s="1016">
        <v>5</v>
      </c>
      <c r="K794" s="1016">
        <v>12</v>
      </c>
      <c r="L794" s="1016">
        <v>12</v>
      </c>
      <c r="M794" s="1016">
        <v>15</v>
      </c>
      <c r="N794" s="1016">
        <v>19</v>
      </c>
      <c r="O794" s="1016">
        <v>5</v>
      </c>
      <c r="P794" s="1016">
        <v>8</v>
      </c>
      <c r="Q794" s="1016">
        <v>9</v>
      </c>
      <c r="R794" s="1016">
        <v>19</v>
      </c>
      <c r="S794" s="1016">
        <v>18</v>
      </c>
      <c r="T794" s="1016">
        <v>28</v>
      </c>
      <c r="U794" s="1016">
        <v>21</v>
      </c>
      <c r="V794" s="1016">
        <v>13</v>
      </c>
      <c r="W794" s="1016">
        <v>16</v>
      </c>
      <c r="X794" s="1016">
        <v>16</v>
      </c>
      <c r="Y794" s="1016">
        <v>22</v>
      </c>
      <c r="Z794" s="1016">
        <v>12</v>
      </c>
      <c r="AA794" s="1016">
        <v>13</v>
      </c>
      <c r="AB794" s="1016">
        <v>3</v>
      </c>
      <c r="AC794" s="1016">
        <v>11</v>
      </c>
      <c r="AD794" s="1016">
        <v>32</v>
      </c>
      <c r="AE794" s="1016">
        <v>12</v>
      </c>
      <c r="AF794" s="1016">
        <v>16</v>
      </c>
      <c r="AG794" s="1016">
        <v>12</v>
      </c>
      <c r="AH794" s="1016">
        <v>13</v>
      </c>
      <c r="AI794" s="1016">
        <v>10</v>
      </c>
      <c r="AJ794" s="1016">
        <v>3</v>
      </c>
      <c r="AK794" s="1016">
        <v>3</v>
      </c>
      <c r="AL794" s="1016">
        <v>10</v>
      </c>
      <c r="AM794" s="1016">
        <v>3</v>
      </c>
      <c r="AN794" s="1016">
        <v>5</v>
      </c>
      <c r="AO794" s="1016">
        <v>8</v>
      </c>
      <c r="AP794" s="1016">
        <v>5</v>
      </c>
      <c r="AQ794" s="1016">
        <v>3</v>
      </c>
      <c r="AS794" s="1016">
        <v>454</v>
      </c>
    </row>
    <row r="795" spans="2:45" outlineLevel="1">
      <c r="B795" s="1387" t="s">
        <v>192</v>
      </c>
      <c r="F795" s="1016">
        <v>9</v>
      </c>
      <c r="G795" s="1016">
        <v>13</v>
      </c>
      <c r="H795" s="1016">
        <v>10</v>
      </c>
      <c r="I795" s="1016">
        <v>2</v>
      </c>
      <c r="J795" s="1016">
        <v>10</v>
      </c>
      <c r="K795" s="1016">
        <v>21</v>
      </c>
      <c r="L795" s="1016">
        <v>16</v>
      </c>
      <c r="M795" s="1016">
        <v>15</v>
      </c>
      <c r="N795" s="1016">
        <v>10</v>
      </c>
      <c r="O795" s="1016">
        <v>2</v>
      </c>
      <c r="P795" s="1016">
        <v>6</v>
      </c>
      <c r="Q795" s="1016">
        <v>5</v>
      </c>
      <c r="R795" s="1016">
        <v>7</v>
      </c>
      <c r="S795" s="1016">
        <v>0</v>
      </c>
      <c r="AS795" s="1016">
        <v>126</v>
      </c>
    </row>
    <row r="796" spans="2:45" outlineLevel="1">
      <c r="B796" s="1387" t="s">
        <v>194</v>
      </c>
      <c r="F796" s="1016">
        <v>9</v>
      </c>
      <c r="G796" s="1016">
        <v>11</v>
      </c>
      <c r="H796" s="1016">
        <v>2</v>
      </c>
      <c r="I796" s="1016">
        <v>4</v>
      </c>
      <c r="J796" s="1016">
        <v>7</v>
      </c>
      <c r="K796" s="1016">
        <v>7</v>
      </c>
      <c r="L796" s="1016">
        <v>4</v>
      </c>
      <c r="M796" s="1016">
        <v>7</v>
      </c>
      <c r="N796" s="1016">
        <v>5</v>
      </c>
      <c r="O796" s="1016">
        <v>0</v>
      </c>
      <c r="P796" s="1016">
        <v>3</v>
      </c>
      <c r="Q796" s="1016">
        <v>3</v>
      </c>
      <c r="R796" s="1016">
        <v>7</v>
      </c>
      <c r="S796" s="1016">
        <v>7</v>
      </c>
      <c r="T796" s="1016">
        <v>8</v>
      </c>
      <c r="U796" s="1016">
        <v>2</v>
      </c>
      <c r="V796" s="1016">
        <v>9</v>
      </c>
      <c r="W796" s="1016">
        <v>6</v>
      </c>
      <c r="X796" s="1016">
        <v>6</v>
      </c>
      <c r="Y796" s="1016">
        <v>6</v>
      </c>
      <c r="Z796" s="1016">
        <v>8</v>
      </c>
      <c r="AA796" s="1016">
        <v>3</v>
      </c>
      <c r="AC796" s="1016">
        <v>2</v>
      </c>
      <c r="AD796" s="1016">
        <v>9</v>
      </c>
      <c r="AE796" s="1016">
        <v>11</v>
      </c>
      <c r="AF796" s="1016">
        <v>15</v>
      </c>
      <c r="AG796" s="1016">
        <v>5</v>
      </c>
      <c r="AH796" s="1016">
        <v>9</v>
      </c>
      <c r="AI796" s="1016">
        <v>1</v>
      </c>
      <c r="AJ796" s="1016">
        <v>20</v>
      </c>
      <c r="AK796" s="1016">
        <v>3</v>
      </c>
      <c r="AL796" s="1016">
        <v>11</v>
      </c>
      <c r="AN796" s="1016">
        <v>1</v>
      </c>
      <c r="AO796" s="1016">
        <v>9</v>
      </c>
      <c r="AP796" s="1016">
        <v>3</v>
      </c>
      <c r="AS796" s="1016">
        <v>223</v>
      </c>
    </row>
    <row r="797" spans="2:45" outlineLevel="1">
      <c r="B797" s="1387" t="s">
        <v>190</v>
      </c>
      <c r="E797" s="1016">
        <v>2</v>
      </c>
      <c r="F797" s="1016">
        <v>7</v>
      </c>
      <c r="G797" s="1016">
        <v>2</v>
      </c>
      <c r="H797" s="1016">
        <v>7</v>
      </c>
      <c r="I797" s="1016">
        <v>6</v>
      </c>
      <c r="J797" s="1016">
        <v>7</v>
      </c>
      <c r="K797" s="1016">
        <v>5</v>
      </c>
      <c r="L797" s="1016">
        <v>12</v>
      </c>
      <c r="M797" s="1016">
        <v>6</v>
      </c>
      <c r="N797" s="1016">
        <v>8</v>
      </c>
      <c r="O797" s="1016">
        <v>4</v>
      </c>
      <c r="P797" s="1016">
        <v>2</v>
      </c>
      <c r="Q797" s="1016">
        <v>1</v>
      </c>
      <c r="R797" s="1016">
        <v>8</v>
      </c>
      <c r="S797" s="1016">
        <v>4</v>
      </c>
      <c r="T797" s="1016">
        <v>7</v>
      </c>
      <c r="U797" s="1016">
        <v>2</v>
      </c>
      <c r="V797" s="1016">
        <v>4</v>
      </c>
      <c r="W797" s="1016">
        <v>3</v>
      </c>
      <c r="X797" s="1016">
        <v>4</v>
      </c>
      <c r="Y797" s="1016">
        <v>5</v>
      </c>
      <c r="Z797" s="1016">
        <v>6</v>
      </c>
      <c r="AA797" s="1016">
        <v>5</v>
      </c>
      <c r="AC797" s="1016">
        <v>5</v>
      </c>
      <c r="AD797" s="1016">
        <v>4</v>
      </c>
      <c r="AE797" s="1016">
        <v>5</v>
      </c>
      <c r="AF797" s="1016">
        <v>4</v>
      </c>
      <c r="AG797" s="1016">
        <v>15</v>
      </c>
      <c r="AH797" s="1016">
        <v>12</v>
      </c>
      <c r="AI797" s="1016">
        <v>14</v>
      </c>
      <c r="AJ797" s="1016">
        <v>3</v>
      </c>
      <c r="AK797" s="1016">
        <v>22</v>
      </c>
      <c r="AL797" s="1016">
        <v>8</v>
      </c>
      <c r="AM797" s="1016">
        <v>13</v>
      </c>
      <c r="AN797" s="1016">
        <v>6</v>
      </c>
      <c r="AO797" s="1016">
        <v>19</v>
      </c>
      <c r="AP797" s="1016">
        <v>14</v>
      </c>
      <c r="AS797" s="1016">
        <v>261</v>
      </c>
    </row>
    <row r="798" spans="2:45" outlineLevel="1">
      <c r="B798" s="1387" t="s">
        <v>92</v>
      </c>
      <c r="C798" s="1016">
        <v>2</v>
      </c>
      <c r="D798" s="1016">
        <v>1</v>
      </c>
      <c r="E798" s="1016">
        <v>11</v>
      </c>
      <c r="F798" s="1016">
        <v>2</v>
      </c>
      <c r="G798" s="1016">
        <v>7</v>
      </c>
      <c r="H798" s="1016">
        <v>11</v>
      </c>
      <c r="I798" s="1016">
        <v>4</v>
      </c>
      <c r="J798" s="1016">
        <v>7</v>
      </c>
      <c r="K798" s="1016">
        <v>15</v>
      </c>
      <c r="L798" s="1016">
        <v>14</v>
      </c>
      <c r="M798" s="1016">
        <v>11</v>
      </c>
      <c r="N798" s="1016">
        <v>11</v>
      </c>
      <c r="O798" s="1016">
        <v>8</v>
      </c>
      <c r="P798" s="1016">
        <v>9</v>
      </c>
      <c r="Q798" s="1016">
        <v>14</v>
      </c>
      <c r="R798" s="1016">
        <v>15</v>
      </c>
      <c r="S798" s="1016">
        <v>17</v>
      </c>
      <c r="T798" s="1016">
        <v>11</v>
      </c>
      <c r="U798" s="1016">
        <v>6</v>
      </c>
      <c r="V798" s="1016">
        <v>12</v>
      </c>
      <c r="W798" s="1016">
        <v>14</v>
      </c>
      <c r="X798" s="1016">
        <v>6</v>
      </c>
      <c r="Y798" s="1016">
        <v>2</v>
      </c>
      <c r="Z798" s="1016">
        <v>14</v>
      </c>
      <c r="AA798" s="1016">
        <v>10</v>
      </c>
      <c r="AB798" s="1016">
        <v>3</v>
      </c>
      <c r="AC798" s="1016">
        <v>3</v>
      </c>
      <c r="AD798" s="1016">
        <v>10</v>
      </c>
      <c r="AE798" s="1016">
        <v>6</v>
      </c>
      <c r="AF798" s="1016">
        <v>13</v>
      </c>
      <c r="AG798" s="1016">
        <v>14</v>
      </c>
      <c r="AH798" s="1016">
        <v>10</v>
      </c>
      <c r="AI798" s="1016">
        <v>9</v>
      </c>
      <c r="AJ798" s="1016">
        <v>10</v>
      </c>
      <c r="AK798" s="1016">
        <v>11</v>
      </c>
      <c r="AL798" s="1016">
        <v>9</v>
      </c>
      <c r="AM798" s="1016">
        <v>1</v>
      </c>
      <c r="AN798" s="1016">
        <v>4</v>
      </c>
      <c r="AO798" s="1016">
        <v>17</v>
      </c>
      <c r="AP798" s="1016">
        <v>14</v>
      </c>
      <c r="AQ798" s="1016">
        <v>8</v>
      </c>
      <c r="AS798" s="1016">
        <v>376</v>
      </c>
    </row>
    <row r="799" spans="2:45" outlineLevel="1">
      <c r="B799" s="1387" t="s">
        <v>17</v>
      </c>
      <c r="C799" s="1016">
        <v>4</v>
      </c>
      <c r="D799" s="1016">
        <v>0</v>
      </c>
      <c r="E799" s="1016">
        <v>4</v>
      </c>
      <c r="F799" s="1016">
        <v>4</v>
      </c>
      <c r="G799" s="1016">
        <v>4</v>
      </c>
      <c r="H799" s="1016">
        <v>6</v>
      </c>
      <c r="J799" s="1016">
        <v>1</v>
      </c>
      <c r="K799" s="1016">
        <v>3</v>
      </c>
      <c r="L799" s="1016">
        <v>3</v>
      </c>
      <c r="M799" s="1016">
        <v>1</v>
      </c>
      <c r="N799" s="1016">
        <v>8</v>
      </c>
      <c r="O799" s="1016">
        <v>4</v>
      </c>
      <c r="P799" s="1016">
        <v>6</v>
      </c>
      <c r="Q799" s="1016">
        <v>4</v>
      </c>
      <c r="R799" s="1016">
        <v>7</v>
      </c>
      <c r="S799" s="1016">
        <v>16</v>
      </c>
      <c r="T799" s="1016">
        <v>4</v>
      </c>
      <c r="U799" s="1016">
        <v>4</v>
      </c>
      <c r="V799" s="1016">
        <v>5</v>
      </c>
      <c r="W799" s="1016">
        <v>7</v>
      </c>
      <c r="X799" s="1016">
        <v>1</v>
      </c>
      <c r="Y799" s="1016">
        <v>5</v>
      </c>
      <c r="Z799" s="1016">
        <v>7</v>
      </c>
      <c r="AB799" s="1016">
        <v>1</v>
      </c>
      <c r="AC799" s="1016">
        <v>7</v>
      </c>
      <c r="AD799" s="1016">
        <v>8</v>
      </c>
      <c r="AE799" s="1016">
        <v>1</v>
      </c>
      <c r="AF799" s="1016">
        <v>4</v>
      </c>
      <c r="AG799" s="1016">
        <v>4</v>
      </c>
      <c r="AH799" s="1016">
        <v>3</v>
      </c>
      <c r="AI799" s="1016">
        <v>2</v>
      </c>
      <c r="AJ799" s="1016">
        <v>2</v>
      </c>
      <c r="AK799" s="1016">
        <v>3</v>
      </c>
      <c r="AL799" s="1016">
        <v>3</v>
      </c>
      <c r="AN799" s="1016">
        <v>1</v>
      </c>
      <c r="AO799" s="1016">
        <v>4</v>
      </c>
      <c r="AP799" s="1016">
        <v>1</v>
      </c>
      <c r="AQ799" s="1016">
        <v>2</v>
      </c>
      <c r="AR799" s="1016">
        <v>2</v>
      </c>
      <c r="AS799" s="1016">
        <v>156</v>
      </c>
    </row>
    <row r="800" spans="2:45" outlineLevel="1">
      <c r="B800" s="1387" t="s">
        <v>188</v>
      </c>
      <c r="E800" s="1016">
        <v>6</v>
      </c>
      <c r="F800" s="1016">
        <v>6</v>
      </c>
      <c r="G800" s="1016">
        <v>9</v>
      </c>
      <c r="H800" s="1016">
        <v>8</v>
      </c>
      <c r="I800" s="1016">
        <v>7</v>
      </c>
      <c r="J800" s="1016">
        <v>12</v>
      </c>
      <c r="K800" s="1016">
        <v>12</v>
      </c>
      <c r="L800" s="1016">
        <v>16</v>
      </c>
      <c r="M800" s="1016">
        <v>14</v>
      </c>
      <c r="N800" s="1016">
        <v>18</v>
      </c>
      <c r="O800" s="1016">
        <v>8</v>
      </c>
      <c r="P800" s="1016">
        <v>2</v>
      </c>
      <c r="Q800" s="1016">
        <v>5</v>
      </c>
      <c r="R800" s="1016">
        <v>6</v>
      </c>
      <c r="S800" s="1016">
        <v>14</v>
      </c>
      <c r="T800" s="1016">
        <v>22</v>
      </c>
      <c r="U800" s="1016">
        <v>16</v>
      </c>
      <c r="V800" s="1016">
        <v>19</v>
      </c>
      <c r="W800" s="1016">
        <v>17</v>
      </c>
      <c r="X800" s="1016">
        <v>25</v>
      </c>
      <c r="Y800" s="1016">
        <v>21</v>
      </c>
      <c r="Z800" s="1016">
        <v>20</v>
      </c>
      <c r="AA800" s="1016">
        <v>15</v>
      </c>
      <c r="AB800" s="1016">
        <v>20</v>
      </c>
      <c r="AC800" s="1016">
        <v>11</v>
      </c>
      <c r="AD800" s="1016">
        <v>22</v>
      </c>
      <c r="AE800" s="1016">
        <v>12</v>
      </c>
      <c r="AF800" s="1016">
        <v>20</v>
      </c>
      <c r="AG800" s="1016">
        <v>25</v>
      </c>
      <c r="AH800" s="1016">
        <v>14</v>
      </c>
      <c r="AI800" s="1016">
        <v>32</v>
      </c>
      <c r="AJ800" s="1016">
        <v>26</v>
      </c>
      <c r="AK800" s="1016">
        <v>53</v>
      </c>
      <c r="AL800" s="1016">
        <v>43</v>
      </c>
      <c r="AM800" s="1016">
        <v>10</v>
      </c>
      <c r="AN800" s="1016">
        <v>1</v>
      </c>
      <c r="AO800" s="1016">
        <v>16</v>
      </c>
      <c r="AP800" s="1016">
        <v>24</v>
      </c>
      <c r="AS800" s="1016">
        <v>627</v>
      </c>
    </row>
    <row r="801" spans="2:45" outlineLevel="1">
      <c r="B801" s="1387" t="s">
        <v>381</v>
      </c>
      <c r="J801" s="1016">
        <v>0</v>
      </c>
      <c r="K801" s="1016">
        <v>0</v>
      </c>
      <c r="N801" s="1016">
        <v>0</v>
      </c>
      <c r="O801" s="1016">
        <v>0</v>
      </c>
      <c r="P801" s="1016">
        <v>0</v>
      </c>
      <c r="S801" s="1016">
        <v>9</v>
      </c>
      <c r="T801" s="1016">
        <v>17</v>
      </c>
      <c r="U801" s="1016">
        <v>7</v>
      </c>
      <c r="V801" s="1016">
        <v>9</v>
      </c>
      <c r="W801" s="1016">
        <v>13</v>
      </c>
      <c r="X801" s="1016">
        <v>14</v>
      </c>
      <c r="Y801" s="1016">
        <v>3</v>
      </c>
      <c r="Z801" s="1016">
        <v>2</v>
      </c>
      <c r="AA801" s="1016">
        <v>11</v>
      </c>
      <c r="AB801" s="1016">
        <v>9</v>
      </c>
      <c r="AC801" s="1016">
        <v>11</v>
      </c>
      <c r="AD801" s="1016">
        <v>3</v>
      </c>
      <c r="AE801" s="1016">
        <v>6</v>
      </c>
      <c r="AF801" s="1016">
        <v>5</v>
      </c>
      <c r="AS801" s="1016">
        <v>119</v>
      </c>
    </row>
    <row r="802" spans="2:45" outlineLevel="1">
      <c r="B802" s="1387"/>
      <c r="L802" s="1016">
        <v>0</v>
      </c>
      <c r="M802" s="1016">
        <v>0</v>
      </c>
      <c r="AS802" s="1016">
        <v>0</v>
      </c>
    </row>
    <row r="803" spans="2:45" outlineLevel="1">
      <c r="B803" s="1387" t="s">
        <v>461</v>
      </c>
      <c r="M803" s="1016">
        <v>3</v>
      </c>
      <c r="N803" s="1016">
        <v>2</v>
      </c>
      <c r="O803" s="1016">
        <v>2</v>
      </c>
      <c r="P803" s="1016">
        <v>3</v>
      </c>
      <c r="AS803" s="1016">
        <v>10</v>
      </c>
    </row>
    <row r="804" spans="2:45" outlineLevel="1">
      <c r="B804" s="1387" t="s">
        <v>483</v>
      </c>
      <c r="N804" s="1016">
        <v>7</v>
      </c>
      <c r="O804" s="1016">
        <v>0</v>
      </c>
      <c r="P804" s="1016">
        <v>2</v>
      </c>
      <c r="Q804" s="1016">
        <v>3</v>
      </c>
      <c r="R804" s="1016">
        <v>10</v>
      </c>
      <c r="S804" s="1016">
        <v>11</v>
      </c>
      <c r="T804" s="1016">
        <v>7</v>
      </c>
      <c r="U804" s="1016">
        <v>7</v>
      </c>
      <c r="V804" s="1016">
        <v>8</v>
      </c>
      <c r="W804" s="1016">
        <v>10</v>
      </c>
      <c r="X804" s="1016">
        <v>5</v>
      </c>
      <c r="Y804" s="1016">
        <v>17</v>
      </c>
      <c r="Z804" s="1016">
        <v>21</v>
      </c>
      <c r="AA804" s="1016">
        <v>14</v>
      </c>
      <c r="AB804" s="1016">
        <v>3</v>
      </c>
      <c r="AC804" s="1016">
        <v>11</v>
      </c>
      <c r="AD804" s="1016">
        <v>7</v>
      </c>
      <c r="AE804" s="1016">
        <v>4</v>
      </c>
      <c r="AF804" s="1016">
        <v>9</v>
      </c>
      <c r="AG804" s="1016">
        <v>10</v>
      </c>
      <c r="AH804" s="1016">
        <v>7</v>
      </c>
      <c r="AI804" s="1016">
        <v>7</v>
      </c>
      <c r="AK804" s="1016">
        <v>9</v>
      </c>
      <c r="AL804" s="1016">
        <v>4</v>
      </c>
      <c r="AS804" s="1016">
        <v>193</v>
      </c>
    </row>
    <row r="805" spans="2:45" outlineLevel="1">
      <c r="B805" s="1387" t="s">
        <v>629</v>
      </c>
      <c r="Q805" s="1016">
        <v>13</v>
      </c>
      <c r="R805" s="1016">
        <v>16</v>
      </c>
      <c r="S805" s="1016">
        <v>6</v>
      </c>
      <c r="T805" s="1016">
        <v>13</v>
      </c>
      <c r="U805" s="1016">
        <v>7</v>
      </c>
      <c r="V805" s="1016">
        <v>9</v>
      </c>
      <c r="W805" s="1016">
        <v>5</v>
      </c>
      <c r="X805" s="1016">
        <v>6</v>
      </c>
      <c r="Y805" s="1016">
        <v>8</v>
      </c>
      <c r="Z805" s="1016">
        <v>5</v>
      </c>
      <c r="AA805" s="1016">
        <v>7</v>
      </c>
      <c r="AB805" s="1016">
        <v>2</v>
      </c>
      <c r="AC805" s="1016">
        <v>6</v>
      </c>
      <c r="AD805" s="1016">
        <v>7</v>
      </c>
      <c r="AE805" s="1016">
        <v>5</v>
      </c>
      <c r="AF805" s="1016">
        <v>5</v>
      </c>
      <c r="AG805" s="1016">
        <v>2</v>
      </c>
      <c r="AH805" s="1016">
        <v>3</v>
      </c>
      <c r="AI805" s="1016">
        <v>6</v>
      </c>
      <c r="AJ805" s="1016">
        <v>1</v>
      </c>
      <c r="AK805" s="1016">
        <v>9</v>
      </c>
      <c r="AL805" s="1016">
        <v>3</v>
      </c>
      <c r="AM805" s="1016">
        <v>2</v>
      </c>
      <c r="AN805" s="1016">
        <v>1</v>
      </c>
      <c r="AO805" s="1016">
        <v>5</v>
      </c>
      <c r="AP805" s="1016">
        <v>1</v>
      </c>
      <c r="AS805" s="1016">
        <v>153</v>
      </c>
    </row>
    <row r="806" spans="2:45" outlineLevel="1">
      <c r="B806" s="1387" t="s">
        <v>645</v>
      </c>
      <c r="R806" s="1016">
        <v>12</v>
      </c>
      <c r="S806" s="1016">
        <v>7</v>
      </c>
      <c r="T806" s="1016">
        <v>5</v>
      </c>
      <c r="U806" s="1016">
        <v>7</v>
      </c>
      <c r="V806" s="1016">
        <v>7</v>
      </c>
      <c r="W806" s="1016">
        <v>4</v>
      </c>
      <c r="X806" s="1016">
        <v>1</v>
      </c>
      <c r="Y806" s="1016">
        <v>11</v>
      </c>
      <c r="Z806" s="1016">
        <v>5</v>
      </c>
      <c r="AA806" s="1016">
        <v>16</v>
      </c>
      <c r="AB806" s="1016">
        <v>1</v>
      </c>
      <c r="AC806" s="1016">
        <v>4</v>
      </c>
      <c r="AD806" s="1016">
        <v>4</v>
      </c>
      <c r="AE806" s="1016">
        <v>12</v>
      </c>
      <c r="AF806" s="1016">
        <v>4</v>
      </c>
      <c r="AG806" s="1016">
        <v>8</v>
      </c>
      <c r="AH806" s="1016">
        <v>10</v>
      </c>
      <c r="AI806" s="1016">
        <v>4</v>
      </c>
      <c r="AJ806" s="1016">
        <v>9</v>
      </c>
      <c r="AK806" s="1016">
        <v>19</v>
      </c>
      <c r="AL806" s="1016">
        <v>5</v>
      </c>
      <c r="AM806" s="1016">
        <v>2</v>
      </c>
      <c r="AO806" s="1016">
        <v>3</v>
      </c>
      <c r="AP806" s="1016">
        <v>1</v>
      </c>
      <c r="AQ806" s="1016">
        <v>3</v>
      </c>
      <c r="AR806" s="1016">
        <v>7</v>
      </c>
      <c r="AS806" s="1016">
        <v>171</v>
      </c>
    </row>
    <row r="807" spans="2:45" outlineLevel="1">
      <c r="B807" s="1387" t="s">
        <v>641</v>
      </c>
      <c r="R807" s="1016">
        <v>3</v>
      </c>
      <c r="S807" s="1016">
        <v>8</v>
      </c>
      <c r="T807" s="1016">
        <v>16</v>
      </c>
      <c r="U807" s="1016">
        <v>4</v>
      </c>
      <c r="V807" s="1016">
        <v>11</v>
      </c>
      <c r="W807" s="1016">
        <v>11</v>
      </c>
      <c r="X807" s="1016">
        <v>5</v>
      </c>
      <c r="Y807" s="1016">
        <v>5</v>
      </c>
      <c r="Z807" s="1016">
        <v>9</v>
      </c>
      <c r="AA807" s="1016">
        <v>3</v>
      </c>
      <c r="AB807" s="1016">
        <v>2</v>
      </c>
      <c r="AC807" s="1016">
        <v>2</v>
      </c>
      <c r="AD807" s="1016">
        <v>13</v>
      </c>
      <c r="AE807" s="1016">
        <v>8</v>
      </c>
      <c r="AF807" s="1016">
        <v>5</v>
      </c>
      <c r="AG807" s="1016">
        <v>6</v>
      </c>
      <c r="AH807" s="1016">
        <v>4</v>
      </c>
      <c r="AI807" s="1016">
        <v>2</v>
      </c>
      <c r="AJ807" s="1016">
        <v>2</v>
      </c>
      <c r="AK807" s="1016">
        <v>16</v>
      </c>
      <c r="AL807" s="1016">
        <v>9</v>
      </c>
      <c r="AM807" s="1016">
        <v>7</v>
      </c>
      <c r="AN807" s="1016">
        <v>3</v>
      </c>
      <c r="AO807" s="1016">
        <v>19</v>
      </c>
      <c r="AP807" s="1016">
        <v>11</v>
      </c>
      <c r="AQ807" s="1016">
        <v>8</v>
      </c>
      <c r="AR807" s="1016">
        <v>9</v>
      </c>
      <c r="AS807" s="1016">
        <v>201</v>
      </c>
    </row>
    <row r="808" spans="2:45" outlineLevel="1">
      <c r="B808" s="1387" t="s">
        <v>643</v>
      </c>
      <c r="R808" s="1016">
        <v>1</v>
      </c>
      <c r="S808" s="1016">
        <v>13</v>
      </c>
      <c r="T808" s="1016">
        <v>5</v>
      </c>
      <c r="U808" s="1016">
        <v>7</v>
      </c>
      <c r="V808" s="1016">
        <v>16</v>
      </c>
      <c r="W808" s="1016">
        <v>6</v>
      </c>
      <c r="X808" s="1016">
        <v>3</v>
      </c>
      <c r="Y808" s="1016">
        <v>6</v>
      </c>
      <c r="Z808" s="1016">
        <v>2</v>
      </c>
      <c r="AA808" s="1016">
        <v>11</v>
      </c>
      <c r="AB808" s="1016">
        <v>3</v>
      </c>
      <c r="AC808" s="1016">
        <v>3</v>
      </c>
      <c r="AD808" s="1016">
        <v>6</v>
      </c>
      <c r="AE808" s="1016">
        <v>1</v>
      </c>
      <c r="AS808" s="1016">
        <v>83</v>
      </c>
    </row>
    <row r="809" spans="2:45" outlineLevel="1">
      <c r="B809" s="1387" t="s">
        <v>644</v>
      </c>
      <c r="R809" s="1016">
        <v>1</v>
      </c>
      <c r="S809" s="1016">
        <v>6</v>
      </c>
      <c r="T809" s="1016">
        <v>4</v>
      </c>
      <c r="U809" s="1016">
        <v>7</v>
      </c>
      <c r="V809" s="1016">
        <v>7</v>
      </c>
      <c r="W809" s="1016">
        <v>4</v>
      </c>
      <c r="X809" s="1016">
        <v>2</v>
      </c>
      <c r="Y809" s="1016">
        <v>4</v>
      </c>
      <c r="Z809" s="1016">
        <v>9</v>
      </c>
      <c r="AA809" s="1016">
        <v>4</v>
      </c>
      <c r="AB809" s="1016">
        <v>2</v>
      </c>
      <c r="AC809" s="1016">
        <v>6</v>
      </c>
      <c r="AD809" s="1016">
        <v>3</v>
      </c>
      <c r="AE809" s="1016">
        <v>11</v>
      </c>
      <c r="AF809" s="1016">
        <v>6</v>
      </c>
      <c r="AG809" s="1016">
        <v>3</v>
      </c>
      <c r="AH809" s="1016">
        <v>8</v>
      </c>
      <c r="AI809" s="1016">
        <v>5</v>
      </c>
      <c r="AJ809" s="1016">
        <v>6</v>
      </c>
      <c r="AK809" s="1016">
        <v>11</v>
      </c>
      <c r="AL809" s="1016">
        <v>8</v>
      </c>
      <c r="AM809" s="1016">
        <v>3</v>
      </c>
      <c r="AN809" s="1016">
        <v>2</v>
      </c>
      <c r="AO809" s="1016">
        <v>9</v>
      </c>
      <c r="AP809" s="1016">
        <v>10</v>
      </c>
      <c r="AQ809" s="1016">
        <v>22</v>
      </c>
      <c r="AR809" s="1016">
        <v>12</v>
      </c>
      <c r="AS809" s="1016">
        <v>175</v>
      </c>
    </row>
    <row r="810" spans="2:45" outlineLevel="1">
      <c r="B810" s="1387" t="s">
        <v>655</v>
      </c>
      <c r="R810" s="1016">
        <v>4</v>
      </c>
      <c r="S810" s="1016">
        <v>10</v>
      </c>
      <c r="T810" s="1016">
        <v>19</v>
      </c>
      <c r="U810" s="1016">
        <v>9</v>
      </c>
      <c r="V810" s="1016">
        <v>9</v>
      </c>
      <c r="W810" s="1016">
        <v>18</v>
      </c>
      <c r="X810" s="1016">
        <v>12</v>
      </c>
      <c r="Y810" s="1016">
        <v>12</v>
      </c>
      <c r="Z810" s="1016">
        <v>13</v>
      </c>
      <c r="AA810" s="1016">
        <v>9</v>
      </c>
      <c r="AB810" s="1016">
        <v>6</v>
      </c>
      <c r="AC810" s="1016">
        <v>14</v>
      </c>
      <c r="AD810" s="1016">
        <v>20</v>
      </c>
      <c r="AE810" s="1016">
        <v>22</v>
      </c>
      <c r="AF810" s="1016">
        <v>17</v>
      </c>
      <c r="AG810" s="1016">
        <v>11</v>
      </c>
      <c r="AH810" s="1016">
        <v>9</v>
      </c>
      <c r="AI810" s="1016">
        <v>12</v>
      </c>
      <c r="AJ810" s="1016">
        <v>7</v>
      </c>
      <c r="AK810" s="1016">
        <v>10</v>
      </c>
      <c r="AL810" s="1016">
        <v>13</v>
      </c>
      <c r="AM810" s="1016">
        <v>1</v>
      </c>
      <c r="AN810" s="1016">
        <v>7</v>
      </c>
      <c r="AO810" s="1016">
        <v>18</v>
      </c>
      <c r="AP810" s="1016">
        <v>7</v>
      </c>
      <c r="AQ810" s="1016">
        <v>7</v>
      </c>
      <c r="AS810" s="1016">
        <v>296</v>
      </c>
    </row>
    <row r="811" spans="2:45" outlineLevel="1">
      <c r="B811" s="1387" t="s">
        <v>656</v>
      </c>
      <c r="R811" s="1016">
        <v>1</v>
      </c>
      <c r="S811" s="1016">
        <v>9</v>
      </c>
      <c r="T811" s="1016">
        <v>10</v>
      </c>
      <c r="U811" s="1016">
        <v>6</v>
      </c>
      <c r="V811" s="1016">
        <v>4</v>
      </c>
      <c r="W811" s="1016">
        <v>4</v>
      </c>
      <c r="X811" s="1016">
        <v>1</v>
      </c>
      <c r="Y811" s="1016">
        <v>5</v>
      </c>
      <c r="Z811" s="1016">
        <v>6</v>
      </c>
      <c r="AA811" s="1016">
        <v>40</v>
      </c>
      <c r="AB811" s="1016">
        <v>3</v>
      </c>
      <c r="AC811" s="1016">
        <v>48</v>
      </c>
      <c r="AD811" s="1016">
        <v>4</v>
      </c>
      <c r="AE811" s="1016">
        <v>12</v>
      </c>
      <c r="AF811" s="1016">
        <v>11</v>
      </c>
      <c r="AG811" s="1016">
        <v>13</v>
      </c>
      <c r="AH811" s="1016">
        <v>18</v>
      </c>
      <c r="AI811" s="1016">
        <v>12</v>
      </c>
      <c r="AJ811" s="1016">
        <v>20</v>
      </c>
      <c r="AK811" s="1016">
        <v>22</v>
      </c>
      <c r="AL811" s="1016">
        <v>8</v>
      </c>
      <c r="AM811" s="1016">
        <v>11</v>
      </c>
      <c r="AO811" s="1016">
        <v>28</v>
      </c>
      <c r="AP811" s="1016">
        <v>21</v>
      </c>
      <c r="AS811" s="1016">
        <v>317</v>
      </c>
    </row>
    <row r="812" spans="2:45" outlineLevel="1">
      <c r="B812" s="1387" t="s">
        <v>697</v>
      </c>
      <c r="S812" s="1016">
        <v>4</v>
      </c>
      <c r="T812" s="1016">
        <v>9</v>
      </c>
      <c r="U812" s="1016">
        <v>11</v>
      </c>
      <c r="V812" s="1016">
        <v>22</v>
      </c>
      <c r="W812" s="1016">
        <v>17</v>
      </c>
      <c r="X812" s="1016">
        <v>6</v>
      </c>
      <c r="Y812" s="1016">
        <v>15</v>
      </c>
      <c r="Z812" s="1016">
        <v>8</v>
      </c>
      <c r="AA812" s="1016">
        <v>14</v>
      </c>
      <c r="AB812" s="1016">
        <v>2</v>
      </c>
      <c r="AC812" s="1016">
        <v>9</v>
      </c>
      <c r="AD812" s="1016">
        <v>17</v>
      </c>
      <c r="AE812" s="1016">
        <v>19</v>
      </c>
      <c r="AF812" s="1016">
        <v>9</v>
      </c>
      <c r="AG812" s="1016">
        <v>10</v>
      </c>
      <c r="AH812" s="1016">
        <v>6</v>
      </c>
      <c r="AI812" s="1016">
        <v>12</v>
      </c>
      <c r="AJ812" s="1016">
        <v>5</v>
      </c>
      <c r="AK812" s="1016">
        <v>14</v>
      </c>
      <c r="AL812" s="1016">
        <v>16</v>
      </c>
      <c r="AM812" s="1016">
        <v>1</v>
      </c>
      <c r="AN812" s="1016">
        <v>1</v>
      </c>
      <c r="AO812" s="1016">
        <v>16</v>
      </c>
      <c r="AP812" s="1016">
        <v>5</v>
      </c>
      <c r="AQ812" s="1016">
        <v>5</v>
      </c>
      <c r="AR812" s="1016">
        <v>12</v>
      </c>
      <c r="AS812" s="1016">
        <v>265</v>
      </c>
    </row>
    <row r="813" spans="2:45" outlineLevel="1">
      <c r="B813" s="1387" t="s">
        <v>658</v>
      </c>
    </row>
    <row r="814" spans="2:45" outlineLevel="1">
      <c r="B814" s="1387" t="s">
        <v>698</v>
      </c>
      <c r="T814" s="1016">
        <v>11</v>
      </c>
      <c r="U814" s="1016">
        <v>2</v>
      </c>
      <c r="V814" s="1016">
        <v>6</v>
      </c>
      <c r="W814" s="1016">
        <v>10</v>
      </c>
      <c r="X814" s="1016">
        <v>3</v>
      </c>
      <c r="Y814" s="1016">
        <v>8</v>
      </c>
      <c r="Z814" s="1016">
        <v>15</v>
      </c>
      <c r="AA814" s="1016">
        <v>6</v>
      </c>
      <c r="AB814" s="1016">
        <v>1</v>
      </c>
      <c r="AC814" s="1016">
        <v>9</v>
      </c>
      <c r="AD814" s="1016">
        <v>9</v>
      </c>
      <c r="AE814" s="1016">
        <v>6</v>
      </c>
      <c r="AF814" s="1016">
        <v>6</v>
      </c>
      <c r="AG814" s="1016">
        <v>6</v>
      </c>
      <c r="AH814" s="1016">
        <v>3</v>
      </c>
      <c r="AI814" s="1016">
        <v>5</v>
      </c>
      <c r="AJ814" s="1016">
        <v>2</v>
      </c>
      <c r="AK814" s="1016">
        <v>5</v>
      </c>
      <c r="AL814" s="1016">
        <v>3</v>
      </c>
      <c r="AM814" s="1016">
        <v>2</v>
      </c>
      <c r="AN814" s="1016">
        <v>8</v>
      </c>
      <c r="AO814" s="1016">
        <v>1</v>
      </c>
      <c r="AP814" s="1016">
        <v>1</v>
      </c>
      <c r="AQ814" s="1016">
        <v>2</v>
      </c>
      <c r="AS814" s="1016">
        <v>130</v>
      </c>
    </row>
    <row r="815" spans="2:45" outlineLevel="1">
      <c r="B815" s="1387" t="s">
        <v>790</v>
      </c>
      <c r="T815" s="1016">
        <v>13</v>
      </c>
      <c r="U815" s="1016">
        <v>7</v>
      </c>
      <c r="V815" s="1016">
        <v>2</v>
      </c>
      <c r="W815" s="1016">
        <v>7</v>
      </c>
      <c r="X815" s="1016">
        <v>3</v>
      </c>
      <c r="Y815" s="1016">
        <v>4</v>
      </c>
      <c r="Z815" s="1016">
        <v>8</v>
      </c>
      <c r="AA815" s="1016">
        <v>3</v>
      </c>
      <c r="AC815" s="1016">
        <v>10</v>
      </c>
      <c r="AD815" s="1016">
        <v>10</v>
      </c>
      <c r="AE815" s="1016">
        <v>10</v>
      </c>
      <c r="AF815" s="1016">
        <v>7</v>
      </c>
      <c r="AG815" s="1016">
        <v>8</v>
      </c>
      <c r="AH815" s="1016">
        <v>6</v>
      </c>
      <c r="AI815" s="1016">
        <v>4</v>
      </c>
      <c r="AJ815" s="1016">
        <v>3</v>
      </c>
      <c r="AK815" s="1016">
        <v>9</v>
      </c>
      <c r="AL815" s="1016">
        <v>13</v>
      </c>
      <c r="AM815" s="1016">
        <v>3</v>
      </c>
      <c r="AN815" s="1016">
        <v>1</v>
      </c>
      <c r="AO815" s="1016">
        <v>7</v>
      </c>
      <c r="AQ815" s="1016">
        <v>3</v>
      </c>
      <c r="AR815" s="1016">
        <v>3</v>
      </c>
      <c r="AS815" s="1016">
        <v>144</v>
      </c>
    </row>
    <row r="816" spans="2:45" outlineLevel="1">
      <c r="B816" s="1387" t="s">
        <v>797</v>
      </c>
      <c r="U816" s="1016">
        <v>5</v>
      </c>
      <c r="V816" s="1016">
        <v>6</v>
      </c>
      <c r="W816" s="1016">
        <v>13</v>
      </c>
      <c r="X816" s="1016">
        <v>5</v>
      </c>
      <c r="Y816" s="1016">
        <v>12</v>
      </c>
      <c r="Z816" s="1016">
        <v>14</v>
      </c>
      <c r="AA816" s="1016">
        <v>9</v>
      </c>
      <c r="AB816" s="1016">
        <v>6</v>
      </c>
      <c r="AC816" s="1016">
        <v>6</v>
      </c>
      <c r="AD816" s="1016">
        <v>7</v>
      </c>
      <c r="AE816" s="1016">
        <v>9</v>
      </c>
      <c r="AF816" s="1016">
        <v>8</v>
      </c>
      <c r="AG816" s="1016">
        <v>7</v>
      </c>
      <c r="AH816" s="1016">
        <v>11</v>
      </c>
      <c r="AI816" s="1016">
        <v>6</v>
      </c>
      <c r="AJ816" s="1016">
        <v>7</v>
      </c>
      <c r="AK816" s="1016">
        <v>8</v>
      </c>
      <c r="AL816" s="1016">
        <v>1</v>
      </c>
      <c r="AN816" s="1016">
        <v>1</v>
      </c>
      <c r="AO816" s="1016">
        <v>4</v>
      </c>
      <c r="AP816" s="1016">
        <v>3</v>
      </c>
      <c r="AQ816" s="1016">
        <v>8</v>
      </c>
      <c r="AR816" s="1016">
        <v>10</v>
      </c>
      <c r="AS816" s="1016">
        <v>166</v>
      </c>
    </row>
    <row r="817" spans="2:45" outlineLevel="1">
      <c r="B817" s="1387" t="s">
        <v>800</v>
      </c>
      <c r="U817" s="1016">
        <v>3</v>
      </c>
      <c r="V817" s="1016">
        <v>7</v>
      </c>
      <c r="W817" s="1016">
        <v>6</v>
      </c>
      <c r="X817" s="1016">
        <v>6</v>
      </c>
      <c r="Y817" s="1016">
        <v>3</v>
      </c>
      <c r="Z817" s="1016">
        <v>9</v>
      </c>
      <c r="AA817" s="1016">
        <v>1</v>
      </c>
      <c r="AB817" s="1016">
        <v>6</v>
      </c>
      <c r="AC817" s="1016">
        <v>3</v>
      </c>
      <c r="AD817" s="1016">
        <v>6</v>
      </c>
      <c r="AE817" s="1016">
        <v>9</v>
      </c>
      <c r="AF817" s="1016">
        <v>7</v>
      </c>
      <c r="AG817" s="1016">
        <v>8</v>
      </c>
      <c r="AH817" s="1016">
        <v>7</v>
      </c>
      <c r="AI817" s="1016">
        <v>16</v>
      </c>
      <c r="AJ817" s="1016">
        <v>23</v>
      </c>
      <c r="AK817" s="1016">
        <v>29</v>
      </c>
      <c r="AL817" s="1016">
        <v>11</v>
      </c>
      <c r="AM817" s="1016">
        <v>5</v>
      </c>
      <c r="AN817" s="1016">
        <v>10</v>
      </c>
      <c r="AO817" s="1016">
        <v>23</v>
      </c>
      <c r="AP817" s="1016">
        <v>30</v>
      </c>
      <c r="AQ817" s="1016">
        <v>37</v>
      </c>
      <c r="AR817" s="1016">
        <v>29</v>
      </c>
      <c r="AS817" s="1016">
        <v>294</v>
      </c>
    </row>
    <row r="818" spans="2:45" outlineLevel="1">
      <c r="B818" s="1387" t="s">
        <v>904</v>
      </c>
      <c r="X818" s="1016">
        <v>2</v>
      </c>
      <c r="Y818" s="1016">
        <v>8</v>
      </c>
      <c r="Z818" s="1016">
        <v>12</v>
      </c>
      <c r="AA818" s="1016">
        <v>5</v>
      </c>
      <c r="AB818" s="1016">
        <v>2</v>
      </c>
      <c r="AC818" s="1016">
        <v>15</v>
      </c>
      <c r="AD818" s="1016">
        <v>22</v>
      </c>
      <c r="AE818" s="1016">
        <v>8</v>
      </c>
      <c r="AF818" s="1016">
        <v>10</v>
      </c>
      <c r="AG818" s="1016">
        <v>9</v>
      </c>
      <c r="AH818" s="1016">
        <v>8</v>
      </c>
      <c r="AI818" s="1016">
        <v>11</v>
      </c>
      <c r="AJ818" s="1016">
        <v>7</v>
      </c>
      <c r="AK818" s="1016">
        <v>11</v>
      </c>
      <c r="AL818" s="1016">
        <v>19</v>
      </c>
      <c r="AM818" s="1016">
        <v>5</v>
      </c>
      <c r="AN818" s="1016">
        <v>4</v>
      </c>
      <c r="AO818" s="1016">
        <v>20</v>
      </c>
      <c r="AP818" s="1016">
        <v>12</v>
      </c>
      <c r="AQ818" s="1016">
        <v>16</v>
      </c>
      <c r="AR818" s="1016">
        <v>5</v>
      </c>
      <c r="AS818" s="1016">
        <v>211</v>
      </c>
    </row>
    <row r="819" spans="2:45" outlineLevel="1">
      <c r="B819" s="1387" t="s">
        <v>906</v>
      </c>
      <c r="X819" s="1016">
        <v>10</v>
      </c>
      <c r="Y819" s="1016">
        <v>7</v>
      </c>
      <c r="Z819" s="1016">
        <v>9</v>
      </c>
      <c r="AA819" s="1016">
        <v>4</v>
      </c>
      <c r="AB819" s="1016">
        <v>2</v>
      </c>
      <c r="AC819" s="1016">
        <v>3</v>
      </c>
      <c r="AD819" s="1016">
        <v>8</v>
      </c>
      <c r="AE819" s="1016">
        <v>2</v>
      </c>
      <c r="AF819" s="1016">
        <v>3</v>
      </c>
      <c r="AG819" s="1016">
        <v>2</v>
      </c>
      <c r="AH819" s="1016">
        <v>7</v>
      </c>
      <c r="AI819" s="1016">
        <v>2</v>
      </c>
      <c r="AJ819" s="1016">
        <v>4</v>
      </c>
      <c r="AK819" s="1016">
        <v>5</v>
      </c>
      <c r="AL819" s="1016">
        <v>11</v>
      </c>
      <c r="AM819" s="1016">
        <v>1</v>
      </c>
      <c r="AN819" s="1016">
        <v>2</v>
      </c>
      <c r="AP819" s="1016">
        <v>2</v>
      </c>
      <c r="AS819" s="1016">
        <v>84</v>
      </c>
    </row>
    <row r="820" spans="2:45" outlineLevel="1">
      <c r="B820" s="1387" t="s">
        <v>901</v>
      </c>
      <c r="Y820" s="1016">
        <v>4</v>
      </c>
      <c r="Z820" s="1016">
        <v>18</v>
      </c>
      <c r="AA820" s="1016">
        <v>18</v>
      </c>
      <c r="AB820" s="1016">
        <v>3</v>
      </c>
      <c r="AC820" s="1016">
        <v>3</v>
      </c>
      <c r="AD820" s="1016">
        <v>3</v>
      </c>
      <c r="AE820" s="1016">
        <v>1</v>
      </c>
      <c r="AF820" s="1016">
        <v>9</v>
      </c>
      <c r="AG820" s="1016">
        <v>3</v>
      </c>
      <c r="AH820" s="1016">
        <v>5</v>
      </c>
      <c r="AI820" s="1016">
        <v>9</v>
      </c>
      <c r="AJ820" s="1016">
        <v>2</v>
      </c>
      <c r="AK820" s="1016">
        <v>11</v>
      </c>
      <c r="AL820" s="1016">
        <v>7</v>
      </c>
      <c r="AO820" s="1016">
        <v>1</v>
      </c>
      <c r="AP820" s="1016">
        <v>19</v>
      </c>
      <c r="AQ820" s="1016">
        <v>2</v>
      </c>
      <c r="AR820" s="1016">
        <v>2</v>
      </c>
      <c r="AS820" s="1016">
        <v>120</v>
      </c>
    </row>
    <row r="821" spans="2:45" outlineLevel="1">
      <c r="B821" s="1387" t="s">
        <v>950</v>
      </c>
      <c r="Y821" s="1016">
        <v>4</v>
      </c>
      <c r="Z821" s="1016">
        <v>14</v>
      </c>
      <c r="AA821" s="1016">
        <v>14</v>
      </c>
      <c r="AC821" s="1016">
        <v>13</v>
      </c>
      <c r="AD821" s="1016">
        <v>17</v>
      </c>
      <c r="AE821" s="1016">
        <v>13</v>
      </c>
      <c r="AF821" s="1016">
        <v>5</v>
      </c>
      <c r="AG821" s="1016">
        <v>9</v>
      </c>
      <c r="AH821" s="1016">
        <v>21</v>
      </c>
      <c r="AI821" s="1016">
        <v>12</v>
      </c>
      <c r="AK821" s="1016">
        <v>3</v>
      </c>
      <c r="AL821" s="1016">
        <v>10</v>
      </c>
      <c r="AM821" s="1016">
        <v>4</v>
      </c>
      <c r="AN821" s="1016">
        <v>2</v>
      </c>
      <c r="AO821" s="1016">
        <v>16</v>
      </c>
      <c r="AP821" s="1016">
        <v>10</v>
      </c>
      <c r="AQ821" s="1016">
        <v>4</v>
      </c>
      <c r="AR821" s="1016">
        <v>8</v>
      </c>
      <c r="AS821" s="1016">
        <v>179</v>
      </c>
    </row>
    <row r="822" spans="2:45" outlineLevel="1">
      <c r="B822" s="1387" t="s">
        <v>1014</v>
      </c>
      <c r="X822" s="1016">
        <v>3</v>
      </c>
      <c r="Y822" s="1016">
        <v>3</v>
      </c>
      <c r="Z822" s="1016">
        <v>10</v>
      </c>
      <c r="AA822" s="1016">
        <v>3</v>
      </c>
      <c r="AB822" s="1016">
        <v>2</v>
      </c>
      <c r="AC822" s="1016">
        <v>12</v>
      </c>
      <c r="AD822" s="1016">
        <v>8</v>
      </c>
      <c r="AE822" s="1016">
        <v>9</v>
      </c>
      <c r="AF822" s="1016">
        <v>9</v>
      </c>
      <c r="AG822" s="1016">
        <v>14</v>
      </c>
      <c r="AH822" s="1016">
        <v>6</v>
      </c>
      <c r="AI822" s="1016">
        <v>7</v>
      </c>
      <c r="AJ822" s="1016">
        <v>7</v>
      </c>
      <c r="AK822" s="1016">
        <v>17</v>
      </c>
      <c r="AL822" s="1016">
        <v>14</v>
      </c>
      <c r="AM822" s="1016">
        <v>4</v>
      </c>
      <c r="AN822" s="1016">
        <v>4</v>
      </c>
      <c r="AO822" s="1016">
        <v>19</v>
      </c>
      <c r="AP822" s="1016">
        <v>15</v>
      </c>
      <c r="AQ822" s="1016">
        <v>8</v>
      </c>
      <c r="AR822" s="1016">
        <v>14</v>
      </c>
      <c r="AS822" s="1016">
        <v>188</v>
      </c>
    </row>
    <row r="823" spans="2:45" outlineLevel="1">
      <c r="B823" s="1387" t="s">
        <v>1162</v>
      </c>
      <c r="AA823" s="1016">
        <v>6</v>
      </c>
      <c r="AB823" s="1016">
        <v>6</v>
      </c>
      <c r="AC823" s="1016">
        <v>11</v>
      </c>
      <c r="AD823" s="1016">
        <v>18</v>
      </c>
      <c r="AE823" s="1016">
        <v>7</v>
      </c>
      <c r="AF823" s="1016">
        <v>4</v>
      </c>
      <c r="AG823" s="1016">
        <v>7</v>
      </c>
      <c r="AH823" s="1016">
        <v>14</v>
      </c>
      <c r="AI823" s="1016">
        <v>13</v>
      </c>
      <c r="AJ823" s="1016">
        <v>3</v>
      </c>
      <c r="AK823" s="1016">
        <v>14</v>
      </c>
      <c r="AL823" s="1016">
        <v>8</v>
      </c>
      <c r="AN823" s="1016">
        <v>3</v>
      </c>
      <c r="AO823" s="1016">
        <v>11</v>
      </c>
      <c r="AP823" s="1016">
        <v>7</v>
      </c>
      <c r="AS823" s="1016">
        <v>132</v>
      </c>
    </row>
    <row r="824" spans="2:45" outlineLevel="1">
      <c r="B824" s="1387" t="s">
        <v>1163</v>
      </c>
      <c r="AA824" s="1016">
        <v>3</v>
      </c>
      <c r="AB824" s="1016">
        <v>8</v>
      </c>
      <c r="AC824" s="1016">
        <v>10</v>
      </c>
      <c r="AD824" s="1016">
        <v>11</v>
      </c>
      <c r="AE824" s="1016">
        <v>8</v>
      </c>
      <c r="AF824" s="1016">
        <v>23</v>
      </c>
      <c r="AG824" s="1016">
        <v>17</v>
      </c>
      <c r="AH824" s="1016">
        <v>15</v>
      </c>
      <c r="AI824" s="1016">
        <v>6</v>
      </c>
      <c r="AJ824" s="1016">
        <v>16</v>
      </c>
      <c r="AK824" s="1016">
        <v>26</v>
      </c>
      <c r="AL824" s="1016">
        <v>32</v>
      </c>
      <c r="AM824" s="1016">
        <v>5</v>
      </c>
      <c r="AN824" s="1016">
        <v>11</v>
      </c>
      <c r="AO824" s="1016">
        <v>13</v>
      </c>
      <c r="AP824" s="1016">
        <v>9</v>
      </c>
      <c r="AQ824" s="1016">
        <v>4</v>
      </c>
      <c r="AR824" s="1016">
        <v>11</v>
      </c>
      <c r="AS824" s="1016">
        <v>228</v>
      </c>
    </row>
    <row r="825" spans="2:45" outlineLevel="1">
      <c r="B825" s="1387" t="s">
        <v>1286</v>
      </c>
      <c r="AB825" s="1016">
        <v>2</v>
      </c>
      <c r="AC825" s="1016">
        <v>8</v>
      </c>
      <c r="AD825" s="1016">
        <v>10</v>
      </c>
      <c r="AE825" s="1016">
        <v>1</v>
      </c>
      <c r="AF825" s="1016">
        <v>7</v>
      </c>
      <c r="AG825" s="1016">
        <v>5</v>
      </c>
      <c r="AH825" s="1016">
        <v>1</v>
      </c>
      <c r="AI825" s="1016">
        <v>4</v>
      </c>
      <c r="AJ825" s="1016">
        <v>9</v>
      </c>
      <c r="AK825" s="1016">
        <v>9</v>
      </c>
      <c r="AL825" s="1016">
        <v>9</v>
      </c>
      <c r="AM825" s="1016">
        <v>5</v>
      </c>
      <c r="AN825" s="1016">
        <v>3</v>
      </c>
      <c r="AO825" s="1016">
        <v>10</v>
      </c>
      <c r="AP825" s="1016">
        <v>3</v>
      </c>
      <c r="AS825" s="1016">
        <v>86</v>
      </c>
    </row>
    <row r="826" spans="2:45" outlineLevel="1">
      <c r="B826" s="1387" t="s">
        <v>1161</v>
      </c>
      <c r="AC826" s="1016">
        <v>5</v>
      </c>
      <c r="AD826" s="1016">
        <v>2</v>
      </c>
      <c r="AE826" s="1016">
        <v>3</v>
      </c>
      <c r="AF826" s="1016">
        <v>9</v>
      </c>
      <c r="AG826" s="1016">
        <v>2</v>
      </c>
      <c r="AH826" s="1016">
        <v>6</v>
      </c>
      <c r="AI826" s="1016">
        <v>7</v>
      </c>
      <c r="AJ826" s="1016">
        <v>3</v>
      </c>
      <c r="AK826" s="1016">
        <v>25</v>
      </c>
      <c r="AL826" s="1016">
        <v>6</v>
      </c>
      <c r="AM826" s="1016">
        <v>2</v>
      </c>
      <c r="AN826" s="1016">
        <v>2</v>
      </c>
      <c r="AO826" s="1016">
        <v>4</v>
      </c>
      <c r="AP826" s="1016">
        <v>7</v>
      </c>
      <c r="AQ826" s="1016">
        <v>2</v>
      </c>
      <c r="AR826" s="1016">
        <v>4</v>
      </c>
      <c r="AS826" s="1016">
        <v>89</v>
      </c>
    </row>
    <row r="827" spans="2:45" outlineLevel="1">
      <c r="B827" s="1387" t="s">
        <v>1287</v>
      </c>
      <c r="AB827" s="1016">
        <v>20</v>
      </c>
      <c r="AC827" s="1016">
        <v>9</v>
      </c>
      <c r="AD827" s="1016">
        <v>25</v>
      </c>
      <c r="AE827" s="1016">
        <v>15</v>
      </c>
      <c r="AF827" s="1016">
        <v>12</v>
      </c>
      <c r="AG827" s="1016">
        <v>12</v>
      </c>
      <c r="AH827" s="1016">
        <v>17</v>
      </c>
      <c r="AI827" s="1016">
        <v>19</v>
      </c>
      <c r="AJ827" s="1016">
        <v>9</v>
      </c>
      <c r="AK827" s="1016">
        <v>17</v>
      </c>
      <c r="AL827" s="1016">
        <v>23</v>
      </c>
      <c r="AM827" s="1016">
        <v>3</v>
      </c>
      <c r="AN827" s="1016">
        <v>20</v>
      </c>
      <c r="AO827" s="1016">
        <v>30</v>
      </c>
      <c r="AP827" s="1016">
        <v>15</v>
      </c>
      <c r="AQ827" s="1016">
        <v>26</v>
      </c>
      <c r="AR827" s="1016">
        <v>37</v>
      </c>
      <c r="AS827" s="1016">
        <v>309</v>
      </c>
    </row>
    <row r="828" spans="2:45" outlineLevel="1">
      <c r="B828" s="1387" t="s">
        <v>1348</v>
      </c>
      <c r="AB828" s="1016">
        <v>3</v>
      </c>
      <c r="AC828" s="1016">
        <v>12</v>
      </c>
      <c r="AD828" s="1016">
        <v>9</v>
      </c>
      <c r="AE828" s="1016">
        <v>14</v>
      </c>
      <c r="AF828" s="1016">
        <v>8</v>
      </c>
      <c r="AG828" s="1016">
        <v>18</v>
      </c>
      <c r="AH828" s="1016">
        <v>17</v>
      </c>
      <c r="AI828" s="1016">
        <v>13</v>
      </c>
      <c r="AJ828" s="1016">
        <v>14</v>
      </c>
      <c r="AK828" s="1016">
        <v>23</v>
      </c>
      <c r="AL828" s="1016">
        <v>8</v>
      </c>
      <c r="AM828" s="1016">
        <v>8</v>
      </c>
      <c r="AN828" s="1016">
        <v>3</v>
      </c>
      <c r="AO828" s="1016">
        <v>17</v>
      </c>
      <c r="AP828" s="1016">
        <v>10</v>
      </c>
      <c r="AQ828" s="1016">
        <v>5</v>
      </c>
      <c r="AR828" s="1016">
        <v>22</v>
      </c>
      <c r="AS828" s="1016">
        <v>204</v>
      </c>
    </row>
    <row r="829" spans="2:45" outlineLevel="1">
      <c r="B829" s="1387" t="s">
        <v>1420</v>
      </c>
      <c r="AD829" s="1016">
        <v>41</v>
      </c>
      <c r="AE829" s="1016">
        <v>7</v>
      </c>
      <c r="AF829" s="1016">
        <v>23</v>
      </c>
      <c r="AG829" s="1016">
        <v>6</v>
      </c>
      <c r="AH829" s="1016">
        <v>18</v>
      </c>
      <c r="AI829" s="1016">
        <v>9</v>
      </c>
      <c r="AJ829" s="1016">
        <v>12</v>
      </c>
      <c r="AK829" s="1016">
        <v>14</v>
      </c>
      <c r="AL829" s="1016">
        <v>17</v>
      </c>
      <c r="AM829" s="1016">
        <v>3</v>
      </c>
      <c r="AN829" s="1016">
        <v>6</v>
      </c>
      <c r="AO829" s="1016">
        <v>12</v>
      </c>
      <c r="AP829" s="1016">
        <v>7</v>
      </c>
      <c r="AQ829" s="1016">
        <v>20</v>
      </c>
      <c r="AR829" s="1016">
        <v>38</v>
      </c>
      <c r="AS829" s="1016">
        <v>233</v>
      </c>
    </row>
    <row r="830" spans="2:45" outlineLevel="1">
      <c r="B830" s="1387" t="s">
        <v>1566</v>
      </c>
      <c r="AF830" s="1016">
        <v>5</v>
      </c>
      <c r="AG830" s="1016">
        <v>7</v>
      </c>
      <c r="AH830" s="1016">
        <v>9</v>
      </c>
      <c r="AI830" s="1016">
        <v>6</v>
      </c>
      <c r="AJ830" s="1016">
        <v>3</v>
      </c>
      <c r="AK830" s="1016">
        <v>5</v>
      </c>
      <c r="AL830" s="1016">
        <v>5</v>
      </c>
      <c r="AM830" s="1016">
        <v>1</v>
      </c>
      <c r="AS830" s="1016">
        <v>41</v>
      </c>
    </row>
    <row r="831" spans="2:45" outlineLevel="1">
      <c r="B831" s="1387" t="s">
        <v>1670</v>
      </c>
      <c r="AF831" s="1016">
        <v>3</v>
      </c>
      <c r="AG831" s="1016">
        <v>9</v>
      </c>
      <c r="AH831" s="1016">
        <v>1</v>
      </c>
      <c r="AJ831" s="1016">
        <v>1</v>
      </c>
      <c r="AK831" s="1016">
        <v>10</v>
      </c>
      <c r="AL831" s="1016">
        <v>1</v>
      </c>
      <c r="AM831" s="1016">
        <v>1</v>
      </c>
      <c r="AO831" s="1016">
        <v>6</v>
      </c>
      <c r="AS831" s="1016">
        <v>32</v>
      </c>
    </row>
    <row r="832" spans="2:45" outlineLevel="1">
      <c r="B832" s="1387" t="s">
        <v>1571</v>
      </c>
      <c r="AF832" s="1016">
        <v>8</v>
      </c>
      <c r="AG832" s="1016">
        <v>15</v>
      </c>
      <c r="AH832" s="1016">
        <v>9</v>
      </c>
      <c r="AI832" s="1016">
        <v>16</v>
      </c>
      <c r="AJ832" s="1016">
        <v>15</v>
      </c>
      <c r="AK832" s="1016">
        <v>42</v>
      </c>
      <c r="AL832" s="1016">
        <v>26</v>
      </c>
      <c r="AM832" s="1016">
        <v>22</v>
      </c>
      <c r="AN832" s="1016">
        <v>1</v>
      </c>
      <c r="AO832" s="1016">
        <v>16</v>
      </c>
      <c r="AP832" s="1016">
        <v>6</v>
      </c>
      <c r="AQ832" s="1016">
        <v>15</v>
      </c>
      <c r="AR832" s="1016">
        <v>32</v>
      </c>
      <c r="AS832" s="1016">
        <v>223</v>
      </c>
    </row>
    <row r="833" spans="2:45" outlineLevel="1">
      <c r="B833" s="1387" t="s">
        <v>1564</v>
      </c>
      <c r="AD833" s="1016">
        <v>3</v>
      </c>
      <c r="AE833" s="1016">
        <v>3</v>
      </c>
      <c r="AF833" s="1016">
        <v>7</v>
      </c>
      <c r="AG833" s="1016">
        <v>4</v>
      </c>
      <c r="AH833" s="1016">
        <v>2</v>
      </c>
      <c r="AJ833" s="1016">
        <v>3</v>
      </c>
      <c r="AK833" s="1016">
        <v>10</v>
      </c>
      <c r="AL833" s="1016">
        <v>6</v>
      </c>
      <c r="AM833" s="1016">
        <v>4</v>
      </c>
      <c r="AN833" s="1016">
        <v>4</v>
      </c>
      <c r="AO833" s="1016">
        <v>18</v>
      </c>
      <c r="AP833" s="1016">
        <v>7</v>
      </c>
      <c r="AQ833" s="1016">
        <v>4</v>
      </c>
      <c r="AR833" s="1016">
        <v>9</v>
      </c>
      <c r="AS833" s="1016">
        <v>84</v>
      </c>
    </row>
    <row r="834" spans="2:45" outlineLevel="1">
      <c r="B834" s="1387" t="s">
        <v>1766</v>
      </c>
      <c r="T834" s="1016">
        <v>2</v>
      </c>
      <c r="U834" s="1016">
        <v>3</v>
      </c>
      <c r="V834" s="1016">
        <v>14</v>
      </c>
      <c r="W834" s="1016">
        <v>15</v>
      </c>
      <c r="X834" s="1016">
        <v>15</v>
      </c>
      <c r="Y834" s="1016">
        <v>11</v>
      </c>
      <c r="Z834" s="1016">
        <v>18</v>
      </c>
      <c r="AA834" s="1016">
        <v>21</v>
      </c>
      <c r="AB834" s="1016">
        <v>5</v>
      </c>
      <c r="AC834" s="1016">
        <v>6</v>
      </c>
      <c r="AD834" s="1016">
        <v>29</v>
      </c>
      <c r="AE834" s="1016">
        <v>13</v>
      </c>
      <c r="AF834" s="1016">
        <v>16</v>
      </c>
      <c r="AG834" s="1016">
        <v>23</v>
      </c>
      <c r="AH834" s="1016">
        <v>21</v>
      </c>
      <c r="AI834" s="1016">
        <v>20</v>
      </c>
      <c r="AJ834" s="1016">
        <v>5</v>
      </c>
      <c r="AK834" s="1016">
        <v>17</v>
      </c>
      <c r="AL834" s="1016">
        <v>15</v>
      </c>
      <c r="AM834" s="1016">
        <v>1</v>
      </c>
      <c r="AN834" s="1016">
        <v>3</v>
      </c>
      <c r="AO834" s="1016">
        <v>23</v>
      </c>
      <c r="AP834" s="1016">
        <v>12</v>
      </c>
      <c r="AQ834" s="1016">
        <v>5</v>
      </c>
      <c r="AR834" s="1016">
        <v>15</v>
      </c>
      <c r="AS834" s="1016">
        <v>328</v>
      </c>
    </row>
    <row r="835" spans="2:45" outlineLevel="1">
      <c r="B835" s="1387" t="s">
        <v>1768</v>
      </c>
      <c r="U835" s="1016">
        <v>5</v>
      </c>
      <c r="V835" s="1016">
        <v>4</v>
      </c>
      <c r="Y835" s="1016">
        <v>4</v>
      </c>
      <c r="Z835" s="1016">
        <v>5</v>
      </c>
      <c r="AA835" s="1016">
        <v>2</v>
      </c>
      <c r="AB835" s="1016">
        <v>1</v>
      </c>
      <c r="AC835" s="1016">
        <v>2</v>
      </c>
      <c r="AD835" s="1016">
        <v>5</v>
      </c>
      <c r="AE835" s="1016">
        <v>3</v>
      </c>
      <c r="AF835" s="1016">
        <v>4</v>
      </c>
      <c r="AG835" s="1016">
        <v>6</v>
      </c>
      <c r="AH835" s="1016">
        <v>5</v>
      </c>
      <c r="AI835" s="1016">
        <v>4</v>
      </c>
      <c r="AJ835" s="1016">
        <v>1</v>
      </c>
      <c r="AK835" s="1016">
        <v>1</v>
      </c>
      <c r="AL835" s="1016">
        <v>4</v>
      </c>
      <c r="AO835" s="1016">
        <v>4</v>
      </c>
      <c r="AP835" s="1016">
        <v>12</v>
      </c>
      <c r="AQ835" s="1016">
        <v>6</v>
      </c>
      <c r="AS835" s="1016">
        <v>78</v>
      </c>
    </row>
    <row r="836" spans="2:45" outlineLevel="1">
      <c r="B836" s="1387" t="s">
        <v>1771</v>
      </c>
      <c r="AD836" s="1016">
        <v>4</v>
      </c>
      <c r="AE836" s="1016">
        <v>12</v>
      </c>
      <c r="AF836" s="1016">
        <v>6</v>
      </c>
      <c r="AG836" s="1016">
        <v>9</v>
      </c>
      <c r="AH836" s="1016">
        <v>9</v>
      </c>
      <c r="AI836" s="1016">
        <v>7</v>
      </c>
      <c r="AJ836" s="1016">
        <v>12</v>
      </c>
      <c r="AK836" s="1016">
        <v>11</v>
      </c>
      <c r="AL836" s="1016">
        <v>3</v>
      </c>
      <c r="AO836" s="1016">
        <v>5</v>
      </c>
      <c r="AP836" s="1016">
        <v>10</v>
      </c>
      <c r="AQ836" s="1016">
        <v>6</v>
      </c>
      <c r="AS836" s="1016">
        <v>94</v>
      </c>
    </row>
    <row r="837" spans="2:45" outlineLevel="1">
      <c r="B837" s="1387" t="s">
        <v>1774</v>
      </c>
      <c r="AA837" s="1016">
        <v>20</v>
      </c>
      <c r="AB837" s="1016">
        <v>29</v>
      </c>
      <c r="AC837" s="1016">
        <v>17</v>
      </c>
      <c r="AD837" s="1016">
        <v>16</v>
      </c>
      <c r="AE837" s="1016">
        <v>34</v>
      </c>
      <c r="AF837" s="1016">
        <v>10</v>
      </c>
      <c r="AG837" s="1016">
        <v>35</v>
      </c>
      <c r="AH837" s="1016">
        <v>4</v>
      </c>
      <c r="AI837" s="1016">
        <v>27</v>
      </c>
      <c r="AJ837" s="1016">
        <v>12</v>
      </c>
      <c r="AK837" s="1016">
        <v>33</v>
      </c>
      <c r="AL837" s="1016">
        <v>15</v>
      </c>
      <c r="AM837" s="1016">
        <v>9</v>
      </c>
      <c r="AN837" s="1016">
        <v>6</v>
      </c>
      <c r="AO837" s="1016">
        <v>19</v>
      </c>
      <c r="AP837" s="1016">
        <v>4</v>
      </c>
      <c r="AQ837" s="1016">
        <v>13</v>
      </c>
      <c r="AR837" s="1016">
        <v>42</v>
      </c>
      <c r="AS837" s="1016">
        <v>345</v>
      </c>
    </row>
    <row r="838" spans="2:45" outlineLevel="1">
      <c r="B838" s="1387" t="s">
        <v>1028</v>
      </c>
      <c r="AE838" s="1016">
        <v>14</v>
      </c>
      <c r="AF838" s="1016">
        <v>8</v>
      </c>
      <c r="AG838" s="1016">
        <v>13</v>
      </c>
      <c r="AH838" s="1016">
        <v>11</v>
      </c>
      <c r="AI838" s="1016">
        <v>19</v>
      </c>
      <c r="AJ838" s="1016">
        <v>9</v>
      </c>
      <c r="AK838" s="1016">
        <v>29</v>
      </c>
      <c r="AL838" s="1016">
        <v>19</v>
      </c>
      <c r="AM838" s="1016">
        <v>9</v>
      </c>
      <c r="AN838" s="1016">
        <v>15</v>
      </c>
      <c r="AO838" s="1016">
        <v>27</v>
      </c>
      <c r="AP838" s="1016">
        <v>32</v>
      </c>
      <c r="AQ838" s="1016">
        <v>31</v>
      </c>
      <c r="AR838" s="1016">
        <v>14</v>
      </c>
      <c r="AS838" s="1016">
        <v>250</v>
      </c>
    </row>
    <row r="839" spans="2:45" outlineLevel="1">
      <c r="B839" s="1387" t="s">
        <v>1569</v>
      </c>
      <c r="AE839" s="1016">
        <v>9</v>
      </c>
      <c r="AF839" s="1016">
        <v>9</v>
      </c>
      <c r="AG839" s="1016">
        <v>14</v>
      </c>
      <c r="AH839" s="1016">
        <v>27</v>
      </c>
      <c r="AI839" s="1016">
        <v>26</v>
      </c>
      <c r="AJ839" s="1016">
        <v>58</v>
      </c>
      <c r="AK839" s="1016">
        <v>44</v>
      </c>
      <c r="AL839" s="1016">
        <v>26</v>
      </c>
      <c r="AM839" s="1016">
        <v>10</v>
      </c>
      <c r="AN839" s="1016">
        <v>5</v>
      </c>
      <c r="AO839" s="1016">
        <v>34</v>
      </c>
      <c r="AP839" s="1016">
        <v>41</v>
      </c>
      <c r="AQ839" s="1016">
        <v>30</v>
      </c>
      <c r="AR839" s="1016">
        <v>58</v>
      </c>
      <c r="AS839" s="1016">
        <v>391</v>
      </c>
    </row>
    <row r="840" spans="2:45" outlineLevel="1">
      <c r="B840" s="1387" t="s">
        <v>1573</v>
      </c>
      <c r="AF840" s="1016">
        <v>12</v>
      </c>
      <c r="AG840" s="1016">
        <v>10</v>
      </c>
      <c r="AH840" s="1016">
        <v>9</v>
      </c>
      <c r="AI840" s="1016">
        <v>12</v>
      </c>
      <c r="AJ840" s="1016">
        <v>9</v>
      </c>
      <c r="AK840" s="1016">
        <v>22</v>
      </c>
      <c r="AL840" s="1016">
        <v>42</v>
      </c>
      <c r="AM840" s="1016">
        <v>2</v>
      </c>
      <c r="AN840" s="1016">
        <v>10</v>
      </c>
      <c r="AO840" s="1016">
        <v>15</v>
      </c>
      <c r="AP840" s="1016">
        <v>1</v>
      </c>
      <c r="AQ840" s="1016">
        <v>20</v>
      </c>
      <c r="AR840" s="1016">
        <v>43</v>
      </c>
      <c r="AS840" s="1016">
        <v>207</v>
      </c>
    </row>
    <row r="841" spans="2:45" outlineLevel="1">
      <c r="B841" s="1387" t="s">
        <v>1770</v>
      </c>
      <c r="O841" s="1016">
        <v>3</v>
      </c>
      <c r="P841" s="1016">
        <v>0</v>
      </c>
      <c r="Q841" s="1016">
        <v>3</v>
      </c>
      <c r="R841" s="1016">
        <v>6</v>
      </c>
      <c r="S841" s="1016">
        <v>4</v>
      </c>
      <c r="T841" s="1016">
        <v>2</v>
      </c>
      <c r="U841" s="1016">
        <v>1</v>
      </c>
      <c r="V841" s="1016">
        <v>7</v>
      </c>
      <c r="W841" s="1016">
        <v>13</v>
      </c>
      <c r="X841" s="1016">
        <v>5</v>
      </c>
      <c r="Y841" s="1016">
        <v>23</v>
      </c>
      <c r="Z841" s="1016">
        <v>5</v>
      </c>
      <c r="AA841" s="1016">
        <v>3</v>
      </c>
      <c r="AC841" s="1016">
        <v>22</v>
      </c>
      <c r="AD841" s="1016">
        <v>5</v>
      </c>
      <c r="AE841" s="1016">
        <v>7</v>
      </c>
      <c r="AF841" s="1016">
        <v>11</v>
      </c>
      <c r="AS841" s="1016">
        <v>120</v>
      </c>
    </row>
    <row r="842" spans="2:45" outlineLevel="1">
      <c r="B842" s="1387" t="s">
        <v>1777</v>
      </c>
      <c r="R842" s="1016">
        <v>4</v>
      </c>
      <c r="S842" s="1016">
        <v>3</v>
      </c>
      <c r="T842" s="1016">
        <v>8</v>
      </c>
      <c r="U842" s="1016">
        <v>4</v>
      </c>
      <c r="V842" s="1016">
        <v>13</v>
      </c>
      <c r="W842" s="1016">
        <v>3</v>
      </c>
      <c r="X842" s="1016">
        <v>6</v>
      </c>
      <c r="Y842" s="1016">
        <v>10</v>
      </c>
      <c r="Z842" s="1016">
        <v>5</v>
      </c>
      <c r="AA842" s="1016">
        <v>2</v>
      </c>
      <c r="AB842" s="1016">
        <v>2</v>
      </c>
      <c r="AC842" s="1016">
        <v>4</v>
      </c>
      <c r="AD842" s="1016">
        <v>3</v>
      </c>
      <c r="AE842" s="1016">
        <v>3</v>
      </c>
      <c r="AF842" s="1016">
        <v>13</v>
      </c>
      <c r="AG842" s="1016">
        <v>5</v>
      </c>
      <c r="AH842" s="1016">
        <v>3</v>
      </c>
      <c r="AJ842" s="1016">
        <v>1</v>
      </c>
      <c r="AK842" s="1016">
        <v>1</v>
      </c>
      <c r="AS842" s="1016">
        <v>93</v>
      </c>
    </row>
    <row r="843" spans="2:45" outlineLevel="1">
      <c r="B843" s="1387" t="s">
        <v>1773</v>
      </c>
      <c r="V843" s="1016">
        <v>6</v>
      </c>
      <c r="W843" s="1016">
        <v>9</v>
      </c>
      <c r="X843" s="1016">
        <v>13</v>
      </c>
      <c r="Y843" s="1016">
        <v>50</v>
      </c>
      <c r="Z843" s="1016">
        <v>36</v>
      </c>
      <c r="AA843" s="1016">
        <v>11</v>
      </c>
      <c r="AB843" s="1016">
        <v>8</v>
      </c>
      <c r="AC843" s="1016">
        <v>6</v>
      </c>
      <c r="AD843" s="1016">
        <v>8</v>
      </c>
      <c r="AE843" s="1016">
        <v>6</v>
      </c>
      <c r="AF843" s="1016">
        <v>9</v>
      </c>
      <c r="AG843" s="1016">
        <v>7</v>
      </c>
      <c r="AH843" s="1016">
        <v>5</v>
      </c>
      <c r="AI843" s="1016">
        <v>13</v>
      </c>
      <c r="AJ843" s="1016">
        <v>9</v>
      </c>
      <c r="AK843" s="1016">
        <v>24</v>
      </c>
      <c r="AL843" s="1016">
        <v>23</v>
      </c>
      <c r="AM843" s="1016">
        <v>4</v>
      </c>
      <c r="AN843" s="1016">
        <v>7</v>
      </c>
      <c r="AO843" s="1016">
        <v>17</v>
      </c>
      <c r="AP843" s="1016">
        <v>9</v>
      </c>
      <c r="AQ843" s="1016">
        <v>29</v>
      </c>
      <c r="AR843" s="1016">
        <v>9</v>
      </c>
      <c r="AS843" s="1016">
        <v>318</v>
      </c>
    </row>
    <row r="844" spans="2:45" outlineLevel="1">
      <c r="B844" s="1387" t="s">
        <v>1950</v>
      </c>
      <c r="R844" s="1016">
        <v>7</v>
      </c>
      <c r="S844" s="1016">
        <v>8</v>
      </c>
      <c r="T844" s="1016">
        <v>5</v>
      </c>
      <c r="U844" s="1016">
        <v>2</v>
      </c>
      <c r="V844" s="1016">
        <v>5</v>
      </c>
      <c r="W844" s="1016">
        <v>10</v>
      </c>
      <c r="X844" s="1016">
        <v>7</v>
      </c>
      <c r="Y844" s="1016">
        <v>8</v>
      </c>
      <c r="Z844" s="1016">
        <v>4</v>
      </c>
      <c r="AA844" s="1016">
        <v>2</v>
      </c>
      <c r="AB844" s="1016">
        <v>1</v>
      </c>
      <c r="AC844" s="1016">
        <v>5</v>
      </c>
      <c r="AD844" s="1016">
        <v>1</v>
      </c>
      <c r="AE844" s="1016">
        <v>8</v>
      </c>
      <c r="AF844" s="1016">
        <v>1</v>
      </c>
      <c r="AG844" s="1016">
        <v>8</v>
      </c>
      <c r="AH844" s="1016">
        <v>4</v>
      </c>
      <c r="AI844" s="1016">
        <v>6</v>
      </c>
      <c r="AK844" s="1016">
        <v>2</v>
      </c>
      <c r="AL844" s="1016">
        <v>3</v>
      </c>
      <c r="AM844" s="1016">
        <v>2</v>
      </c>
      <c r="AN844" s="1016">
        <v>1</v>
      </c>
      <c r="AO844" s="1016">
        <v>6</v>
      </c>
      <c r="AP844" s="1016">
        <v>1</v>
      </c>
      <c r="AS844" s="1016">
        <v>107</v>
      </c>
    </row>
    <row r="845" spans="2:45" outlineLevel="1">
      <c r="B845" s="1387" t="s">
        <v>2054</v>
      </c>
      <c r="AI845" s="1016">
        <v>31</v>
      </c>
      <c r="AJ845" s="1016">
        <v>21</v>
      </c>
      <c r="AK845" s="1016">
        <v>32</v>
      </c>
      <c r="AL845" s="1016">
        <v>13</v>
      </c>
      <c r="AM845" s="1016">
        <v>16</v>
      </c>
      <c r="AN845" s="1016">
        <v>20</v>
      </c>
      <c r="AO845" s="1016">
        <v>22</v>
      </c>
      <c r="AP845" s="1016">
        <v>11</v>
      </c>
      <c r="AQ845" s="1016">
        <v>23</v>
      </c>
      <c r="AR845" s="1016">
        <v>43</v>
      </c>
      <c r="AS845" s="1016">
        <v>232</v>
      </c>
    </row>
    <row r="846" spans="2:45" outlineLevel="1">
      <c r="B846" s="1387" t="s">
        <v>2705</v>
      </c>
      <c r="AO846" s="1016">
        <v>10</v>
      </c>
      <c r="AQ846" s="1016">
        <v>3</v>
      </c>
      <c r="AR846" s="1016">
        <v>2</v>
      </c>
      <c r="AS846" s="1016">
        <v>15</v>
      </c>
    </row>
    <row r="847" spans="2:45" outlineLevel="1">
      <c r="B847" s="1387" t="s">
        <v>2706</v>
      </c>
      <c r="AO847" s="1016">
        <v>11</v>
      </c>
      <c r="AP847" s="1016">
        <v>10</v>
      </c>
      <c r="AQ847" s="1016">
        <v>7</v>
      </c>
      <c r="AR847" s="1016">
        <v>7</v>
      </c>
      <c r="AS847" s="1016">
        <v>35</v>
      </c>
    </row>
    <row r="848" spans="2:45" outlineLevel="1">
      <c r="B848" s="1387" t="s">
        <v>2707</v>
      </c>
      <c r="AO848" s="1016">
        <v>5</v>
      </c>
      <c r="AP848" s="1016">
        <v>1</v>
      </c>
      <c r="AQ848" s="1016">
        <v>2</v>
      </c>
      <c r="AS848" s="1016">
        <v>8</v>
      </c>
    </row>
    <row r="849" spans="2:45" outlineLevel="1">
      <c r="B849" s="1387" t="s">
        <v>2709</v>
      </c>
      <c r="AO849" s="1016">
        <v>5</v>
      </c>
      <c r="AP849" s="1016">
        <v>5</v>
      </c>
      <c r="AQ849" s="1016">
        <v>22</v>
      </c>
      <c r="AR849" s="1016">
        <v>73</v>
      </c>
      <c r="AS849" s="1016">
        <v>105</v>
      </c>
    </row>
    <row r="850" spans="2:45" outlineLevel="1">
      <c r="B850" s="1387" t="s">
        <v>2711</v>
      </c>
      <c r="AO850" s="1016">
        <v>6</v>
      </c>
      <c r="AP850" s="1016">
        <v>22</v>
      </c>
      <c r="AQ850" s="1016">
        <v>23</v>
      </c>
      <c r="AR850" s="1016">
        <v>39</v>
      </c>
      <c r="AS850" s="1016">
        <v>90</v>
      </c>
    </row>
    <row r="851" spans="2:45" outlineLevel="1">
      <c r="B851" s="1387" t="s">
        <v>3169</v>
      </c>
      <c r="AQ851" s="1016">
        <v>2</v>
      </c>
      <c r="AR851" s="1016">
        <v>26</v>
      </c>
      <c r="AS851" s="1016">
        <v>28</v>
      </c>
    </row>
    <row r="852" spans="2:45" outlineLevel="1">
      <c r="B852" s="1387" t="s">
        <v>1410</v>
      </c>
      <c r="AQ852" s="1016">
        <v>4</v>
      </c>
      <c r="AR852" s="1016">
        <v>10</v>
      </c>
      <c r="AS852" s="1016">
        <v>14</v>
      </c>
    </row>
    <row r="853" spans="2:45" outlineLevel="1">
      <c r="B853" s="1387" t="s">
        <v>2897</v>
      </c>
      <c r="AQ853" s="1016">
        <v>18</v>
      </c>
      <c r="AR853" s="1016">
        <v>25</v>
      </c>
      <c r="AS853" s="1016">
        <v>43</v>
      </c>
    </row>
    <row r="854" spans="2:45" outlineLevel="1">
      <c r="B854" s="1387" t="s">
        <v>3184</v>
      </c>
      <c r="AQ854" s="1016">
        <v>6</v>
      </c>
      <c r="AR854" s="1016">
        <v>8</v>
      </c>
      <c r="AS854" s="1016">
        <v>14</v>
      </c>
    </row>
    <row r="855" spans="2:45" outlineLevel="1">
      <c r="B855" s="1387" t="s">
        <v>3180</v>
      </c>
      <c r="AQ855" s="1016">
        <v>1</v>
      </c>
      <c r="AR855" s="1016">
        <v>2</v>
      </c>
      <c r="AS855" s="1016">
        <v>3</v>
      </c>
    </row>
    <row r="856" spans="2:45" outlineLevel="1">
      <c r="B856" s="1387" t="s">
        <v>3189</v>
      </c>
      <c r="AQ856" s="1016">
        <v>17</v>
      </c>
      <c r="AR856" s="1016">
        <v>31</v>
      </c>
      <c r="AS856" s="1016">
        <v>48</v>
      </c>
    </row>
    <row r="857" spans="2:45" outlineLevel="1">
      <c r="B857" s="1387" t="s">
        <v>3190</v>
      </c>
      <c r="AQ857" s="1016">
        <v>29</v>
      </c>
      <c r="AR857" s="1016">
        <v>53</v>
      </c>
      <c r="AS857" s="1016">
        <v>82</v>
      </c>
    </row>
    <row r="858" spans="2:45" outlineLevel="1">
      <c r="B858" s="1387" t="s">
        <v>3191</v>
      </c>
      <c r="AQ858" s="1016">
        <v>45</v>
      </c>
      <c r="AR858" s="1016">
        <v>123</v>
      </c>
      <c r="AS858" s="1016">
        <v>168</v>
      </c>
    </row>
    <row r="859" spans="2:45" outlineLevel="1">
      <c r="B859" s="1387" t="s">
        <v>3528</v>
      </c>
      <c r="AR859" s="1016">
        <v>5</v>
      </c>
      <c r="AS859" s="1016">
        <v>5</v>
      </c>
    </row>
    <row r="860" spans="2:45" outlineLevel="1">
      <c r="B860" s="1387" t="s">
        <v>3529</v>
      </c>
      <c r="AR860" s="1016">
        <v>15</v>
      </c>
      <c r="AS860" s="1016">
        <v>15</v>
      </c>
    </row>
    <row r="861" spans="2:45" outlineLevel="1">
      <c r="B861" s="1387" t="s">
        <v>3530</v>
      </c>
      <c r="AR861" s="1016">
        <v>14</v>
      </c>
      <c r="AS861" s="1016">
        <v>14</v>
      </c>
    </row>
    <row r="862" spans="2:45" outlineLevel="1">
      <c r="B862" s="1387" t="s">
        <v>3575</v>
      </c>
      <c r="AR862" s="1016">
        <v>5</v>
      </c>
      <c r="AS862" s="1016">
        <v>5</v>
      </c>
    </row>
    <row r="863" spans="2:45" outlineLevel="1">
      <c r="B863" s="1387" t="s">
        <v>3519</v>
      </c>
      <c r="AR863" s="1016">
        <v>5</v>
      </c>
      <c r="AS863" s="1016">
        <v>5</v>
      </c>
    </row>
    <row r="864" spans="2:45" outlineLevel="1">
      <c r="B864" s="1387" t="s">
        <v>3521</v>
      </c>
      <c r="AR864" s="1016">
        <v>12</v>
      </c>
      <c r="AS864" s="1016">
        <v>12</v>
      </c>
    </row>
    <row r="865" spans="2:45" outlineLevel="1">
      <c r="B865" s="1387" t="s">
        <v>3523</v>
      </c>
      <c r="AR865" s="1016">
        <v>4</v>
      </c>
      <c r="AS865" s="1016">
        <v>4</v>
      </c>
    </row>
    <row r="866" spans="2:45" outlineLevel="1">
      <c r="B866" s="1387" t="s">
        <v>3573</v>
      </c>
      <c r="AR866" s="1016">
        <v>17</v>
      </c>
      <c r="AS866" s="1016">
        <v>17</v>
      </c>
    </row>
    <row r="867" spans="2:45" outlineLevel="1">
      <c r="B867" s="1387" t="s">
        <v>3525</v>
      </c>
      <c r="AR867" s="1016">
        <v>9</v>
      </c>
      <c r="AS867" s="1016">
        <v>9</v>
      </c>
    </row>
    <row r="868" spans="2:45" outlineLevel="1">
      <c r="B868" s="1387" t="s">
        <v>274</v>
      </c>
      <c r="C868" s="1016">
        <v>6</v>
      </c>
      <c r="D868" s="1016">
        <v>1</v>
      </c>
      <c r="E868" s="1016">
        <v>30</v>
      </c>
      <c r="F868" s="1016">
        <v>54</v>
      </c>
      <c r="G868" s="1016">
        <v>64</v>
      </c>
      <c r="H868" s="1016">
        <v>62</v>
      </c>
      <c r="I868" s="1016">
        <v>43</v>
      </c>
      <c r="J868" s="1016">
        <v>60</v>
      </c>
      <c r="K868" s="1016">
        <v>83</v>
      </c>
      <c r="L868" s="1016">
        <v>82</v>
      </c>
      <c r="M868" s="1016">
        <v>76</v>
      </c>
      <c r="N868" s="1016">
        <v>135</v>
      </c>
      <c r="O868" s="1016">
        <v>46</v>
      </c>
      <c r="P868" s="1016">
        <v>46</v>
      </c>
      <c r="Q868" s="1016">
        <v>68</v>
      </c>
      <c r="R868" s="1016">
        <v>138</v>
      </c>
      <c r="S868" s="1016">
        <v>177</v>
      </c>
      <c r="T868" s="1016">
        <v>238</v>
      </c>
      <c r="U868" s="1016">
        <v>163</v>
      </c>
      <c r="V868" s="1016">
        <v>252</v>
      </c>
      <c r="W868" s="1016">
        <v>259</v>
      </c>
      <c r="X868" s="1016">
        <v>196</v>
      </c>
      <c r="Y868" s="1016">
        <v>326</v>
      </c>
      <c r="Z868" s="1016">
        <v>348</v>
      </c>
      <c r="AA868" s="1016">
        <v>335</v>
      </c>
      <c r="AB868" s="1016">
        <v>184</v>
      </c>
      <c r="AC868" s="1016">
        <v>386</v>
      </c>
      <c r="AD868" s="1016">
        <v>477</v>
      </c>
      <c r="AE868" s="1016">
        <v>404</v>
      </c>
      <c r="AF868" s="1016">
        <v>429</v>
      </c>
      <c r="AG868" s="1016">
        <v>446</v>
      </c>
      <c r="AH868" s="1016">
        <v>429</v>
      </c>
      <c r="AI868" s="1016">
        <v>473</v>
      </c>
      <c r="AJ868" s="1016">
        <v>406</v>
      </c>
      <c r="AK868" s="1016">
        <v>743</v>
      </c>
      <c r="AL868" s="1016">
        <v>557</v>
      </c>
      <c r="AM868" s="1016">
        <v>192</v>
      </c>
      <c r="AN868" s="1016">
        <v>186</v>
      </c>
      <c r="AO868" s="1016">
        <v>620</v>
      </c>
      <c r="AP868" s="1016">
        <v>471</v>
      </c>
      <c r="AQ868" s="1016">
        <v>619</v>
      </c>
      <c r="AR868" s="1016">
        <v>1122</v>
      </c>
      <c r="AS868" s="1016">
        <v>11432</v>
      </c>
    </row>
    <row r="869" spans="2:45" outlineLevel="1">
      <c r="B869" s="1387"/>
    </row>
    <row r="870" spans="2:45" outlineLevel="1">
      <c r="B870" s="1387"/>
    </row>
    <row r="871" spans="2:45" outlineLevel="1">
      <c r="B871" s="1387"/>
    </row>
    <row r="872" spans="2:45" outlineLevel="1">
      <c r="B872" s="1387"/>
    </row>
    <row r="873" spans="2:45" outlineLevel="1">
      <c r="B873" s="1387"/>
    </row>
    <row r="874" spans="2:45" outlineLevel="1">
      <c r="B874" s="1387"/>
    </row>
    <row r="875" spans="2:45" outlineLevel="1">
      <c r="B875" s="1387"/>
    </row>
    <row r="876" spans="2:45" outlineLevel="1">
      <c r="B876" s="1387"/>
    </row>
    <row r="877" spans="2:45" outlineLevel="1">
      <c r="B877" s="1387"/>
    </row>
    <row r="878" spans="2:45" outlineLevel="1">
      <c r="B878" s="1387"/>
    </row>
    <row r="879" spans="2:45" outlineLevel="1">
      <c r="B879" s="1387"/>
    </row>
    <row r="880" spans="2:45" outlineLevel="1"/>
    <row r="881" spans="2:45" outlineLevel="1">
      <c r="B881" s="1488" t="s">
        <v>392</v>
      </c>
      <c r="C881" s="1487" t="s">
        <v>275</v>
      </c>
    </row>
    <row r="882" spans="2:45" outlineLevel="1">
      <c r="B882" s="1487" t="s">
        <v>253</v>
      </c>
      <c r="C882" s="1016">
        <v>201301</v>
      </c>
      <c r="D882" s="1016">
        <v>201302</v>
      </c>
      <c r="E882" s="1016">
        <v>201303</v>
      </c>
      <c r="F882" s="1016">
        <v>201304</v>
      </c>
      <c r="G882" s="1016">
        <v>201305</v>
      </c>
      <c r="H882" s="1016">
        <v>201306</v>
      </c>
      <c r="I882" s="1016">
        <v>201307</v>
      </c>
      <c r="J882" s="1016">
        <v>201308</v>
      </c>
      <c r="K882" s="1016">
        <v>201309</v>
      </c>
      <c r="L882" s="1016">
        <v>201310</v>
      </c>
      <c r="M882" s="1016">
        <v>201311</v>
      </c>
      <c r="N882" s="1016">
        <v>201312</v>
      </c>
      <c r="O882" s="1016">
        <v>201401</v>
      </c>
      <c r="P882" s="1016">
        <v>201402</v>
      </c>
      <c r="Q882" s="1016">
        <v>201403</v>
      </c>
      <c r="R882" s="1016">
        <v>201404</v>
      </c>
      <c r="S882" s="1016">
        <v>201405</v>
      </c>
      <c r="T882" s="1016">
        <v>201406</v>
      </c>
      <c r="U882" s="1016">
        <v>201407</v>
      </c>
      <c r="V882" s="1016">
        <v>201408</v>
      </c>
      <c r="W882" s="1016">
        <v>201409</v>
      </c>
      <c r="X882" s="1016">
        <v>201410</v>
      </c>
      <c r="Y882" s="1016">
        <v>201411</v>
      </c>
      <c r="Z882" s="1016">
        <v>201412</v>
      </c>
      <c r="AA882" s="1016">
        <v>201501</v>
      </c>
      <c r="AB882" s="1016">
        <v>201502</v>
      </c>
      <c r="AC882" s="1016">
        <v>201503</v>
      </c>
      <c r="AD882" s="1016">
        <v>201504</v>
      </c>
      <c r="AE882" s="1016">
        <v>201505</v>
      </c>
      <c r="AF882" s="1016">
        <v>201506</v>
      </c>
      <c r="AG882" s="1016">
        <v>201507</v>
      </c>
      <c r="AH882" s="1016">
        <v>201508</v>
      </c>
      <c r="AI882" s="1016">
        <v>201509</v>
      </c>
      <c r="AJ882" s="1016">
        <v>201510</v>
      </c>
      <c r="AK882" s="1016">
        <v>201511</v>
      </c>
      <c r="AL882" s="1016">
        <v>201512</v>
      </c>
      <c r="AM882" s="1016">
        <v>201601</v>
      </c>
      <c r="AN882" s="1016">
        <v>201602</v>
      </c>
      <c r="AO882" s="1016">
        <v>201603</v>
      </c>
      <c r="AP882" s="1016">
        <v>201604</v>
      </c>
      <c r="AQ882" s="1016">
        <v>201605</v>
      </c>
      <c r="AR882" s="1016">
        <v>201606</v>
      </c>
      <c r="AS882" s="1016" t="s">
        <v>274</v>
      </c>
    </row>
    <row r="883" spans="2:45" outlineLevel="1">
      <c r="B883" s="1387" t="s">
        <v>191</v>
      </c>
      <c r="E883" s="1016">
        <v>1</v>
      </c>
      <c r="F883" s="1016">
        <v>8</v>
      </c>
      <c r="G883" s="1016">
        <v>0</v>
      </c>
      <c r="H883" s="1016">
        <v>3</v>
      </c>
      <c r="J883" s="1016">
        <v>1</v>
      </c>
      <c r="K883" s="1016">
        <v>3</v>
      </c>
      <c r="L883" s="1016">
        <v>0</v>
      </c>
      <c r="M883" s="1016">
        <v>1</v>
      </c>
      <c r="N883" s="1016">
        <v>0</v>
      </c>
      <c r="O883" s="1016">
        <v>2</v>
      </c>
      <c r="P883" s="1016">
        <v>0</v>
      </c>
      <c r="Q883" s="1016">
        <v>1</v>
      </c>
      <c r="R883" s="1016">
        <v>1</v>
      </c>
      <c r="S883" s="1016">
        <v>1</v>
      </c>
      <c r="T883" s="1016">
        <v>2</v>
      </c>
      <c r="U883" s="1016">
        <v>3</v>
      </c>
      <c r="V883" s="1016">
        <v>6</v>
      </c>
      <c r="W883" s="1016">
        <v>3</v>
      </c>
      <c r="X883" s="1016">
        <v>3</v>
      </c>
      <c r="Y883" s="1016">
        <v>8</v>
      </c>
      <c r="Z883" s="1016">
        <v>8</v>
      </c>
      <c r="AA883" s="1016">
        <v>18</v>
      </c>
      <c r="AB883" s="1016">
        <v>1</v>
      </c>
      <c r="AC883" s="1016">
        <v>7</v>
      </c>
      <c r="AD883" s="1016">
        <v>6</v>
      </c>
      <c r="AE883" s="1016">
        <v>4</v>
      </c>
      <c r="AF883" s="1016">
        <v>3</v>
      </c>
      <c r="AG883" s="1016">
        <v>5</v>
      </c>
      <c r="AH883" s="1016">
        <v>3</v>
      </c>
      <c r="AI883" s="1016">
        <v>8</v>
      </c>
      <c r="AJ883" s="1016">
        <v>2</v>
      </c>
      <c r="AK883" s="1016">
        <v>3</v>
      </c>
      <c r="AL883" s="1016">
        <v>2</v>
      </c>
      <c r="AM883" s="1016">
        <v>2</v>
      </c>
      <c r="AN883" s="1016">
        <v>1</v>
      </c>
      <c r="AP883" s="1016">
        <v>13</v>
      </c>
      <c r="AQ883" s="1016">
        <v>21</v>
      </c>
      <c r="AR883" s="1016">
        <v>42</v>
      </c>
      <c r="AS883" s="1016">
        <v>196</v>
      </c>
    </row>
    <row r="884" spans="2:45" outlineLevel="1">
      <c r="B884" s="1387" t="s">
        <v>189</v>
      </c>
      <c r="E884" s="1016">
        <v>4</v>
      </c>
      <c r="F884" s="1016">
        <v>5</v>
      </c>
      <c r="G884" s="1016">
        <v>3</v>
      </c>
      <c r="H884" s="1016">
        <v>2</v>
      </c>
      <c r="I884" s="1016">
        <v>1</v>
      </c>
      <c r="J884" s="1016">
        <v>0</v>
      </c>
      <c r="K884" s="1016">
        <v>2</v>
      </c>
      <c r="L884" s="1016">
        <v>1</v>
      </c>
      <c r="M884" s="1016">
        <v>2</v>
      </c>
      <c r="N884" s="1016">
        <v>0</v>
      </c>
      <c r="O884" s="1016">
        <v>0</v>
      </c>
      <c r="P884" s="1016">
        <v>0</v>
      </c>
      <c r="Q884" s="1016">
        <v>3</v>
      </c>
      <c r="R884" s="1016">
        <v>6</v>
      </c>
      <c r="S884" s="1016">
        <v>5</v>
      </c>
      <c r="T884" s="1016">
        <v>6</v>
      </c>
      <c r="W884" s="1016">
        <v>4</v>
      </c>
      <c r="X884" s="1016">
        <v>2</v>
      </c>
      <c r="Y884" s="1016">
        <v>5</v>
      </c>
      <c r="Z884" s="1016">
        <v>3</v>
      </c>
      <c r="AA884" s="1016">
        <v>3</v>
      </c>
      <c r="AC884" s="1016">
        <v>4</v>
      </c>
      <c r="AD884" s="1016">
        <v>14</v>
      </c>
      <c r="AE884" s="1016">
        <v>4</v>
      </c>
      <c r="AF884" s="1016">
        <v>4</v>
      </c>
      <c r="AG884" s="1016">
        <v>4</v>
      </c>
      <c r="AH884" s="1016">
        <v>3</v>
      </c>
      <c r="AI884" s="1016">
        <v>1</v>
      </c>
      <c r="AQ884" s="1016">
        <v>1</v>
      </c>
      <c r="AS884" s="1016">
        <v>92</v>
      </c>
    </row>
    <row r="885" spans="2:45" outlineLevel="1">
      <c r="B885" s="1387" t="s">
        <v>192</v>
      </c>
      <c r="E885" s="1016">
        <v>2</v>
      </c>
      <c r="F885" s="1016">
        <v>2</v>
      </c>
      <c r="G885" s="1016">
        <v>7</v>
      </c>
      <c r="H885" s="1016">
        <v>1</v>
      </c>
      <c r="J885" s="1016">
        <v>0</v>
      </c>
      <c r="K885" s="1016">
        <v>1</v>
      </c>
      <c r="L885" s="1016">
        <v>2</v>
      </c>
      <c r="M885" s="1016">
        <v>1</v>
      </c>
      <c r="N885" s="1016">
        <v>1</v>
      </c>
      <c r="O885" s="1016">
        <v>0</v>
      </c>
      <c r="P885" s="1016">
        <v>0</v>
      </c>
      <c r="Q885" s="1016">
        <v>0</v>
      </c>
      <c r="R885" s="1016">
        <v>0</v>
      </c>
      <c r="S885" s="1016">
        <v>0</v>
      </c>
      <c r="AS885" s="1016">
        <v>17</v>
      </c>
    </row>
    <row r="886" spans="2:45" outlineLevel="1">
      <c r="B886" s="1387" t="s">
        <v>194</v>
      </c>
      <c r="F886" s="1016">
        <v>6</v>
      </c>
      <c r="G886" s="1016">
        <v>2</v>
      </c>
      <c r="H886" s="1016">
        <v>2</v>
      </c>
      <c r="I886" s="1016">
        <v>1</v>
      </c>
      <c r="J886" s="1016">
        <v>2</v>
      </c>
      <c r="K886" s="1016">
        <v>1</v>
      </c>
      <c r="L886" s="1016">
        <v>0</v>
      </c>
      <c r="M886" s="1016">
        <v>2</v>
      </c>
      <c r="N886" s="1016">
        <v>4</v>
      </c>
      <c r="O886" s="1016">
        <v>0</v>
      </c>
      <c r="P886" s="1016">
        <v>0</v>
      </c>
      <c r="Q886" s="1016">
        <v>0</v>
      </c>
      <c r="R886" s="1016">
        <v>0</v>
      </c>
      <c r="S886" s="1016">
        <v>1</v>
      </c>
      <c r="T886" s="1016">
        <v>2</v>
      </c>
      <c r="V886" s="1016">
        <v>1</v>
      </c>
      <c r="W886" s="1016">
        <v>2</v>
      </c>
      <c r="Y886" s="1016">
        <v>2</v>
      </c>
      <c r="AC886" s="1016">
        <v>1</v>
      </c>
      <c r="AD886" s="1016">
        <v>4</v>
      </c>
      <c r="AE886" s="1016">
        <v>5</v>
      </c>
      <c r="AJ886" s="1016">
        <v>1</v>
      </c>
      <c r="AP886" s="1016">
        <v>1</v>
      </c>
      <c r="AS886" s="1016">
        <v>40</v>
      </c>
    </row>
    <row r="887" spans="2:45" outlineLevel="1">
      <c r="B887" s="1387" t="s">
        <v>190</v>
      </c>
      <c r="F887" s="1016">
        <v>6</v>
      </c>
      <c r="G887" s="1016">
        <v>0</v>
      </c>
      <c r="H887" s="1016">
        <v>4</v>
      </c>
      <c r="J887" s="1016">
        <v>2</v>
      </c>
      <c r="K887" s="1016">
        <v>2</v>
      </c>
      <c r="L887" s="1016">
        <v>0</v>
      </c>
      <c r="M887" s="1016">
        <v>1</v>
      </c>
      <c r="N887" s="1016">
        <v>0</v>
      </c>
      <c r="O887" s="1016">
        <v>1</v>
      </c>
      <c r="P887" s="1016">
        <v>0</v>
      </c>
      <c r="Q887" s="1016">
        <v>0</v>
      </c>
      <c r="R887" s="1016">
        <v>2</v>
      </c>
      <c r="S887" s="1016">
        <v>1</v>
      </c>
      <c r="T887" s="1016">
        <v>1</v>
      </c>
      <c r="Y887" s="1016">
        <v>1</v>
      </c>
      <c r="AG887" s="1016">
        <v>3</v>
      </c>
      <c r="AI887" s="1016">
        <v>2</v>
      </c>
      <c r="AJ887" s="1016">
        <v>2</v>
      </c>
      <c r="AK887" s="1016">
        <v>1</v>
      </c>
      <c r="AL887" s="1016">
        <v>1</v>
      </c>
      <c r="AM887" s="1016">
        <v>1</v>
      </c>
      <c r="AO887" s="1016">
        <v>1</v>
      </c>
      <c r="AS887" s="1016">
        <v>32</v>
      </c>
    </row>
    <row r="888" spans="2:45" outlineLevel="1">
      <c r="B888" s="1387" t="s">
        <v>92</v>
      </c>
      <c r="C888" s="1016">
        <v>2</v>
      </c>
      <c r="D888" s="1016">
        <v>0</v>
      </c>
      <c r="E888" s="1016">
        <v>0</v>
      </c>
      <c r="F888" s="1016">
        <v>0</v>
      </c>
      <c r="G888" s="1016">
        <v>1</v>
      </c>
      <c r="H888" s="1016">
        <v>1</v>
      </c>
      <c r="I888" s="1016">
        <v>1</v>
      </c>
      <c r="J888" s="1016">
        <v>3</v>
      </c>
      <c r="K888" s="1016">
        <v>8</v>
      </c>
      <c r="L888" s="1016">
        <v>0</v>
      </c>
      <c r="M888" s="1016">
        <v>4</v>
      </c>
      <c r="N888" s="1016">
        <v>2</v>
      </c>
      <c r="O888" s="1016">
        <v>0</v>
      </c>
      <c r="P888" s="1016">
        <v>1</v>
      </c>
      <c r="Q888" s="1016">
        <v>0</v>
      </c>
      <c r="R888" s="1016">
        <v>1</v>
      </c>
      <c r="S888" s="1016">
        <v>2</v>
      </c>
      <c r="T888" s="1016">
        <v>2</v>
      </c>
      <c r="V888" s="1016">
        <v>1</v>
      </c>
      <c r="Z888" s="1016">
        <v>5</v>
      </c>
      <c r="AC888" s="1016">
        <v>1</v>
      </c>
      <c r="AE888" s="1016">
        <v>1</v>
      </c>
      <c r="AG888" s="1016">
        <v>1</v>
      </c>
      <c r="AP888" s="1016">
        <v>1</v>
      </c>
      <c r="AS888" s="1016">
        <v>38</v>
      </c>
    </row>
    <row r="889" spans="2:45" outlineLevel="1">
      <c r="B889" s="1387" t="s">
        <v>17</v>
      </c>
      <c r="C889" s="1016">
        <v>1</v>
      </c>
      <c r="D889" s="1016">
        <v>0</v>
      </c>
      <c r="E889" s="1016">
        <v>0</v>
      </c>
      <c r="F889" s="1016">
        <v>0</v>
      </c>
      <c r="G889" s="1016">
        <v>0</v>
      </c>
      <c r="H889" s="1016">
        <v>0</v>
      </c>
      <c r="J889" s="1016">
        <v>0</v>
      </c>
      <c r="K889" s="1016">
        <v>0</v>
      </c>
      <c r="L889" s="1016">
        <v>4</v>
      </c>
      <c r="M889" s="1016">
        <v>0</v>
      </c>
      <c r="N889" s="1016">
        <v>1</v>
      </c>
      <c r="O889" s="1016">
        <v>0</v>
      </c>
      <c r="P889" s="1016">
        <v>0</v>
      </c>
      <c r="Q889" s="1016">
        <v>0</v>
      </c>
      <c r="R889" s="1016">
        <v>1</v>
      </c>
      <c r="S889" s="1016">
        <v>4</v>
      </c>
      <c r="W889" s="1016">
        <v>2</v>
      </c>
      <c r="Y889" s="1016">
        <v>1</v>
      </c>
      <c r="Z889" s="1016">
        <v>1</v>
      </c>
      <c r="AE889" s="1016">
        <v>1</v>
      </c>
      <c r="AS889" s="1016">
        <v>16</v>
      </c>
    </row>
    <row r="890" spans="2:45" outlineLevel="1">
      <c r="B890" s="1387" t="s">
        <v>188</v>
      </c>
      <c r="E890" s="1016">
        <v>4</v>
      </c>
      <c r="F890" s="1016">
        <v>7</v>
      </c>
      <c r="G890" s="1016">
        <v>5</v>
      </c>
      <c r="H890" s="1016">
        <v>0</v>
      </c>
      <c r="J890" s="1016">
        <v>1</v>
      </c>
      <c r="K890" s="1016">
        <v>0</v>
      </c>
      <c r="L890" s="1016">
        <v>0</v>
      </c>
      <c r="M890" s="1016">
        <v>0</v>
      </c>
      <c r="N890" s="1016">
        <v>0</v>
      </c>
      <c r="O890" s="1016">
        <v>0</v>
      </c>
      <c r="P890" s="1016">
        <v>0</v>
      </c>
      <c r="Q890" s="1016">
        <v>0</v>
      </c>
      <c r="R890" s="1016">
        <v>0</v>
      </c>
      <c r="S890" s="1016">
        <v>6</v>
      </c>
      <c r="T890" s="1016">
        <v>4</v>
      </c>
      <c r="V890" s="1016">
        <v>2</v>
      </c>
      <c r="W890" s="1016">
        <v>1</v>
      </c>
      <c r="X890" s="1016">
        <v>1</v>
      </c>
      <c r="AA890" s="1016">
        <v>3</v>
      </c>
      <c r="AD890" s="1016">
        <v>2</v>
      </c>
      <c r="AF890" s="1016">
        <v>1</v>
      </c>
      <c r="AH890" s="1016">
        <v>4</v>
      </c>
      <c r="AI890" s="1016">
        <v>2</v>
      </c>
      <c r="AJ890" s="1016">
        <v>4</v>
      </c>
      <c r="AK890" s="1016">
        <v>2</v>
      </c>
      <c r="AL890" s="1016">
        <v>5</v>
      </c>
      <c r="AM890" s="1016">
        <v>1</v>
      </c>
      <c r="AN890" s="1016">
        <v>1</v>
      </c>
      <c r="AP890" s="1016">
        <v>3</v>
      </c>
      <c r="AS890" s="1016">
        <v>59</v>
      </c>
    </row>
    <row r="891" spans="2:45" outlineLevel="1">
      <c r="B891" s="1387" t="s">
        <v>381</v>
      </c>
      <c r="J891" s="1016">
        <v>0</v>
      </c>
      <c r="K891" s="1016">
        <v>0</v>
      </c>
      <c r="N891" s="1016">
        <v>0</v>
      </c>
      <c r="O891" s="1016">
        <v>0</v>
      </c>
      <c r="P891" s="1016">
        <v>0</v>
      </c>
      <c r="S891" s="1016">
        <v>2</v>
      </c>
      <c r="T891" s="1016">
        <v>8</v>
      </c>
      <c r="V891" s="1016">
        <v>2</v>
      </c>
      <c r="W891" s="1016">
        <v>2</v>
      </c>
      <c r="X891" s="1016">
        <v>2</v>
      </c>
      <c r="Y891" s="1016">
        <v>2</v>
      </c>
      <c r="AA891" s="1016">
        <v>1</v>
      </c>
      <c r="AB891" s="1016">
        <v>2</v>
      </c>
      <c r="AF891" s="1016">
        <v>1</v>
      </c>
      <c r="AS891" s="1016">
        <v>22</v>
      </c>
    </row>
    <row r="892" spans="2:45" outlineLevel="1">
      <c r="B892" s="1387"/>
      <c r="L892" s="1016">
        <v>0</v>
      </c>
      <c r="M892" s="1016">
        <v>0</v>
      </c>
      <c r="AS892" s="1016">
        <v>0</v>
      </c>
    </row>
    <row r="893" spans="2:45" outlineLevel="1">
      <c r="B893" s="1387" t="s">
        <v>461</v>
      </c>
      <c r="M893" s="1016">
        <v>2</v>
      </c>
      <c r="N893" s="1016">
        <v>1</v>
      </c>
      <c r="O893" s="1016">
        <v>1</v>
      </c>
      <c r="P893" s="1016">
        <v>0</v>
      </c>
      <c r="AS893" s="1016">
        <v>4</v>
      </c>
    </row>
    <row r="894" spans="2:45" outlineLevel="1">
      <c r="B894" s="1387" t="s">
        <v>483</v>
      </c>
      <c r="N894" s="1016">
        <v>3</v>
      </c>
      <c r="O894" s="1016">
        <v>0</v>
      </c>
      <c r="P894" s="1016">
        <v>1</v>
      </c>
      <c r="Q894" s="1016">
        <v>2</v>
      </c>
      <c r="R894" s="1016">
        <v>3</v>
      </c>
      <c r="S894" s="1016">
        <v>0</v>
      </c>
      <c r="T894" s="1016">
        <v>1</v>
      </c>
      <c r="U894" s="1016">
        <v>2</v>
      </c>
      <c r="V894" s="1016">
        <v>2</v>
      </c>
      <c r="W894" s="1016">
        <v>2</v>
      </c>
      <c r="Y894" s="1016">
        <v>2</v>
      </c>
      <c r="Z894" s="1016">
        <v>4</v>
      </c>
      <c r="AC894" s="1016">
        <v>1</v>
      </c>
      <c r="AD894" s="1016">
        <v>1</v>
      </c>
      <c r="AJ894" s="1016">
        <v>1</v>
      </c>
      <c r="AS894" s="1016">
        <v>25</v>
      </c>
    </row>
    <row r="895" spans="2:45" outlineLevel="1">
      <c r="B895" s="1387" t="s">
        <v>629</v>
      </c>
      <c r="Q895" s="1016">
        <v>9</v>
      </c>
      <c r="R895" s="1016">
        <v>3</v>
      </c>
      <c r="S895" s="1016">
        <v>1</v>
      </c>
      <c r="T895" s="1016">
        <v>8</v>
      </c>
      <c r="V895" s="1016">
        <v>2</v>
      </c>
      <c r="W895" s="1016">
        <v>2</v>
      </c>
      <c r="AD895" s="1016">
        <v>1</v>
      </c>
      <c r="AS895" s="1016">
        <v>26</v>
      </c>
    </row>
    <row r="896" spans="2:45" outlineLevel="1">
      <c r="B896" s="1387" t="s">
        <v>645</v>
      </c>
      <c r="R896" s="1016">
        <v>4</v>
      </c>
      <c r="S896" s="1016">
        <v>1</v>
      </c>
      <c r="U896" s="1016">
        <v>3</v>
      </c>
      <c r="W896" s="1016">
        <v>1</v>
      </c>
      <c r="Y896" s="1016">
        <v>1</v>
      </c>
      <c r="Z896" s="1016">
        <v>2</v>
      </c>
      <c r="AA896" s="1016">
        <v>1</v>
      </c>
      <c r="AC896" s="1016">
        <v>2</v>
      </c>
      <c r="AE896" s="1016">
        <v>4</v>
      </c>
      <c r="AG896" s="1016">
        <v>2</v>
      </c>
      <c r="AH896" s="1016">
        <v>3</v>
      </c>
      <c r="AI896" s="1016">
        <v>1</v>
      </c>
      <c r="AJ896" s="1016">
        <v>4</v>
      </c>
      <c r="AQ896" s="1016">
        <v>1</v>
      </c>
      <c r="AS896" s="1016">
        <v>30</v>
      </c>
    </row>
    <row r="897" spans="2:45" outlineLevel="1">
      <c r="B897" s="1387" t="s">
        <v>641</v>
      </c>
      <c r="R897" s="1016">
        <v>3</v>
      </c>
      <c r="S897" s="1016">
        <v>5</v>
      </c>
      <c r="T897" s="1016">
        <v>3</v>
      </c>
      <c r="U897" s="1016">
        <v>1</v>
      </c>
      <c r="W897" s="1016">
        <v>2</v>
      </c>
      <c r="X897" s="1016">
        <v>2</v>
      </c>
      <c r="AC897" s="1016">
        <v>1</v>
      </c>
      <c r="AD897" s="1016">
        <v>8</v>
      </c>
      <c r="AJ897" s="1016">
        <v>3</v>
      </c>
      <c r="AK897" s="1016">
        <v>1</v>
      </c>
      <c r="AM897" s="1016">
        <v>1</v>
      </c>
      <c r="AQ897" s="1016">
        <v>1</v>
      </c>
      <c r="AS897" s="1016">
        <v>31</v>
      </c>
    </row>
    <row r="898" spans="2:45" outlineLevel="1">
      <c r="B898" s="1387" t="s">
        <v>643</v>
      </c>
      <c r="R898" s="1016">
        <v>1</v>
      </c>
      <c r="S898" s="1016">
        <v>7</v>
      </c>
      <c r="U898" s="1016">
        <v>3</v>
      </c>
      <c r="W898" s="1016">
        <v>1</v>
      </c>
      <c r="Z898" s="1016">
        <v>1</v>
      </c>
      <c r="AA898" s="1016">
        <v>2</v>
      </c>
      <c r="AS898" s="1016">
        <v>15</v>
      </c>
    </row>
    <row r="899" spans="2:45" outlineLevel="1">
      <c r="B899" s="1387" t="s">
        <v>644</v>
      </c>
      <c r="S899" s="1016">
        <v>4</v>
      </c>
      <c r="T899" s="1016">
        <v>3</v>
      </c>
      <c r="U899" s="1016">
        <v>4</v>
      </c>
      <c r="Y899" s="1016">
        <v>3</v>
      </c>
      <c r="Z899" s="1016">
        <v>2</v>
      </c>
      <c r="AA899" s="1016">
        <v>2</v>
      </c>
      <c r="AC899" s="1016">
        <v>3</v>
      </c>
      <c r="AD899" s="1016">
        <v>1</v>
      </c>
      <c r="AE899" s="1016">
        <v>1</v>
      </c>
      <c r="AL899" s="1016">
        <v>3</v>
      </c>
      <c r="AO899" s="1016">
        <v>2</v>
      </c>
      <c r="AP899" s="1016">
        <v>1</v>
      </c>
      <c r="AQ899" s="1016">
        <v>11</v>
      </c>
      <c r="AR899" s="1016">
        <v>2</v>
      </c>
      <c r="AS899" s="1016">
        <v>42</v>
      </c>
    </row>
    <row r="900" spans="2:45" outlineLevel="1">
      <c r="B900" s="1387" t="s">
        <v>655</v>
      </c>
      <c r="R900" s="1016">
        <v>6</v>
      </c>
      <c r="S900" s="1016">
        <v>1</v>
      </c>
      <c r="T900" s="1016">
        <v>3</v>
      </c>
      <c r="W900" s="1016">
        <v>1</v>
      </c>
      <c r="Z900" s="1016">
        <v>2</v>
      </c>
      <c r="AC900" s="1016">
        <v>2</v>
      </c>
      <c r="AD900" s="1016">
        <v>3</v>
      </c>
      <c r="AE900" s="1016">
        <v>2</v>
      </c>
      <c r="AG900" s="1016">
        <v>1</v>
      </c>
      <c r="AI900" s="1016">
        <v>2</v>
      </c>
      <c r="AK900" s="1016">
        <v>3</v>
      </c>
      <c r="AL900" s="1016">
        <v>2</v>
      </c>
      <c r="AO900" s="1016">
        <v>1</v>
      </c>
      <c r="AS900" s="1016">
        <v>29</v>
      </c>
    </row>
    <row r="901" spans="2:45" outlineLevel="1">
      <c r="B901" s="1387" t="s">
        <v>656</v>
      </c>
      <c r="R901" s="1016">
        <v>1</v>
      </c>
      <c r="S901" s="1016">
        <v>5</v>
      </c>
      <c r="U901" s="1016">
        <v>1</v>
      </c>
      <c r="Y901" s="1016">
        <v>1</v>
      </c>
      <c r="Z901" s="1016">
        <v>1</v>
      </c>
      <c r="AA901" s="1016">
        <v>9</v>
      </c>
      <c r="AC901" s="1016">
        <v>1</v>
      </c>
      <c r="AF901" s="1016">
        <v>1</v>
      </c>
      <c r="AI901" s="1016">
        <v>4</v>
      </c>
      <c r="AJ901" s="1016">
        <v>3</v>
      </c>
      <c r="AK901" s="1016">
        <v>2</v>
      </c>
      <c r="AO901" s="1016">
        <v>1</v>
      </c>
      <c r="AP901" s="1016">
        <v>2</v>
      </c>
      <c r="AS901" s="1016">
        <v>32</v>
      </c>
    </row>
    <row r="902" spans="2:45" outlineLevel="1">
      <c r="B902" s="1387" t="s">
        <v>697</v>
      </c>
      <c r="S902" s="1016">
        <v>5</v>
      </c>
      <c r="U902" s="1016">
        <v>4</v>
      </c>
      <c r="V902" s="1016">
        <v>2</v>
      </c>
      <c r="AA902" s="1016">
        <v>1</v>
      </c>
      <c r="AD902" s="1016">
        <v>3</v>
      </c>
      <c r="AE902" s="1016">
        <v>1</v>
      </c>
      <c r="AG902" s="1016">
        <v>1</v>
      </c>
      <c r="AI902" s="1016">
        <v>2</v>
      </c>
      <c r="AO902" s="1016">
        <v>2</v>
      </c>
      <c r="AS902" s="1016">
        <v>21</v>
      </c>
    </row>
    <row r="903" spans="2:45" outlineLevel="1">
      <c r="B903" s="1387" t="s">
        <v>658</v>
      </c>
    </row>
    <row r="904" spans="2:45" outlineLevel="1">
      <c r="B904" s="1387" t="s">
        <v>698</v>
      </c>
      <c r="T904" s="1016">
        <v>4</v>
      </c>
      <c r="V904" s="1016">
        <v>1</v>
      </c>
      <c r="X904" s="1016">
        <v>1</v>
      </c>
      <c r="Y904" s="1016">
        <v>2</v>
      </c>
      <c r="Z904" s="1016">
        <v>5</v>
      </c>
      <c r="AB904" s="1016">
        <v>1</v>
      </c>
      <c r="AE904" s="1016">
        <v>2</v>
      </c>
      <c r="AF904" s="1016">
        <v>1</v>
      </c>
      <c r="AH904" s="1016">
        <v>1</v>
      </c>
      <c r="AS904" s="1016">
        <v>18</v>
      </c>
    </row>
    <row r="905" spans="2:45" outlineLevel="1">
      <c r="B905" s="1387" t="s">
        <v>790</v>
      </c>
      <c r="T905" s="1016">
        <v>1</v>
      </c>
      <c r="W905" s="1016">
        <v>1</v>
      </c>
      <c r="Y905" s="1016">
        <v>1</v>
      </c>
      <c r="AC905" s="1016">
        <v>2</v>
      </c>
      <c r="AD905" s="1016">
        <v>2</v>
      </c>
      <c r="AE905" s="1016">
        <v>2</v>
      </c>
      <c r="AF905" s="1016">
        <v>1</v>
      </c>
      <c r="AH905" s="1016">
        <v>1</v>
      </c>
      <c r="AK905" s="1016">
        <v>2</v>
      </c>
      <c r="AL905" s="1016">
        <v>1</v>
      </c>
      <c r="AM905" s="1016">
        <v>1</v>
      </c>
      <c r="AQ905" s="1016">
        <v>1</v>
      </c>
      <c r="AR905" s="1016">
        <v>1</v>
      </c>
      <c r="AS905" s="1016">
        <v>17</v>
      </c>
    </row>
    <row r="906" spans="2:45" outlineLevel="1">
      <c r="B906" s="1387" t="s">
        <v>797</v>
      </c>
      <c r="U906" s="1016">
        <v>4</v>
      </c>
      <c r="V906" s="1016">
        <v>3</v>
      </c>
      <c r="Y906" s="1016">
        <v>2</v>
      </c>
      <c r="Z906" s="1016">
        <v>1</v>
      </c>
      <c r="AA906" s="1016">
        <v>1</v>
      </c>
      <c r="AD906" s="1016">
        <v>1</v>
      </c>
      <c r="AF906" s="1016">
        <v>3</v>
      </c>
      <c r="AG906" s="1016">
        <v>3</v>
      </c>
      <c r="AH906" s="1016">
        <v>2</v>
      </c>
      <c r="AI906" s="1016">
        <v>1</v>
      </c>
      <c r="AO906" s="1016">
        <v>1</v>
      </c>
      <c r="AP906" s="1016">
        <v>1</v>
      </c>
      <c r="AS906" s="1016">
        <v>23</v>
      </c>
    </row>
    <row r="907" spans="2:45" outlineLevel="1">
      <c r="B907" s="1387" t="s">
        <v>800</v>
      </c>
      <c r="U907" s="1016">
        <v>2</v>
      </c>
      <c r="V907" s="1016">
        <v>4</v>
      </c>
      <c r="W907" s="1016">
        <v>1</v>
      </c>
      <c r="X907" s="1016">
        <v>1</v>
      </c>
      <c r="Y907" s="1016">
        <v>6</v>
      </c>
      <c r="AA907" s="1016">
        <v>1</v>
      </c>
      <c r="AB907" s="1016">
        <v>2</v>
      </c>
      <c r="AD907" s="1016">
        <v>3</v>
      </c>
      <c r="AF907" s="1016">
        <v>1</v>
      </c>
      <c r="AH907" s="1016">
        <v>3</v>
      </c>
      <c r="AI907" s="1016">
        <v>1</v>
      </c>
      <c r="AJ907" s="1016">
        <v>3</v>
      </c>
      <c r="AK907" s="1016">
        <v>1</v>
      </c>
      <c r="AM907" s="1016">
        <v>1</v>
      </c>
      <c r="AN907" s="1016">
        <v>2</v>
      </c>
      <c r="AP907" s="1016">
        <v>2</v>
      </c>
      <c r="AQ907" s="1016">
        <v>2</v>
      </c>
      <c r="AR907" s="1016">
        <v>2</v>
      </c>
      <c r="AS907" s="1016">
        <v>38</v>
      </c>
    </row>
    <row r="908" spans="2:45" outlineLevel="1">
      <c r="B908" s="1387" t="s">
        <v>904</v>
      </c>
      <c r="X908" s="1016">
        <v>1</v>
      </c>
      <c r="Z908" s="1016">
        <v>1</v>
      </c>
      <c r="AA908" s="1016">
        <v>2</v>
      </c>
      <c r="AB908" s="1016">
        <v>1</v>
      </c>
      <c r="AC908" s="1016">
        <v>9</v>
      </c>
      <c r="AD908" s="1016">
        <v>7</v>
      </c>
      <c r="AE908" s="1016">
        <v>2</v>
      </c>
      <c r="AF908" s="1016">
        <v>2</v>
      </c>
      <c r="AH908" s="1016">
        <v>1</v>
      </c>
      <c r="AI908" s="1016">
        <v>2</v>
      </c>
      <c r="AK908" s="1016">
        <v>1</v>
      </c>
      <c r="AL908" s="1016">
        <v>3</v>
      </c>
      <c r="AO908" s="1016">
        <v>1</v>
      </c>
      <c r="AP908" s="1016">
        <v>1</v>
      </c>
      <c r="AQ908" s="1016">
        <v>3</v>
      </c>
      <c r="AS908" s="1016">
        <v>37</v>
      </c>
    </row>
    <row r="909" spans="2:45" outlineLevel="1">
      <c r="B909" s="1387" t="s">
        <v>906</v>
      </c>
      <c r="X909" s="1016">
        <v>5</v>
      </c>
      <c r="Y909" s="1016">
        <v>1</v>
      </c>
      <c r="Z909" s="1016">
        <v>3</v>
      </c>
      <c r="AK909" s="1016">
        <v>1</v>
      </c>
      <c r="AS909" s="1016">
        <v>10</v>
      </c>
    </row>
    <row r="910" spans="2:45" outlineLevel="1">
      <c r="B910" s="1387" t="s">
        <v>901</v>
      </c>
      <c r="Y910" s="1016">
        <v>1</v>
      </c>
      <c r="Z910" s="1016">
        <v>8</v>
      </c>
      <c r="AA910" s="1016">
        <v>5</v>
      </c>
      <c r="AB910" s="1016">
        <v>5</v>
      </c>
      <c r="AF910" s="1016">
        <v>2</v>
      </c>
      <c r="AH910" s="1016">
        <v>4</v>
      </c>
      <c r="AI910" s="1016">
        <v>2</v>
      </c>
      <c r="AK910" s="1016">
        <v>1</v>
      </c>
      <c r="AL910" s="1016">
        <v>1</v>
      </c>
      <c r="AS910" s="1016">
        <v>29</v>
      </c>
    </row>
    <row r="911" spans="2:45" outlineLevel="1">
      <c r="B911" s="1387" t="s">
        <v>950</v>
      </c>
      <c r="Y911" s="1016">
        <v>2</v>
      </c>
      <c r="Z911" s="1016">
        <v>3</v>
      </c>
      <c r="AA911" s="1016">
        <v>12</v>
      </c>
      <c r="AB911" s="1016">
        <v>1</v>
      </c>
      <c r="AC911" s="1016">
        <v>12</v>
      </c>
      <c r="AD911" s="1016">
        <v>4</v>
      </c>
      <c r="AE911" s="1016">
        <v>1</v>
      </c>
      <c r="AH911" s="1016">
        <v>2</v>
      </c>
      <c r="AO911" s="1016">
        <v>2</v>
      </c>
      <c r="AR911" s="1016">
        <v>1</v>
      </c>
      <c r="AS911" s="1016">
        <v>40</v>
      </c>
    </row>
    <row r="912" spans="2:45" outlineLevel="1">
      <c r="B912" s="1387" t="s">
        <v>1014</v>
      </c>
      <c r="X912" s="1016">
        <v>2</v>
      </c>
      <c r="Y912" s="1016">
        <v>2</v>
      </c>
      <c r="Z912" s="1016">
        <v>4</v>
      </c>
      <c r="AA912" s="1016">
        <v>1</v>
      </c>
      <c r="AC912" s="1016">
        <v>4</v>
      </c>
      <c r="AD912" s="1016">
        <v>2</v>
      </c>
      <c r="AE912" s="1016">
        <v>3</v>
      </c>
      <c r="AF912" s="1016">
        <v>1</v>
      </c>
      <c r="AG912" s="1016">
        <v>1</v>
      </c>
      <c r="AH912" s="1016">
        <v>2</v>
      </c>
      <c r="AI912" s="1016">
        <v>1</v>
      </c>
      <c r="AJ912" s="1016">
        <v>1</v>
      </c>
      <c r="AK912" s="1016">
        <v>2</v>
      </c>
      <c r="AL912" s="1016">
        <v>2</v>
      </c>
      <c r="AQ912" s="1016">
        <v>1</v>
      </c>
      <c r="AR912" s="1016">
        <v>3</v>
      </c>
      <c r="AS912" s="1016">
        <v>32</v>
      </c>
    </row>
    <row r="913" spans="2:45" outlineLevel="1">
      <c r="B913" s="1387" t="s">
        <v>1162</v>
      </c>
      <c r="AA913" s="1016">
        <v>7</v>
      </c>
      <c r="AB913" s="1016">
        <v>3</v>
      </c>
      <c r="AD913" s="1016">
        <v>7</v>
      </c>
      <c r="AE913" s="1016">
        <v>2</v>
      </c>
      <c r="AF913" s="1016">
        <v>2</v>
      </c>
      <c r="AG913" s="1016">
        <v>2</v>
      </c>
      <c r="AH913" s="1016">
        <v>5</v>
      </c>
      <c r="AI913" s="1016">
        <v>3</v>
      </c>
      <c r="AK913" s="1016">
        <v>1</v>
      </c>
      <c r="AO913" s="1016">
        <v>8</v>
      </c>
      <c r="AP913" s="1016">
        <v>1</v>
      </c>
      <c r="AS913" s="1016">
        <v>41</v>
      </c>
    </row>
    <row r="914" spans="2:45" outlineLevel="1">
      <c r="B914" s="1387" t="s">
        <v>1163</v>
      </c>
      <c r="AA914" s="1016">
        <v>8</v>
      </c>
      <c r="AB914" s="1016">
        <v>1</v>
      </c>
      <c r="AC914" s="1016">
        <v>5</v>
      </c>
      <c r="AD914" s="1016">
        <v>5</v>
      </c>
      <c r="AF914" s="1016">
        <v>12</v>
      </c>
      <c r="AG914" s="1016">
        <v>2</v>
      </c>
      <c r="AH914" s="1016">
        <v>2</v>
      </c>
      <c r="AJ914" s="1016">
        <v>2</v>
      </c>
      <c r="AK914" s="1016">
        <v>3</v>
      </c>
      <c r="AL914" s="1016">
        <v>6</v>
      </c>
      <c r="AM914" s="1016">
        <v>1</v>
      </c>
      <c r="AN914" s="1016">
        <v>2</v>
      </c>
      <c r="AP914" s="1016">
        <v>2</v>
      </c>
      <c r="AR914" s="1016">
        <v>3</v>
      </c>
      <c r="AS914" s="1016">
        <v>54</v>
      </c>
    </row>
    <row r="915" spans="2:45" outlineLevel="1">
      <c r="B915" s="1387" t="s">
        <v>1286</v>
      </c>
      <c r="AB915" s="1016">
        <v>1</v>
      </c>
      <c r="AD915" s="1016">
        <v>4</v>
      </c>
      <c r="AG915" s="1016">
        <v>1</v>
      </c>
      <c r="AI915" s="1016">
        <v>1</v>
      </c>
      <c r="AL915" s="1016">
        <v>2</v>
      </c>
      <c r="AS915" s="1016">
        <v>9</v>
      </c>
    </row>
    <row r="916" spans="2:45" outlineLevel="1">
      <c r="B916" s="1387" t="s">
        <v>1161</v>
      </c>
      <c r="AC916" s="1016">
        <v>3</v>
      </c>
      <c r="AE916" s="1016">
        <v>2</v>
      </c>
      <c r="AF916" s="1016">
        <v>3</v>
      </c>
      <c r="AI916" s="1016">
        <v>1</v>
      </c>
      <c r="AJ916" s="1016">
        <v>1</v>
      </c>
      <c r="AK916" s="1016">
        <v>4</v>
      </c>
      <c r="AN916" s="1016">
        <v>1</v>
      </c>
      <c r="AO916" s="1016">
        <v>1</v>
      </c>
      <c r="AS916" s="1016">
        <v>16</v>
      </c>
    </row>
    <row r="917" spans="2:45" outlineLevel="1">
      <c r="B917" s="1387" t="s">
        <v>1287</v>
      </c>
      <c r="AB917" s="1016">
        <v>7</v>
      </c>
      <c r="AC917" s="1016">
        <v>1</v>
      </c>
      <c r="AD917" s="1016">
        <v>4</v>
      </c>
      <c r="AE917" s="1016">
        <v>1</v>
      </c>
      <c r="AG917" s="1016">
        <v>1</v>
      </c>
      <c r="AI917" s="1016">
        <v>4</v>
      </c>
      <c r="AL917" s="1016">
        <v>2</v>
      </c>
      <c r="AM917" s="1016">
        <v>1</v>
      </c>
      <c r="AO917" s="1016">
        <v>1</v>
      </c>
      <c r="AQ917" s="1016">
        <v>4</v>
      </c>
      <c r="AS917" s="1016">
        <v>26</v>
      </c>
    </row>
    <row r="918" spans="2:45" outlineLevel="1">
      <c r="B918" s="1387" t="s">
        <v>1348</v>
      </c>
      <c r="AC918" s="1016">
        <v>3</v>
      </c>
      <c r="AD918" s="1016">
        <v>1</v>
      </c>
      <c r="AE918" s="1016">
        <v>3</v>
      </c>
      <c r="AF918" s="1016">
        <v>2</v>
      </c>
      <c r="AG918" s="1016">
        <v>4</v>
      </c>
      <c r="AH918" s="1016">
        <v>3</v>
      </c>
      <c r="AI918" s="1016">
        <v>1</v>
      </c>
      <c r="AK918" s="1016">
        <v>1</v>
      </c>
      <c r="AS918" s="1016">
        <v>18</v>
      </c>
    </row>
    <row r="919" spans="2:45" outlineLevel="1">
      <c r="B919" s="1387" t="s">
        <v>1420</v>
      </c>
      <c r="AD919" s="1016">
        <v>13</v>
      </c>
      <c r="AE919" s="1016">
        <v>2</v>
      </c>
      <c r="AF919" s="1016">
        <v>2</v>
      </c>
      <c r="AH919" s="1016">
        <v>1</v>
      </c>
      <c r="AJ919" s="1016">
        <v>1</v>
      </c>
      <c r="AK919" s="1016">
        <v>2</v>
      </c>
      <c r="AL919" s="1016">
        <v>1</v>
      </c>
      <c r="AP919" s="1016">
        <v>1</v>
      </c>
      <c r="AQ919" s="1016">
        <v>1</v>
      </c>
      <c r="AR919" s="1016">
        <v>4</v>
      </c>
      <c r="AS919" s="1016">
        <v>28</v>
      </c>
    </row>
    <row r="920" spans="2:45" outlineLevel="1">
      <c r="B920" s="1387" t="s">
        <v>1566</v>
      </c>
      <c r="AF920" s="1016">
        <v>2</v>
      </c>
      <c r="AG920" s="1016">
        <v>3</v>
      </c>
      <c r="AH920" s="1016">
        <v>1</v>
      </c>
      <c r="AS920" s="1016">
        <v>6</v>
      </c>
    </row>
    <row r="921" spans="2:45" outlineLevel="1">
      <c r="B921" s="1387" t="s">
        <v>1670</v>
      </c>
      <c r="AF921" s="1016">
        <v>3</v>
      </c>
      <c r="AK921" s="1016">
        <v>1</v>
      </c>
      <c r="AS921" s="1016">
        <v>4</v>
      </c>
    </row>
    <row r="922" spans="2:45" outlineLevel="1">
      <c r="B922" s="1387" t="s">
        <v>1571</v>
      </c>
      <c r="AF922" s="1016">
        <v>8</v>
      </c>
      <c r="AG922" s="1016">
        <v>1</v>
      </c>
      <c r="AH922" s="1016">
        <v>5</v>
      </c>
      <c r="AI922" s="1016">
        <v>8</v>
      </c>
      <c r="AK922" s="1016">
        <v>9</v>
      </c>
      <c r="AL922" s="1016">
        <v>6</v>
      </c>
      <c r="AM922" s="1016">
        <v>1</v>
      </c>
      <c r="AO922" s="1016">
        <v>2</v>
      </c>
      <c r="AP922" s="1016">
        <v>2</v>
      </c>
      <c r="AQ922" s="1016">
        <v>10</v>
      </c>
      <c r="AR922" s="1016">
        <v>10</v>
      </c>
      <c r="AS922" s="1016">
        <v>62</v>
      </c>
    </row>
    <row r="923" spans="2:45" outlineLevel="1">
      <c r="B923" s="1387" t="s">
        <v>1564</v>
      </c>
      <c r="AD923" s="1016">
        <v>3</v>
      </c>
      <c r="AE923" s="1016">
        <v>2</v>
      </c>
      <c r="AF923" s="1016">
        <v>3</v>
      </c>
      <c r="AG923" s="1016">
        <v>1</v>
      </c>
      <c r="AS923" s="1016">
        <v>9</v>
      </c>
    </row>
    <row r="924" spans="2:45" outlineLevel="1">
      <c r="B924" s="1387" t="s">
        <v>1766</v>
      </c>
      <c r="T924" s="1016">
        <v>3</v>
      </c>
      <c r="U924" s="1016">
        <v>1</v>
      </c>
      <c r="V924" s="1016">
        <v>5</v>
      </c>
      <c r="W924" s="1016">
        <v>1</v>
      </c>
      <c r="X924" s="1016">
        <v>5</v>
      </c>
      <c r="Y924" s="1016">
        <v>3</v>
      </c>
      <c r="Z924" s="1016">
        <v>5</v>
      </c>
      <c r="AA924" s="1016">
        <v>1</v>
      </c>
      <c r="AB924" s="1016">
        <v>3</v>
      </c>
      <c r="AD924" s="1016">
        <v>5</v>
      </c>
      <c r="AE924" s="1016">
        <v>4</v>
      </c>
      <c r="AF924" s="1016">
        <v>2</v>
      </c>
      <c r="AG924" s="1016">
        <v>3</v>
      </c>
      <c r="AH924" s="1016">
        <v>1</v>
      </c>
      <c r="AI924" s="1016">
        <v>3</v>
      </c>
      <c r="AJ924" s="1016">
        <v>1</v>
      </c>
      <c r="AK924" s="1016">
        <v>1</v>
      </c>
      <c r="AO924" s="1016">
        <v>1</v>
      </c>
      <c r="AR924" s="1016">
        <v>2</v>
      </c>
      <c r="AS924" s="1016">
        <v>50</v>
      </c>
    </row>
    <row r="925" spans="2:45" outlineLevel="1">
      <c r="B925" s="1387" t="s">
        <v>1768</v>
      </c>
      <c r="U925" s="1016">
        <v>1</v>
      </c>
      <c r="V925" s="1016">
        <v>1</v>
      </c>
      <c r="W925" s="1016">
        <v>1</v>
      </c>
      <c r="Y925" s="1016">
        <v>4</v>
      </c>
      <c r="Z925" s="1016">
        <v>1</v>
      </c>
      <c r="AC925" s="1016">
        <v>3</v>
      </c>
      <c r="AD925" s="1016">
        <v>1</v>
      </c>
      <c r="AG925" s="1016">
        <v>2</v>
      </c>
      <c r="AQ925" s="1016">
        <v>1</v>
      </c>
      <c r="AS925" s="1016">
        <v>15</v>
      </c>
    </row>
    <row r="926" spans="2:45" outlineLevel="1">
      <c r="B926" s="1387" t="s">
        <v>1771</v>
      </c>
      <c r="AD926" s="1016">
        <v>5</v>
      </c>
      <c r="AE926" s="1016">
        <v>7</v>
      </c>
      <c r="AF926" s="1016">
        <v>1</v>
      </c>
      <c r="AG926" s="1016">
        <v>2</v>
      </c>
      <c r="AI926" s="1016">
        <v>1</v>
      </c>
      <c r="AJ926" s="1016">
        <v>3</v>
      </c>
      <c r="AK926" s="1016">
        <v>1</v>
      </c>
      <c r="AL926" s="1016">
        <v>1</v>
      </c>
      <c r="AO926" s="1016">
        <v>1</v>
      </c>
      <c r="AP926" s="1016">
        <v>2</v>
      </c>
      <c r="AQ926" s="1016">
        <v>4</v>
      </c>
      <c r="AS926" s="1016">
        <v>28</v>
      </c>
    </row>
    <row r="927" spans="2:45" outlineLevel="1">
      <c r="B927" s="1387" t="s">
        <v>1774</v>
      </c>
      <c r="AA927" s="1016">
        <v>3</v>
      </c>
      <c r="AB927" s="1016">
        <v>4</v>
      </c>
      <c r="AD927" s="1016">
        <v>2</v>
      </c>
      <c r="AE927" s="1016">
        <v>5</v>
      </c>
      <c r="AG927" s="1016">
        <v>4</v>
      </c>
      <c r="AH927" s="1016">
        <v>1</v>
      </c>
      <c r="AI927" s="1016">
        <v>4</v>
      </c>
      <c r="AJ927" s="1016">
        <v>2</v>
      </c>
      <c r="AK927" s="1016">
        <v>2</v>
      </c>
      <c r="AL927" s="1016">
        <v>1</v>
      </c>
      <c r="AO927" s="1016">
        <v>1</v>
      </c>
      <c r="AQ927" s="1016">
        <v>2</v>
      </c>
      <c r="AR927" s="1016">
        <v>2</v>
      </c>
      <c r="AS927" s="1016">
        <v>33</v>
      </c>
    </row>
    <row r="928" spans="2:45" outlineLevel="1">
      <c r="B928" s="1387" t="s">
        <v>1028</v>
      </c>
      <c r="AE928" s="1016">
        <v>8</v>
      </c>
      <c r="AF928" s="1016">
        <v>4</v>
      </c>
      <c r="AH928" s="1016">
        <v>7</v>
      </c>
      <c r="AI928" s="1016">
        <v>5</v>
      </c>
      <c r="AJ928" s="1016">
        <v>1</v>
      </c>
      <c r="AK928" s="1016">
        <v>3</v>
      </c>
      <c r="AL928" s="1016">
        <v>6</v>
      </c>
      <c r="AO928" s="1016">
        <v>4</v>
      </c>
      <c r="AP928" s="1016">
        <v>1</v>
      </c>
      <c r="AQ928" s="1016">
        <v>2</v>
      </c>
      <c r="AR928" s="1016">
        <v>1</v>
      </c>
      <c r="AS928" s="1016">
        <v>42</v>
      </c>
    </row>
    <row r="929" spans="2:45" outlineLevel="1">
      <c r="B929" s="1387" t="s">
        <v>1569</v>
      </c>
      <c r="AF929" s="1016">
        <v>2</v>
      </c>
      <c r="AG929" s="1016">
        <v>6</v>
      </c>
      <c r="AH929" s="1016">
        <v>6</v>
      </c>
      <c r="AI929" s="1016">
        <v>18</v>
      </c>
      <c r="AJ929" s="1016">
        <v>9</v>
      </c>
      <c r="AK929" s="1016">
        <v>6</v>
      </c>
      <c r="AL929" s="1016">
        <v>2</v>
      </c>
      <c r="AN929" s="1016">
        <v>2</v>
      </c>
      <c r="AP929" s="1016">
        <v>5</v>
      </c>
      <c r="AQ929" s="1016">
        <v>6</v>
      </c>
      <c r="AR929" s="1016">
        <v>5</v>
      </c>
      <c r="AS929" s="1016">
        <v>67</v>
      </c>
    </row>
    <row r="930" spans="2:45" outlineLevel="1">
      <c r="B930" s="1387" t="s">
        <v>1573</v>
      </c>
      <c r="AE930" s="1016">
        <v>1</v>
      </c>
      <c r="AF930" s="1016">
        <v>6</v>
      </c>
      <c r="AG930" s="1016">
        <v>3</v>
      </c>
      <c r="AI930" s="1016">
        <v>1</v>
      </c>
      <c r="AJ930" s="1016">
        <v>2</v>
      </c>
      <c r="AK930" s="1016">
        <v>2</v>
      </c>
      <c r="AL930" s="1016">
        <v>1</v>
      </c>
      <c r="AN930" s="1016">
        <v>1</v>
      </c>
      <c r="AQ930" s="1016">
        <v>6</v>
      </c>
      <c r="AR930" s="1016">
        <v>1</v>
      </c>
      <c r="AS930" s="1016">
        <v>24</v>
      </c>
    </row>
    <row r="931" spans="2:45" outlineLevel="1">
      <c r="B931" s="1387" t="s">
        <v>1770</v>
      </c>
      <c r="R931" s="1016">
        <v>4</v>
      </c>
      <c r="S931" s="1016">
        <v>1</v>
      </c>
      <c r="V931" s="1016">
        <v>1</v>
      </c>
      <c r="W931" s="1016">
        <v>4</v>
      </c>
      <c r="Y931" s="1016">
        <v>1</v>
      </c>
      <c r="AC931" s="1016">
        <v>4</v>
      </c>
      <c r="AS931" s="1016">
        <v>15</v>
      </c>
    </row>
    <row r="932" spans="2:45" outlineLevel="1">
      <c r="B932" s="1387" t="s">
        <v>1777</v>
      </c>
      <c r="R932" s="1016">
        <v>3</v>
      </c>
      <c r="S932" s="1016">
        <v>0</v>
      </c>
      <c r="T932" s="1016">
        <v>5</v>
      </c>
      <c r="U932" s="1016">
        <v>1</v>
      </c>
      <c r="V932" s="1016">
        <v>1</v>
      </c>
      <c r="Z932" s="1016">
        <v>2</v>
      </c>
      <c r="AC932" s="1016">
        <v>2</v>
      </c>
      <c r="AD932" s="1016">
        <v>1</v>
      </c>
      <c r="AF932" s="1016">
        <v>4</v>
      </c>
      <c r="AG932" s="1016">
        <v>1</v>
      </c>
      <c r="AS932" s="1016">
        <v>20</v>
      </c>
    </row>
    <row r="933" spans="2:45" outlineLevel="1">
      <c r="B933" s="1387" t="s">
        <v>1773</v>
      </c>
      <c r="V933" s="1016">
        <v>2</v>
      </c>
      <c r="W933" s="1016">
        <v>4</v>
      </c>
      <c r="X933" s="1016">
        <v>2</v>
      </c>
      <c r="Y933" s="1016">
        <v>21</v>
      </c>
      <c r="Z933" s="1016">
        <v>8</v>
      </c>
      <c r="AB933" s="1016">
        <v>1</v>
      </c>
      <c r="AF933" s="1016">
        <v>1</v>
      </c>
      <c r="AH933" s="1016">
        <v>2</v>
      </c>
      <c r="AI933" s="1016">
        <v>5</v>
      </c>
      <c r="AJ933" s="1016">
        <v>3</v>
      </c>
      <c r="AK933" s="1016">
        <v>8</v>
      </c>
      <c r="AL933" s="1016">
        <v>3</v>
      </c>
      <c r="AM933" s="1016">
        <v>1</v>
      </c>
      <c r="AO933" s="1016">
        <v>8</v>
      </c>
      <c r="AQ933" s="1016">
        <v>4</v>
      </c>
      <c r="AR933" s="1016">
        <v>2</v>
      </c>
      <c r="AS933" s="1016">
        <v>75</v>
      </c>
    </row>
    <row r="934" spans="2:45" outlineLevel="1">
      <c r="B934" s="1387" t="s">
        <v>1950</v>
      </c>
      <c r="R934" s="1016">
        <v>3</v>
      </c>
      <c r="S934" s="1016">
        <v>2</v>
      </c>
      <c r="Y934" s="1016">
        <v>1</v>
      </c>
      <c r="AC934" s="1016">
        <v>2</v>
      </c>
      <c r="AD934" s="1016">
        <v>1</v>
      </c>
      <c r="AG934" s="1016">
        <v>4</v>
      </c>
      <c r="AS934" s="1016">
        <v>13</v>
      </c>
    </row>
    <row r="935" spans="2:45" outlineLevel="1">
      <c r="B935" s="1387" t="s">
        <v>2054</v>
      </c>
      <c r="AI935" s="1016">
        <v>18</v>
      </c>
      <c r="AJ935" s="1016">
        <v>9</v>
      </c>
      <c r="AK935" s="1016">
        <v>3</v>
      </c>
      <c r="AL935" s="1016">
        <v>2</v>
      </c>
      <c r="AM935" s="1016">
        <v>3</v>
      </c>
      <c r="AO935" s="1016">
        <v>2</v>
      </c>
      <c r="AP935" s="1016">
        <v>1</v>
      </c>
      <c r="AQ935" s="1016">
        <v>7</v>
      </c>
      <c r="AS935" s="1016">
        <v>45</v>
      </c>
    </row>
    <row r="936" spans="2:45" outlineLevel="1">
      <c r="B936" s="1387" t="s">
        <v>2705</v>
      </c>
      <c r="AO936" s="1016">
        <v>5</v>
      </c>
      <c r="AQ936" s="1016">
        <v>1</v>
      </c>
      <c r="AS936" s="1016">
        <v>6</v>
      </c>
    </row>
    <row r="937" spans="2:45" outlineLevel="1">
      <c r="B937" s="1387" t="s">
        <v>2706</v>
      </c>
      <c r="AO937" s="1016">
        <v>6</v>
      </c>
      <c r="AP937" s="1016">
        <v>4</v>
      </c>
      <c r="AQ937" s="1016">
        <v>1</v>
      </c>
      <c r="AR937" s="1016">
        <v>3</v>
      </c>
      <c r="AS937" s="1016">
        <v>14</v>
      </c>
    </row>
    <row r="938" spans="2:45" outlineLevel="1">
      <c r="B938" s="1387" t="s">
        <v>2707</v>
      </c>
      <c r="AO938" s="1016">
        <v>3</v>
      </c>
      <c r="AP938" s="1016">
        <v>2</v>
      </c>
      <c r="AQ938" s="1016">
        <v>2</v>
      </c>
      <c r="AS938" s="1016">
        <v>7</v>
      </c>
    </row>
    <row r="939" spans="2:45" outlineLevel="1">
      <c r="B939" s="1387" t="s">
        <v>2709</v>
      </c>
      <c r="AO939" s="1016">
        <v>6</v>
      </c>
      <c r="AP939" s="1016">
        <v>5</v>
      </c>
      <c r="AQ939" s="1016">
        <v>10</v>
      </c>
      <c r="AR939" s="1016">
        <v>27</v>
      </c>
      <c r="AS939" s="1016">
        <v>48</v>
      </c>
    </row>
    <row r="940" spans="2:45" outlineLevel="1">
      <c r="B940" s="1387" t="s">
        <v>2711</v>
      </c>
      <c r="AO940" s="1016">
        <v>5</v>
      </c>
      <c r="AP940" s="1016">
        <v>23</v>
      </c>
      <c r="AQ940" s="1016">
        <v>5</v>
      </c>
      <c r="AR940" s="1016">
        <v>14</v>
      </c>
      <c r="AS940" s="1016">
        <v>47</v>
      </c>
    </row>
    <row r="941" spans="2:45" outlineLevel="1">
      <c r="B941" s="1387" t="s">
        <v>3169</v>
      </c>
      <c r="AQ941" s="1016">
        <v>2</v>
      </c>
      <c r="AR941" s="1016">
        <v>7</v>
      </c>
      <c r="AS941" s="1016">
        <v>9</v>
      </c>
    </row>
    <row r="942" spans="2:45" outlineLevel="1">
      <c r="B942" s="1387" t="s">
        <v>1410</v>
      </c>
      <c r="AQ942" s="1016">
        <v>3</v>
      </c>
      <c r="AR942" s="1016">
        <v>3</v>
      </c>
      <c r="AS942" s="1016">
        <v>6</v>
      </c>
    </row>
    <row r="943" spans="2:45" outlineLevel="1">
      <c r="B943" s="1387" t="s">
        <v>2897</v>
      </c>
      <c r="AQ943" s="1016">
        <v>1</v>
      </c>
      <c r="AR943" s="1016">
        <v>5</v>
      </c>
      <c r="AS943" s="1016">
        <v>6</v>
      </c>
    </row>
    <row r="944" spans="2:45" outlineLevel="1">
      <c r="B944" s="1387" t="s">
        <v>3184</v>
      </c>
    </row>
    <row r="945" spans="2:45" outlineLevel="1">
      <c r="B945" s="1387" t="s">
        <v>3180</v>
      </c>
    </row>
    <row r="946" spans="2:45" outlineLevel="1">
      <c r="B946" s="1387" t="s">
        <v>3189</v>
      </c>
      <c r="AQ946" s="1016">
        <v>7</v>
      </c>
      <c r="AR946" s="1016">
        <v>6</v>
      </c>
      <c r="AS946" s="1016">
        <v>13</v>
      </c>
    </row>
    <row r="947" spans="2:45" outlineLevel="1">
      <c r="B947" s="1387" t="s">
        <v>3190</v>
      </c>
      <c r="AQ947" s="1016">
        <v>2</v>
      </c>
      <c r="AR947" s="1016">
        <v>2</v>
      </c>
      <c r="AS947" s="1016">
        <v>4</v>
      </c>
    </row>
    <row r="948" spans="2:45" outlineLevel="1">
      <c r="B948" s="1387" t="s">
        <v>3191</v>
      </c>
      <c r="AQ948" s="1016">
        <v>7</v>
      </c>
      <c r="AR948" s="1016">
        <v>4</v>
      </c>
      <c r="AS948" s="1016">
        <v>11</v>
      </c>
    </row>
    <row r="949" spans="2:45" outlineLevel="1">
      <c r="B949" s="1387" t="s">
        <v>3528</v>
      </c>
      <c r="AR949" s="1016">
        <v>11</v>
      </c>
      <c r="AS949" s="1016">
        <v>11</v>
      </c>
    </row>
    <row r="950" spans="2:45" outlineLevel="1">
      <c r="B950" s="1387" t="s">
        <v>3529</v>
      </c>
      <c r="AR950" s="1016">
        <v>1</v>
      </c>
      <c r="AS950" s="1016">
        <v>1</v>
      </c>
    </row>
    <row r="951" spans="2:45" outlineLevel="1">
      <c r="B951" s="1387" t="s">
        <v>3530</v>
      </c>
      <c r="AR951" s="1016">
        <v>2</v>
      </c>
      <c r="AS951" s="1016">
        <v>2</v>
      </c>
    </row>
    <row r="952" spans="2:45" outlineLevel="1">
      <c r="B952" s="1387" t="s">
        <v>3575</v>
      </c>
    </row>
    <row r="953" spans="2:45" outlineLevel="1">
      <c r="B953" s="1387" t="s">
        <v>3519</v>
      </c>
    </row>
    <row r="954" spans="2:45" outlineLevel="1">
      <c r="B954" s="1387" t="s">
        <v>3521</v>
      </c>
    </row>
    <row r="955" spans="2:45" outlineLevel="1">
      <c r="B955" s="1387" t="s">
        <v>3523</v>
      </c>
      <c r="AR955" s="1016">
        <v>7</v>
      </c>
      <c r="AS955" s="1016">
        <v>7</v>
      </c>
    </row>
    <row r="956" spans="2:45" outlineLevel="1">
      <c r="B956" s="1387" t="s">
        <v>3573</v>
      </c>
    </row>
    <row r="957" spans="2:45" outlineLevel="1">
      <c r="B957" s="1387" t="s">
        <v>3525</v>
      </c>
      <c r="AR957" s="1016">
        <v>8</v>
      </c>
      <c r="AS957" s="1016">
        <v>8</v>
      </c>
    </row>
    <row r="958" spans="2:45" outlineLevel="1">
      <c r="B958" s="1387" t="s">
        <v>274</v>
      </c>
      <c r="C958" s="1016">
        <v>3</v>
      </c>
      <c r="D958" s="1016">
        <v>0</v>
      </c>
      <c r="E958" s="1016">
        <v>11</v>
      </c>
      <c r="F958" s="1016">
        <v>34</v>
      </c>
      <c r="G958" s="1016">
        <v>18</v>
      </c>
      <c r="H958" s="1016">
        <v>13</v>
      </c>
      <c r="I958" s="1016">
        <v>3</v>
      </c>
      <c r="J958" s="1016">
        <v>9</v>
      </c>
      <c r="K958" s="1016">
        <v>17</v>
      </c>
      <c r="L958" s="1016">
        <v>7</v>
      </c>
      <c r="M958" s="1016">
        <v>13</v>
      </c>
      <c r="N958" s="1016">
        <v>12</v>
      </c>
      <c r="O958" s="1016">
        <v>4</v>
      </c>
      <c r="P958" s="1016">
        <v>2</v>
      </c>
      <c r="Q958" s="1016">
        <v>15</v>
      </c>
      <c r="R958" s="1016">
        <v>42</v>
      </c>
      <c r="S958" s="1016">
        <v>54</v>
      </c>
      <c r="T958" s="1016">
        <v>56</v>
      </c>
      <c r="U958" s="1016">
        <v>30</v>
      </c>
      <c r="V958" s="1016">
        <v>36</v>
      </c>
      <c r="W958" s="1016">
        <v>35</v>
      </c>
      <c r="X958" s="1016">
        <v>27</v>
      </c>
      <c r="Y958" s="1016">
        <v>73</v>
      </c>
      <c r="Z958" s="1016">
        <v>70</v>
      </c>
      <c r="AA958" s="1016">
        <v>81</v>
      </c>
      <c r="AB958" s="1016">
        <v>33</v>
      </c>
      <c r="AC958" s="1016">
        <v>73</v>
      </c>
      <c r="AD958" s="1016">
        <v>114</v>
      </c>
      <c r="AE958" s="1016">
        <v>70</v>
      </c>
      <c r="AF958" s="1016">
        <v>78</v>
      </c>
      <c r="AG958" s="1016">
        <v>61</v>
      </c>
      <c r="AH958" s="1016">
        <v>63</v>
      </c>
      <c r="AI958" s="1016">
        <v>102</v>
      </c>
      <c r="AJ958" s="1016">
        <v>58</v>
      </c>
      <c r="AK958" s="1016">
        <v>67</v>
      </c>
      <c r="AL958" s="1016">
        <v>53</v>
      </c>
      <c r="AM958" s="1016">
        <v>14</v>
      </c>
      <c r="AN958" s="1016">
        <v>10</v>
      </c>
      <c r="AO958" s="1016">
        <v>65</v>
      </c>
      <c r="AP958" s="1016">
        <v>74</v>
      </c>
      <c r="AQ958" s="1016">
        <v>130</v>
      </c>
      <c r="AR958" s="1016">
        <v>181</v>
      </c>
      <c r="AS958" s="1016">
        <v>1911</v>
      </c>
    </row>
    <row r="959" spans="2:45" outlineLevel="1">
      <c r="B959" s="1387"/>
    </row>
    <row r="960" spans="2:45" outlineLevel="1">
      <c r="B960" s="1387"/>
    </row>
    <row r="961" spans="2:45" outlineLevel="1">
      <c r="B961" s="1387"/>
    </row>
    <row r="962" spans="2:45" outlineLevel="1">
      <c r="B962" s="1387"/>
    </row>
    <row r="963" spans="2:45" outlineLevel="1">
      <c r="B963" s="1387"/>
    </row>
    <row r="964" spans="2:45" outlineLevel="1">
      <c r="B964" s="1387"/>
    </row>
    <row r="965" spans="2:45" outlineLevel="1">
      <c r="B965" s="1387"/>
    </row>
    <row r="966" spans="2:45" outlineLevel="1">
      <c r="B966" s="1388" t="s">
        <v>463</v>
      </c>
      <c r="C966" s="1487" t="s">
        <v>275</v>
      </c>
    </row>
    <row r="967" spans="2:45" outlineLevel="1">
      <c r="B967" s="1487" t="s">
        <v>253</v>
      </c>
      <c r="C967" s="1016">
        <v>201301</v>
      </c>
      <c r="D967" s="1016">
        <v>201302</v>
      </c>
      <c r="E967" s="1016">
        <v>201303</v>
      </c>
      <c r="F967" s="1016">
        <v>201304</v>
      </c>
      <c r="G967" s="1016">
        <v>201305</v>
      </c>
      <c r="H967" s="1016">
        <v>201306</v>
      </c>
      <c r="I967" s="1016">
        <v>201307</v>
      </c>
      <c r="J967" s="1016">
        <v>201308</v>
      </c>
      <c r="K967" s="1016">
        <v>201309</v>
      </c>
      <c r="L967" s="1016">
        <v>201310</v>
      </c>
      <c r="M967" s="1016">
        <v>201311</v>
      </c>
      <c r="N967" s="1016">
        <v>201312</v>
      </c>
      <c r="O967" s="1016">
        <v>201401</v>
      </c>
      <c r="P967" s="1016">
        <v>201402</v>
      </c>
      <c r="Q967" s="1016">
        <v>201403</v>
      </c>
      <c r="R967" s="1016">
        <v>201404</v>
      </c>
      <c r="S967" s="1016">
        <v>201405</v>
      </c>
      <c r="T967" s="1016">
        <v>201406</v>
      </c>
      <c r="U967" s="1016">
        <v>201407</v>
      </c>
      <c r="V967" s="1016">
        <v>201408</v>
      </c>
      <c r="W967" s="1016">
        <v>201409</v>
      </c>
      <c r="X967" s="1016">
        <v>201410</v>
      </c>
      <c r="Y967" s="1016">
        <v>201411</v>
      </c>
      <c r="Z967" s="1016">
        <v>201412</v>
      </c>
      <c r="AA967" s="1016">
        <v>201501</v>
      </c>
      <c r="AB967" s="1016">
        <v>201502</v>
      </c>
      <c r="AC967" s="1016">
        <v>201503</v>
      </c>
      <c r="AD967" s="1016">
        <v>201504</v>
      </c>
      <c r="AE967" s="1016">
        <v>201505</v>
      </c>
      <c r="AF967" s="1016">
        <v>201506</v>
      </c>
      <c r="AG967" s="1016">
        <v>201507</v>
      </c>
      <c r="AH967" s="1016">
        <v>201508</v>
      </c>
      <c r="AI967" s="1016">
        <v>201509</v>
      </c>
      <c r="AJ967" s="1016">
        <v>201510</v>
      </c>
      <c r="AK967" s="1016">
        <v>201511</v>
      </c>
      <c r="AL967" s="1016">
        <v>201512</v>
      </c>
      <c r="AM967" s="1016">
        <v>201601</v>
      </c>
      <c r="AN967" s="1016">
        <v>201602</v>
      </c>
      <c r="AO967" s="1016">
        <v>201603</v>
      </c>
      <c r="AP967" s="1016">
        <v>201604</v>
      </c>
      <c r="AQ967" s="1016">
        <v>201605</v>
      </c>
      <c r="AR967" s="1016">
        <v>201606</v>
      </c>
      <c r="AS967" s="1016" t="s">
        <v>274</v>
      </c>
    </row>
    <row r="968" spans="2:45" outlineLevel="1">
      <c r="B968" s="1387"/>
      <c r="L968" s="1016">
        <v>0</v>
      </c>
      <c r="M968" s="1016">
        <v>0</v>
      </c>
      <c r="AS968" s="1016">
        <v>0</v>
      </c>
    </row>
    <row r="969" spans="2:45" outlineLevel="1">
      <c r="B969" s="1387" t="s">
        <v>191</v>
      </c>
      <c r="E969" s="1016">
        <v>2</v>
      </c>
      <c r="F969" s="1016">
        <v>9</v>
      </c>
      <c r="G969" s="1016">
        <v>11</v>
      </c>
      <c r="H969" s="1016">
        <v>11</v>
      </c>
      <c r="I969" s="1016">
        <v>6</v>
      </c>
      <c r="J969" s="1016">
        <v>8</v>
      </c>
      <c r="K969" s="1016">
        <v>12</v>
      </c>
      <c r="L969" s="1016">
        <v>9</v>
      </c>
      <c r="M969" s="1016">
        <v>6</v>
      </c>
      <c r="N969" s="1016">
        <v>15</v>
      </c>
      <c r="O969" s="1016">
        <v>8</v>
      </c>
      <c r="P969" s="1016">
        <v>11</v>
      </c>
      <c r="Q969" s="1016">
        <v>12</v>
      </c>
      <c r="R969" s="1016">
        <v>10</v>
      </c>
      <c r="S969" s="1016">
        <v>8</v>
      </c>
      <c r="T969" s="1016">
        <v>30</v>
      </c>
      <c r="U969" s="1016">
        <v>24</v>
      </c>
      <c r="V969" s="1016">
        <v>30</v>
      </c>
      <c r="W969" s="1016">
        <v>33</v>
      </c>
      <c r="X969" s="1016">
        <v>26</v>
      </c>
      <c r="Y969" s="1016">
        <v>27</v>
      </c>
      <c r="Z969" s="1016">
        <v>52</v>
      </c>
      <c r="AA969" s="1016">
        <v>27</v>
      </c>
      <c r="AB969" s="1016">
        <v>38</v>
      </c>
      <c r="AC969" s="1016">
        <v>73</v>
      </c>
      <c r="AD969" s="1016">
        <v>45</v>
      </c>
      <c r="AE969" s="1016">
        <v>45</v>
      </c>
      <c r="AF969" s="1016">
        <v>64</v>
      </c>
      <c r="AG969" s="1016">
        <v>32</v>
      </c>
      <c r="AH969" s="1016">
        <v>43</v>
      </c>
      <c r="AI969" s="1016">
        <v>62</v>
      </c>
      <c r="AJ969" s="1016">
        <v>65</v>
      </c>
      <c r="AK969" s="1016">
        <v>52</v>
      </c>
      <c r="AL969" s="1016">
        <v>61</v>
      </c>
      <c r="AM969" s="1016">
        <v>26</v>
      </c>
      <c r="AN969" s="1016">
        <v>14</v>
      </c>
      <c r="AO969" s="1016">
        <v>73</v>
      </c>
      <c r="AP969" s="1016">
        <v>38</v>
      </c>
      <c r="AQ969" s="1016">
        <v>71</v>
      </c>
      <c r="AR969" s="1016">
        <v>151</v>
      </c>
      <c r="AS969" s="1016">
        <v>1340</v>
      </c>
    </row>
    <row r="970" spans="2:45" outlineLevel="1">
      <c r="B970" s="1387" t="s">
        <v>189</v>
      </c>
      <c r="E970" s="1016">
        <v>5</v>
      </c>
      <c r="F970" s="1016">
        <v>8</v>
      </c>
      <c r="G970" s="1016">
        <v>10</v>
      </c>
      <c r="H970" s="1016">
        <v>12</v>
      </c>
      <c r="I970" s="1016">
        <v>11</v>
      </c>
      <c r="J970" s="1016">
        <v>14</v>
      </c>
      <c r="K970" s="1016">
        <v>22</v>
      </c>
      <c r="L970" s="1016">
        <v>15</v>
      </c>
      <c r="M970" s="1016">
        <v>17</v>
      </c>
      <c r="N970" s="1016">
        <v>36</v>
      </c>
      <c r="O970" s="1016">
        <v>8</v>
      </c>
      <c r="P970" s="1016">
        <v>18</v>
      </c>
      <c r="Q970" s="1016">
        <v>8</v>
      </c>
      <c r="R970" s="1016">
        <v>23</v>
      </c>
      <c r="S970" s="1016">
        <v>30</v>
      </c>
      <c r="T970" s="1016">
        <v>42</v>
      </c>
      <c r="U970" s="1016">
        <v>19</v>
      </c>
      <c r="V970" s="1016">
        <v>30</v>
      </c>
      <c r="W970" s="1016">
        <v>35</v>
      </c>
      <c r="X970" s="1016">
        <v>25</v>
      </c>
      <c r="Y970" s="1016">
        <v>30</v>
      </c>
      <c r="Z970" s="1016">
        <v>35</v>
      </c>
      <c r="AA970" s="1016">
        <v>28</v>
      </c>
      <c r="AB970" s="1016">
        <v>17</v>
      </c>
      <c r="AC970" s="1016">
        <v>20</v>
      </c>
      <c r="AD970" s="1016">
        <v>48</v>
      </c>
      <c r="AE970" s="1016">
        <v>28</v>
      </c>
      <c r="AF970" s="1016">
        <v>20</v>
      </c>
      <c r="AG970" s="1016">
        <v>26</v>
      </c>
      <c r="AH970" s="1016">
        <v>26</v>
      </c>
      <c r="AI970" s="1016">
        <v>33</v>
      </c>
      <c r="AJ970" s="1016">
        <v>24</v>
      </c>
      <c r="AK970" s="1016">
        <v>27</v>
      </c>
      <c r="AL970" s="1016">
        <v>27</v>
      </c>
      <c r="AM970" s="1016">
        <v>10</v>
      </c>
      <c r="AN970" s="1016">
        <v>18</v>
      </c>
      <c r="AO970" s="1016">
        <v>25</v>
      </c>
      <c r="AP970" s="1016">
        <v>23</v>
      </c>
      <c r="AQ970" s="1016">
        <v>20</v>
      </c>
      <c r="AS970" s="1016">
        <v>873</v>
      </c>
    </row>
    <row r="971" spans="2:45" outlineLevel="1">
      <c r="B971" s="1387" t="s">
        <v>192</v>
      </c>
      <c r="E971" s="1016">
        <v>2</v>
      </c>
      <c r="F971" s="1016">
        <v>3</v>
      </c>
      <c r="G971" s="1016">
        <v>10</v>
      </c>
      <c r="H971" s="1016">
        <v>11</v>
      </c>
      <c r="I971" s="1016">
        <v>6</v>
      </c>
      <c r="J971" s="1016">
        <v>9</v>
      </c>
      <c r="K971" s="1016">
        <v>12</v>
      </c>
      <c r="L971" s="1016">
        <v>17</v>
      </c>
      <c r="M971" s="1016">
        <v>14</v>
      </c>
      <c r="N971" s="1016">
        <v>16</v>
      </c>
      <c r="O971" s="1016">
        <v>5</v>
      </c>
      <c r="P971" s="1016">
        <v>11</v>
      </c>
      <c r="Q971" s="1016">
        <v>11</v>
      </c>
      <c r="R971" s="1016">
        <v>5</v>
      </c>
      <c r="S971" s="1016">
        <v>4</v>
      </c>
      <c r="AS971" s="1016">
        <v>136</v>
      </c>
    </row>
    <row r="972" spans="2:45" outlineLevel="1">
      <c r="B972" s="1387" t="s">
        <v>194</v>
      </c>
      <c r="F972" s="1016">
        <v>6</v>
      </c>
      <c r="G972" s="1016">
        <v>9</v>
      </c>
      <c r="H972" s="1016">
        <v>4</v>
      </c>
      <c r="I972" s="1016">
        <v>3</v>
      </c>
      <c r="J972" s="1016">
        <v>3</v>
      </c>
      <c r="K972" s="1016">
        <v>6</v>
      </c>
      <c r="L972" s="1016">
        <v>9</v>
      </c>
      <c r="M972" s="1016">
        <v>8</v>
      </c>
      <c r="N972" s="1016">
        <v>12</v>
      </c>
      <c r="O972" s="1016">
        <v>7</v>
      </c>
      <c r="P972" s="1016">
        <v>11</v>
      </c>
      <c r="Q972" s="1016">
        <v>6</v>
      </c>
      <c r="R972" s="1016">
        <v>9</v>
      </c>
      <c r="S972" s="1016">
        <v>12</v>
      </c>
      <c r="T972" s="1016">
        <v>16</v>
      </c>
      <c r="U972" s="1016">
        <v>19</v>
      </c>
      <c r="V972" s="1016">
        <v>17</v>
      </c>
      <c r="W972" s="1016">
        <v>7</v>
      </c>
      <c r="X972" s="1016">
        <v>18</v>
      </c>
      <c r="Y972" s="1016">
        <v>15</v>
      </c>
      <c r="Z972" s="1016">
        <v>17</v>
      </c>
      <c r="AA972" s="1016">
        <v>9</v>
      </c>
      <c r="AB972" s="1016">
        <v>6</v>
      </c>
      <c r="AC972" s="1016">
        <v>7</v>
      </c>
      <c r="AD972" s="1016">
        <v>12</v>
      </c>
      <c r="AE972" s="1016">
        <v>12</v>
      </c>
      <c r="AF972" s="1016">
        <v>14</v>
      </c>
      <c r="AG972" s="1016">
        <v>28</v>
      </c>
      <c r="AH972" s="1016">
        <v>15</v>
      </c>
      <c r="AI972" s="1016">
        <v>24</v>
      </c>
      <c r="AJ972" s="1016">
        <v>23</v>
      </c>
      <c r="AK972" s="1016">
        <v>19</v>
      </c>
      <c r="AL972" s="1016">
        <v>29</v>
      </c>
      <c r="AM972" s="1016">
        <v>11</v>
      </c>
      <c r="AN972" s="1016">
        <v>8</v>
      </c>
      <c r="AO972" s="1016">
        <v>13</v>
      </c>
      <c r="AP972" s="1016">
        <v>13</v>
      </c>
      <c r="AQ972" s="1016">
        <v>10</v>
      </c>
      <c r="AR972" s="1016">
        <v>0</v>
      </c>
      <c r="AS972" s="1016">
        <v>467</v>
      </c>
    </row>
    <row r="973" spans="2:45" outlineLevel="1">
      <c r="B973" s="1387" t="s">
        <v>190</v>
      </c>
      <c r="E973" s="1016">
        <v>1</v>
      </c>
      <c r="F973" s="1016">
        <v>7</v>
      </c>
      <c r="G973" s="1016">
        <v>7</v>
      </c>
      <c r="H973" s="1016">
        <v>9</v>
      </c>
      <c r="I973" s="1016">
        <v>6</v>
      </c>
      <c r="J973" s="1016">
        <v>7</v>
      </c>
      <c r="K973" s="1016">
        <v>20</v>
      </c>
      <c r="L973" s="1016">
        <v>10</v>
      </c>
      <c r="M973" s="1016">
        <v>10</v>
      </c>
      <c r="N973" s="1016">
        <v>19</v>
      </c>
      <c r="O973" s="1016">
        <v>4</v>
      </c>
      <c r="P973" s="1016">
        <v>11</v>
      </c>
      <c r="Q973" s="1016">
        <v>5</v>
      </c>
      <c r="R973" s="1016">
        <v>6</v>
      </c>
      <c r="S973" s="1016">
        <v>7</v>
      </c>
      <c r="T973" s="1016">
        <v>18</v>
      </c>
      <c r="U973" s="1016">
        <v>5</v>
      </c>
      <c r="V973" s="1016">
        <v>5</v>
      </c>
      <c r="W973" s="1016">
        <v>9</v>
      </c>
      <c r="X973" s="1016">
        <v>9</v>
      </c>
      <c r="Y973" s="1016">
        <v>12</v>
      </c>
      <c r="Z973" s="1016">
        <v>21</v>
      </c>
      <c r="AA973" s="1016">
        <v>14</v>
      </c>
      <c r="AB973" s="1016">
        <v>10</v>
      </c>
      <c r="AC973" s="1016">
        <v>13</v>
      </c>
      <c r="AD973" s="1016">
        <v>9</v>
      </c>
      <c r="AE973" s="1016">
        <v>16</v>
      </c>
      <c r="AF973" s="1016">
        <v>18</v>
      </c>
      <c r="AG973" s="1016">
        <v>22</v>
      </c>
      <c r="AH973" s="1016">
        <v>24</v>
      </c>
      <c r="AI973" s="1016">
        <v>43</v>
      </c>
      <c r="AJ973" s="1016">
        <v>24</v>
      </c>
      <c r="AK973" s="1016">
        <v>45</v>
      </c>
      <c r="AL973" s="1016">
        <v>45</v>
      </c>
      <c r="AM973" s="1016">
        <v>32</v>
      </c>
      <c r="AN973" s="1016">
        <v>22</v>
      </c>
      <c r="AO973" s="1016">
        <v>46</v>
      </c>
      <c r="AP973" s="1016">
        <v>19</v>
      </c>
      <c r="AS973" s="1016">
        <v>610</v>
      </c>
    </row>
    <row r="974" spans="2:45" outlineLevel="1">
      <c r="B974" s="1387" t="s">
        <v>461</v>
      </c>
      <c r="M974" s="1016">
        <v>3</v>
      </c>
      <c r="N974" s="1016">
        <v>2</v>
      </c>
      <c r="O974" s="1016">
        <v>2</v>
      </c>
      <c r="P974" s="1016">
        <v>7</v>
      </c>
      <c r="AS974" s="1016">
        <v>14</v>
      </c>
    </row>
    <row r="975" spans="2:45" outlineLevel="1">
      <c r="B975" s="1387" t="s">
        <v>92</v>
      </c>
      <c r="C975" s="1016">
        <v>10</v>
      </c>
      <c r="D975" s="1016">
        <v>5</v>
      </c>
      <c r="E975" s="1016">
        <v>8</v>
      </c>
      <c r="F975" s="1016">
        <v>3</v>
      </c>
      <c r="G975" s="1016">
        <v>7</v>
      </c>
      <c r="H975" s="1016">
        <v>9</v>
      </c>
      <c r="I975" s="1016">
        <v>7</v>
      </c>
      <c r="J975" s="1016">
        <v>9</v>
      </c>
      <c r="K975" s="1016">
        <v>17</v>
      </c>
      <c r="L975" s="1016">
        <v>23</v>
      </c>
      <c r="M975" s="1016">
        <v>16</v>
      </c>
      <c r="N975" s="1016">
        <v>28</v>
      </c>
      <c r="O975" s="1016">
        <v>24</v>
      </c>
      <c r="P975" s="1016">
        <v>23</v>
      </c>
      <c r="Q975" s="1016">
        <v>30</v>
      </c>
      <c r="R975" s="1016">
        <v>31</v>
      </c>
      <c r="S975" s="1016">
        <v>37</v>
      </c>
      <c r="T975" s="1016">
        <v>40</v>
      </c>
      <c r="U975" s="1016">
        <v>28</v>
      </c>
      <c r="V975" s="1016">
        <v>35</v>
      </c>
      <c r="W975" s="1016">
        <v>36</v>
      </c>
      <c r="X975" s="1016">
        <v>35</v>
      </c>
      <c r="Y975" s="1016">
        <v>29</v>
      </c>
      <c r="Z975" s="1016">
        <v>47</v>
      </c>
      <c r="AA975" s="1016">
        <v>26</v>
      </c>
      <c r="AB975" s="1016">
        <v>19</v>
      </c>
      <c r="AC975" s="1016">
        <v>16</v>
      </c>
      <c r="AD975" s="1016">
        <v>22</v>
      </c>
      <c r="AE975" s="1016">
        <v>28</v>
      </c>
      <c r="AF975" s="1016">
        <v>30</v>
      </c>
      <c r="AG975" s="1016">
        <v>40</v>
      </c>
      <c r="AH975" s="1016">
        <v>31</v>
      </c>
      <c r="AI975" s="1016">
        <v>43</v>
      </c>
      <c r="AJ975" s="1016">
        <v>29</v>
      </c>
      <c r="AK975" s="1016">
        <v>53</v>
      </c>
      <c r="AL975" s="1016">
        <v>50</v>
      </c>
      <c r="AM975" s="1016">
        <v>13</v>
      </c>
      <c r="AN975" s="1016">
        <v>16</v>
      </c>
      <c r="AO975" s="1016">
        <v>29</v>
      </c>
      <c r="AP975" s="1016">
        <v>34</v>
      </c>
      <c r="AQ975" s="1016">
        <v>19</v>
      </c>
      <c r="AS975" s="1016">
        <v>1035</v>
      </c>
    </row>
    <row r="976" spans="2:45" outlineLevel="1">
      <c r="B976" s="1387" t="s">
        <v>17</v>
      </c>
      <c r="C976" s="1016">
        <v>7</v>
      </c>
      <c r="D976" s="1016">
        <v>2</v>
      </c>
      <c r="E976" s="1016">
        <v>6</v>
      </c>
      <c r="F976" s="1016">
        <v>7</v>
      </c>
      <c r="G976" s="1016">
        <v>6</v>
      </c>
      <c r="H976" s="1016">
        <v>7</v>
      </c>
      <c r="I976" s="1016">
        <v>8</v>
      </c>
      <c r="J976" s="1016">
        <v>5</v>
      </c>
      <c r="K976" s="1016">
        <v>11</v>
      </c>
      <c r="L976" s="1016">
        <v>10</v>
      </c>
      <c r="M976" s="1016">
        <v>7</v>
      </c>
      <c r="N976" s="1016">
        <v>7</v>
      </c>
      <c r="O976" s="1016">
        <v>10</v>
      </c>
      <c r="P976" s="1016">
        <v>9</v>
      </c>
      <c r="Q976" s="1016">
        <v>18</v>
      </c>
      <c r="R976" s="1016">
        <v>18</v>
      </c>
      <c r="S976" s="1016">
        <v>19</v>
      </c>
      <c r="T976" s="1016">
        <v>29</v>
      </c>
      <c r="U976" s="1016">
        <v>13</v>
      </c>
      <c r="V976" s="1016">
        <v>9</v>
      </c>
      <c r="W976" s="1016">
        <v>14</v>
      </c>
      <c r="X976" s="1016">
        <v>15</v>
      </c>
      <c r="Y976" s="1016">
        <v>26</v>
      </c>
      <c r="Z976" s="1016">
        <v>28</v>
      </c>
      <c r="AA976" s="1016">
        <v>14</v>
      </c>
      <c r="AB976" s="1016">
        <v>10</v>
      </c>
      <c r="AC976" s="1016">
        <v>9</v>
      </c>
      <c r="AD976" s="1016">
        <v>12</v>
      </c>
      <c r="AE976" s="1016">
        <v>20</v>
      </c>
      <c r="AF976" s="1016">
        <v>15</v>
      </c>
      <c r="AG976" s="1016">
        <v>14</v>
      </c>
      <c r="AH976" s="1016">
        <v>15</v>
      </c>
      <c r="AI976" s="1016">
        <v>17</v>
      </c>
      <c r="AJ976" s="1016">
        <v>16</v>
      </c>
      <c r="AK976" s="1016">
        <v>17</v>
      </c>
      <c r="AL976" s="1016">
        <v>14</v>
      </c>
      <c r="AM976" s="1016">
        <v>5</v>
      </c>
      <c r="AN976" s="1016">
        <v>7</v>
      </c>
      <c r="AO976" s="1016">
        <v>11</v>
      </c>
      <c r="AP976" s="1016">
        <v>4</v>
      </c>
      <c r="AQ976" s="1016">
        <v>11</v>
      </c>
      <c r="AR976" s="1016">
        <v>15</v>
      </c>
      <c r="AS976" s="1016">
        <v>517</v>
      </c>
    </row>
    <row r="977" spans="2:45" outlineLevel="1">
      <c r="B977" s="1387" t="s">
        <v>188</v>
      </c>
      <c r="E977" s="1016">
        <v>6</v>
      </c>
      <c r="F977" s="1016">
        <v>5</v>
      </c>
      <c r="G977" s="1016">
        <v>12</v>
      </c>
      <c r="H977" s="1016">
        <v>10</v>
      </c>
      <c r="I977" s="1016">
        <v>3</v>
      </c>
      <c r="J977" s="1016">
        <v>8</v>
      </c>
      <c r="K977" s="1016">
        <v>11</v>
      </c>
      <c r="L977" s="1016">
        <v>15</v>
      </c>
      <c r="M977" s="1016">
        <v>16</v>
      </c>
      <c r="N977" s="1016">
        <v>19</v>
      </c>
      <c r="O977" s="1016">
        <v>3</v>
      </c>
      <c r="P977" s="1016">
        <v>7</v>
      </c>
      <c r="Q977" s="1016">
        <v>4</v>
      </c>
      <c r="R977" s="1016">
        <v>3</v>
      </c>
      <c r="S977" s="1016">
        <v>11</v>
      </c>
      <c r="T977" s="1016">
        <v>23</v>
      </c>
      <c r="U977" s="1016">
        <v>24</v>
      </c>
      <c r="V977" s="1016">
        <v>38</v>
      </c>
      <c r="W977" s="1016">
        <v>43</v>
      </c>
      <c r="X977" s="1016">
        <v>50</v>
      </c>
      <c r="Y977" s="1016">
        <v>50</v>
      </c>
      <c r="Z977" s="1016">
        <v>77</v>
      </c>
      <c r="AA977" s="1016">
        <v>41</v>
      </c>
      <c r="AB977" s="1016">
        <v>37</v>
      </c>
      <c r="AC977" s="1016">
        <v>61</v>
      </c>
      <c r="AD977" s="1016">
        <v>59</v>
      </c>
      <c r="AE977" s="1016">
        <v>53</v>
      </c>
      <c r="AF977" s="1016">
        <v>60</v>
      </c>
      <c r="AG977" s="1016">
        <v>56</v>
      </c>
      <c r="AH977" s="1016">
        <v>53</v>
      </c>
      <c r="AI977" s="1016">
        <v>81</v>
      </c>
      <c r="AJ977" s="1016">
        <v>65</v>
      </c>
      <c r="AK977" s="1016">
        <v>74</v>
      </c>
      <c r="AL977" s="1016">
        <v>90</v>
      </c>
      <c r="AM977" s="1016">
        <v>30</v>
      </c>
      <c r="AN977" s="1016">
        <v>29</v>
      </c>
      <c r="AO977" s="1016">
        <v>50</v>
      </c>
      <c r="AP977" s="1016">
        <v>29</v>
      </c>
      <c r="AS977" s="1016">
        <v>1306</v>
      </c>
    </row>
    <row r="978" spans="2:45" outlineLevel="1">
      <c r="B978" s="1387" t="s">
        <v>381</v>
      </c>
      <c r="I978" s="1016">
        <v>1</v>
      </c>
      <c r="J978" s="1016">
        <v>0</v>
      </c>
      <c r="K978" s="1016">
        <v>0</v>
      </c>
      <c r="N978" s="1016">
        <v>0</v>
      </c>
      <c r="O978" s="1016">
        <v>0</v>
      </c>
      <c r="P978" s="1016">
        <v>0</v>
      </c>
      <c r="S978" s="1016">
        <v>6</v>
      </c>
      <c r="T978" s="1016">
        <v>13</v>
      </c>
      <c r="U978" s="1016">
        <v>17</v>
      </c>
      <c r="V978" s="1016">
        <v>17</v>
      </c>
      <c r="W978" s="1016">
        <v>26</v>
      </c>
      <c r="X978" s="1016">
        <v>23</v>
      </c>
      <c r="Y978" s="1016">
        <v>28</v>
      </c>
      <c r="Z978" s="1016">
        <v>28</v>
      </c>
      <c r="AA978" s="1016">
        <v>22</v>
      </c>
      <c r="AB978" s="1016">
        <v>28</v>
      </c>
      <c r="AC978" s="1016">
        <v>23</v>
      </c>
      <c r="AD978" s="1016">
        <v>11</v>
      </c>
      <c r="AE978" s="1016">
        <v>23</v>
      </c>
      <c r="AF978" s="1016">
        <v>7</v>
      </c>
      <c r="AG978" s="1016">
        <v>2</v>
      </c>
      <c r="AH978" s="1016">
        <v>0</v>
      </c>
      <c r="AI978" s="1016">
        <v>0</v>
      </c>
      <c r="AJ978" s="1016">
        <v>0</v>
      </c>
      <c r="AS978" s="1016">
        <v>275</v>
      </c>
    </row>
    <row r="979" spans="2:45" outlineLevel="1">
      <c r="B979" s="1387" t="s">
        <v>483</v>
      </c>
      <c r="N979" s="1016">
        <v>3</v>
      </c>
      <c r="O979" s="1016">
        <v>5</v>
      </c>
      <c r="P979" s="1016">
        <v>3</v>
      </c>
      <c r="Q979" s="1016">
        <v>1</v>
      </c>
      <c r="R979" s="1016">
        <v>6</v>
      </c>
      <c r="S979" s="1016">
        <v>4</v>
      </c>
      <c r="T979" s="1016">
        <v>12</v>
      </c>
      <c r="U979" s="1016">
        <v>8</v>
      </c>
      <c r="V979" s="1016">
        <v>8</v>
      </c>
      <c r="W979" s="1016">
        <v>14</v>
      </c>
      <c r="X979" s="1016">
        <v>22</v>
      </c>
      <c r="Y979" s="1016">
        <v>17</v>
      </c>
      <c r="Z979" s="1016">
        <v>33</v>
      </c>
      <c r="AA979" s="1016">
        <v>20</v>
      </c>
      <c r="AB979" s="1016">
        <v>11</v>
      </c>
      <c r="AC979" s="1016">
        <v>21</v>
      </c>
      <c r="AD979" s="1016">
        <v>30</v>
      </c>
      <c r="AE979" s="1016">
        <v>22</v>
      </c>
      <c r="AF979" s="1016">
        <v>24</v>
      </c>
      <c r="AG979" s="1016">
        <v>22</v>
      </c>
      <c r="AH979" s="1016">
        <v>11</v>
      </c>
      <c r="AI979" s="1016">
        <v>22</v>
      </c>
      <c r="AJ979" s="1016">
        <v>19</v>
      </c>
      <c r="AK979" s="1016">
        <v>12</v>
      </c>
      <c r="AL979" s="1016">
        <v>20</v>
      </c>
      <c r="AM979" s="1016">
        <v>3</v>
      </c>
      <c r="AN979" s="1016">
        <v>0</v>
      </c>
      <c r="AO979" s="1016">
        <v>0</v>
      </c>
      <c r="AP979" s="1016">
        <v>0</v>
      </c>
      <c r="AS979" s="1016">
        <v>373</v>
      </c>
    </row>
    <row r="980" spans="2:45" outlineLevel="1">
      <c r="B980" s="1387" t="s">
        <v>629</v>
      </c>
      <c r="Q980" s="1016">
        <v>9</v>
      </c>
      <c r="R980" s="1016">
        <v>13</v>
      </c>
      <c r="S980" s="1016">
        <v>12</v>
      </c>
      <c r="T980" s="1016">
        <v>22</v>
      </c>
      <c r="U980" s="1016">
        <v>15</v>
      </c>
      <c r="V980" s="1016">
        <v>7</v>
      </c>
      <c r="W980" s="1016">
        <v>21</v>
      </c>
      <c r="X980" s="1016">
        <v>17</v>
      </c>
      <c r="Y980" s="1016">
        <v>13</v>
      </c>
      <c r="Z980" s="1016">
        <v>26</v>
      </c>
      <c r="AA980" s="1016">
        <v>13</v>
      </c>
      <c r="AB980" s="1016">
        <v>14</v>
      </c>
      <c r="AC980" s="1016">
        <v>9</v>
      </c>
      <c r="AD980" s="1016">
        <v>14</v>
      </c>
      <c r="AE980" s="1016">
        <v>16</v>
      </c>
      <c r="AF980" s="1016">
        <v>14</v>
      </c>
      <c r="AG980" s="1016">
        <v>12</v>
      </c>
      <c r="AH980" s="1016">
        <v>9</v>
      </c>
      <c r="AI980" s="1016">
        <v>21</v>
      </c>
      <c r="AJ980" s="1016">
        <v>11</v>
      </c>
      <c r="AK980" s="1016">
        <v>18</v>
      </c>
      <c r="AL980" s="1016">
        <v>23</v>
      </c>
      <c r="AM980" s="1016">
        <v>5</v>
      </c>
      <c r="AN980" s="1016">
        <v>0</v>
      </c>
      <c r="AO980" s="1016">
        <v>9</v>
      </c>
      <c r="AP980" s="1016">
        <v>4</v>
      </c>
      <c r="AS980" s="1016">
        <v>347</v>
      </c>
    </row>
    <row r="981" spans="2:45" outlineLevel="1">
      <c r="B981" s="1387" t="s">
        <v>645</v>
      </c>
      <c r="R981" s="1016">
        <v>7</v>
      </c>
      <c r="S981" s="1016">
        <v>5</v>
      </c>
      <c r="T981" s="1016">
        <v>10</v>
      </c>
      <c r="U981" s="1016">
        <v>13</v>
      </c>
      <c r="V981" s="1016">
        <v>8</v>
      </c>
      <c r="W981" s="1016">
        <v>13</v>
      </c>
      <c r="X981" s="1016">
        <v>14</v>
      </c>
      <c r="Y981" s="1016">
        <v>12</v>
      </c>
      <c r="Z981" s="1016">
        <v>25</v>
      </c>
      <c r="AA981" s="1016">
        <v>6</v>
      </c>
      <c r="AB981" s="1016">
        <v>6</v>
      </c>
      <c r="AC981" s="1016">
        <v>6</v>
      </c>
      <c r="AD981" s="1016">
        <v>12</v>
      </c>
      <c r="AE981" s="1016">
        <v>20</v>
      </c>
      <c r="AF981" s="1016">
        <v>20</v>
      </c>
      <c r="AG981" s="1016">
        <v>20</v>
      </c>
      <c r="AH981" s="1016">
        <v>11</v>
      </c>
      <c r="AI981" s="1016">
        <v>25</v>
      </c>
      <c r="AJ981" s="1016">
        <v>21</v>
      </c>
      <c r="AK981" s="1016">
        <v>25</v>
      </c>
      <c r="AL981" s="1016">
        <v>24</v>
      </c>
      <c r="AM981" s="1016">
        <v>6</v>
      </c>
      <c r="AN981" s="1016">
        <v>4</v>
      </c>
      <c r="AO981" s="1016">
        <v>12</v>
      </c>
      <c r="AP981" s="1016">
        <v>7</v>
      </c>
      <c r="AQ981" s="1016">
        <v>9</v>
      </c>
      <c r="AR981" s="1016">
        <v>19</v>
      </c>
      <c r="AS981" s="1016">
        <v>360</v>
      </c>
    </row>
    <row r="982" spans="2:45" outlineLevel="1">
      <c r="B982" s="1387" t="s">
        <v>641</v>
      </c>
      <c r="R982" s="1016">
        <v>0</v>
      </c>
      <c r="S982" s="1016">
        <v>4</v>
      </c>
      <c r="T982" s="1016">
        <v>9</v>
      </c>
      <c r="U982" s="1016">
        <v>13</v>
      </c>
      <c r="V982" s="1016">
        <v>11</v>
      </c>
      <c r="W982" s="1016">
        <v>13</v>
      </c>
      <c r="X982" s="1016">
        <v>11</v>
      </c>
      <c r="Y982" s="1016">
        <v>8</v>
      </c>
      <c r="Z982" s="1016">
        <v>15</v>
      </c>
      <c r="AA982" s="1016">
        <v>8</v>
      </c>
      <c r="AB982" s="1016">
        <v>5</v>
      </c>
      <c r="AC982" s="1016">
        <v>5</v>
      </c>
      <c r="AD982" s="1016">
        <v>10</v>
      </c>
      <c r="AE982" s="1016">
        <v>20</v>
      </c>
      <c r="AF982" s="1016">
        <v>18</v>
      </c>
      <c r="AG982" s="1016">
        <v>18</v>
      </c>
      <c r="AH982" s="1016">
        <v>13</v>
      </c>
      <c r="AI982" s="1016">
        <v>24</v>
      </c>
      <c r="AJ982" s="1016">
        <v>20</v>
      </c>
      <c r="AK982" s="1016">
        <v>30</v>
      </c>
      <c r="AL982" s="1016">
        <v>30</v>
      </c>
      <c r="AM982" s="1016">
        <v>14</v>
      </c>
      <c r="AN982" s="1016">
        <v>16</v>
      </c>
      <c r="AO982" s="1016">
        <v>24</v>
      </c>
      <c r="AP982" s="1016">
        <v>27</v>
      </c>
      <c r="AQ982" s="1016">
        <v>21</v>
      </c>
      <c r="AR982" s="1016">
        <v>29</v>
      </c>
      <c r="AS982" s="1016">
        <v>416</v>
      </c>
    </row>
    <row r="983" spans="2:45" outlineLevel="1">
      <c r="B983" s="1387" t="s">
        <v>643</v>
      </c>
      <c r="R983" s="1016">
        <v>2</v>
      </c>
      <c r="S983" s="1016">
        <v>6</v>
      </c>
      <c r="T983" s="1016">
        <v>11</v>
      </c>
      <c r="U983" s="1016">
        <v>15</v>
      </c>
      <c r="V983" s="1016">
        <v>15</v>
      </c>
      <c r="W983" s="1016">
        <v>15</v>
      </c>
      <c r="X983" s="1016">
        <v>12</v>
      </c>
      <c r="Y983" s="1016">
        <v>6</v>
      </c>
      <c r="Z983" s="1016">
        <v>10</v>
      </c>
      <c r="AA983" s="1016">
        <v>7</v>
      </c>
      <c r="AB983" s="1016">
        <v>10</v>
      </c>
      <c r="AC983" s="1016">
        <v>7</v>
      </c>
      <c r="AD983" s="1016">
        <v>9</v>
      </c>
      <c r="AE983" s="1016">
        <v>7</v>
      </c>
      <c r="AF983" s="1016">
        <v>0</v>
      </c>
      <c r="AS983" s="1016">
        <v>132</v>
      </c>
    </row>
    <row r="984" spans="2:45" outlineLevel="1">
      <c r="B984" s="1387" t="s">
        <v>644</v>
      </c>
      <c r="R984" s="1016">
        <v>0</v>
      </c>
      <c r="S984" s="1016">
        <v>3</v>
      </c>
      <c r="T984" s="1016">
        <v>9</v>
      </c>
      <c r="U984" s="1016">
        <v>11</v>
      </c>
      <c r="V984" s="1016">
        <v>8</v>
      </c>
      <c r="W984" s="1016">
        <v>8</v>
      </c>
      <c r="X984" s="1016">
        <v>9</v>
      </c>
      <c r="Y984" s="1016">
        <v>13</v>
      </c>
      <c r="Z984" s="1016">
        <v>19</v>
      </c>
      <c r="AA984" s="1016">
        <v>16</v>
      </c>
      <c r="AB984" s="1016">
        <v>10</v>
      </c>
      <c r="AC984" s="1016">
        <v>14</v>
      </c>
      <c r="AD984" s="1016">
        <v>27</v>
      </c>
      <c r="AE984" s="1016">
        <v>22</v>
      </c>
      <c r="AF984" s="1016">
        <v>16</v>
      </c>
      <c r="AG984" s="1016">
        <v>18</v>
      </c>
      <c r="AH984" s="1016">
        <v>19</v>
      </c>
      <c r="AI984" s="1016">
        <v>15</v>
      </c>
      <c r="AJ984" s="1016">
        <v>16</v>
      </c>
      <c r="AK984" s="1016">
        <v>20</v>
      </c>
      <c r="AL984" s="1016">
        <v>20</v>
      </c>
      <c r="AM984" s="1016">
        <v>6</v>
      </c>
      <c r="AN984" s="1016">
        <v>9</v>
      </c>
      <c r="AO984" s="1016">
        <v>10</v>
      </c>
      <c r="AP984" s="1016">
        <v>13</v>
      </c>
      <c r="AQ984" s="1016">
        <v>20</v>
      </c>
      <c r="AR984" s="1016">
        <v>9</v>
      </c>
      <c r="AS984" s="1016">
        <v>360</v>
      </c>
    </row>
    <row r="985" spans="2:45" outlineLevel="1">
      <c r="B985" s="1387" t="s">
        <v>655</v>
      </c>
      <c r="R985" s="1016">
        <v>2</v>
      </c>
      <c r="S985" s="1016">
        <v>7</v>
      </c>
      <c r="T985" s="1016">
        <v>11</v>
      </c>
      <c r="U985" s="1016">
        <v>19</v>
      </c>
      <c r="V985" s="1016">
        <v>15</v>
      </c>
      <c r="W985" s="1016">
        <v>20</v>
      </c>
      <c r="X985" s="1016">
        <v>25</v>
      </c>
      <c r="Y985" s="1016">
        <v>36</v>
      </c>
      <c r="Z985" s="1016">
        <v>41</v>
      </c>
      <c r="AA985" s="1016">
        <v>17</v>
      </c>
      <c r="AB985" s="1016">
        <v>10</v>
      </c>
      <c r="AC985" s="1016">
        <v>14</v>
      </c>
      <c r="AD985" s="1016">
        <v>31</v>
      </c>
      <c r="AE985" s="1016">
        <v>30</v>
      </c>
      <c r="AF985" s="1016">
        <v>31</v>
      </c>
      <c r="AG985" s="1016">
        <v>38</v>
      </c>
      <c r="AH985" s="1016">
        <v>16</v>
      </c>
      <c r="AI985" s="1016">
        <v>38</v>
      </c>
      <c r="AJ985" s="1016">
        <v>31</v>
      </c>
      <c r="AK985" s="1016">
        <v>36</v>
      </c>
      <c r="AL985" s="1016">
        <v>45</v>
      </c>
      <c r="AM985" s="1016">
        <v>13</v>
      </c>
      <c r="AN985" s="1016">
        <v>23</v>
      </c>
      <c r="AO985" s="1016">
        <v>30</v>
      </c>
      <c r="AP985" s="1016">
        <v>17</v>
      </c>
      <c r="AQ985" s="1016">
        <v>26</v>
      </c>
      <c r="AS985" s="1016">
        <v>622</v>
      </c>
    </row>
    <row r="986" spans="2:45" outlineLevel="1">
      <c r="B986" s="1387" t="s">
        <v>656</v>
      </c>
      <c r="R986" s="1016">
        <v>1</v>
      </c>
      <c r="S986" s="1016">
        <v>8</v>
      </c>
      <c r="T986" s="1016">
        <v>8</v>
      </c>
      <c r="U986" s="1016">
        <v>8</v>
      </c>
      <c r="V986" s="1016">
        <v>9</v>
      </c>
      <c r="W986" s="1016">
        <v>11</v>
      </c>
      <c r="X986" s="1016">
        <v>13</v>
      </c>
      <c r="Y986" s="1016">
        <v>9</v>
      </c>
      <c r="Z986" s="1016">
        <v>6</v>
      </c>
      <c r="AA986" s="1016">
        <v>25</v>
      </c>
      <c r="AB986" s="1016">
        <v>17</v>
      </c>
      <c r="AC986" s="1016">
        <v>31</v>
      </c>
      <c r="AD986" s="1016">
        <v>24</v>
      </c>
      <c r="AE986" s="1016">
        <v>25</v>
      </c>
      <c r="AF986" s="1016">
        <v>26</v>
      </c>
      <c r="AG986" s="1016">
        <v>22</v>
      </c>
      <c r="AH986" s="1016">
        <v>19</v>
      </c>
      <c r="AI986" s="1016">
        <v>48</v>
      </c>
      <c r="AJ986" s="1016">
        <v>52</v>
      </c>
      <c r="AK986" s="1016">
        <v>39</v>
      </c>
      <c r="AL986" s="1016">
        <v>37</v>
      </c>
      <c r="AM986" s="1016">
        <v>41</v>
      </c>
      <c r="AN986" s="1016">
        <v>8</v>
      </c>
      <c r="AO986" s="1016">
        <v>20</v>
      </c>
      <c r="AP986" s="1016">
        <v>31</v>
      </c>
      <c r="AS986" s="1016">
        <v>538</v>
      </c>
    </row>
    <row r="987" spans="2:45" outlineLevel="1">
      <c r="B987" s="1387" t="s">
        <v>697</v>
      </c>
      <c r="S987" s="1016">
        <v>0</v>
      </c>
      <c r="T987" s="1016">
        <v>8</v>
      </c>
      <c r="U987" s="1016">
        <v>17</v>
      </c>
      <c r="V987" s="1016">
        <v>20</v>
      </c>
      <c r="W987" s="1016">
        <v>21</v>
      </c>
      <c r="X987" s="1016">
        <v>28</v>
      </c>
      <c r="Y987" s="1016">
        <v>25</v>
      </c>
      <c r="Z987" s="1016">
        <v>32</v>
      </c>
      <c r="AA987" s="1016">
        <v>18</v>
      </c>
      <c r="AB987" s="1016">
        <v>11</v>
      </c>
      <c r="AC987" s="1016">
        <v>16</v>
      </c>
      <c r="AD987" s="1016">
        <v>21</v>
      </c>
      <c r="AE987" s="1016">
        <v>27</v>
      </c>
      <c r="AF987" s="1016">
        <v>37</v>
      </c>
      <c r="AG987" s="1016">
        <v>26</v>
      </c>
      <c r="AH987" s="1016">
        <v>17</v>
      </c>
      <c r="AI987" s="1016">
        <v>42</v>
      </c>
      <c r="AJ987" s="1016">
        <v>24</v>
      </c>
      <c r="AK987" s="1016">
        <v>32</v>
      </c>
      <c r="AL987" s="1016">
        <v>45</v>
      </c>
      <c r="AM987" s="1016">
        <v>12</v>
      </c>
      <c r="AN987" s="1016">
        <v>6</v>
      </c>
      <c r="AO987" s="1016">
        <v>25</v>
      </c>
      <c r="AP987" s="1016">
        <v>22</v>
      </c>
      <c r="AQ987" s="1016">
        <v>13</v>
      </c>
      <c r="AR987" s="1016">
        <v>22</v>
      </c>
      <c r="AS987" s="1016">
        <v>567</v>
      </c>
    </row>
    <row r="988" spans="2:45" outlineLevel="1">
      <c r="B988" s="1387" t="s">
        <v>658</v>
      </c>
      <c r="AK988" s="1016">
        <v>0</v>
      </c>
      <c r="AL988" s="1016">
        <v>0</v>
      </c>
      <c r="AM988" s="1016">
        <v>0</v>
      </c>
      <c r="AN988" s="1016">
        <v>0</v>
      </c>
      <c r="AO988" s="1016">
        <v>0</v>
      </c>
      <c r="AP988" s="1016">
        <v>0</v>
      </c>
      <c r="AS988" s="1016">
        <v>0</v>
      </c>
    </row>
    <row r="989" spans="2:45" outlineLevel="1">
      <c r="B989" s="1387" t="s">
        <v>698</v>
      </c>
      <c r="T989" s="1016">
        <v>8</v>
      </c>
      <c r="U989" s="1016">
        <v>10</v>
      </c>
      <c r="V989" s="1016">
        <v>7</v>
      </c>
      <c r="W989" s="1016">
        <v>13</v>
      </c>
      <c r="X989" s="1016">
        <v>15</v>
      </c>
      <c r="Y989" s="1016">
        <v>13</v>
      </c>
      <c r="Z989" s="1016">
        <v>19</v>
      </c>
      <c r="AA989" s="1016">
        <v>12</v>
      </c>
      <c r="AB989" s="1016">
        <v>11</v>
      </c>
      <c r="AC989" s="1016">
        <v>9</v>
      </c>
      <c r="AD989" s="1016">
        <v>11</v>
      </c>
      <c r="AE989" s="1016">
        <v>14</v>
      </c>
      <c r="AF989" s="1016">
        <v>15</v>
      </c>
      <c r="AG989" s="1016">
        <v>21</v>
      </c>
      <c r="AH989" s="1016">
        <v>8</v>
      </c>
      <c r="AI989" s="1016">
        <v>19</v>
      </c>
      <c r="AJ989" s="1016">
        <v>13</v>
      </c>
      <c r="AK989" s="1016">
        <v>8</v>
      </c>
      <c r="AL989" s="1016">
        <v>6</v>
      </c>
      <c r="AM989" s="1016">
        <v>4</v>
      </c>
      <c r="AN989" s="1016">
        <v>8</v>
      </c>
      <c r="AO989" s="1016">
        <v>4</v>
      </c>
      <c r="AP989" s="1016">
        <v>5</v>
      </c>
      <c r="AQ989" s="1016">
        <v>11</v>
      </c>
      <c r="AS989" s="1016">
        <v>264</v>
      </c>
    </row>
    <row r="990" spans="2:45" outlineLevel="1">
      <c r="B990" s="1387" t="s">
        <v>790</v>
      </c>
      <c r="T990" s="1016">
        <v>9</v>
      </c>
      <c r="U990" s="1016">
        <v>15</v>
      </c>
      <c r="V990" s="1016">
        <v>14</v>
      </c>
      <c r="W990" s="1016">
        <v>14</v>
      </c>
      <c r="X990" s="1016">
        <v>20</v>
      </c>
      <c r="Y990" s="1016">
        <v>15</v>
      </c>
      <c r="Z990" s="1016">
        <v>19</v>
      </c>
      <c r="AA990" s="1016">
        <v>16</v>
      </c>
      <c r="AB990" s="1016">
        <v>16</v>
      </c>
      <c r="AC990" s="1016">
        <v>19</v>
      </c>
      <c r="AD990" s="1016">
        <v>17</v>
      </c>
      <c r="AE990" s="1016">
        <v>30</v>
      </c>
      <c r="AF990" s="1016">
        <v>30</v>
      </c>
      <c r="AG990" s="1016">
        <v>26</v>
      </c>
      <c r="AH990" s="1016">
        <v>29</v>
      </c>
      <c r="AI990" s="1016">
        <v>25</v>
      </c>
      <c r="AJ990" s="1016">
        <v>20</v>
      </c>
      <c r="AK990" s="1016">
        <v>27</v>
      </c>
      <c r="AL990" s="1016">
        <v>33</v>
      </c>
      <c r="AM990" s="1016">
        <v>18</v>
      </c>
      <c r="AN990" s="1016">
        <v>11</v>
      </c>
      <c r="AO990" s="1016">
        <v>38</v>
      </c>
      <c r="AP990" s="1016">
        <v>16</v>
      </c>
      <c r="AQ990" s="1016">
        <v>16</v>
      </c>
      <c r="AR990" s="1016">
        <v>33</v>
      </c>
      <c r="AS990" s="1016">
        <v>526</v>
      </c>
    </row>
    <row r="991" spans="2:45" outlineLevel="1">
      <c r="B991" s="1387" t="s">
        <v>797</v>
      </c>
      <c r="U991" s="1016">
        <v>4</v>
      </c>
      <c r="V991" s="1016">
        <v>7</v>
      </c>
      <c r="W991" s="1016">
        <v>9</v>
      </c>
      <c r="X991" s="1016">
        <v>12</v>
      </c>
      <c r="Y991" s="1016">
        <v>15</v>
      </c>
      <c r="Z991" s="1016">
        <v>21</v>
      </c>
      <c r="AA991" s="1016">
        <v>18</v>
      </c>
      <c r="AB991" s="1016">
        <v>11</v>
      </c>
      <c r="AC991" s="1016">
        <v>14</v>
      </c>
      <c r="AD991" s="1016">
        <v>21</v>
      </c>
      <c r="AE991" s="1016">
        <v>18</v>
      </c>
      <c r="AF991" s="1016">
        <v>31</v>
      </c>
      <c r="AG991" s="1016">
        <v>16</v>
      </c>
      <c r="AH991" s="1016">
        <v>17</v>
      </c>
      <c r="AI991" s="1016">
        <v>24</v>
      </c>
      <c r="AJ991" s="1016">
        <v>12</v>
      </c>
      <c r="AK991" s="1016">
        <v>21</v>
      </c>
      <c r="AL991" s="1016">
        <v>23</v>
      </c>
      <c r="AM991" s="1016">
        <v>3</v>
      </c>
      <c r="AN991" s="1016">
        <v>9</v>
      </c>
      <c r="AO991" s="1016">
        <v>12</v>
      </c>
      <c r="AP991" s="1016">
        <v>7</v>
      </c>
      <c r="AQ991" s="1016">
        <v>11</v>
      </c>
      <c r="AR991" s="1016">
        <v>16</v>
      </c>
      <c r="AS991" s="1016">
        <v>352</v>
      </c>
    </row>
    <row r="992" spans="2:45" outlineLevel="1">
      <c r="B992" s="1387" t="s">
        <v>800</v>
      </c>
      <c r="U992" s="1016">
        <v>5</v>
      </c>
      <c r="V992" s="1016">
        <v>12</v>
      </c>
      <c r="W992" s="1016">
        <v>14</v>
      </c>
      <c r="X992" s="1016">
        <v>15</v>
      </c>
      <c r="Y992" s="1016">
        <v>17</v>
      </c>
      <c r="Z992" s="1016">
        <v>19</v>
      </c>
      <c r="AA992" s="1016">
        <v>9</v>
      </c>
      <c r="AB992" s="1016">
        <v>11</v>
      </c>
      <c r="AC992" s="1016">
        <v>9</v>
      </c>
      <c r="AD992" s="1016">
        <v>12</v>
      </c>
      <c r="AE992" s="1016">
        <v>16</v>
      </c>
      <c r="AF992" s="1016">
        <v>15</v>
      </c>
      <c r="AG992" s="1016">
        <v>22</v>
      </c>
      <c r="AH992" s="1016">
        <v>17</v>
      </c>
      <c r="AI992" s="1016">
        <v>35</v>
      </c>
      <c r="AJ992" s="1016">
        <v>26</v>
      </c>
      <c r="AK992" s="1016">
        <v>44</v>
      </c>
      <c r="AL992" s="1016">
        <v>28</v>
      </c>
      <c r="AM992" s="1016">
        <v>15</v>
      </c>
      <c r="AN992" s="1016">
        <v>27</v>
      </c>
      <c r="AO992" s="1016">
        <v>40</v>
      </c>
      <c r="AP992" s="1016">
        <v>42</v>
      </c>
      <c r="AQ992" s="1016">
        <v>49</v>
      </c>
      <c r="AR992" s="1016">
        <v>63</v>
      </c>
      <c r="AS992" s="1016">
        <v>562</v>
      </c>
    </row>
    <row r="993" spans="2:45" outlineLevel="1">
      <c r="B993" s="1387" t="s">
        <v>904</v>
      </c>
      <c r="X993" s="1016">
        <v>1</v>
      </c>
      <c r="Y993" s="1016">
        <v>5</v>
      </c>
      <c r="Z993" s="1016">
        <v>12</v>
      </c>
      <c r="AA993" s="1016">
        <v>14</v>
      </c>
      <c r="AB993" s="1016">
        <v>11</v>
      </c>
      <c r="AC993" s="1016">
        <v>25</v>
      </c>
      <c r="AD993" s="1016">
        <v>33</v>
      </c>
      <c r="AE993" s="1016">
        <v>27</v>
      </c>
      <c r="AF993" s="1016">
        <v>30</v>
      </c>
      <c r="AG993" s="1016">
        <v>37</v>
      </c>
      <c r="AH993" s="1016">
        <v>31</v>
      </c>
      <c r="AI993" s="1016">
        <v>38</v>
      </c>
      <c r="AJ993" s="1016">
        <v>31</v>
      </c>
      <c r="AK993" s="1016">
        <v>38</v>
      </c>
      <c r="AL993" s="1016">
        <v>44</v>
      </c>
      <c r="AM993" s="1016">
        <v>21</v>
      </c>
      <c r="AN993" s="1016">
        <v>16</v>
      </c>
      <c r="AO993" s="1016">
        <v>30</v>
      </c>
      <c r="AP993" s="1016">
        <v>32</v>
      </c>
      <c r="AQ993" s="1016">
        <v>37</v>
      </c>
      <c r="AR993" s="1016">
        <v>43</v>
      </c>
      <c r="AS993" s="1016">
        <v>556</v>
      </c>
    </row>
    <row r="994" spans="2:45" outlineLevel="1">
      <c r="B994" s="1387" t="s">
        <v>906</v>
      </c>
      <c r="X994" s="1016">
        <v>5</v>
      </c>
      <c r="Y994" s="1016">
        <v>6</v>
      </c>
      <c r="Z994" s="1016">
        <v>13</v>
      </c>
      <c r="AA994" s="1016">
        <v>7</v>
      </c>
      <c r="AB994" s="1016">
        <v>7</v>
      </c>
      <c r="AC994" s="1016">
        <v>19</v>
      </c>
      <c r="AD994" s="1016">
        <v>11</v>
      </c>
      <c r="AE994" s="1016">
        <v>15</v>
      </c>
      <c r="AF994" s="1016">
        <v>14</v>
      </c>
      <c r="AG994" s="1016">
        <v>23</v>
      </c>
      <c r="AH994" s="1016">
        <v>12</v>
      </c>
      <c r="AI994" s="1016">
        <v>23</v>
      </c>
      <c r="AJ994" s="1016">
        <v>16</v>
      </c>
      <c r="AK994" s="1016">
        <v>19</v>
      </c>
      <c r="AL994" s="1016">
        <v>20</v>
      </c>
      <c r="AM994" s="1016">
        <v>10</v>
      </c>
      <c r="AN994" s="1016">
        <v>4</v>
      </c>
      <c r="AO994" s="1016">
        <v>7</v>
      </c>
      <c r="AP994" s="1016">
        <v>5</v>
      </c>
      <c r="AQ994" s="1016">
        <v>3</v>
      </c>
      <c r="AS994" s="1016">
        <v>239</v>
      </c>
    </row>
    <row r="995" spans="2:45" outlineLevel="1">
      <c r="B995" s="1387" t="s">
        <v>901</v>
      </c>
      <c r="Y995" s="1016">
        <v>0</v>
      </c>
      <c r="Z995" s="1016">
        <v>17</v>
      </c>
      <c r="AA995" s="1016">
        <v>20</v>
      </c>
      <c r="AB995" s="1016">
        <v>2</v>
      </c>
      <c r="AC995" s="1016">
        <v>7</v>
      </c>
      <c r="AD995" s="1016">
        <v>8</v>
      </c>
      <c r="AE995" s="1016">
        <v>8</v>
      </c>
      <c r="AF995" s="1016">
        <v>12</v>
      </c>
      <c r="AG995" s="1016">
        <v>11</v>
      </c>
      <c r="AH995" s="1016">
        <v>8</v>
      </c>
      <c r="AI995" s="1016">
        <v>17</v>
      </c>
      <c r="AJ995" s="1016">
        <v>13</v>
      </c>
      <c r="AK995" s="1016">
        <v>18</v>
      </c>
      <c r="AL995" s="1016">
        <v>22</v>
      </c>
      <c r="AM995" s="1016">
        <v>1</v>
      </c>
      <c r="AN995" s="1016">
        <v>14</v>
      </c>
      <c r="AO995" s="1016">
        <v>10</v>
      </c>
      <c r="AP995" s="1016">
        <v>19</v>
      </c>
      <c r="AQ995" s="1016">
        <v>16</v>
      </c>
      <c r="AR995" s="1016">
        <v>20</v>
      </c>
      <c r="AS995" s="1016">
        <v>243</v>
      </c>
    </row>
    <row r="996" spans="2:45" outlineLevel="1">
      <c r="B996" s="1387" t="s">
        <v>950</v>
      </c>
      <c r="Y996" s="1016">
        <v>1</v>
      </c>
      <c r="Z996" s="1016">
        <v>6</v>
      </c>
      <c r="AA996" s="1016">
        <v>7</v>
      </c>
      <c r="AB996" s="1016">
        <v>11</v>
      </c>
      <c r="AC996" s="1016">
        <v>18</v>
      </c>
      <c r="AD996" s="1016">
        <v>22</v>
      </c>
      <c r="AE996" s="1016">
        <v>27</v>
      </c>
      <c r="AF996" s="1016">
        <v>34</v>
      </c>
      <c r="AG996" s="1016">
        <v>18</v>
      </c>
      <c r="AH996" s="1016">
        <v>23</v>
      </c>
      <c r="AI996" s="1016">
        <v>20</v>
      </c>
      <c r="AJ996" s="1016">
        <v>31</v>
      </c>
      <c r="AK996" s="1016">
        <v>25</v>
      </c>
      <c r="AL996" s="1016">
        <v>34</v>
      </c>
      <c r="AM996" s="1016">
        <v>13</v>
      </c>
      <c r="AN996" s="1016">
        <v>14</v>
      </c>
      <c r="AO996" s="1016">
        <v>23</v>
      </c>
      <c r="AP996" s="1016">
        <v>27</v>
      </c>
      <c r="AQ996" s="1016">
        <v>24</v>
      </c>
      <c r="AR996" s="1016">
        <v>23</v>
      </c>
      <c r="AS996" s="1016">
        <v>401</v>
      </c>
    </row>
    <row r="997" spans="2:45" outlineLevel="1">
      <c r="B997" s="1387" t="s">
        <v>1014</v>
      </c>
      <c r="X997" s="1016">
        <v>0</v>
      </c>
      <c r="Y997" s="1016">
        <v>5</v>
      </c>
      <c r="Z997" s="1016">
        <v>10</v>
      </c>
      <c r="AA997" s="1016">
        <v>10</v>
      </c>
      <c r="AB997" s="1016">
        <v>11</v>
      </c>
      <c r="AC997" s="1016">
        <v>16</v>
      </c>
      <c r="AD997" s="1016">
        <v>16</v>
      </c>
      <c r="AE997" s="1016">
        <v>19</v>
      </c>
      <c r="AF997" s="1016">
        <v>17</v>
      </c>
      <c r="AG997" s="1016">
        <v>24</v>
      </c>
      <c r="AH997" s="1016">
        <v>24</v>
      </c>
      <c r="AI997" s="1016">
        <v>26</v>
      </c>
      <c r="AJ997" s="1016">
        <v>22</v>
      </c>
      <c r="AK997" s="1016">
        <v>27</v>
      </c>
      <c r="AL997" s="1016">
        <v>38</v>
      </c>
      <c r="AM997" s="1016">
        <v>14</v>
      </c>
      <c r="AN997" s="1016">
        <v>11</v>
      </c>
      <c r="AO997" s="1016">
        <v>23</v>
      </c>
      <c r="AP997" s="1016">
        <v>26</v>
      </c>
      <c r="AQ997" s="1016">
        <v>24</v>
      </c>
      <c r="AR997" s="1016">
        <v>47</v>
      </c>
      <c r="AS997" s="1016">
        <v>410</v>
      </c>
    </row>
    <row r="998" spans="2:45" outlineLevel="1">
      <c r="B998" s="1387" t="s">
        <v>1162</v>
      </c>
      <c r="AA998" s="1016">
        <v>8</v>
      </c>
      <c r="AB998" s="1016">
        <v>5</v>
      </c>
      <c r="AC998" s="1016">
        <v>5</v>
      </c>
      <c r="AD998" s="1016">
        <v>9</v>
      </c>
      <c r="AE998" s="1016">
        <v>9</v>
      </c>
      <c r="AF998" s="1016">
        <v>15</v>
      </c>
      <c r="AG998" s="1016">
        <v>16</v>
      </c>
      <c r="AH998" s="1016">
        <v>13</v>
      </c>
      <c r="AI998" s="1016">
        <v>10</v>
      </c>
      <c r="AJ998" s="1016">
        <v>7</v>
      </c>
      <c r="AK998" s="1016">
        <v>13</v>
      </c>
      <c r="AL998" s="1016">
        <v>9</v>
      </c>
      <c r="AM998" s="1016">
        <v>3</v>
      </c>
      <c r="AN998" s="1016">
        <v>3</v>
      </c>
      <c r="AO998" s="1016">
        <v>6</v>
      </c>
      <c r="AP998" s="1016">
        <v>13</v>
      </c>
      <c r="AS998" s="1016">
        <v>144</v>
      </c>
    </row>
    <row r="999" spans="2:45" outlineLevel="1">
      <c r="B999" s="1387" t="s">
        <v>1163</v>
      </c>
      <c r="AA999" s="1016">
        <v>5</v>
      </c>
      <c r="AB999" s="1016">
        <v>3</v>
      </c>
      <c r="AC999" s="1016">
        <v>10</v>
      </c>
      <c r="AD999" s="1016">
        <v>12</v>
      </c>
      <c r="AE999" s="1016">
        <v>14</v>
      </c>
      <c r="AF999" s="1016">
        <v>25</v>
      </c>
      <c r="AG999" s="1016">
        <v>28</v>
      </c>
      <c r="AH999" s="1016">
        <v>24</v>
      </c>
      <c r="AI999" s="1016">
        <v>28</v>
      </c>
      <c r="AJ999" s="1016">
        <v>23</v>
      </c>
      <c r="AK999" s="1016">
        <v>30</v>
      </c>
      <c r="AL999" s="1016">
        <v>56</v>
      </c>
      <c r="AM999" s="1016">
        <v>12</v>
      </c>
      <c r="AN999" s="1016">
        <v>20</v>
      </c>
      <c r="AO999" s="1016">
        <v>16</v>
      </c>
      <c r="AP999" s="1016">
        <v>15</v>
      </c>
      <c r="AQ999" s="1016">
        <v>12</v>
      </c>
      <c r="AR999" s="1016">
        <v>14</v>
      </c>
      <c r="AS999" s="1016">
        <v>347</v>
      </c>
    </row>
    <row r="1000" spans="2:45" outlineLevel="1">
      <c r="B1000" s="1387" t="s">
        <v>1286</v>
      </c>
      <c r="AB1000" s="1016">
        <v>13</v>
      </c>
      <c r="AC1000" s="1016">
        <v>15</v>
      </c>
      <c r="AD1000" s="1016">
        <v>17</v>
      </c>
      <c r="AE1000" s="1016">
        <v>27</v>
      </c>
      <c r="AF1000" s="1016">
        <v>24</v>
      </c>
      <c r="AG1000" s="1016">
        <v>23</v>
      </c>
      <c r="AH1000" s="1016">
        <v>26</v>
      </c>
      <c r="AI1000" s="1016">
        <v>31</v>
      </c>
      <c r="AJ1000" s="1016">
        <v>20</v>
      </c>
      <c r="AK1000" s="1016">
        <v>23</v>
      </c>
      <c r="AL1000" s="1016">
        <v>34</v>
      </c>
      <c r="AM1000" s="1016">
        <v>10</v>
      </c>
      <c r="AN1000" s="1016">
        <v>7</v>
      </c>
      <c r="AO1000" s="1016">
        <v>19</v>
      </c>
      <c r="AP1000" s="1016">
        <v>14</v>
      </c>
      <c r="AQ1000" s="1016">
        <v>13</v>
      </c>
      <c r="AR1000" s="1016">
        <v>21</v>
      </c>
      <c r="AS1000" s="1016">
        <v>337</v>
      </c>
    </row>
    <row r="1001" spans="2:45" outlineLevel="1">
      <c r="B1001" s="1387" t="s">
        <v>1161</v>
      </c>
      <c r="AC1001" s="1016">
        <v>0</v>
      </c>
      <c r="AD1001" s="1016">
        <v>3</v>
      </c>
      <c r="AE1001" s="1016">
        <v>8</v>
      </c>
      <c r="AF1001" s="1016">
        <v>8</v>
      </c>
      <c r="AG1001" s="1016">
        <v>11</v>
      </c>
      <c r="AH1001" s="1016">
        <v>6</v>
      </c>
      <c r="AI1001" s="1016">
        <v>17</v>
      </c>
      <c r="AJ1001" s="1016">
        <v>12</v>
      </c>
      <c r="AK1001" s="1016">
        <v>22</v>
      </c>
      <c r="AL1001" s="1016">
        <v>15</v>
      </c>
      <c r="AM1001" s="1016">
        <v>8</v>
      </c>
      <c r="AN1001" s="1016">
        <v>10</v>
      </c>
      <c r="AO1001" s="1016">
        <v>12</v>
      </c>
      <c r="AP1001" s="1016">
        <v>7</v>
      </c>
      <c r="AQ1001" s="1016">
        <v>8</v>
      </c>
      <c r="AR1001" s="1016">
        <v>5</v>
      </c>
      <c r="AS1001" s="1016">
        <v>152</v>
      </c>
    </row>
    <row r="1002" spans="2:45" outlineLevel="1">
      <c r="B1002" s="1387" t="s">
        <v>1287</v>
      </c>
      <c r="AB1002" s="1016">
        <v>14</v>
      </c>
      <c r="AC1002" s="1016">
        <v>15</v>
      </c>
      <c r="AD1002" s="1016">
        <v>19</v>
      </c>
      <c r="AE1002" s="1016">
        <v>26</v>
      </c>
      <c r="AF1002" s="1016">
        <v>27</v>
      </c>
      <c r="AG1002" s="1016">
        <v>26</v>
      </c>
      <c r="AH1002" s="1016">
        <v>29</v>
      </c>
      <c r="AI1002" s="1016">
        <v>39</v>
      </c>
      <c r="AJ1002" s="1016">
        <v>32</v>
      </c>
      <c r="AK1002" s="1016">
        <v>40</v>
      </c>
      <c r="AL1002" s="1016">
        <v>44</v>
      </c>
      <c r="AM1002" s="1016">
        <v>21</v>
      </c>
      <c r="AN1002" s="1016">
        <v>19</v>
      </c>
      <c r="AO1002" s="1016">
        <v>43</v>
      </c>
      <c r="AP1002" s="1016">
        <v>40</v>
      </c>
      <c r="AQ1002" s="1016">
        <v>35</v>
      </c>
      <c r="AR1002" s="1016">
        <v>51</v>
      </c>
      <c r="AS1002" s="1016">
        <v>520</v>
      </c>
    </row>
    <row r="1003" spans="2:45" outlineLevel="1">
      <c r="B1003" s="1387" t="s">
        <v>1348</v>
      </c>
      <c r="AB1003" s="1016">
        <v>3</v>
      </c>
      <c r="AC1003" s="1016">
        <v>4</v>
      </c>
      <c r="AD1003" s="1016">
        <v>5</v>
      </c>
      <c r="AE1003" s="1016">
        <v>15</v>
      </c>
      <c r="AF1003" s="1016">
        <v>10</v>
      </c>
      <c r="AG1003" s="1016">
        <v>14</v>
      </c>
      <c r="AH1003" s="1016">
        <v>17</v>
      </c>
      <c r="AI1003" s="1016">
        <v>36</v>
      </c>
      <c r="AJ1003" s="1016">
        <v>42</v>
      </c>
      <c r="AK1003" s="1016">
        <v>34</v>
      </c>
      <c r="AL1003" s="1016">
        <v>26</v>
      </c>
      <c r="AM1003" s="1016">
        <v>13</v>
      </c>
      <c r="AN1003" s="1016">
        <v>14</v>
      </c>
      <c r="AO1003" s="1016">
        <v>21</v>
      </c>
      <c r="AP1003" s="1016">
        <v>15</v>
      </c>
      <c r="AQ1003" s="1016">
        <v>26</v>
      </c>
      <c r="AR1003" s="1016">
        <v>32</v>
      </c>
      <c r="AS1003" s="1016">
        <v>327</v>
      </c>
    </row>
    <row r="1004" spans="2:45" outlineLevel="1">
      <c r="B1004" s="1387" t="s">
        <v>1420</v>
      </c>
      <c r="AD1004" s="1016">
        <v>13</v>
      </c>
      <c r="AE1004" s="1016">
        <v>22</v>
      </c>
      <c r="AF1004" s="1016">
        <v>26</v>
      </c>
      <c r="AG1004" s="1016">
        <v>30</v>
      </c>
      <c r="AH1004" s="1016">
        <v>21</v>
      </c>
      <c r="AI1004" s="1016">
        <v>40</v>
      </c>
      <c r="AJ1004" s="1016">
        <v>31</v>
      </c>
      <c r="AK1004" s="1016">
        <v>44</v>
      </c>
      <c r="AL1004" s="1016">
        <v>44</v>
      </c>
      <c r="AM1004" s="1016">
        <v>17</v>
      </c>
      <c r="AN1004" s="1016">
        <v>10</v>
      </c>
      <c r="AO1004" s="1016">
        <v>29</v>
      </c>
      <c r="AP1004" s="1016">
        <v>22</v>
      </c>
      <c r="AQ1004" s="1016">
        <v>27</v>
      </c>
      <c r="AR1004" s="1016">
        <v>47</v>
      </c>
      <c r="AS1004" s="1016">
        <v>423</v>
      </c>
    </row>
    <row r="1005" spans="2:45" outlineLevel="1">
      <c r="B1005" s="1387" t="s">
        <v>1566</v>
      </c>
      <c r="AF1005" s="1016">
        <v>2</v>
      </c>
      <c r="AG1005" s="1016">
        <v>11</v>
      </c>
      <c r="AH1005" s="1016">
        <v>10</v>
      </c>
      <c r="AI1005" s="1016">
        <v>8</v>
      </c>
      <c r="AJ1005" s="1016">
        <v>8</v>
      </c>
      <c r="AK1005" s="1016">
        <v>7</v>
      </c>
      <c r="AL1005" s="1016">
        <v>14</v>
      </c>
      <c r="AM1005" s="1016">
        <v>4</v>
      </c>
      <c r="AS1005" s="1016">
        <v>64</v>
      </c>
    </row>
    <row r="1006" spans="2:45" outlineLevel="1">
      <c r="B1006" s="1387" t="s">
        <v>1670</v>
      </c>
      <c r="AF1006" s="1016">
        <v>1</v>
      </c>
      <c r="AG1006" s="1016">
        <v>5</v>
      </c>
      <c r="AH1006" s="1016">
        <v>2</v>
      </c>
      <c r="AI1006" s="1016">
        <v>6</v>
      </c>
      <c r="AJ1006" s="1016">
        <v>6</v>
      </c>
      <c r="AK1006" s="1016">
        <v>8</v>
      </c>
      <c r="AL1006" s="1016">
        <v>9</v>
      </c>
      <c r="AM1006" s="1016">
        <v>1</v>
      </c>
      <c r="AN1006" s="1016">
        <v>6</v>
      </c>
      <c r="AO1006" s="1016">
        <v>16</v>
      </c>
      <c r="AS1006" s="1016">
        <v>60</v>
      </c>
    </row>
    <row r="1007" spans="2:45" outlineLevel="1">
      <c r="B1007" s="1387" t="s">
        <v>1571</v>
      </c>
      <c r="AF1007" s="1016">
        <v>5</v>
      </c>
      <c r="AG1007" s="1016">
        <v>10</v>
      </c>
      <c r="AH1007" s="1016">
        <v>14</v>
      </c>
      <c r="AI1007" s="1016">
        <v>23</v>
      </c>
      <c r="AJ1007" s="1016">
        <v>25</v>
      </c>
      <c r="AK1007" s="1016">
        <v>39</v>
      </c>
      <c r="AL1007" s="1016">
        <v>47</v>
      </c>
      <c r="AM1007" s="1016">
        <v>28</v>
      </c>
      <c r="AN1007" s="1016">
        <v>23</v>
      </c>
      <c r="AO1007" s="1016">
        <v>32</v>
      </c>
      <c r="AP1007" s="1016">
        <v>29</v>
      </c>
      <c r="AQ1007" s="1016">
        <v>20</v>
      </c>
      <c r="AR1007" s="1016">
        <v>33</v>
      </c>
      <c r="AS1007" s="1016">
        <v>328</v>
      </c>
    </row>
    <row r="1008" spans="2:45" outlineLevel="1">
      <c r="B1008" s="1387" t="s">
        <v>1564</v>
      </c>
      <c r="AD1008" s="1016">
        <v>1</v>
      </c>
      <c r="AE1008" s="1016">
        <v>5</v>
      </c>
      <c r="AF1008" s="1016">
        <v>7</v>
      </c>
      <c r="AG1008" s="1016">
        <v>7</v>
      </c>
      <c r="AH1008" s="1016">
        <v>9</v>
      </c>
      <c r="AI1008" s="1016">
        <v>11</v>
      </c>
      <c r="AJ1008" s="1016">
        <v>8</v>
      </c>
      <c r="AK1008" s="1016">
        <v>14</v>
      </c>
      <c r="AL1008" s="1016">
        <v>20</v>
      </c>
      <c r="AM1008" s="1016">
        <v>11</v>
      </c>
      <c r="AN1008" s="1016">
        <v>8</v>
      </c>
      <c r="AO1008" s="1016">
        <v>9</v>
      </c>
      <c r="AP1008" s="1016">
        <v>15</v>
      </c>
      <c r="AQ1008" s="1016">
        <v>6</v>
      </c>
      <c r="AR1008" s="1016">
        <v>25</v>
      </c>
      <c r="AS1008" s="1016">
        <v>156</v>
      </c>
    </row>
    <row r="1009" spans="2:45" outlineLevel="1">
      <c r="B1009" s="1387" t="s">
        <v>1766</v>
      </c>
      <c r="T1009" s="1016">
        <v>1</v>
      </c>
      <c r="U1009" s="1016">
        <v>3</v>
      </c>
      <c r="V1009" s="1016">
        <v>4</v>
      </c>
      <c r="W1009" s="1016">
        <v>10</v>
      </c>
      <c r="X1009" s="1016">
        <v>15</v>
      </c>
      <c r="Y1009" s="1016">
        <v>21</v>
      </c>
      <c r="Z1009" s="1016">
        <v>17</v>
      </c>
      <c r="AA1009" s="1016">
        <v>18</v>
      </c>
      <c r="AB1009" s="1016">
        <v>20</v>
      </c>
      <c r="AC1009" s="1016">
        <v>21</v>
      </c>
      <c r="AD1009" s="1016">
        <v>26</v>
      </c>
      <c r="AE1009" s="1016">
        <v>14</v>
      </c>
      <c r="AF1009" s="1016">
        <v>26</v>
      </c>
      <c r="AG1009" s="1016">
        <v>36</v>
      </c>
      <c r="AH1009" s="1016">
        <v>29</v>
      </c>
      <c r="AI1009" s="1016">
        <v>49</v>
      </c>
      <c r="AJ1009" s="1016">
        <v>41</v>
      </c>
      <c r="AK1009" s="1016">
        <v>32</v>
      </c>
      <c r="AL1009" s="1016">
        <v>48</v>
      </c>
      <c r="AM1009" s="1016">
        <v>14</v>
      </c>
      <c r="AN1009" s="1016">
        <v>10</v>
      </c>
      <c r="AO1009" s="1016">
        <v>34</v>
      </c>
      <c r="AP1009" s="1016">
        <v>25</v>
      </c>
      <c r="AQ1009" s="1016">
        <v>17</v>
      </c>
      <c r="AR1009" s="1016">
        <v>22</v>
      </c>
      <c r="AS1009" s="1016">
        <v>553</v>
      </c>
    </row>
    <row r="1010" spans="2:45" outlineLevel="1">
      <c r="B1010" s="1387" t="s">
        <v>1768</v>
      </c>
      <c r="U1010" s="1016">
        <v>5</v>
      </c>
      <c r="V1010" s="1016">
        <v>6</v>
      </c>
      <c r="W1010" s="1016">
        <v>5</v>
      </c>
      <c r="X1010" s="1016">
        <v>7</v>
      </c>
      <c r="Y1010" s="1016">
        <v>7</v>
      </c>
      <c r="Z1010" s="1016">
        <v>12</v>
      </c>
      <c r="AA1010" s="1016">
        <v>9</v>
      </c>
      <c r="AB1010" s="1016">
        <v>6</v>
      </c>
      <c r="AC1010" s="1016">
        <v>4</v>
      </c>
      <c r="AD1010" s="1016">
        <v>11</v>
      </c>
      <c r="AE1010" s="1016">
        <v>12</v>
      </c>
      <c r="AF1010" s="1016">
        <v>18</v>
      </c>
      <c r="AG1010" s="1016">
        <v>17</v>
      </c>
      <c r="AH1010" s="1016">
        <v>10</v>
      </c>
      <c r="AI1010" s="1016">
        <v>23</v>
      </c>
      <c r="AJ1010" s="1016">
        <v>12</v>
      </c>
      <c r="AK1010" s="1016">
        <v>16</v>
      </c>
      <c r="AL1010" s="1016">
        <v>20</v>
      </c>
      <c r="AM1010" s="1016">
        <v>6</v>
      </c>
      <c r="AN1010" s="1016">
        <v>8</v>
      </c>
      <c r="AO1010" s="1016">
        <v>13</v>
      </c>
      <c r="AP1010" s="1016">
        <v>17</v>
      </c>
      <c r="AQ1010" s="1016">
        <v>25</v>
      </c>
      <c r="AS1010" s="1016">
        <v>269</v>
      </c>
    </row>
    <row r="1011" spans="2:45" outlineLevel="1">
      <c r="B1011" s="1387" t="s">
        <v>1771</v>
      </c>
      <c r="AD1011" s="1016">
        <v>2</v>
      </c>
      <c r="AE1011" s="1016">
        <v>8</v>
      </c>
      <c r="AF1011" s="1016">
        <v>12</v>
      </c>
      <c r="AG1011" s="1016">
        <v>13</v>
      </c>
      <c r="AH1011" s="1016">
        <v>10</v>
      </c>
      <c r="AI1011" s="1016">
        <v>15</v>
      </c>
      <c r="AJ1011" s="1016">
        <v>16</v>
      </c>
      <c r="AK1011" s="1016">
        <v>19</v>
      </c>
      <c r="AL1011" s="1016">
        <v>25</v>
      </c>
      <c r="AM1011" s="1016">
        <v>4</v>
      </c>
      <c r="AN1011" s="1016">
        <v>5</v>
      </c>
      <c r="AO1011" s="1016">
        <v>4</v>
      </c>
      <c r="AP1011" s="1016">
        <v>10</v>
      </c>
      <c r="AQ1011" s="1016">
        <v>16</v>
      </c>
      <c r="AS1011" s="1016">
        <v>159</v>
      </c>
    </row>
    <row r="1012" spans="2:45" outlineLevel="1">
      <c r="B1012" s="1387" t="s">
        <v>1774</v>
      </c>
      <c r="AA1012" s="1016">
        <v>35</v>
      </c>
      <c r="AB1012" s="1016">
        <v>26</v>
      </c>
      <c r="AC1012" s="1016">
        <v>35</v>
      </c>
      <c r="AD1012" s="1016">
        <v>34</v>
      </c>
      <c r="AE1012" s="1016">
        <v>21</v>
      </c>
      <c r="AF1012" s="1016">
        <v>46</v>
      </c>
      <c r="AG1012" s="1016">
        <v>66</v>
      </c>
      <c r="AH1012" s="1016">
        <v>34</v>
      </c>
      <c r="AI1012" s="1016">
        <v>68</v>
      </c>
      <c r="AJ1012" s="1016">
        <v>33</v>
      </c>
      <c r="AK1012" s="1016">
        <v>51</v>
      </c>
      <c r="AL1012" s="1016">
        <v>43</v>
      </c>
      <c r="AM1012" s="1016">
        <v>13</v>
      </c>
      <c r="AN1012" s="1016">
        <v>19</v>
      </c>
      <c r="AO1012" s="1016">
        <v>24</v>
      </c>
      <c r="AP1012" s="1016">
        <v>19</v>
      </c>
      <c r="AQ1012" s="1016">
        <v>22</v>
      </c>
      <c r="AR1012" s="1016">
        <v>48</v>
      </c>
      <c r="AS1012" s="1016">
        <v>637</v>
      </c>
    </row>
    <row r="1013" spans="2:45" outlineLevel="1">
      <c r="B1013" s="1387" t="s">
        <v>1028</v>
      </c>
      <c r="AE1013" s="1016">
        <v>13</v>
      </c>
      <c r="AF1013" s="1016">
        <v>19</v>
      </c>
      <c r="AG1013" s="1016">
        <v>25</v>
      </c>
      <c r="AH1013" s="1016">
        <v>19</v>
      </c>
      <c r="AI1013" s="1016">
        <v>42</v>
      </c>
      <c r="AJ1013" s="1016">
        <v>34</v>
      </c>
      <c r="AK1013" s="1016">
        <v>46</v>
      </c>
      <c r="AL1013" s="1016">
        <v>71</v>
      </c>
      <c r="AM1013" s="1016">
        <v>46</v>
      </c>
      <c r="AN1013" s="1016">
        <v>37</v>
      </c>
      <c r="AO1013" s="1016">
        <v>66</v>
      </c>
      <c r="AP1013" s="1016">
        <v>70</v>
      </c>
      <c r="AQ1013" s="1016">
        <v>66</v>
      </c>
      <c r="AR1013" s="1016">
        <v>67</v>
      </c>
      <c r="AS1013" s="1016">
        <v>621</v>
      </c>
    </row>
    <row r="1014" spans="2:45" outlineLevel="1">
      <c r="B1014" s="1387" t="s">
        <v>1569</v>
      </c>
      <c r="AE1014" s="1016">
        <v>25</v>
      </c>
      <c r="AF1014" s="1016">
        <v>27</v>
      </c>
      <c r="AG1014" s="1016">
        <v>33</v>
      </c>
      <c r="AH1014" s="1016">
        <v>32</v>
      </c>
      <c r="AI1014" s="1016">
        <v>71</v>
      </c>
      <c r="AJ1014" s="1016">
        <v>80</v>
      </c>
      <c r="AK1014" s="1016">
        <v>82</v>
      </c>
      <c r="AL1014" s="1016">
        <v>93</v>
      </c>
      <c r="AM1014" s="1016">
        <v>37</v>
      </c>
      <c r="AN1014" s="1016">
        <v>44</v>
      </c>
      <c r="AO1014" s="1016">
        <v>70</v>
      </c>
      <c r="AP1014" s="1016">
        <v>71</v>
      </c>
      <c r="AQ1014" s="1016">
        <v>65</v>
      </c>
      <c r="AR1014" s="1016">
        <v>109</v>
      </c>
      <c r="AS1014" s="1016">
        <v>839</v>
      </c>
    </row>
    <row r="1015" spans="2:45" outlineLevel="1">
      <c r="B1015" s="1387" t="s">
        <v>1573</v>
      </c>
      <c r="AE1015" s="1016">
        <v>1</v>
      </c>
      <c r="AF1015" s="1016">
        <v>8</v>
      </c>
      <c r="AG1015" s="1016">
        <v>18</v>
      </c>
      <c r="AH1015" s="1016">
        <v>9</v>
      </c>
      <c r="AI1015" s="1016">
        <v>25</v>
      </c>
      <c r="AJ1015" s="1016">
        <v>15</v>
      </c>
      <c r="AK1015" s="1016">
        <v>31</v>
      </c>
      <c r="AL1015" s="1016">
        <v>34</v>
      </c>
      <c r="AM1015" s="1016">
        <v>7</v>
      </c>
      <c r="AN1015" s="1016">
        <v>30</v>
      </c>
      <c r="AO1015" s="1016">
        <v>24</v>
      </c>
      <c r="AP1015" s="1016">
        <v>22</v>
      </c>
      <c r="AQ1015" s="1016">
        <v>28</v>
      </c>
      <c r="AR1015" s="1016">
        <v>32</v>
      </c>
      <c r="AS1015" s="1016">
        <v>284</v>
      </c>
    </row>
    <row r="1016" spans="2:45" outlineLevel="1">
      <c r="B1016" s="1387" t="s">
        <v>1770</v>
      </c>
      <c r="O1016" s="1016">
        <v>0</v>
      </c>
      <c r="P1016" s="1016">
        <v>1</v>
      </c>
      <c r="Q1016" s="1016">
        <v>1</v>
      </c>
      <c r="R1016" s="1016">
        <v>5</v>
      </c>
      <c r="S1016" s="1016">
        <v>2</v>
      </c>
      <c r="T1016" s="1016">
        <v>6</v>
      </c>
      <c r="U1016" s="1016">
        <v>5</v>
      </c>
      <c r="V1016" s="1016">
        <v>9</v>
      </c>
      <c r="W1016" s="1016">
        <v>15</v>
      </c>
      <c r="X1016" s="1016">
        <v>21</v>
      </c>
      <c r="Y1016" s="1016">
        <v>25</v>
      </c>
      <c r="Z1016" s="1016">
        <v>32</v>
      </c>
      <c r="AA1016" s="1016">
        <v>17</v>
      </c>
      <c r="AB1016" s="1016">
        <v>6</v>
      </c>
      <c r="AC1016" s="1016">
        <v>14</v>
      </c>
      <c r="AD1016" s="1016">
        <v>14</v>
      </c>
      <c r="AE1016" s="1016">
        <v>24</v>
      </c>
      <c r="AF1016" s="1016">
        <v>23</v>
      </c>
      <c r="AS1016" s="1016">
        <v>220</v>
      </c>
    </row>
    <row r="1017" spans="2:45" outlineLevel="1">
      <c r="B1017" s="1387" t="s">
        <v>1777</v>
      </c>
      <c r="R1017" s="1016">
        <v>0</v>
      </c>
      <c r="S1017" s="1016">
        <v>5</v>
      </c>
      <c r="T1017" s="1016">
        <v>6</v>
      </c>
      <c r="U1017" s="1016">
        <v>9</v>
      </c>
      <c r="V1017" s="1016">
        <v>10</v>
      </c>
      <c r="W1017" s="1016">
        <v>13</v>
      </c>
      <c r="X1017" s="1016">
        <v>16</v>
      </c>
      <c r="Y1017" s="1016">
        <v>16</v>
      </c>
      <c r="Z1017" s="1016">
        <v>16</v>
      </c>
      <c r="AA1017" s="1016">
        <v>9</v>
      </c>
      <c r="AB1017" s="1016">
        <v>3</v>
      </c>
      <c r="AC1017" s="1016">
        <v>9</v>
      </c>
      <c r="AD1017" s="1016">
        <v>12</v>
      </c>
      <c r="AE1017" s="1016">
        <v>17</v>
      </c>
      <c r="AF1017" s="1016">
        <v>36</v>
      </c>
      <c r="AG1017" s="1016">
        <v>8</v>
      </c>
      <c r="AH1017" s="1016">
        <v>6</v>
      </c>
      <c r="AI1017" s="1016">
        <v>6</v>
      </c>
      <c r="AJ1017" s="1016">
        <v>7</v>
      </c>
      <c r="AK1017" s="1016">
        <v>8</v>
      </c>
      <c r="AL1017" s="1016">
        <v>9</v>
      </c>
      <c r="AM1017" s="1016">
        <v>0</v>
      </c>
      <c r="AN1017" s="1016">
        <v>2</v>
      </c>
      <c r="AO1017" s="1016">
        <v>2</v>
      </c>
      <c r="AP1017" s="1016">
        <v>0</v>
      </c>
      <c r="AS1017" s="1016">
        <v>225</v>
      </c>
    </row>
    <row r="1018" spans="2:45" outlineLevel="1">
      <c r="B1018" s="1387" t="s">
        <v>1773</v>
      </c>
      <c r="V1018" s="1016">
        <v>4</v>
      </c>
      <c r="W1018" s="1016">
        <v>15</v>
      </c>
      <c r="X1018" s="1016">
        <v>24</v>
      </c>
      <c r="Y1018" s="1016">
        <v>50</v>
      </c>
      <c r="Z1018" s="1016">
        <v>62</v>
      </c>
      <c r="AA1018" s="1016">
        <v>20</v>
      </c>
      <c r="AB1018" s="1016">
        <v>10</v>
      </c>
      <c r="AC1018" s="1016">
        <v>9</v>
      </c>
      <c r="AD1018" s="1016">
        <v>14</v>
      </c>
      <c r="AE1018" s="1016">
        <v>20</v>
      </c>
      <c r="AF1018" s="1016">
        <v>18</v>
      </c>
      <c r="AG1018" s="1016">
        <v>22</v>
      </c>
      <c r="AH1018" s="1016">
        <v>16</v>
      </c>
      <c r="AI1018" s="1016">
        <v>29</v>
      </c>
      <c r="AJ1018" s="1016">
        <v>25</v>
      </c>
      <c r="AK1018" s="1016">
        <v>32</v>
      </c>
      <c r="AL1018" s="1016">
        <v>41</v>
      </c>
      <c r="AM1018" s="1016">
        <v>30</v>
      </c>
      <c r="AN1018" s="1016">
        <v>25</v>
      </c>
      <c r="AO1018" s="1016">
        <v>31</v>
      </c>
      <c r="AP1018" s="1016">
        <v>24</v>
      </c>
      <c r="AQ1018" s="1016">
        <v>40</v>
      </c>
      <c r="AR1018" s="1016">
        <v>23</v>
      </c>
      <c r="AS1018" s="1016">
        <v>584</v>
      </c>
    </row>
    <row r="1019" spans="2:45" outlineLevel="1">
      <c r="B1019" s="1387" t="s">
        <v>1950</v>
      </c>
      <c r="R1019" s="1016">
        <v>8</v>
      </c>
      <c r="S1019" s="1016">
        <v>8</v>
      </c>
      <c r="T1019" s="1016">
        <v>4</v>
      </c>
      <c r="U1019" s="1016">
        <v>11</v>
      </c>
      <c r="V1019" s="1016">
        <v>6</v>
      </c>
      <c r="W1019" s="1016">
        <v>14</v>
      </c>
      <c r="X1019" s="1016">
        <v>15</v>
      </c>
      <c r="Y1019" s="1016">
        <v>10</v>
      </c>
      <c r="Z1019" s="1016">
        <v>16</v>
      </c>
      <c r="AA1019" s="1016">
        <v>7</v>
      </c>
      <c r="AB1019" s="1016">
        <v>6</v>
      </c>
      <c r="AC1019" s="1016">
        <v>20</v>
      </c>
      <c r="AD1019" s="1016">
        <v>6</v>
      </c>
      <c r="AE1019" s="1016">
        <v>14</v>
      </c>
      <c r="AF1019" s="1016">
        <v>3</v>
      </c>
      <c r="AG1019" s="1016">
        <v>6</v>
      </c>
      <c r="AH1019" s="1016">
        <v>8</v>
      </c>
      <c r="AI1019" s="1016">
        <v>16</v>
      </c>
      <c r="AJ1019" s="1016">
        <v>7</v>
      </c>
      <c r="AK1019" s="1016">
        <v>9</v>
      </c>
      <c r="AL1019" s="1016">
        <v>11</v>
      </c>
      <c r="AM1019" s="1016">
        <v>3</v>
      </c>
      <c r="AN1019" s="1016">
        <v>7</v>
      </c>
      <c r="AO1019" s="1016">
        <v>8</v>
      </c>
      <c r="AP1019" s="1016">
        <v>6</v>
      </c>
      <c r="AS1019" s="1016">
        <v>229</v>
      </c>
    </row>
    <row r="1020" spans="2:45" outlineLevel="1">
      <c r="B1020" s="1387" t="s">
        <v>2054</v>
      </c>
      <c r="AI1020" s="1016">
        <v>6</v>
      </c>
      <c r="AJ1020" s="1016">
        <v>23</v>
      </c>
      <c r="AK1020" s="1016">
        <v>40</v>
      </c>
      <c r="AL1020" s="1016">
        <v>47</v>
      </c>
      <c r="AM1020" s="1016">
        <v>21</v>
      </c>
      <c r="AN1020" s="1016">
        <v>19</v>
      </c>
      <c r="AO1020" s="1016">
        <v>48</v>
      </c>
      <c r="AP1020" s="1016">
        <v>44</v>
      </c>
      <c r="AQ1020" s="1016">
        <v>53</v>
      </c>
      <c r="AR1020" s="1016">
        <v>64</v>
      </c>
      <c r="AS1020" s="1016">
        <v>365</v>
      </c>
    </row>
    <row r="1021" spans="2:45" outlineLevel="1">
      <c r="B1021" s="1387" t="s">
        <v>2705</v>
      </c>
      <c r="AO1021" s="1016">
        <v>8</v>
      </c>
      <c r="AP1021" s="1016">
        <v>5</v>
      </c>
      <c r="AQ1021" s="1016">
        <v>9</v>
      </c>
      <c r="AR1021" s="1016">
        <v>3</v>
      </c>
      <c r="AS1021" s="1016">
        <v>25</v>
      </c>
    </row>
    <row r="1022" spans="2:45" outlineLevel="1">
      <c r="B1022" s="1387" t="s">
        <v>2706</v>
      </c>
      <c r="AO1022" s="1016">
        <v>8</v>
      </c>
      <c r="AP1022" s="1016">
        <v>11</v>
      </c>
      <c r="AQ1022" s="1016">
        <v>15</v>
      </c>
      <c r="AR1022" s="1016">
        <v>15</v>
      </c>
      <c r="AS1022" s="1016">
        <v>49</v>
      </c>
    </row>
    <row r="1023" spans="2:45" outlineLevel="1">
      <c r="B1023" s="1387" t="s">
        <v>2707</v>
      </c>
      <c r="AO1023" s="1016">
        <v>2</v>
      </c>
      <c r="AP1023" s="1016">
        <v>1</v>
      </c>
      <c r="AQ1023" s="1016">
        <v>1</v>
      </c>
      <c r="AS1023" s="1016">
        <v>4</v>
      </c>
    </row>
    <row r="1024" spans="2:45" outlineLevel="1">
      <c r="B1024" s="1387" t="s">
        <v>2709</v>
      </c>
      <c r="AO1024" s="1016">
        <v>3</v>
      </c>
      <c r="AP1024" s="1016">
        <v>7</v>
      </c>
      <c r="AQ1024" s="1016">
        <v>11</v>
      </c>
      <c r="AR1024" s="1016">
        <v>58</v>
      </c>
      <c r="AS1024" s="1016">
        <v>79</v>
      </c>
    </row>
    <row r="1025" spans="2:45" outlineLevel="1">
      <c r="B1025" s="1387" t="s">
        <v>2711</v>
      </c>
      <c r="AO1025" s="1016">
        <v>4</v>
      </c>
      <c r="AP1025" s="1016">
        <v>17</v>
      </c>
      <c r="AQ1025" s="1016">
        <v>28</v>
      </c>
      <c r="AR1025" s="1016">
        <v>49</v>
      </c>
      <c r="AS1025" s="1016">
        <v>98</v>
      </c>
    </row>
    <row r="1026" spans="2:45" outlineLevel="1">
      <c r="B1026" s="1387" t="s">
        <v>3169</v>
      </c>
      <c r="AQ1026" s="1016">
        <v>0</v>
      </c>
      <c r="AR1026" s="1016">
        <v>11</v>
      </c>
      <c r="AS1026" s="1016">
        <v>11</v>
      </c>
    </row>
    <row r="1027" spans="2:45" outlineLevel="1">
      <c r="B1027" s="1387" t="s">
        <v>1410</v>
      </c>
      <c r="AQ1027" s="1016">
        <v>4</v>
      </c>
      <c r="AR1027" s="1016">
        <v>8</v>
      </c>
      <c r="AS1027" s="1016">
        <v>12</v>
      </c>
    </row>
    <row r="1028" spans="2:45" outlineLevel="1">
      <c r="B1028" s="1387" t="s">
        <v>2897</v>
      </c>
      <c r="AQ1028" s="1016">
        <v>20</v>
      </c>
      <c r="AR1028" s="1016">
        <v>16</v>
      </c>
      <c r="AS1028" s="1016">
        <v>36</v>
      </c>
    </row>
    <row r="1029" spans="2:45" outlineLevel="1">
      <c r="B1029" s="1387" t="s">
        <v>3184</v>
      </c>
      <c r="AQ1029" s="1016">
        <v>25</v>
      </c>
      <c r="AR1029" s="1016">
        <v>24</v>
      </c>
      <c r="AS1029" s="1016">
        <v>49</v>
      </c>
    </row>
    <row r="1030" spans="2:45" outlineLevel="1">
      <c r="B1030" s="1387" t="s">
        <v>3180</v>
      </c>
      <c r="AQ1030" s="1016">
        <v>5</v>
      </c>
      <c r="AR1030" s="1016">
        <v>7</v>
      </c>
      <c r="AS1030" s="1016">
        <v>12</v>
      </c>
    </row>
    <row r="1031" spans="2:45" outlineLevel="1">
      <c r="B1031" s="1387" t="s">
        <v>3189</v>
      </c>
      <c r="AQ1031" s="1016">
        <v>8</v>
      </c>
      <c r="AR1031" s="1016">
        <v>15</v>
      </c>
      <c r="AS1031" s="1016">
        <v>23</v>
      </c>
    </row>
    <row r="1032" spans="2:45" outlineLevel="1">
      <c r="B1032" s="1387" t="s">
        <v>3190</v>
      </c>
      <c r="AQ1032" s="1016">
        <v>40</v>
      </c>
      <c r="AR1032" s="1016">
        <v>79</v>
      </c>
      <c r="AS1032" s="1016">
        <v>119</v>
      </c>
    </row>
    <row r="1033" spans="2:45" outlineLevel="1">
      <c r="B1033" s="1387" t="s">
        <v>3191</v>
      </c>
      <c r="AQ1033" s="1016">
        <v>34</v>
      </c>
      <c r="AR1033" s="1016">
        <v>86</v>
      </c>
      <c r="AS1033" s="1016">
        <v>120</v>
      </c>
    </row>
    <row r="1034" spans="2:45" outlineLevel="1">
      <c r="B1034" s="1387" t="s">
        <v>3528</v>
      </c>
      <c r="AR1034" s="1016">
        <v>1</v>
      </c>
      <c r="AS1034" s="1016">
        <v>1</v>
      </c>
    </row>
    <row r="1035" spans="2:45" outlineLevel="1">
      <c r="B1035" s="1387" t="s">
        <v>3529</v>
      </c>
      <c r="AR1035" s="1016">
        <v>64</v>
      </c>
      <c r="AS1035" s="1016">
        <v>64</v>
      </c>
    </row>
    <row r="1036" spans="2:45" outlineLevel="1">
      <c r="B1036" s="1387" t="s">
        <v>3530</v>
      </c>
      <c r="AR1036" s="1016">
        <v>42</v>
      </c>
      <c r="AS1036" s="1016">
        <v>42</v>
      </c>
    </row>
    <row r="1037" spans="2:45" outlineLevel="1">
      <c r="B1037" s="1387" t="s">
        <v>3575</v>
      </c>
      <c r="AR1037" s="1016">
        <v>0</v>
      </c>
      <c r="AS1037" s="1016">
        <v>0</v>
      </c>
    </row>
    <row r="1038" spans="2:45" outlineLevel="1">
      <c r="B1038" s="1387" t="s">
        <v>3519</v>
      </c>
      <c r="AR1038" s="1016">
        <v>11</v>
      </c>
      <c r="AS1038" s="1016">
        <v>11</v>
      </c>
    </row>
    <row r="1039" spans="2:45" outlineLevel="1">
      <c r="B1039" s="1387" t="s">
        <v>3521</v>
      </c>
      <c r="AR1039" s="1016">
        <v>44</v>
      </c>
      <c r="AS1039" s="1016">
        <v>44</v>
      </c>
    </row>
    <row r="1040" spans="2:45" outlineLevel="1">
      <c r="B1040" s="1387" t="s">
        <v>3523</v>
      </c>
      <c r="AR1040" s="1016">
        <v>6</v>
      </c>
      <c r="AS1040" s="1016">
        <v>6</v>
      </c>
    </row>
    <row r="1041" spans="2:45" outlineLevel="1">
      <c r="B1041" s="1387" t="s">
        <v>3573</v>
      </c>
      <c r="AR1041" s="1016">
        <v>22</v>
      </c>
      <c r="AS1041" s="1016">
        <v>22</v>
      </c>
    </row>
    <row r="1042" spans="2:45" outlineLevel="1">
      <c r="B1042" s="1387" t="s">
        <v>3525</v>
      </c>
      <c r="AR1042" s="1016">
        <v>3</v>
      </c>
      <c r="AS1042" s="1016">
        <v>3</v>
      </c>
    </row>
    <row r="1043" spans="2:45" outlineLevel="1">
      <c r="B1043" s="1387" t="s">
        <v>274</v>
      </c>
      <c r="C1043" s="1016">
        <v>17</v>
      </c>
      <c r="D1043" s="1016">
        <v>7</v>
      </c>
      <c r="E1043" s="1016">
        <v>30</v>
      </c>
      <c r="F1043" s="1016">
        <v>48</v>
      </c>
      <c r="G1043" s="1016">
        <v>72</v>
      </c>
      <c r="H1043" s="1016">
        <v>73</v>
      </c>
      <c r="I1043" s="1016">
        <v>51</v>
      </c>
      <c r="J1043" s="1016">
        <v>63</v>
      </c>
      <c r="K1043" s="1016">
        <v>111</v>
      </c>
      <c r="L1043" s="1016">
        <v>108</v>
      </c>
      <c r="M1043" s="1016">
        <v>97</v>
      </c>
      <c r="N1043" s="1016">
        <v>157</v>
      </c>
      <c r="O1043" s="1016">
        <v>76</v>
      </c>
      <c r="P1043" s="1016">
        <v>112</v>
      </c>
      <c r="Q1043" s="1016">
        <v>105</v>
      </c>
      <c r="R1043" s="1016">
        <v>149</v>
      </c>
      <c r="S1043" s="1016">
        <v>198</v>
      </c>
      <c r="T1043" s="1016">
        <v>345</v>
      </c>
      <c r="U1043" s="1016">
        <v>335</v>
      </c>
      <c r="V1043" s="1016">
        <v>361</v>
      </c>
      <c r="W1043" s="1016">
        <v>461</v>
      </c>
      <c r="X1043" s="1016">
        <v>518</v>
      </c>
      <c r="Y1043" s="1016">
        <v>562</v>
      </c>
      <c r="Z1043" s="1016">
        <v>803</v>
      </c>
      <c r="AA1043" s="1016">
        <v>552</v>
      </c>
      <c r="AB1043" s="1016">
        <v>465</v>
      </c>
      <c r="AC1043" s="1016">
        <v>642</v>
      </c>
      <c r="AD1043" s="1016">
        <v>745</v>
      </c>
      <c r="AE1043" s="1016">
        <v>883</v>
      </c>
      <c r="AF1043" s="1016">
        <v>998</v>
      </c>
      <c r="AG1043" s="1016">
        <v>1019</v>
      </c>
      <c r="AH1043" s="1016">
        <v>835</v>
      </c>
      <c r="AI1043" s="1016">
        <v>1364</v>
      </c>
      <c r="AJ1043" s="1016">
        <v>1131</v>
      </c>
      <c r="AK1043" s="1016">
        <v>1366</v>
      </c>
      <c r="AL1043" s="1016">
        <v>1568</v>
      </c>
      <c r="AM1043" s="1016">
        <v>635</v>
      </c>
      <c r="AN1043" s="1016">
        <v>620</v>
      </c>
      <c r="AO1043" s="1016">
        <v>1116</v>
      </c>
      <c r="AP1043" s="1016">
        <v>979</v>
      </c>
      <c r="AQ1043" s="1016">
        <v>1090</v>
      </c>
      <c r="AR1043" s="1016">
        <v>1647</v>
      </c>
      <c r="AS1043" s="1016">
        <v>22514</v>
      </c>
    </row>
    <row r="1044" spans="2:45" outlineLevel="1">
      <c r="B1044" s="1387"/>
    </row>
    <row r="1045" spans="2:45" outlineLevel="1">
      <c r="B1045" s="1387"/>
    </row>
    <row r="1046" spans="2:45" outlineLevel="1">
      <c r="B1046" s="1387"/>
    </row>
    <row r="1047" spans="2:45" outlineLevel="1">
      <c r="B1047" s="1387"/>
    </row>
    <row r="1048" spans="2:45" outlineLevel="1">
      <c r="B1048" s="1387"/>
    </row>
    <row r="1049" spans="2:45" outlineLevel="1">
      <c r="B1049" s="1387"/>
    </row>
    <row r="1050" spans="2:45" outlineLevel="1">
      <c r="B1050" s="1387"/>
    </row>
    <row r="1051" spans="2:45" outlineLevel="1">
      <c r="B1051" s="1387"/>
    </row>
    <row r="1052" spans="2:45" outlineLevel="1">
      <c r="B1052" s="1387"/>
    </row>
    <row r="1053" spans="2:45" outlineLevel="1">
      <c r="B1053" s="1488" t="s">
        <v>502</v>
      </c>
      <c r="C1053" s="1487" t="s">
        <v>275</v>
      </c>
    </row>
    <row r="1054" spans="2:45" outlineLevel="1">
      <c r="B1054" s="1487" t="s">
        <v>253</v>
      </c>
      <c r="C1054" s="1016">
        <v>201301</v>
      </c>
      <c r="D1054" s="1016">
        <v>201302</v>
      </c>
      <c r="E1054" s="1016">
        <v>201303</v>
      </c>
      <c r="F1054" s="1016">
        <v>201304</v>
      </c>
      <c r="G1054" s="1016">
        <v>201305</v>
      </c>
      <c r="H1054" s="1016">
        <v>201306</v>
      </c>
      <c r="I1054" s="1016">
        <v>201307</v>
      </c>
      <c r="J1054" s="1016">
        <v>201308</v>
      </c>
      <c r="K1054" s="1016">
        <v>201309</v>
      </c>
      <c r="L1054" s="1016">
        <v>201310</v>
      </c>
      <c r="M1054" s="1016">
        <v>201311</v>
      </c>
      <c r="N1054" s="1016">
        <v>201312</v>
      </c>
      <c r="O1054" s="1016">
        <v>201401</v>
      </c>
      <c r="P1054" s="1016">
        <v>201402</v>
      </c>
      <c r="Q1054" s="1016">
        <v>201403</v>
      </c>
      <c r="R1054" s="1016">
        <v>201404</v>
      </c>
      <c r="S1054" s="1016">
        <v>201405</v>
      </c>
      <c r="T1054" s="1016">
        <v>201406</v>
      </c>
      <c r="U1054" s="1016">
        <v>201407</v>
      </c>
      <c r="V1054" s="1016">
        <v>201408</v>
      </c>
      <c r="W1054" s="1016">
        <v>201409</v>
      </c>
      <c r="X1054" s="1016">
        <v>201410</v>
      </c>
      <c r="Y1054" s="1016">
        <v>201411</v>
      </c>
      <c r="Z1054" s="1016">
        <v>201412</v>
      </c>
      <c r="AA1054" s="1016">
        <v>201501</v>
      </c>
      <c r="AB1054" s="1016">
        <v>201502</v>
      </c>
      <c r="AC1054" s="1016">
        <v>201503</v>
      </c>
      <c r="AD1054" s="1016">
        <v>201504</v>
      </c>
      <c r="AE1054" s="1016">
        <v>201505</v>
      </c>
      <c r="AF1054" s="1016">
        <v>201506</v>
      </c>
      <c r="AG1054" s="1016">
        <v>201507</v>
      </c>
      <c r="AH1054" s="1016">
        <v>201508</v>
      </c>
      <c r="AI1054" s="1016">
        <v>201509</v>
      </c>
      <c r="AJ1054" s="1016">
        <v>201510</v>
      </c>
      <c r="AK1054" s="1016">
        <v>201511</v>
      </c>
      <c r="AL1054" s="1016">
        <v>201512</v>
      </c>
      <c r="AM1054" s="1016">
        <v>201601</v>
      </c>
      <c r="AN1054" s="1016">
        <v>201602</v>
      </c>
      <c r="AO1054" s="1016">
        <v>201603</v>
      </c>
      <c r="AP1054" s="1016">
        <v>201604</v>
      </c>
      <c r="AQ1054" s="1016">
        <v>201605</v>
      </c>
      <c r="AR1054" s="1016">
        <v>201606</v>
      </c>
      <c r="AS1054" s="1016" t="s">
        <v>274</v>
      </c>
    </row>
    <row r="1055" spans="2:45" outlineLevel="1">
      <c r="B1055" s="1387"/>
      <c r="L1055" s="1016">
        <v>0</v>
      </c>
      <c r="M1055" s="1016">
        <v>0</v>
      </c>
      <c r="AS1055" s="1016">
        <v>0</v>
      </c>
    </row>
    <row r="1056" spans="2:45" outlineLevel="1">
      <c r="B1056" s="1387" t="s">
        <v>191</v>
      </c>
      <c r="E1056" s="1016">
        <v>20.65</v>
      </c>
      <c r="F1056" s="1016">
        <v>174.75899999999999</v>
      </c>
      <c r="G1056" s="1016">
        <v>158.81100000000001</v>
      </c>
      <c r="H1056" s="1016">
        <v>169.68100000000001</v>
      </c>
      <c r="I1056" s="1016">
        <v>99.084000000000003</v>
      </c>
      <c r="J1056" s="1016">
        <v>162.94</v>
      </c>
      <c r="K1056" s="1016">
        <v>372.32299999999998</v>
      </c>
      <c r="L1056" s="1016">
        <v>125.58499999999999</v>
      </c>
      <c r="M1056" s="1016">
        <v>240.67699999999999</v>
      </c>
      <c r="N1056" s="1016">
        <v>520.57000000000005</v>
      </c>
      <c r="O1056" s="1016">
        <v>170.67</v>
      </c>
      <c r="P1056" s="1016">
        <v>146.26</v>
      </c>
      <c r="Q1056" s="1016">
        <v>296.36</v>
      </c>
      <c r="R1056" s="1016">
        <v>318.95</v>
      </c>
      <c r="S1056" s="1016">
        <v>387.55</v>
      </c>
      <c r="T1056" s="1016">
        <v>714.75400000000002</v>
      </c>
      <c r="U1056" s="1016">
        <v>510.92099999999999</v>
      </c>
      <c r="V1056" s="1016">
        <v>663.45100000000002</v>
      </c>
      <c r="W1056" s="1016">
        <v>799.25900000000001</v>
      </c>
      <c r="X1056" s="1016">
        <v>875.95500000000004</v>
      </c>
      <c r="Y1056" s="1016">
        <v>898.15300000000002</v>
      </c>
      <c r="Z1056" s="1016">
        <v>1836.19</v>
      </c>
      <c r="AA1056" s="1016">
        <v>860.63900000000001</v>
      </c>
      <c r="AB1056" s="1016">
        <v>670.298</v>
      </c>
      <c r="AC1056" s="1016">
        <v>1839.9380000000001</v>
      </c>
      <c r="AD1056" s="1016">
        <v>899.404</v>
      </c>
      <c r="AE1056" s="1016">
        <v>930.51800000000003</v>
      </c>
      <c r="AF1056" s="1016">
        <v>988.48599999999999</v>
      </c>
      <c r="AG1056" s="1016">
        <v>730.60299999999995</v>
      </c>
      <c r="AH1056" s="1016">
        <v>745.45299999999997</v>
      </c>
      <c r="AI1056" s="1016">
        <v>1703.932</v>
      </c>
      <c r="AJ1056" s="1016">
        <v>998.34699999999998</v>
      </c>
      <c r="AK1056" s="1016">
        <v>1816.9770000000001</v>
      </c>
      <c r="AL1056" s="1016">
        <v>2558.8090000000002</v>
      </c>
      <c r="AM1056" s="1016">
        <v>780.08299999999997</v>
      </c>
      <c r="AN1056" s="1016">
        <v>614.04399999999998</v>
      </c>
      <c r="AO1056" s="1016">
        <v>1750.4960000000001</v>
      </c>
      <c r="AP1056" s="1016">
        <v>3321.268</v>
      </c>
      <c r="AQ1056" s="1016">
        <v>1513.48</v>
      </c>
      <c r="AR1056" s="1016">
        <v>3483.86</v>
      </c>
      <c r="AS1056" s="1016">
        <v>35870.188000000002</v>
      </c>
    </row>
    <row r="1057" spans="2:45" outlineLevel="1">
      <c r="B1057" s="1387" t="s">
        <v>189</v>
      </c>
      <c r="E1057" s="1016">
        <v>65.290000000000006</v>
      </c>
      <c r="F1057" s="1016">
        <v>120.736</v>
      </c>
      <c r="G1057" s="1016">
        <v>146.708</v>
      </c>
      <c r="H1057" s="1016">
        <v>195.928</v>
      </c>
      <c r="I1057" s="1016">
        <v>154.047</v>
      </c>
      <c r="J1057" s="1016">
        <v>212.56</v>
      </c>
      <c r="K1057" s="1016">
        <v>427.88299999999998</v>
      </c>
      <c r="L1057" s="1016">
        <v>299.40499999999997</v>
      </c>
      <c r="M1057" s="1016">
        <v>354.90100000000001</v>
      </c>
      <c r="N1057" s="1016">
        <v>775.17</v>
      </c>
      <c r="O1057" s="1016">
        <v>114.95</v>
      </c>
      <c r="P1057" s="1016">
        <v>230.57</v>
      </c>
      <c r="Q1057" s="1016">
        <v>70.180000000000007</v>
      </c>
      <c r="R1057" s="1016">
        <v>435.34</v>
      </c>
      <c r="S1057" s="1016">
        <v>406.33</v>
      </c>
      <c r="T1057" s="1016">
        <v>1291.7850000000001</v>
      </c>
      <c r="U1057" s="1016">
        <v>363.28300000000002</v>
      </c>
      <c r="V1057" s="1016">
        <v>529.99800000000005</v>
      </c>
      <c r="W1057" s="1016">
        <v>1299.615</v>
      </c>
      <c r="X1057" s="1016">
        <v>755.84</v>
      </c>
      <c r="Y1057" s="1016">
        <v>581.34400000000005</v>
      </c>
      <c r="Z1057" s="1016">
        <v>1808.527</v>
      </c>
      <c r="AA1057" s="1016">
        <v>547.23500000000001</v>
      </c>
      <c r="AB1057" s="1016">
        <v>579.298</v>
      </c>
      <c r="AC1057" s="1016">
        <v>565.101</v>
      </c>
      <c r="AD1057" s="1016">
        <v>1308.2149999999999</v>
      </c>
      <c r="AE1057" s="1016">
        <v>900.39300000000003</v>
      </c>
      <c r="AF1057" s="1016">
        <v>366.00900000000001</v>
      </c>
      <c r="AG1057" s="1016">
        <v>439.62400000000002</v>
      </c>
      <c r="AH1057" s="1016">
        <v>525.03700000000003</v>
      </c>
      <c r="AI1057" s="1016">
        <v>1050.5650000000001</v>
      </c>
      <c r="AJ1057" s="1016">
        <v>642.32399999999996</v>
      </c>
      <c r="AK1057" s="1016">
        <v>1059.8610000000001</v>
      </c>
      <c r="AL1057" s="1016">
        <v>1932.3979999999999</v>
      </c>
      <c r="AM1057" s="1016">
        <v>301.86399999999998</v>
      </c>
      <c r="AN1057" s="1016">
        <v>491.13299999999998</v>
      </c>
      <c r="AO1057" s="1016">
        <v>644.58399999999995</v>
      </c>
      <c r="AP1057" s="1016">
        <v>519.05600000000004</v>
      </c>
      <c r="AQ1057" s="1016">
        <v>550.97799999999995</v>
      </c>
      <c r="AS1057" s="1016">
        <v>23064.065000000006</v>
      </c>
    </row>
    <row r="1058" spans="2:45" outlineLevel="1">
      <c r="B1058" s="1387" t="s">
        <v>192</v>
      </c>
      <c r="E1058" s="1016">
        <v>20.385999999999999</v>
      </c>
      <c r="F1058" s="1016">
        <v>43.149000000000001</v>
      </c>
      <c r="G1058" s="1016">
        <v>208.15899999999999</v>
      </c>
      <c r="H1058" s="1016">
        <v>126.90600000000001</v>
      </c>
      <c r="I1058" s="1016">
        <v>107.76</v>
      </c>
      <c r="J1058" s="1016">
        <v>114.21</v>
      </c>
      <c r="K1058" s="1016">
        <v>251.62299999999999</v>
      </c>
      <c r="L1058" s="1016">
        <v>174.56299999999999</v>
      </c>
      <c r="M1058" s="1016">
        <v>218.53399999999999</v>
      </c>
      <c r="N1058" s="1016">
        <v>398.75</v>
      </c>
      <c r="O1058" s="1016">
        <v>36.4</v>
      </c>
      <c r="P1058" s="1016">
        <v>183.1</v>
      </c>
      <c r="Q1058" s="1016">
        <v>163.13999999999999</v>
      </c>
      <c r="R1058" s="1016">
        <v>233.16</v>
      </c>
      <c r="S1058" s="1016">
        <v>36.4</v>
      </c>
      <c r="AS1058" s="1016">
        <v>2316.2399999999998</v>
      </c>
    </row>
    <row r="1059" spans="2:45" outlineLevel="1">
      <c r="B1059" s="1387" t="s">
        <v>194</v>
      </c>
      <c r="E1059" s="1016">
        <v>0</v>
      </c>
      <c r="F1059" s="1016">
        <v>79.802000000000007</v>
      </c>
      <c r="G1059" s="1016">
        <v>68.903999999999996</v>
      </c>
      <c r="H1059" s="1016">
        <v>115.371</v>
      </c>
      <c r="I1059" s="1016">
        <v>34.113</v>
      </c>
      <c r="J1059" s="1016">
        <v>39.65</v>
      </c>
      <c r="K1059" s="1016">
        <v>87.792000000000002</v>
      </c>
      <c r="L1059" s="1016">
        <v>129.858</v>
      </c>
      <c r="M1059" s="1016">
        <v>95.355000000000004</v>
      </c>
      <c r="N1059" s="1016">
        <v>217.96</v>
      </c>
      <c r="O1059" s="1016">
        <v>108.91</v>
      </c>
      <c r="P1059" s="1016">
        <v>153.55000000000001</v>
      </c>
      <c r="Q1059" s="1016">
        <v>120.38</v>
      </c>
      <c r="R1059" s="1016">
        <v>257.12</v>
      </c>
      <c r="S1059" s="1016">
        <v>429.74</v>
      </c>
      <c r="T1059" s="1016">
        <v>382.17099999999999</v>
      </c>
      <c r="U1059" s="1016">
        <v>306.48200000000003</v>
      </c>
      <c r="V1059" s="1016">
        <v>485.27600000000001</v>
      </c>
      <c r="W1059" s="1016">
        <v>289.875</v>
      </c>
      <c r="X1059" s="1016">
        <v>473.63799999999998</v>
      </c>
      <c r="Y1059" s="1016">
        <v>519.125</v>
      </c>
      <c r="Z1059" s="1016">
        <v>944.84199999999998</v>
      </c>
      <c r="AA1059" s="1016">
        <v>129.45500000000001</v>
      </c>
      <c r="AB1059" s="1016">
        <v>195.65</v>
      </c>
      <c r="AC1059" s="1016">
        <v>144.44300000000001</v>
      </c>
      <c r="AD1059" s="1016">
        <v>345.07400000000001</v>
      </c>
      <c r="AE1059" s="1016">
        <v>262.01600000000002</v>
      </c>
      <c r="AF1059" s="1016">
        <v>274.745</v>
      </c>
      <c r="AG1059" s="1016">
        <v>407.8</v>
      </c>
      <c r="AH1059" s="1016">
        <v>278.69499999999999</v>
      </c>
      <c r="AI1059" s="1016">
        <v>368.892</v>
      </c>
      <c r="AJ1059" s="1016">
        <v>521.024</v>
      </c>
      <c r="AK1059" s="1016">
        <v>350.07100000000003</v>
      </c>
      <c r="AL1059" s="1016">
        <v>539.649</v>
      </c>
      <c r="AM1059" s="1016">
        <v>190.72300000000001</v>
      </c>
      <c r="AN1059" s="1016">
        <v>107.49299999999999</v>
      </c>
      <c r="AO1059" s="1016">
        <v>178.70599999999999</v>
      </c>
      <c r="AP1059" s="1016">
        <v>196.9</v>
      </c>
      <c r="AQ1059" s="1016">
        <v>221.18600000000001</v>
      </c>
      <c r="AR1059" s="1016">
        <v>0</v>
      </c>
      <c r="AS1059" s="1016">
        <v>10052.435999999998</v>
      </c>
    </row>
    <row r="1060" spans="2:45" outlineLevel="1">
      <c r="B1060" s="1387" t="s">
        <v>190</v>
      </c>
      <c r="E1060" s="1016">
        <v>28.125</v>
      </c>
      <c r="F1060" s="1016">
        <v>79.853999999999999</v>
      </c>
      <c r="G1060" s="1016">
        <v>174.745</v>
      </c>
      <c r="H1060" s="1016">
        <v>111.837</v>
      </c>
      <c r="I1060" s="1016">
        <v>113.16</v>
      </c>
      <c r="J1060" s="1016">
        <v>65.06</v>
      </c>
      <c r="K1060" s="1016">
        <v>358.63499999999999</v>
      </c>
      <c r="L1060" s="1016">
        <v>173.77500000000001</v>
      </c>
      <c r="M1060" s="1016">
        <v>164.25299999999999</v>
      </c>
      <c r="N1060" s="1016">
        <v>290.14999999999998</v>
      </c>
      <c r="O1060" s="1016">
        <v>53.37</v>
      </c>
      <c r="P1060" s="1016">
        <v>112.59</v>
      </c>
      <c r="Q1060" s="1016">
        <v>44.01</v>
      </c>
      <c r="R1060" s="1016">
        <v>117.23</v>
      </c>
      <c r="S1060" s="1016">
        <v>76.25</v>
      </c>
      <c r="T1060" s="1016">
        <v>323.35599999999999</v>
      </c>
      <c r="U1060" s="1016">
        <v>107.70099999999999</v>
      </c>
      <c r="V1060" s="1016">
        <v>132.84299999999999</v>
      </c>
      <c r="W1060" s="1016">
        <v>309.78399999999999</v>
      </c>
      <c r="X1060" s="1016">
        <v>221.886</v>
      </c>
      <c r="Y1060" s="1016">
        <v>355.36900000000003</v>
      </c>
      <c r="Z1060" s="1016">
        <v>722.13800000000003</v>
      </c>
      <c r="AA1060" s="1016">
        <v>361.21300000000002</v>
      </c>
      <c r="AB1060" s="1016">
        <v>218.44300000000001</v>
      </c>
      <c r="AC1060" s="1016">
        <v>342.065</v>
      </c>
      <c r="AD1060" s="1016">
        <v>134.977</v>
      </c>
      <c r="AE1060" s="1016">
        <v>222.32</v>
      </c>
      <c r="AF1060" s="1016">
        <v>601.822</v>
      </c>
      <c r="AG1060" s="1016">
        <v>604.11400000000003</v>
      </c>
      <c r="AH1060" s="1016">
        <v>459.666</v>
      </c>
      <c r="AI1060" s="1016">
        <v>1082.645</v>
      </c>
      <c r="AJ1060" s="1016">
        <v>552.33699999999999</v>
      </c>
      <c r="AK1060" s="1016">
        <v>1414.5260000000001</v>
      </c>
      <c r="AL1060" s="1016">
        <v>1950.037</v>
      </c>
      <c r="AM1060" s="1016">
        <v>606.21900000000005</v>
      </c>
      <c r="AN1060" s="1016">
        <v>471.505</v>
      </c>
      <c r="AO1060" s="1016">
        <v>1554.8530000000001</v>
      </c>
      <c r="AP1060" s="1016">
        <v>722.67600000000004</v>
      </c>
      <c r="AS1060" s="1016">
        <v>15435.538999999997</v>
      </c>
    </row>
    <row r="1061" spans="2:45" outlineLevel="1">
      <c r="B1061" s="1387" t="s">
        <v>461</v>
      </c>
      <c r="M1061" s="1016">
        <v>74.028999999999996</v>
      </c>
      <c r="N1061" s="1016">
        <v>47.52</v>
      </c>
      <c r="O1061" s="1016">
        <v>40.61</v>
      </c>
      <c r="P1061" s="1016">
        <v>131.25</v>
      </c>
      <c r="AS1061" s="1016">
        <v>293.40899999999999</v>
      </c>
    </row>
    <row r="1062" spans="2:45" outlineLevel="1">
      <c r="B1062" s="1387" t="s">
        <v>92</v>
      </c>
      <c r="C1062" s="1016">
        <v>183.26400000000001</v>
      </c>
      <c r="D1062" s="1016">
        <v>72.257000000000005</v>
      </c>
      <c r="E1062" s="1016">
        <v>102.64400000000001</v>
      </c>
      <c r="F1062" s="1016">
        <v>29.414999999999999</v>
      </c>
      <c r="G1062" s="1016">
        <v>142.691</v>
      </c>
      <c r="H1062" s="1016">
        <v>113.01</v>
      </c>
      <c r="I1062" s="1016">
        <v>124.714</v>
      </c>
      <c r="J1062" s="1016">
        <v>259.45999999999998</v>
      </c>
      <c r="K1062" s="1016">
        <v>397.34899999999999</v>
      </c>
      <c r="L1062" s="1016">
        <v>618.01099999999997</v>
      </c>
      <c r="M1062" s="1016">
        <v>399.99</v>
      </c>
      <c r="N1062" s="1016">
        <v>488.79</v>
      </c>
      <c r="O1062" s="1016">
        <v>423.38</v>
      </c>
      <c r="P1062" s="1016">
        <v>475.69</v>
      </c>
      <c r="Q1062" s="1016">
        <v>614.33000000000004</v>
      </c>
      <c r="R1062" s="1016">
        <v>607.76</v>
      </c>
      <c r="S1062" s="1016">
        <v>592.73</v>
      </c>
      <c r="T1062" s="1016">
        <v>877.61099999999999</v>
      </c>
      <c r="U1062" s="1016">
        <v>472.68200000000002</v>
      </c>
      <c r="V1062" s="1016">
        <v>807.36300000000006</v>
      </c>
      <c r="W1062" s="1016">
        <v>1185.644</v>
      </c>
      <c r="X1062" s="1016">
        <v>816.74199999999996</v>
      </c>
      <c r="Y1062" s="1016">
        <v>871.91099999999994</v>
      </c>
      <c r="Z1062" s="1016">
        <v>2262.828</v>
      </c>
      <c r="AA1062" s="1016">
        <v>497.28899999999999</v>
      </c>
      <c r="AB1062" s="1016">
        <v>366.60500000000002</v>
      </c>
      <c r="AC1062" s="1016">
        <v>435.05200000000002</v>
      </c>
      <c r="AD1062" s="1016">
        <v>488.31099999999998</v>
      </c>
      <c r="AE1062" s="1016">
        <v>618.702</v>
      </c>
      <c r="AF1062" s="1016">
        <v>1170.3920000000001</v>
      </c>
      <c r="AG1062" s="1016">
        <v>1235.3699999999999</v>
      </c>
      <c r="AH1062" s="1016">
        <v>683.32500000000005</v>
      </c>
      <c r="AI1062" s="1016">
        <v>1023.396</v>
      </c>
      <c r="AJ1062" s="1016">
        <v>794.60599999999999</v>
      </c>
      <c r="AK1062" s="1016">
        <v>1912.501</v>
      </c>
      <c r="AL1062" s="1016">
        <v>2062.5039999999999</v>
      </c>
      <c r="AM1062" s="1016">
        <v>314.46100000000001</v>
      </c>
      <c r="AN1062" s="1016">
        <v>657.08199999999999</v>
      </c>
      <c r="AO1062" s="1016">
        <v>1023.149</v>
      </c>
      <c r="AP1062" s="1016">
        <v>940.85599999999999</v>
      </c>
      <c r="AQ1062" s="1016">
        <v>432.298</v>
      </c>
      <c r="AS1062" s="1016">
        <v>27596.164999999997</v>
      </c>
    </row>
    <row r="1063" spans="2:45" outlineLevel="1">
      <c r="B1063" s="1387" t="s">
        <v>17</v>
      </c>
      <c r="C1063" s="1016">
        <v>111.2</v>
      </c>
      <c r="D1063" s="1016">
        <v>36.244999999999997</v>
      </c>
      <c r="E1063" s="1016">
        <v>138.113</v>
      </c>
      <c r="F1063" s="1016">
        <v>197.31899999999999</v>
      </c>
      <c r="G1063" s="1016">
        <v>161.88300000000001</v>
      </c>
      <c r="H1063" s="1016">
        <v>134.98500000000001</v>
      </c>
      <c r="I1063" s="1016">
        <v>187.95099999999999</v>
      </c>
      <c r="J1063" s="1016">
        <v>106.67</v>
      </c>
      <c r="K1063" s="1016">
        <v>278.40899999999999</v>
      </c>
      <c r="L1063" s="1016">
        <v>259.14999999999998</v>
      </c>
      <c r="M1063" s="1016">
        <v>156.047</v>
      </c>
      <c r="N1063" s="1016">
        <v>352.99</v>
      </c>
      <c r="O1063" s="1016">
        <v>134.36000000000001</v>
      </c>
      <c r="P1063" s="1016">
        <v>180.44</v>
      </c>
      <c r="Q1063" s="1016">
        <v>231.15</v>
      </c>
      <c r="R1063" s="1016">
        <v>318.11</v>
      </c>
      <c r="S1063" s="1016">
        <v>373.71</v>
      </c>
      <c r="T1063" s="1016">
        <v>751.74400000000003</v>
      </c>
      <c r="U1063" s="1016">
        <v>330.61</v>
      </c>
      <c r="V1063" s="1016">
        <v>169.17599999999999</v>
      </c>
      <c r="W1063" s="1016">
        <v>386.76400000000001</v>
      </c>
      <c r="X1063" s="1016">
        <v>465.57900000000001</v>
      </c>
      <c r="Y1063" s="1016">
        <v>544.69399999999996</v>
      </c>
      <c r="Z1063" s="1016">
        <v>1721.662</v>
      </c>
      <c r="AA1063" s="1016">
        <v>209.61099999999999</v>
      </c>
      <c r="AB1063" s="1016">
        <v>130.261</v>
      </c>
      <c r="AC1063" s="1016">
        <v>493.017</v>
      </c>
      <c r="AD1063" s="1016">
        <v>646.53200000000004</v>
      </c>
      <c r="AE1063" s="1016">
        <v>545.601</v>
      </c>
      <c r="AF1063" s="1016">
        <v>421.18200000000002</v>
      </c>
      <c r="AG1063" s="1016">
        <v>261.35700000000003</v>
      </c>
      <c r="AH1063" s="1016">
        <v>302.274</v>
      </c>
      <c r="AI1063" s="1016">
        <v>368.88900000000001</v>
      </c>
      <c r="AJ1063" s="1016">
        <v>1528.721</v>
      </c>
      <c r="AK1063" s="1016">
        <v>586.36699999999996</v>
      </c>
      <c r="AL1063" s="1016">
        <v>837.51700000000005</v>
      </c>
      <c r="AM1063" s="1016">
        <v>223.214</v>
      </c>
      <c r="AN1063" s="1016">
        <v>757.07299999999998</v>
      </c>
      <c r="AO1063" s="1016">
        <v>409.86399999999998</v>
      </c>
      <c r="AP1063" s="1016">
        <v>321.48500000000001</v>
      </c>
      <c r="AQ1063" s="1016">
        <v>403.41800000000001</v>
      </c>
      <c r="AR1063" s="1016">
        <v>569.96900000000005</v>
      </c>
      <c r="AS1063" s="1016">
        <v>16745.313000000002</v>
      </c>
    </row>
    <row r="1064" spans="2:45" outlineLevel="1">
      <c r="B1064" s="1387" t="s">
        <v>188</v>
      </c>
      <c r="E1064" s="1016">
        <v>144.464</v>
      </c>
      <c r="F1064" s="1016">
        <v>167.34100000000001</v>
      </c>
      <c r="G1064" s="1016">
        <v>105.124</v>
      </c>
      <c r="H1064" s="1016">
        <v>123.414</v>
      </c>
      <c r="I1064" s="1016">
        <v>64.096000000000004</v>
      </c>
      <c r="J1064" s="1016">
        <v>185.18</v>
      </c>
      <c r="K1064" s="1016">
        <v>515.625</v>
      </c>
      <c r="L1064" s="1016">
        <v>232.22300000000001</v>
      </c>
      <c r="M1064" s="1016">
        <v>419.53100000000001</v>
      </c>
      <c r="N1064" s="1016">
        <v>593.71</v>
      </c>
      <c r="O1064" s="1016">
        <v>60.95</v>
      </c>
      <c r="P1064" s="1016">
        <v>107.03</v>
      </c>
      <c r="Q1064" s="1016">
        <v>90.35</v>
      </c>
      <c r="R1064" s="1016">
        <v>103.38</v>
      </c>
      <c r="S1064" s="1016">
        <v>231.5</v>
      </c>
      <c r="T1064" s="1016">
        <v>656.60500000000002</v>
      </c>
      <c r="U1064" s="1016">
        <v>441.48200000000003</v>
      </c>
      <c r="V1064" s="1016">
        <v>677.21799999999996</v>
      </c>
      <c r="W1064" s="1016">
        <v>773.06700000000001</v>
      </c>
      <c r="X1064" s="1016">
        <v>1248.3440000000001</v>
      </c>
      <c r="Y1064" s="1016">
        <v>1418.585</v>
      </c>
      <c r="Z1064" s="1016">
        <v>3933.0169999999998</v>
      </c>
      <c r="AA1064" s="1016">
        <v>788.25599999999997</v>
      </c>
      <c r="AB1064" s="1016">
        <v>477.363</v>
      </c>
      <c r="AC1064" s="1016">
        <v>1951.306</v>
      </c>
      <c r="AD1064" s="1016">
        <v>3049.8890000000001</v>
      </c>
      <c r="AE1064" s="1016">
        <v>959.39800000000002</v>
      </c>
      <c r="AF1064" s="1016">
        <v>1432.557</v>
      </c>
      <c r="AG1064" s="1016">
        <v>3118.7869999999998</v>
      </c>
      <c r="AH1064" s="1016">
        <v>636.85</v>
      </c>
      <c r="AI1064" s="1016">
        <v>2268.1550000000002</v>
      </c>
      <c r="AJ1064" s="1016">
        <v>1136.299</v>
      </c>
      <c r="AK1064" s="1016">
        <v>2151.5839999999998</v>
      </c>
      <c r="AL1064" s="1016">
        <v>2419.444</v>
      </c>
      <c r="AM1064" s="1016">
        <v>448.67099999999999</v>
      </c>
      <c r="AN1064" s="1016">
        <v>469.13200000000001</v>
      </c>
      <c r="AO1064" s="1016">
        <v>1343.6089999999999</v>
      </c>
      <c r="AP1064" s="1016">
        <v>499.25200000000001</v>
      </c>
      <c r="AS1064" s="1016">
        <v>35442.787999999993</v>
      </c>
    </row>
    <row r="1065" spans="2:45" outlineLevel="1">
      <c r="B1065" s="1387" t="s">
        <v>483</v>
      </c>
      <c r="N1065" s="1016">
        <v>33.549999999999997</v>
      </c>
      <c r="O1065" s="1016">
        <v>51.13</v>
      </c>
      <c r="P1065" s="1016">
        <v>20.350000000000001</v>
      </c>
      <c r="Q1065" s="1016">
        <v>20.18</v>
      </c>
      <c r="R1065" s="1016">
        <v>58.15</v>
      </c>
      <c r="S1065" s="1016">
        <v>84.98</v>
      </c>
      <c r="T1065" s="1016">
        <v>118.977</v>
      </c>
      <c r="U1065" s="1016">
        <v>141.69200000000001</v>
      </c>
      <c r="V1065" s="1016">
        <v>136.98699999999999</v>
      </c>
      <c r="W1065" s="1016">
        <v>158.673</v>
      </c>
      <c r="X1065" s="1016">
        <v>393.226</v>
      </c>
      <c r="Y1065" s="1016">
        <v>309.83300000000003</v>
      </c>
      <c r="Z1065" s="1016">
        <v>1028.4290000000001</v>
      </c>
      <c r="AA1065" s="1016">
        <v>343.90300000000002</v>
      </c>
      <c r="AB1065" s="1016">
        <v>116.833</v>
      </c>
      <c r="AC1065" s="1016">
        <v>372.35700000000003</v>
      </c>
      <c r="AD1065" s="1016">
        <v>397.17599999999999</v>
      </c>
      <c r="AE1065" s="1016">
        <v>264.58499999999998</v>
      </c>
      <c r="AF1065" s="1016">
        <v>334.42399999999998</v>
      </c>
      <c r="AG1065" s="1016">
        <v>318.971</v>
      </c>
      <c r="AH1065" s="1016">
        <v>128.12100000000001</v>
      </c>
      <c r="AI1065" s="1016">
        <v>248.756</v>
      </c>
      <c r="AJ1065" s="1016">
        <v>247.99600000000001</v>
      </c>
      <c r="AK1065" s="1016">
        <v>345.07499999999999</v>
      </c>
      <c r="AL1065" s="1016">
        <v>413.09249999999997</v>
      </c>
      <c r="AM1065" s="1016">
        <v>111.148</v>
      </c>
      <c r="AN1065" s="1016">
        <v>0</v>
      </c>
      <c r="AO1065" s="1016">
        <v>0</v>
      </c>
      <c r="AP1065" s="1016">
        <v>0</v>
      </c>
      <c r="AS1065" s="1016">
        <v>6198.5945000000011</v>
      </c>
    </row>
    <row r="1066" spans="2:45" outlineLevel="1">
      <c r="B1066" s="1387" t="s">
        <v>381</v>
      </c>
      <c r="I1066" s="1016">
        <v>20.774999999999999</v>
      </c>
      <c r="J1066" s="1016">
        <v>0</v>
      </c>
      <c r="K1066" s="1016">
        <v>0</v>
      </c>
      <c r="N1066" s="1016">
        <v>0</v>
      </c>
      <c r="O1066" s="1016">
        <v>0</v>
      </c>
      <c r="P1066" s="1016">
        <v>0</v>
      </c>
      <c r="S1066" s="1016">
        <v>123.14</v>
      </c>
      <c r="T1066" s="1016">
        <v>257.363</v>
      </c>
      <c r="U1066" s="1016">
        <v>235.648</v>
      </c>
      <c r="V1066" s="1016">
        <v>395.40499999999997</v>
      </c>
      <c r="W1066" s="1016">
        <v>504.85</v>
      </c>
      <c r="X1066" s="1016">
        <v>469.35500000000002</v>
      </c>
      <c r="Y1066" s="1016">
        <v>459.68799999999999</v>
      </c>
      <c r="Z1066" s="1016">
        <v>1070.079</v>
      </c>
      <c r="AA1066" s="1016">
        <v>323.41399999999999</v>
      </c>
      <c r="AB1066" s="1016">
        <v>342.59199999999998</v>
      </c>
      <c r="AC1066" s="1016">
        <v>607.92000000000007</v>
      </c>
      <c r="AD1066" s="1016">
        <v>232.17500000000001</v>
      </c>
      <c r="AE1066" s="1016">
        <v>330.33</v>
      </c>
      <c r="AF1066" s="1016">
        <v>67.719000000000008</v>
      </c>
      <c r="AG1066" s="1016">
        <v>21.763000000000002</v>
      </c>
      <c r="AH1066" s="1016">
        <v>0</v>
      </c>
      <c r="AI1066" s="1016">
        <v>0</v>
      </c>
      <c r="AJ1066" s="1016">
        <v>0</v>
      </c>
      <c r="AS1066" s="1016">
        <v>5462.2159999999994</v>
      </c>
    </row>
    <row r="1067" spans="2:45" outlineLevel="1">
      <c r="B1067" s="1387" t="s">
        <v>629</v>
      </c>
      <c r="Q1067" s="1016">
        <v>82.83</v>
      </c>
      <c r="R1067" s="1016">
        <v>144.69</v>
      </c>
      <c r="S1067" s="1016">
        <v>151.12</v>
      </c>
      <c r="T1067" s="1016">
        <v>325.56799999999998</v>
      </c>
      <c r="U1067" s="1016">
        <v>220.41399999999999</v>
      </c>
      <c r="V1067" s="1016">
        <v>113.547</v>
      </c>
      <c r="W1067" s="1016">
        <v>524.47900000000004</v>
      </c>
      <c r="X1067" s="1016">
        <v>368.03399999999999</v>
      </c>
      <c r="Y1067" s="1016">
        <v>376.81099999999998</v>
      </c>
      <c r="Z1067" s="1016">
        <v>728.77599999999995</v>
      </c>
      <c r="AA1067" s="1016">
        <v>195.428</v>
      </c>
      <c r="AB1067" s="1016">
        <v>220.71199999999999</v>
      </c>
      <c r="AC1067" s="1016">
        <v>186.941</v>
      </c>
      <c r="AD1067" s="1016">
        <v>252.03100000000001</v>
      </c>
      <c r="AE1067" s="1016">
        <v>284.13200000000001</v>
      </c>
      <c r="AF1067" s="1016">
        <v>317.20800000000003</v>
      </c>
      <c r="AG1067" s="1016">
        <v>379.16500000000002</v>
      </c>
      <c r="AH1067" s="1016">
        <v>182.63900000000001</v>
      </c>
      <c r="AI1067" s="1016">
        <v>508.01</v>
      </c>
      <c r="AJ1067" s="1016">
        <v>212.68100000000001</v>
      </c>
      <c r="AK1067" s="1016">
        <v>319.947</v>
      </c>
      <c r="AL1067" s="1016">
        <v>576.50699999999995</v>
      </c>
      <c r="AM1067" s="1016">
        <v>101.066</v>
      </c>
      <c r="AN1067" s="1016">
        <v>5.4720000000000004</v>
      </c>
      <c r="AO1067" s="1016">
        <v>254.667</v>
      </c>
      <c r="AP1067" s="1016">
        <v>-17.853999999999999</v>
      </c>
      <c r="AS1067" s="1016">
        <v>7015.0209999999979</v>
      </c>
    </row>
    <row r="1068" spans="2:45" outlineLevel="1">
      <c r="B1068" s="1387" t="s">
        <v>645</v>
      </c>
      <c r="R1068" s="1016">
        <v>79.680000000000007</v>
      </c>
      <c r="S1068" s="1016">
        <v>202.11</v>
      </c>
      <c r="T1068" s="1016">
        <v>132.452</v>
      </c>
      <c r="U1068" s="1016">
        <v>442.41800000000001</v>
      </c>
      <c r="V1068" s="1016">
        <v>157.07300000000001</v>
      </c>
      <c r="W1068" s="1016">
        <v>530.70899999999995</v>
      </c>
      <c r="X1068" s="1016">
        <v>563.30600000000004</v>
      </c>
      <c r="Y1068" s="1016">
        <v>391.30799999999999</v>
      </c>
      <c r="Z1068" s="1016">
        <v>976.36500000000001</v>
      </c>
      <c r="AA1068" s="1016">
        <v>106.539</v>
      </c>
      <c r="AB1068" s="1016">
        <v>89.709000000000003</v>
      </c>
      <c r="AC1068" s="1016">
        <v>292.17700000000002</v>
      </c>
      <c r="AD1068" s="1016">
        <v>297.02600000000001</v>
      </c>
      <c r="AE1068" s="1016">
        <v>426.875</v>
      </c>
      <c r="AF1068" s="1016">
        <v>877.88</v>
      </c>
      <c r="AG1068" s="1016">
        <v>796.29300000000001</v>
      </c>
      <c r="AH1068" s="1016">
        <v>238.501</v>
      </c>
      <c r="AI1068" s="1016">
        <v>770.83699999999999</v>
      </c>
      <c r="AJ1068" s="1016">
        <v>464.59</v>
      </c>
      <c r="AK1068" s="1016">
        <v>1001.765</v>
      </c>
      <c r="AL1068" s="1016">
        <v>986.40300000000002</v>
      </c>
      <c r="AM1068" s="1016">
        <v>195.01599999999999</v>
      </c>
      <c r="AN1068" s="1016">
        <v>48.066000000000003</v>
      </c>
      <c r="AO1068" s="1016">
        <v>668.952</v>
      </c>
      <c r="AP1068" s="1016">
        <v>174.785</v>
      </c>
      <c r="AQ1068" s="1016">
        <v>287.48899999999998</v>
      </c>
      <c r="AR1068" s="1016">
        <v>481.166</v>
      </c>
      <c r="AS1068" s="1016">
        <v>11679.489999999998</v>
      </c>
    </row>
    <row r="1069" spans="2:45" outlineLevel="1">
      <c r="B1069" s="1387" t="s">
        <v>641</v>
      </c>
      <c r="R1069" s="1016">
        <v>0</v>
      </c>
      <c r="S1069" s="1016">
        <v>70.209999999999994</v>
      </c>
      <c r="T1069" s="1016">
        <v>202.91</v>
      </c>
      <c r="U1069" s="1016">
        <v>234.90600000000001</v>
      </c>
      <c r="V1069" s="1016">
        <v>186.07</v>
      </c>
      <c r="W1069" s="1016">
        <v>325.61500000000001</v>
      </c>
      <c r="X1069" s="1016">
        <v>419.846</v>
      </c>
      <c r="Y1069" s="1016">
        <v>287.976</v>
      </c>
      <c r="Z1069" s="1016">
        <v>872.24800000000005</v>
      </c>
      <c r="AA1069" s="1016">
        <v>146.03899999999999</v>
      </c>
      <c r="AB1069" s="1016">
        <v>265.75900000000001</v>
      </c>
      <c r="AC1069" s="1016">
        <v>218.136</v>
      </c>
      <c r="AD1069" s="1016">
        <v>752.79200000000003</v>
      </c>
      <c r="AE1069" s="1016">
        <v>540.10299999999995</v>
      </c>
      <c r="AF1069" s="1016">
        <v>1107.576</v>
      </c>
      <c r="AG1069" s="1016">
        <v>435.64299999999997</v>
      </c>
      <c r="AH1069" s="1016">
        <v>436.42700000000002</v>
      </c>
      <c r="AI1069" s="1016">
        <v>956.65300000000002</v>
      </c>
      <c r="AJ1069" s="1016">
        <v>649.52</v>
      </c>
      <c r="AK1069" s="1016">
        <v>1167.2349999999999</v>
      </c>
      <c r="AL1069" s="1016">
        <v>1393.145</v>
      </c>
      <c r="AM1069" s="1016">
        <v>286.11700000000002</v>
      </c>
      <c r="AN1069" s="1016">
        <v>217.47200000000001</v>
      </c>
      <c r="AO1069" s="1016">
        <v>750.19799999999998</v>
      </c>
      <c r="AP1069" s="1016">
        <v>566.90599999999995</v>
      </c>
      <c r="AQ1069" s="1016">
        <v>492.529</v>
      </c>
      <c r="AR1069" s="1016">
        <v>1113.047</v>
      </c>
      <c r="AS1069" s="1016">
        <v>14095.078000000001</v>
      </c>
    </row>
    <row r="1070" spans="2:45" outlineLevel="1">
      <c r="B1070" s="1387" t="s">
        <v>643</v>
      </c>
      <c r="R1070" s="1016">
        <v>40.31</v>
      </c>
      <c r="S1070" s="1016">
        <v>93.68</v>
      </c>
      <c r="T1070" s="1016">
        <v>209.98</v>
      </c>
      <c r="U1070" s="1016">
        <v>231.04300000000001</v>
      </c>
      <c r="V1070" s="1016">
        <v>210.07900000000001</v>
      </c>
      <c r="W1070" s="1016">
        <v>285.15300000000002</v>
      </c>
      <c r="X1070" s="1016">
        <v>229.626</v>
      </c>
      <c r="Y1070" s="1016">
        <v>149.5</v>
      </c>
      <c r="Z1070" s="1016">
        <v>851.94399999999996</v>
      </c>
      <c r="AA1070" s="1016">
        <v>106.343</v>
      </c>
      <c r="AB1070" s="1016">
        <v>182.59100000000001</v>
      </c>
      <c r="AC1070" s="1016">
        <v>173.887</v>
      </c>
      <c r="AD1070" s="1016">
        <v>144.59700000000001</v>
      </c>
      <c r="AE1070" s="1016">
        <v>214.19499999999999</v>
      </c>
      <c r="AF1070" s="1016">
        <v>20.024000000000001</v>
      </c>
      <c r="AS1070" s="1016">
        <v>3142.9520000000002</v>
      </c>
    </row>
    <row r="1071" spans="2:45" outlineLevel="1">
      <c r="B1071" s="1387" t="s">
        <v>644</v>
      </c>
      <c r="R1071" s="1016">
        <v>0</v>
      </c>
      <c r="S1071" s="1016">
        <v>36.729999999999997</v>
      </c>
      <c r="T1071" s="1016">
        <v>174.08</v>
      </c>
      <c r="U1071" s="1016">
        <v>150.523</v>
      </c>
      <c r="V1071" s="1016">
        <v>224.30099999999999</v>
      </c>
      <c r="W1071" s="1016">
        <v>245.79400000000001</v>
      </c>
      <c r="X1071" s="1016">
        <v>173.399</v>
      </c>
      <c r="Y1071" s="1016">
        <v>286.95499999999998</v>
      </c>
      <c r="Z1071" s="1016">
        <v>555.88300000000004</v>
      </c>
      <c r="AA1071" s="1016">
        <v>157.739</v>
      </c>
      <c r="AB1071" s="1016">
        <v>117.14</v>
      </c>
      <c r="AC1071" s="1016">
        <v>253.523</v>
      </c>
      <c r="AD1071" s="1016">
        <v>607.65899999999999</v>
      </c>
      <c r="AE1071" s="1016">
        <v>291.04000000000002</v>
      </c>
      <c r="AF1071" s="1016">
        <v>380.51400000000001</v>
      </c>
      <c r="AG1071" s="1016">
        <v>265.24900000000002</v>
      </c>
      <c r="AH1071" s="1016">
        <v>285.798</v>
      </c>
      <c r="AI1071" s="1016">
        <v>286.40100000000001</v>
      </c>
      <c r="AJ1071" s="1016">
        <v>257.14999999999998</v>
      </c>
      <c r="AK1071" s="1016">
        <v>437.49700000000001</v>
      </c>
      <c r="AL1071" s="1016">
        <v>551.41600000000005</v>
      </c>
      <c r="AM1071" s="1016">
        <v>110.5737</v>
      </c>
      <c r="AN1071" s="1016">
        <v>162.57</v>
      </c>
      <c r="AO1071" s="1016">
        <v>334.54469999999998</v>
      </c>
      <c r="AP1071" s="1016">
        <v>227.214</v>
      </c>
      <c r="AQ1071" s="1016">
        <v>409.899</v>
      </c>
      <c r="AR1071" s="1016">
        <v>217.5746</v>
      </c>
      <c r="AS1071" s="1016">
        <v>7201.1670000000004</v>
      </c>
    </row>
    <row r="1072" spans="2:45" outlineLevel="1">
      <c r="B1072" s="1387" t="s">
        <v>655</v>
      </c>
      <c r="R1072" s="1016">
        <v>58.89</v>
      </c>
      <c r="S1072" s="1016">
        <v>173.12</v>
      </c>
      <c r="T1072" s="1016">
        <v>311.16000000000003</v>
      </c>
      <c r="U1072" s="1016">
        <v>280.77699999999999</v>
      </c>
      <c r="V1072" s="1016">
        <v>371.15699999999998</v>
      </c>
      <c r="W1072" s="1016">
        <v>629.41700000000003</v>
      </c>
      <c r="X1072" s="1016">
        <v>703.07500000000005</v>
      </c>
      <c r="Y1072" s="1016">
        <v>872.77099999999996</v>
      </c>
      <c r="Z1072" s="1016">
        <v>1398.17</v>
      </c>
      <c r="AA1072" s="1016">
        <v>298.68700000000001</v>
      </c>
      <c r="AB1072" s="1016">
        <v>205.76499999999999</v>
      </c>
      <c r="AC1072" s="1016">
        <v>499.57499999999999</v>
      </c>
      <c r="AD1072" s="1016">
        <v>1352.268</v>
      </c>
      <c r="AE1072" s="1016">
        <v>469.07499999999999</v>
      </c>
      <c r="AF1072" s="1016">
        <v>619.19200000000001</v>
      </c>
      <c r="AG1072" s="1016">
        <v>1444.856</v>
      </c>
      <c r="AH1072" s="1016">
        <v>288.11599999999999</v>
      </c>
      <c r="AI1072" s="1016">
        <v>1012.1559999999999</v>
      </c>
      <c r="AJ1072" s="1016">
        <v>752.85199999999998</v>
      </c>
      <c r="AK1072" s="1016">
        <v>1515.7460000000001</v>
      </c>
      <c r="AL1072" s="1016">
        <v>2923.7759999999998</v>
      </c>
      <c r="AM1072" s="1016">
        <v>634.45100000000002</v>
      </c>
      <c r="AN1072" s="1016">
        <v>450.10399999999998</v>
      </c>
      <c r="AO1072" s="1016">
        <v>1085.3409999999999</v>
      </c>
      <c r="AP1072" s="1016">
        <v>461.89400000000001</v>
      </c>
      <c r="AQ1072" s="1016">
        <v>660.524</v>
      </c>
      <c r="AS1072" s="1016">
        <v>19472.915000000001</v>
      </c>
    </row>
    <row r="1073" spans="2:45" outlineLevel="1">
      <c r="B1073" s="1387" t="s">
        <v>656</v>
      </c>
      <c r="R1073" s="1016">
        <v>9.33</v>
      </c>
      <c r="S1073" s="1016">
        <v>96.46</v>
      </c>
      <c r="T1073" s="1016">
        <v>130.30799999999999</v>
      </c>
      <c r="U1073" s="1016">
        <v>237.261</v>
      </c>
      <c r="V1073" s="1016">
        <v>236.464</v>
      </c>
      <c r="W1073" s="1016">
        <v>158.54</v>
      </c>
      <c r="X1073" s="1016">
        <v>258.596</v>
      </c>
      <c r="Y1073" s="1016">
        <v>125.60899999999999</v>
      </c>
      <c r="Z1073" s="1016">
        <v>93.11</v>
      </c>
      <c r="AA1073" s="1016">
        <v>475.976</v>
      </c>
      <c r="AB1073" s="1016">
        <v>276.78899999999999</v>
      </c>
      <c r="AC1073" s="1016">
        <v>467.41500000000002</v>
      </c>
      <c r="AD1073" s="1016">
        <v>362.233</v>
      </c>
      <c r="AE1073" s="1016">
        <v>390.35</v>
      </c>
      <c r="AF1073" s="1016">
        <v>488.48399999999998</v>
      </c>
      <c r="AG1073" s="1016">
        <v>286.88200000000001</v>
      </c>
      <c r="AH1073" s="1016">
        <v>226.137</v>
      </c>
      <c r="AI1073" s="1016">
        <v>709.31899999999996</v>
      </c>
      <c r="AJ1073" s="1016">
        <v>743.38199999999995</v>
      </c>
      <c r="AK1073" s="1016">
        <v>691.08699999999999</v>
      </c>
      <c r="AL1073" s="1016">
        <v>1165.6469999999999</v>
      </c>
      <c r="AM1073" s="1016">
        <v>472.35199999999998</v>
      </c>
      <c r="AN1073" s="1016">
        <v>114.38</v>
      </c>
      <c r="AO1073" s="1016">
        <v>356.32299999999998</v>
      </c>
      <c r="AP1073" s="1016">
        <v>496.85399999999998</v>
      </c>
      <c r="AS1073" s="1016">
        <v>9069.2879999999968</v>
      </c>
    </row>
    <row r="1074" spans="2:45" outlineLevel="1">
      <c r="B1074" s="1387" t="s">
        <v>697</v>
      </c>
      <c r="S1074" s="1016">
        <v>0</v>
      </c>
      <c r="T1074" s="1016">
        <v>121.294</v>
      </c>
      <c r="U1074" s="1016">
        <v>438.04599999999999</v>
      </c>
      <c r="V1074" s="1016">
        <v>636.41399999999999</v>
      </c>
      <c r="W1074" s="1016">
        <v>659.31299999999999</v>
      </c>
      <c r="X1074" s="1016">
        <v>664.92</v>
      </c>
      <c r="Y1074" s="1016">
        <v>792.28</v>
      </c>
      <c r="Z1074" s="1016">
        <v>2377.9029999999998</v>
      </c>
      <c r="AA1074" s="1016">
        <v>218.108</v>
      </c>
      <c r="AB1074" s="1016">
        <v>308.04500000000002</v>
      </c>
      <c r="AC1074" s="1016">
        <v>561.08600000000001</v>
      </c>
      <c r="AD1074" s="1016">
        <v>509.98700000000002</v>
      </c>
      <c r="AE1074" s="1016">
        <v>425.95</v>
      </c>
      <c r="AF1074" s="1016">
        <v>3550.8890000000001</v>
      </c>
      <c r="AG1074" s="1016">
        <v>754.202</v>
      </c>
      <c r="AH1074" s="1016">
        <v>542.61500000000001</v>
      </c>
      <c r="AI1074" s="1016">
        <v>3138.8620000000001</v>
      </c>
      <c r="AJ1074" s="1016">
        <v>-1548.741</v>
      </c>
      <c r="AK1074" s="1016">
        <v>845.27800000000002</v>
      </c>
      <c r="AL1074" s="1016">
        <v>2031.664</v>
      </c>
      <c r="AM1074" s="1016">
        <v>852.68299999999999</v>
      </c>
      <c r="AN1074" s="1016">
        <v>665.87099999999998</v>
      </c>
      <c r="AO1074" s="1016">
        <v>1209.99</v>
      </c>
      <c r="AP1074" s="1016">
        <v>858.80100000000004</v>
      </c>
      <c r="AQ1074" s="1016">
        <v>222.376</v>
      </c>
      <c r="AR1074" s="1016">
        <v>653.42399999999998</v>
      </c>
      <c r="AS1074" s="1016">
        <v>21491.260000000002</v>
      </c>
    </row>
    <row r="1075" spans="2:45" outlineLevel="1">
      <c r="B1075" s="1387" t="s">
        <v>658</v>
      </c>
      <c r="AK1075" s="1016">
        <v>0</v>
      </c>
      <c r="AL1075" s="1016">
        <v>0</v>
      </c>
      <c r="AM1075" s="1016">
        <v>0</v>
      </c>
      <c r="AN1075" s="1016">
        <v>0</v>
      </c>
      <c r="AO1075" s="1016">
        <v>0</v>
      </c>
      <c r="AP1075" s="1016">
        <v>0</v>
      </c>
      <c r="AS1075" s="1016">
        <v>0</v>
      </c>
    </row>
    <row r="1076" spans="2:45" outlineLevel="1">
      <c r="B1076" s="1387" t="s">
        <v>698</v>
      </c>
      <c r="T1076" s="1016">
        <v>162.12899999999999</v>
      </c>
      <c r="U1076" s="1016">
        <v>281.52999999999997</v>
      </c>
      <c r="V1076" s="1016">
        <v>240.56100000000001</v>
      </c>
      <c r="W1076" s="1016">
        <v>326.19499999999999</v>
      </c>
      <c r="X1076" s="1016">
        <v>238.03399999999999</v>
      </c>
      <c r="Y1076" s="1016">
        <v>297.35500000000002</v>
      </c>
      <c r="Z1076" s="1016">
        <v>776.48599999999999</v>
      </c>
      <c r="AA1076" s="1016">
        <v>76.692999999999998</v>
      </c>
      <c r="AB1076" s="1016">
        <v>149.06200000000001</v>
      </c>
      <c r="AC1076" s="1016">
        <v>163.54300000000001</v>
      </c>
      <c r="AD1076" s="1016">
        <v>428.23200000000003</v>
      </c>
      <c r="AE1076" s="1016">
        <v>187.017</v>
      </c>
      <c r="AF1076" s="1016">
        <v>191.19300000000001</v>
      </c>
      <c r="AG1076" s="1016">
        <v>339.416</v>
      </c>
      <c r="AH1076" s="1016">
        <v>112.89100000000001</v>
      </c>
      <c r="AI1076" s="1016">
        <v>299.73599999999999</v>
      </c>
      <c r="AJ1076" s="1016">
        <v>328.72899999999998</v>
      </c>
      <c r="AK1076" s="1016">
        <v>145.89099999999999</v>
      </c>
      <c r="AL1076" s="1016">
        <v>110.182</v>
      </c>
      <c r="AM1076" s="1016">
        <v>195.80199999999999</v>
      </c>
      <c r="AN1076" s="1016">
        <v>256.315</v>
      </c>
      <c r="AO1076" s="1016">
        <v>90.72</v>
      </c>
      <c r="AP1076" s="1016">
        <v>225.2</v>
      </c>
      <c r="AQ1076" s="1016">
        <v>256.09399999999999</v>
      </c>
      <c r="AS1076" s="1016">
        <v>5879.0059999999994</v>
      </c>
    </row>
    <row r="1077" spans="2:45" outlineLevel="1">
      <c r="B1077" s="1387" t="s">
        <v>790</v>
      </c>
      <c r="T1077" s="1016">
        <v>784.78800000000001</v>
      </c>
      <c r="U1077" s="1016">
        <v>1081.5319999999999</v>
      </c>
      <c r="V1077" s="1016">
        <v>680.03899999999999</v>
      </c>
      <c r="W1077" s="1016">
        <v>1125.701</v>
      </c>
      <c r="X1077" s="1016">
        <v>2180.9859999999999</v>
      </c>
      <c r="Y1077" s="1016">
        <v>1204.655</v>
      </c>
      <c r="Z1077" s="1016">
        <v>3489.2829999999999</v>
      </c>
      <c r="AA1077" s="1016">
        <v>-163.81200000000001</v>
      </c>
      <c r="AB1077" s="1016">
        <v>531.60599999999999</v>
      </c>
      <c r="AC1077" s="1016">
        <v>1124.9749999999999</v>
      </c>
      <c r="AD1077" s="1016">
        <v>1199.7049999999999</v>
      </c>
      <c r="AE1077" s="1016">
        <v>1486.787</v>
      </c>
      <c r="AF1077" s="1016">
        <v>1300.6969999999999</v>
      </c>
      <c r="AG1077" s="1016">
        <v>1497.0530000000001</v>
      </c>
      <c r="AH1077" s="1016">
        <v>1036.25</v>
      </c>
      <c r="AI1077" s="1016">
        <v>2231.7080000000001</v>
      </c>
      <c r="AJ1077" s="1016">
        <v>882.98699999999997</v>
      </c>
      <c r="AK1077" s="1016">
        <v>1525.731</v>
      </c>
      <c r="AL1077" s="1016">
        <v>3143.1590000000001</v>
      </c>
      <c r="AM1077" s="1016">
        <v>1077.2180000000001</v>
      </c>
      <c r="AN1077" s="1016">
        <v>838.41600000000005</v>
      </c>
      <c r="AO1077" s="1016">
        <v>2223.3200000000002</v>
      </c>
      <c r="AP1077" s="1016">
        <v>900.01800000000003</v>
      </c>
      <c r="AQ1077" s="1016">
        <v>930.45899999999995</v>
      </c>
      <c r="AR1077" s="1016">
        <v>1200.298</v>
      </c>
      <c r="AS1077" s="1016">
        <v>33513.559000000001</v>
      </c>
    </row>
    <row r="1078" spans="2:45" outlineLevel="1">
      <c r="B1078" s="1387" t="s">
        <v>797</v>
      </c>
      <c r="U1078" s="1016">
        <v>209.917</v>
      </c>
      <c r="V1078" s="1016">
        <v>93.599000000000004</v>
      </c>
      <c r="W1078" s="1016">
        <v>188.221</v>
      </c>
      <c r="X1078" s="1016">
        <v>250.45</v>
      </c>
      <c r="Y1078" s="1016">
        <v>240.376</v>
      </c>
      <c r="Z1078" s="1016">
        <v>1148.529</v>
      </c>
      <c r="AA1078" s="1016">
        <v>497.173</v>
      </c>
      <c r="AB1078" s="1016">
        <v>275.28199999999998</v>
      </c>
      <c r="AC1078" s="1016">
        <v>664.75</v>
      </c>
      <c r="AD1078" s="1016">
        <v>1015.316</v>
      </c>
      <c r="AE1078" s="1016">
        <v>438.08</v>
      </c>
      <c r="AF1078" s="1016">
        <v>646.98299999999995</v>
      </c>
      <c r="AG1078" s="1016">
        <v>431.28199999999998</v>
      </c>
      <c r="AH1078" s="1016">
        <v>354.68900000000002</v>
      </c>
      <c r="AI1078" s="1016">
        <v>683.06700000000001</v>
      </c>
      <c r="AJ1078" s="1016">
        <v>318.34100000000001</v>
      </c>
      <c r="AK1078" s="1016">
        <v>708.43600000000004</v>
      </c>
      <c r="AL1078" s="1016">
        <v>840.50099999999998</v>
      </c>
      <c r="AM1078" s="1016">
        <v>78.656000000000006</v>
      </c>
      <c r="AN1078" s="1016">
        <v>202.39599999999999</v>
      </c>
      <c r="AO1078" s="1016">
        <v>439.428</v>
      </c>
      <c r="AP1078" s="1016">
        <v>650.13699999999994</v>
      </c>
      <c r="AQ1078" s="1016">
        <v>461.45499999999998</v>
      </c>
      <c r="AR1078" s="1016">
        <v>234.74199999999999</v>
      </c>
      <c r="AS1078" s="1016">
        <v>11071.806000000002</v>
      </c>
    </row>
    <row r="1079" spans="2:45" outlineLevel="1">
      <c r="B1079" s="1387" t="s">
        <v>800</v>
      </c>
      <c r="U1079" s="1016">
        <v>129.27000000000001</v>
      </c>
      <c r="V1079" s="1016">
        <v>133.91499999999999</v>
      </c>
      <c r="W1079" s="1016">
        <v>181.43100000000001</v>
      </c>
      <c r="X1079" s="1016">
        <v>281.31099999999998</v>
      </c>
      <c r="Y1079" s="1016">
        <v>307.39800000000002</v>
      </c>
      <c r="Z1079" s="1016">
        <v>554.30600000000004</v>
      </c>
      <c r="AA1079" s="1016">
        <v>168.00700000000001</v>
      </c>
      <c r="AB1079" s="1016">
        <v>145.041</v>
      </c>
      <c r="AC1079" s="1016">
        <v>135.68299999999999</v>
      </c>
      <c r="AD1079" s="1016">
        <v>177.666</v>
      </c>
      <c r="AE1079" s="1016">
        <v>191.124</v>
      </c>
      <c r="AF1079" s="1016">
        <v>333.30900000000003</v>
      </c>
      <c r="AG1079" s="1016">
        <v>425.42899999999997</v>
      </c>
      <c r="AH1079" s="1016">
        <v>254.125</v>
      </c>
      <c r="AI1079" s="1016">
        <v>653.05100000000004</v>
      </c>
      <c r="AJ1079" s="1016">
        <v>672.65899999999999</v>
      </c>
      <c r="AK1079" s="1016">
        <v>1316.1959999999999</v>
      </c>
      <c r="AL1079" s="1016">
        <v>776.68899999999996</v>
      </c>
      <c r="AM1079" s="1016">
        <v>171.679</v>
      </c>
      <c r="AN1079" s="1016">
        <v>348.78300000000002</v>
      </c>
      <c r="AO1079" s="1016">
        <v>872.58299999999997</v>
      </c>
      <c r="AP1079" s="1016">
        <v>734.60500000000002</v>
      </c>
      <c r="AQ1079" s="1016">
        <v>884.21</v>
      </c>
      <c r="AR1079" s="1016">
        <v>1237.49</v>
      </c>
      <c r="AS1079" s="1016">
        <v>11085.960000000001</v>
      </c>
    </row>
    <row r="1080" spans="2:45" outlineLevel="1">
      <c r="B1080" s="1387" t="s">
        <v>904</v>
      </c>
      <c r="X1080" s="1016">
        <v>15.521000000000001</v>
      </c>
      <c r="Y1080" s="1016">
        <v>165.19900000000001</v>
      </c>
      <c r="Z1080" s="1016">
        <v>514.95699999999999</v>
      </c>
      <c r="AA1080" s="1016">
        <v>321.73500000000001</v>
      </c>
      <c r="AB1080" s="1016">
        <v>214.71799999999999</v>
      </c>
      <c r="AC1080" s="1016">
        <v>768.93499999999995</v>
      </c>
      <c r="AD1080" s="1016">
        <v>1066.53</v>
      </c>
      <c r="AE1080" s="1016">
        <v>598.84799999999996</v>
      </c>
      <c r="AF1080" s="1016">
        <v>733.024</v>
      </c>
      <c r="AG1080" s="1016">
        <v>812.27099999999996</v>
      </c>
      <c r="AH1080" s="1016">
        <v>957.78499999999997</v>
      </c>
      <c r="AI1080" s="1016">
        <v>881.76400000000001</v>
      </c>
      <c r="AJ1080" s="1016">
        <v>828.99300000000005</v>
      </c>
      <c r="AK1080" s="1016">
        <v>1363.963</v>
      </c>
      <c r="AL1080" s="1016">
        <v>1565.26</v>
      </c>
      <c r="AM1080" s="1016">
        <v>506.60300000000001</v>
      </c>
      <c r="AN1080" s="1016">
        <v>431.541</v>
      </c>
      <c r="AO1080" s="1016">
        <v>1281</v>
      </c>
      <c r="AP1080" s="1016">
        <v>1240.527</v>
      </c>
      <c r="AQ1080" s="1016">
        <v>1293.077</v>
      </c>
      <c r="AR1080" s="1016">
        <v>1247.241</v>
      </c>
      <c r="AS1080" s="1016">
        <v>16809.491999999998</v>
      </c>
    </row>
    <row r="1081" spans="2:45" outlineLevel="1">
      <c r="B1081" s="1387" t="s">
        <v>906</v>
      </c>
      <c r="X1081" s="1016">
        <v>109.152</v>
      </c>
      <c r="Y1081" s="1016">
        <v>137.86600000000001</v>
      </c>
      <c r="Z1081" s="1016">
        <v>962.28499999999997</v>
      </c>
      <c r="AA1081" s="1016">
        <v>87.08</v>
      </c>
      <c r="AB1081" s="1016">
        <v>125.509</v>
      </c>
      <c r="AC1081" s="1016">
        <v>1449.76</v>
      </c>
      <c r="AD1081" s="1016">
        <v>287.54700000000003</v>
      </c>
      <c r="AE1081" s="1016">
        <v>209.93700000000001</v>
      </c>
      <c r="AF1081" s="1016">
        <v>192.91900000000001</v>
      </c>
      <c r="AG1081" s="1016">
        <v>2134.125</v>
      </c>
      <c r="AH1081" s="1016">
        <v>200.11699999999999</v>
      </c>
      <c r="AI1081" s="1016">
        <v>1154.279</v>
      </c>
      <c r="AJ1081" s="1016">
        <v>1266.73</v>
      </c>
      <c r="AK1081" s="1016">
        <v>693.70899999999995</v>
      </c>
      <c r="AL1081" s="1016">
        <v>1385.5350000000001</v>
      </c>
      <c r="AM1081" s="1016">
        <v>199.03800000000001</v>
      </c>
      <c r="AN1081" s="1016">
        <v>89.656999999999996</v>
      </c>
      <c r="AO1081" s="1016">
        <v>244.10300000000001</v>
      </c>
      <c r="AP1081" s="1016">
        <v>141.67599999999999</v>
      </c>
      <c r="AQ1081" s="1016">
        <v>104.325</v>
      </c>
      <c r="AS1081" s="1016">
        <v>11175.349</v>
      </c>
    </row>
    <row r="1082" spans="2:45" outlineLevel="1">
      <c r="B1082" s="1387" t="s">
        <v>901</v>
      </c>
      <c r="Y1082" s="1016">
        <v>0</v>
      </c>
      <c r="Z1082" s="1016">
        <v>1097.598</v>
      </c>
      <c r="AA1082" s="1016">
        <v>559.00199999999995</v>
      </c>
      <c r="AB1082" s="1016">
        <v>297.97699999999998</v>
      </c>
      <c r="AC1082" s="1016">
        <v>495.12400000000002</v>
      </c>
      <c r="AD1082" s="1016">
        <v>418.78699999999998</v>
      </c>
      <c r="AE1082" s="1016">
        <v>175.58099999999999</v>
      </c>
      <c r="AF1082" s="1016">
        <v>498.82900000000001</v>
      </c>
      <c r="AG1082" s="1016">
        <v>1084.046</v>
      </c>
      <c r="AH1082" s="1016">
        <v>175.14699999999999</v>
      </c>
      <c r="AI1082" s="1016">
        <v>1056.896</v>
      </c>
      <c r="AJ1082" s="1016">
        <v>1042.079</v>
      </c>
      <c r="AK1082" s="1016">
        <v>865.76400000000001</v>
      </c>
      <c r="AL1082" s="1016">
        <v>2802.6469999999999</v>
      </c>
      <c r="AM1082" s="1016">
        <v>0.19900000000000001</v>
      </c>
      <c r="AN1082" s="1016">
        <v>181.387</v>
      </c>
      <c r="AO1082" s="1016">
        <v>638.51900000000001</v>
      </c>
      <c r="AP1082" s="1016">
        <v>4353.7740000000003</v>
      </c>
      <c r="AQ1082" s="1016">
        <v>1258.635</v>
      </c>
      <c r="AR1082" s="1016">
        <v>1268.518</v>
      </c>
      <c r="AS1082" s="1016">
        <v>18270.508999999998</v>
      </c>
    </row>
    <row r="1083" spans="2:45" outlineLevel="1">
      <c r="B1083" s="1387" t="s">
        <v>950</v>
      </c>
      <c r="Y1083" s="1016">
        <v>15.074</v>
      </c>
      <c r="Z1083" s="1016">
        <v>199.375</v>
      </c>
      <c r="AA1083" s="1016">
        <v>196.90199999999999</v>
      </c>
      <c r="AB1083" s="1016">
        <v>215.79900000000001</v>
      </c>
      <c r="AC1083" s="1016">
        <v>361.20299999999997</v>
      </c>
      <c r="AD1083" s="1016">
        <v>771.91800000000001</v>
      </c>
      <c r="AE1083" s="1016">
        <v>745.17200000000003</v>
      </c>
      <c r="AF1083" s="1016">
        <v>1096.94</v>
      </c>
      <c r="AG1083" s="1016">
        <v>830.58799999999997</v>
      </c>
      <c r="AH1083" s="1016">
        <v>530.39099999999996</v>
      </c>
      <c r="AI1083" s="1016">
        <v>833.38699999999994</v>
      </c>
      <c r="AJ1083" s="1016">
        <v>907.63300000000004</v>
      </c>
      <c r="AK1083" s="1016">
        <v>1028.6289999999999</v>
      </c>
      <c r="AL1083" s="1016">
        <v>1082.798</v>
      </c>
      <c r="AM1083" s="1016">
        <v>459.68900000000002</v>
      </c>
      <c r="AN1083" s="1016">
        <v>620.20699999999999</v>
      </c>
      <c r="AO1083" s="1016">
        <v>1085.1369999999999</v>
      </c>
      <c r="AP1083" s="1016">
        <v>991.68799999999999</v>
      </c>
      <c r="AQ1083" s="1016">
        <v>706.75099999999998</v>
      </c>
      <c r="AR1083" s="1016">
        <v>678.98099999999999</v>
      </c>
      <c r="AS1083" s="1016">
        <v>13358.262000000001</v>
      </c>
    </row>
    <row r="1084" spans="2:45" outlineLevel="1">
      <c r="B1084" s="1387" t="s">
        <v>1014</v>
      </c>
      <c r="X1084" s="1016">
        <v>0</v>
      </c>
      <c r="Y1084" s="1016">
        <v>82.600999999999999</v>
      </c>
      <c r="Z1084" s="1016">
        <v>227.143</v>
      </c>
      <c r="AA1084" s="1016">
        <v>202.37</v>
      </c>
      <c r="AB1084" s="1016">
        <v>174.13499999999999</v>
      </c>
      <c r="AC1084" s="1016">
        <v>328.29700000000003</v>
      </c>
      <c r="AD1084" s="1016">
        <v>250.78200000000001</v>
      </c>
      <c r="AE1084" s="1016">
        <v>296.45800000000003</v>
      </c>
      <c r="AF1084" s="1016">
        <v>327.81799999999998</v>
      </c>
      <c r="AG1084" s="1016">
        <v>485.49299999999999</v>
      </c>
      <c r="AH1084" s="1016">
        <v>407.11500000000001</v>
      </c>
      <c r="AI1084" s="1016">
        <v>354.06</v>
      </c>
      <c r="AJ1084" s="1016">
        <v>301.09199999999998</v>
      </c>
      <c r="AK1084" s="1016">
        <v>666.67100000000005</v>
      </c>
      <c r="AL1084" s="1016">
        <v>2305.9789999999998</v>
      </c>
      <c r="AM1084" s="1016">
        <v>313.20400000000001</v>
      </c>
      <c r="AN1084" s="1016">
        <v>211.126</v>
      </c>
      <c r="AO1084" s="1016">
        <v>982.75099999999998</v>
      </c>
      <c r="AP1084" s="1016">
        <v>1290.8209999999999</v>
      </c>
      <c r="AQ1084" s="1016">
        <v>652.54300000000001</v>
      </c>
      <c r="AR1084" s="1016">
        <v>1387.337</v>
      </c>
      <c r="AS1084" s="1016">
        <v>11247.796</v>
      </c>
    </row>
    <row r="1085" spans="2:45" outlineLevel="1">
      <c r="B1085" s="1387" t="s">
        <v>1162</v>
      </c>
      <c r="AA1085" s="1016">
        <v>147.773</v>
      </c>
      <c r="AB1085" s="1016">
        <v>107.26</v>
      </c>
      <c r="AC1085" s="1016">
        <v>249.74</v>
      </c>
      <c r="AD1085" s="1016">
        <v>121.849</v>
      </c>
      <c r="AE1085" s="1016">
        <v>219</v>
      </c>
      <c r="AF1085" s="1016">
        <v>360.88200000000001</v>
      </c>
      <c r="AG1085" s="1016">
        <v>207.91</v>
      </c>
      <c r="AH1085" s="1016">
        <v>153.96100000000001</v>
      </c>
      <c r="AI1085" s="1016">
        <v>197.83500000000001</v>
      </c>
      <c r="AJ1085" s="1016">
        <v>107.88200000000001</v>
      </c>
      <c r="AK1085" s="1016">
        <v>424.24599999999998</v>
      </c>
      <c r="AL1085" s="1016">
        <v>410.55200000000002</v>
      </c>
      <c r="AM1085" s="1016">
        <v>69.304000000000002</v>
      </c>
      <c r="AN1085" s="1016">
        <v>66.100999999999999</v>
      </c>
      <c r="AO1085" s="1016">
        <v>245.959</v>
      </c>
      <c r="AP1085" s="1016">
        <v>226.53700000000001</v>
      </c>
      <c r="AS1085" s="1016">
        <v>3316.7910000000002</v>
      </c>
    </row>
    <row r="1086" spans="2:45" outlineLevel="1">
      <c r="B1086" s="1387" t="s">
        <v>1163</v>
      </c>
      <c r="AA1086" s="1016">
        <v>57.008000000000003</v>
      </c>
      <c r="AB1086" s="1016">
        <v>120.90300000000001</v>
      </c>
      <c r="AC1086" s="1016">
        <v>260.24099999999999</v>
      </c>
      <c r="AD1086" s="1016">
        <v>532.76400000000001</v>
      </c>
      <c r="AE1086" s="1016">
        <v>267.44200000000001</v>
      </c>
      <c r="AF1086" s="1016">
        <v>833.07399999999996</v>
      </c>
      <c r="AG1086" s="1016">
        <v>650.87400000000002</v>
      </c>
      <c r="AH1086" s="1016">
        <v>382.608</v>
      </c>
      <c r="AI1086" s="1016">
        <v>1190.604</v>
      </c>
      <c r="AJ1086" s="1016">
        <v>364.565</v>
      </c>
      <c r="AK1086" s="1016">
        <v>707.06299999999999</v>
      </c>
      <c r="AL1086" s="1016">
        <v>1414.0530000000001</v>
      </c>
      <c r="AM1086" s="1016">
        <v>126.419</v>
      </c>
      <c r="AN1086" s="1016">
        <v>261.637</v>
      </c>
      <c r="AO1086" s="1016">
        <v>493.98200000000003</v>
      </c>
      <c r="AP1086" s="1016">
        <v>870.803</v>
      </c>
      <c r="AQ1086" s="1016">
        <v>412.01</v>
      </c>
      <c r="AR1086" s="1016">
        <v>328.67899999999997</v>
      </c>
      <c r="AS1086" s="1016">
        <v>9274.7289999999994</v>
      </c>
    </row>
    <row r="1087" spans="2:45" outlineLevel="1">
      <c r="B1087" s="1387" t="s">
        <v>1286</v>
      </c>
      <c r="AB1087" s="1016">
        <v>209.584</v>
      </c>
      <c r="AC1087" s="1016">
        <v>524.50400000000002</v>
      </c>
      <c r="AD1087" s="1016">
        <v>897.33399999999995</v>
      </c>
      <c r="AE1087" s="1016">
        <v>956.79700000000003</v>
      </c>
      <c r="AF1087" s="1016">
        <v>608.83399999999995</v>
      </c>
      <c r="AG1087" s="1016">
        <v>934.13400000000001</v>
      </c>
      <c r="AH1087" s="1016">
        <v>491.80599999999998</v>
      </c>
      <c r="AI1087" s="1016">
        <v>829.19</v>
      </c>
      <c r="AJ1087" s="1016">
        <v>694.91600000000005</v>
      </c>
      <c r="AK1087" s="1016">
        <v>786.01900000000001</v>
      </c>
      <c r="AL1087" s="1016">
        <v>1280.7239999999999</v>
      </c>
      <c r="AM1087" s="1016">
        <v>209.76400000000001</v>
      </c>
      <c r="AN1087" s="1016">
        <v>106.67</v>
      </c>
      <c r="AO1087" s="1016">
        <v>534.82100000000003</v>
      </c>
      <c r="AP1087" s="1016">
        <v>390.904</v>
      </c>
      <c r="AQ1087" s="1016">
        <v>439.05900000000003</v>
      </c>
      <c r="AR1087" s="1016">
        <v>536.28800000000001</v>
      </c>
      <c r="AS1087" s="1016">
        <v>10431.347999999998</v>
      </c>
    </row>
    <row r="1088" spans="2:45" outlineLevel="1">
      <c r="B1088" s="1387" t="s">
        <v>1161</v>
      </c>
      <c r="AC1088" s="1016">
        <v>0</v>
      </c>
      <c r="AD1088" s="1016">
        <v>38.146999999999998</v>
      </c>
      <c r="AE1088" s="1016">
        <v>92.700999999999993</v>
      </c>
      <c r="AF1088" s="1016">
        <v>271.54500000000002</v>
      </c>
      <c r="AG1088" s="1016">
        <v>239.29300000000001</v>
      </c>
      <c r="AH1088" s="1016">
        <v>106.46899999999999</v>
      </c>
      <c r="AI1088" s="1016">
        <v>542.67899999999997</v>
      </c>
      <c r="AJ1088" s="1016">
        <v>318.32</v>
      </c>
      <c r="AK1088" s="1016">
        <v>618.97900000000004</v>
      </c>
      <c r="AL1088" s="1016">
        <v>311.512</v>
      </c>
      <c r="AM1088" s="1016">
        <v>90.468000000000004</v>
      </c>
      <c r="AN1088" s="1016">
        <v>112.203</v>
      </c>
      <c r="AO1088" s="1016">
        <v>222.589</v>
      </c>
      <c r="AP1088" s="1016">
        <v>106.604</v>
      </c>
      <c r="AQ1088" s="1016">
        <v>112.76300000000001</v>
      </c>
      <c r="AR1088" s="1016">
        <v>48.64</v>
      </c>
      <c r="AS1088" s="1016">
        <v>3232.9119999999994</v>
      </c>
    </row>
    <row r="1089" spans="2:45" outlineLevel="1">
      <c r="B1089" s="1387" t="s">
        <v>1287</v>
      </c>
      <c r="AB1089" s="1016">
        <v>226.35400000000001</v>
      </c>
      <c r="AC1089" s="1016">
        <v>151.04</v>
      </c>
      <c r="AD1089" s="1016">
        <v>291.86599999999999</v>
      </c>
      <c r="AE1089" s="1016">
        <v>324.69600000000003</v>
      </c>
      <c r="AF1089" s="1016">
        <v>399.11799999999999</v>
      </c>
      <c r="AG1089" s="1016">
        <v>498.90600000000001</v>
      </c>
      <c r="AH1089" s="1016">
        <v>490.83499999999998</v>
      </c>
      <c r="AI1089" s="1016">
        <v>650.46199999999999</v>
      </c>
      <c r="AJ1089" s="1016">
        <v>513.197</v>
      </c>
      <c r="AK1089" s="1016">
        <v>1158.336</v>
      </c>
      <c r="AL1089" s="1016">
        <v>994.19</v>
      </c>
      <c r="AM1089" s="1016">
        <v>406.12599999999998</v>
      </c>
      <c r="AN1089" s="1016">
        <v>315.01499999999999</v>
      </c>
      <c r="AO1089" s="1016">
        <v>849.50099999999998</v>
      </c>
      <c r="AP1089" s="1016">
        <v>574.95600000000002</v>
      </c>
      <c r="AQ1089" s="1016">
        <v>567.66800000000001</v>
      </c>
      <c r="AR1089" s="1016">
        <v>1055.0640000000001</v>
      </c>
      <c r="AS1089" s="1016">
        <v>9467.3300000000017</v>
      </c>
    </row>
    <row r="1090" spans="2:45" outlineLevel="1">
      <c r="B1090" s="1387" t="s">
        <v>1348</v>
      </c>
      <c r="AB1090" s="1016">
        <v>52.162999999999997</v>
      </c>
      <c r="AC1090" s="1016">
        <v>38.906999999999996</v>
      </c>
      <c r="AD1090" s="1016">
        <v>83.224000000000004</v>
      </c>
      <c r="AE1090" s="1016">
        <v>170.381</v>
      </c>
      <c r="AF1090" s="1016">
        <v>108.51</v>
      </c>
      <c r="AG1090" s="1016">
        <v>190.75899999999999</v>
      </c>
      <c r="AH1090" s="1016">
        <v>218.631</v>
      </c>
      <c r="AI1090" s="1016">
        <v>666.51</v>
      </c>
      <c r="AJ1090" s="1016">
        <v>543.59799999999996</v>
      </c>
      <c r="AK1090" s="1016">
        <v>846.65700000000004</v>
      </c>
      <c r="AL1090" s="1016">
        <v>447.166</v>
      </c>
      <c r="AM1090" s="1016">
        <v>224.428</v>
      </c>
      <c r="AN1090" s="1016">
        <v>192.24299999999999</v>
      </c>
      <c r="AO1090" s="1016">
        <v>533.16300000000001</v>
      </c>
      <c r="AP1090" s="1016">
        <v>248.71600000000001</v>
      </c>
      <c r="AQ1090" s="1016">
        <v>608.27499999999998</v>
      </c>
      <c r="AR1090" s="1016">
        <v>771.81399999999996</v>
      </c>
      <c r="AS1090" s="1016">
        <v>5945.1450000000004</v>
      </c>
    </row>
    <row r="1091" spans="2:45" outlineLevel="1">
      <c r="B1091" s="1387" t="s">
        <v>1420</v>
      </c>
      <c r="AD1091" s="1016">
        <v>193.916</v>
      </c>
      <c r="AE1091" s="1016">
        <v>444.49700000000001</v>
      </c>
      <c r="AF1091" s="1016">
        <v>449.08499999999998</v>
      </c>
      <c r="AG1091" s="1016">
        <v>592.87099999999998</v>
      </c>
      <c r="AH1091" s="1016">
        <v>260.86399999999998</v>
      </c>
      <c r="AI1091" s="1016">
        <v>692.84299999999996</v>
      </c>
      <c r="AJ1091" s="1016">
        <v>455.47500000000002</v>
      </c>
      <c r="AK1091" s="1016">
        <v>1058.9390000000001</v>
      </c>
      <c r="AL1091" s="1016">
        <v>736.15599999999995</v>
      </c>
      <c r="AM1091" s="1016">
        <v>215.767</v>
      </c>
      <c r="AN1091" s="1016">
        <v>76.832999999999998</v>
      </c>
      <c r="AO1091" s="1016">
        <v>638.92399999999998</v>
      </c>
      <c r="AP1091" s="1016">
        <v>346.42599999999999</v>
      </c>
      <c r="AQ1091" s="1016">
        <v>448.32900000000001</v>
      </c>
      <c r="AR1091" s="1016">
        <v>1216.098</v>
      </c>
      <c r="AS1091" s="1016">
        <v>7827.0229999999992</v>
      </c>
    </row>
    <row r="1092" spans="2:45" outlineLevel="1">
      <c r="B1092" s="1387" t="s">
        <v>1566</v>
      </c>
      <c r="AF1092" s="1016">
        <v>25.161000000000001</v>
      </c>
      <c r="AG1092" s="1016">
        <v>181.47399999999999</v>
      </c>
      <c r="AH1092" s="1016">
        <v>140.74600000000001</v>
      </c>
      <c r="AI1092" s="1016">
        <v>158.12299999999999</v>
      </c>
      <c r="AJ1092" s="1016">
        <v>261.91800000000001</v>
      </c>
      <c r="AK1092" s="1016">
        <v>210.16800000000001</v>
      </c>
      <c r="AL1092" s="1016">
        <v>478.43900000000002</v>
      </c>
      <c r="AM1092" s="1016">
        <v>90.447000000000003</v>
      </c>
      <c r="AS1092" s="1016">
        <v>1546.4760000000001</v>
      </c>
    </row>
    <row r="1093" spans="2:45" outlineLevel="1">
      <c r="B1093" s="1387" t="s">
        <v>1670</v>
      </c>
      <c r="AF1093" s="1016">
        <v>15.132999999999999</v>
      </c>
      <c r="AG1093" s="1016">
        <v>107.97199999999999</v>
      </c>
      <c r="AH1093" s="1016">
        <v>35.319000000000003</v>
      </c>
      <c r="AI1093" s="1016">
        <v>211.75700000000001</v>
      </c>
      <c r="AJ1093" s="1016">
        <v>95.070999999999998</v>
      </c>
      <c r="AK1093" s="1016">
        <v>281.28399999999999</v>
      </c>
      <c r="AL1093" s="1016">
        <v>565.02</v>
      </c>
      <c r="AM1093" s="1016">
        <v>76.085999999999999</v>
      </c>
      <c r="AN1093" s="1016">
        <v>125.354</v>
      </c>
      <c r="AO1093" s="1016">
        <v>331.5</v>
      </c>
      <c r="AS1093" s="1016">
        <v>1844.4960000000001</v>
      </c>
    </row>
    <row r="1094" spans="2:45" outlineLevel="1">
      <c r="B1094" s="1387" t="s">
        <v>1571</v>
      </c>
      <c r="AF1094" s="1016">
        <v>73.867999999999995</v>
      </c>
      <c r="AG1094" s="1016">
        <v>203.78200000000001</v>
      </c>
      <c r="AH1094" s="1016">
        <v>159.32</v>
      </c>
      <c r="AI1094" s="1016">
        <v>508.94499999999999</v>
      </c>
      <c r="AJ1094" s="1016">
        <v>365.51600000000002</v>
      </c>
      <c r="AK1094" s="1016">
        <v>733.13099999999997</v>
      </c>
      <c r="AL1094" s="1016">
        <v>762.67700000000002</v>
      </c>
      <c r="AM1094" s="1016">
        <v>388.76900000000001</v>
      </c>
      <c r="AN1094" s="1016">
        <v>259.41800000000001</v>
      </c>
      <c r="AO1094" s="1016">
        <v>769.93399999999997</v>
      </c>
      <c r="AP1094" s="1016">
        <v>362.26100000000002</v>
      </c>
      <c r="AQ1094" s="1016">
        <v>429.6</v>
      </c>
      <c r="AR1094" s="1016">
        <v>747.78</v>
      </c>
      <c r="AS1094" s="1016">
        <v>5765.0010000000002</v>
      </c>
    </row>
    <row r="1095" spans="2:45" outlineLevel="1">
      <c r="B1095" s="1387" t="s">
        <v>1564</v>
      </c>
      <c r="AD1095" s="1016">
        <v>17.309000000000001</v>
      </c>
      <c r="AE1095" s="1016">
        <v>214.822</v>
      </c>
      <c r="AF1095" s="1016">
        <v>138.053</v>
      </c>
      <c r="AG1095" s="1016">
        <v>157.952</v>
      </c>
      <c r="AH1095" s="1016">
        <v>159.41999999999999</v>
      </c>
      <c r="AI1095" s="1016">
        <v>285.39299999999997</v>
      </c>
      <c r="AJ1095" s="1016">
        <v>279.53100000000001</v>
      </c>
      <c r="AK1095" s="1016">
        <v>495.92700000000002</v>
      </c>
      <c r="AL1095" s="1016">
        <v>1021.489</v>
      </c>
      <c r="AM1095" s="1016">
        <v>156.77099999999999</v>
      </c>
      <c r="AN1095" s="1016">
        <v>287.29899999999998</v>
      </c>
      <c r="AO1095" s="1016">
        <v>381.54199999999997</v>
      </c>
      <c r="AP1095" s="1016">
        <v>637.029</v>
      </c>
      <c r="AQ1095" s="1016">
        <v>178.047</v>
      </c>
      <c r="AR1095" s="1016">
        <v>546.24099999999999</v>
      </c>
      <c r="AS1095" s="1016">
        <v>4956.8249999999998</v>
      </c>
    </row>
    <row r="1096" spans="2:45" outlineLevel="1">
      <c r="B1096" s="1387" t="s">
        <v>1766</v>
      </c>
      <c r="T1096" s="1016">
        <v>48.789000000000001</v>
      </c>
      <c r="U1096" s="1016">
        <v>286.315</v>
      </c>
      <c r="V1096" s="1016">
        <v>158.327</v>
      </c>
      <c r="W1096" s="1016">
        <v>405.70800000000003</v>
      </c>
      <c r="X1096" s="1016">
        <v>353.06099999999998</v>
      </c>
      <c r="Y1096" s="1016">
        <v>480.84399999999999</v>
      </c>
      <c r="Z1096" s="1016">
        <v>1082.5820000000001</v>
      </c>
      <c r="AA1096" s="1016">
        <v>474.16</v>
      </c>
      <c r="AB1096" s="1016">
        <v>416.37599999999998</v>
      </c>
      <c r="AC1096" s="1016">
        <v>555.35799999999995</v>
      </c>
      <c r="AD1096" s="1016">
        <v>987.28599999999994</v>
      </c>
      <c r="AE1096" s="1016">
        <v>638.79600000000005</v>
      </c>
      <c r="AF1096" s="1016">
        <v>1396.925</v>
      </c>
      <c r="AG1096" s="1016">
        <v>980.66300000000001</v>
      </c>
      <c r="AH1096" s="1016">
        <v>761.11099999999999</v>
      </c>
      <c r="AI1096" s="1016">
        <v>1616.454</v>
      </c>
      <c r="AJ1096" s="1016">
        <v>1278.6949999999999</v>
      </c>
      <c r="AK1096" s="1016">
        <v>1433.5930000000001</v>
      </c>
      <c r="AL1096" s="1016">
        <v>2219.3440000000001</v>
      </c>
      <c r="AM1096" s="1016">
        <v>231.446</v>
      </c>
      <c r="AN1096" s="1016">
        <v>176.072</v>
      </c>
      <c r="AO1096" s="1016">
        <v>1004.793</v>
      </c>
      <c r="AP1096" s="1016">
        <v>452.24799999999999</v>
      </c>
      <c r="AQ1096" s="1016">
        <v>419.70100000000002</v>
      </c>
      <c r="AR1096" s="1016">
        <v>451.34500000000003</v>
      </c>
      <c r="AS1096" s="1016">
        <v>18309.992000000006</v>
      </c>
    </row>
    <row r="1097" spans="2:45" outlineLevel="1">
      <c r="B1097" s="1387" t="s">
        <v>1768</v>
      </c>
      <c r="U1097" s="1016">
        <v>170.28299999999999</v>
      </c>
      <c r="V1097" s="1016">
        <v>671.16</v>
      </c>
      <c r="W1097" s="1016">
        <v>682.93</v>
      </c>
      <c r="X1097" s="1016">
        <v>555.44100000000003</v>
      </c>
      <c r="Y1097" s="1016">
        <v>972.61900000000003</v>
      </c>
      <c r="Z1097" s="1016">
        <v>1181.203</v>
      </c>
      <c r="AA1097" s="1016">
        <v>197.58199999999999</v>
      </c>
      <c r="AB1097" s="1016">
        <v>238.90299999999999</v>
      </c>
      <c r="AC1097" s="1016">
        <v>324.04500000000002</v>
      </c>
      <c r="AD1097" s="1016">
        <v>611.70399999999995</v>
      </c>
      <c r="AE1097" s="1016">
        <v>439.726</v>
      </c>
      <c r="AF1097" s="1016">
        <v>507.05099999999999</v>
      </c>
      <c r="AG1097" s="1016">
        <v>318.19299999999998</v>
      </c>
      <c r="AH1097" s="1016">
        <v>355.82499999999999</v>
      </c>
      <c r="AI1097" s="1016">
        <v>1144.758</v>
      </c>
      <c r="AJ1097" s="1016">
        <v>805.66899999999998</v>
      </c>
      <c r="AK1097" s="1016">
        <v>690.39200000000005</v>
      </c>
      <c r="AL1097" s="1016">
        <v>1605.2829999999999</v>
      </c>
      <c r="AM1097" s="1016">
        <v>306.072</v>
      </c>
      <c r="AN1097" s="1016">
        <v>426.62200000000001</v>
      </c>
      <c r="AO1097" s="1016">
        <v>424.99900000000002</v>
      </c>
      <c r="AP1097" s="1016">
        <v>655.34550000000002</v>
      </c>
      <c r="AQ1097" s="1016">
        <v>531.14</v>
      </c>
      <c r="AS1097" s="1016">
        <v>13816.945499999998</v>
      </c>
    </row>
    <row r="1098" spans="2:45" outlineLevel="1">
      <c r="B1098" s="1387" t="s">
        <v>1771</v>
      </c>
      <c r="AD1098" s="1016">
        <v>36.072000000000003</v>
      </c>
      <c r="AE1098" s="1016">
        <v>93.625</v>
      </c>
      <c r="AF1098" s="1016">
        <v>315.61500000000001</v>
      </c>
      <c r="AG1098" s="1016">
        <v>393.73099999999999</v>
      </c>
      <c r="AH1098" s="1016">
        <v>390.73200000000003</v>
      </c>
      <c r="AI1098" s="1016">
        <v>312.91399999999999</v>
      </c>
      <c r="AJ1098" s="1016">
        <v>463.38</v>
      </c>
      <c r="AK1098" s="1016">
        <v>597.40899999999999</v>
      </c>
      <c r="AL1098" s="1016">
        <v>816.61199999999997</v>
      </c>
      <c r="AM1098" s="1016">
        <v>79.477999999999994</v>
      </c>
      <c r="AN1098" s="1016">
        <v>104.009</v>
      </c>
      <c r="AO1098" s="1016">
        <v>271.88499999999999</v>
      </c>
      <c r="AP1098" s="1016">
        <v>393.548</v>
      </c>
      <c r="AQ1098" s="1016">
        <v>730.726</v>
      </c>
      <c r="AS1098" s="1016">
        <v>4999.7359999999999</v>
      </c>
    </row>
    <row r="1099" spans="2:45" outlineLevel="1">
      <c r="B1099" s="1387" t="s">
        <v>1774</v>
      </c>
      <c r="AA1099" s="1016">
        <v>523.76800000000003</v>
      </c>
      <c r="AB1099" s="1016">
        <v>423.75</v>
      </c>
      <c r="AC1099" s="1016">
        <v>648.83799999999997</v>
      </c>
      <c r="AD1099" s="1016">
        <v>540.41999999999996</v>
      </c>
      <c r="AE1099" s="1016">
        <v>462.80399999999997</v>
      </c>
      <c r="AF1099" s="1016">
        <v>580.20399999999995</v>
      </c>
      <c r="AG1099" s="1016">
        <v>1244.0440000000001</v>
      </c>
      <c r="AH1099" s="1016">
        <v>399.55</v>
      </c>
      <c r="AI1099" s="1016">
        <v>931.68700000000001</v>
      </c>
      <c r="AJ1099" s="1016">
        <v>457.11399999999998</v>
      </c>
      <c r="AK1099" s="1016">
        <v>1058.173</v>
      </c>
      <c r="AL1099" s="1016">
        <v>779.27599999999995</v>
      </c>
      <c r="AM1099" s="1016">
        <v>204.14599999999999</v>
      </c>
      <c r="AN1099" s="1016">
        <v>315.17</v>
      </c>
      <c r="AO1099" s="1016">
        <v>487.24400000000003</v>
      </c>
      <c r="AP1099" s="1016">
        <v>281.209</v>
      </c>
      <c r="AQ1099" s="1016">
        <v>463.18799999999999</v>
      </c>
      <c r="AR1099" s="1016">
        <v>915.053</v>
      </c>
      <c r="AS1099" s="1016">
        <v>10715.638000000001</v>
      </c>
    </row>
    <row r="1100" spans="2:45" outlineLevel="1">
      <c r="B1100" s="1387" t="s">
        <v>1028</v>
      </c>
      <c r="AE1100" s="1016">
        <v>342.09399999999999</v>
      </c>
      <c r="AF1100" s="1016">
        <v>338.78800000000001</v>
      </c>
      <c r="AG1100" s="1016">
        <v>558.19899999999996</v>
      </c>
      <c r="AH1100" s="1016">
        <v>556.24400000000003</v>
      </c>
      <c r="AI1100" s="1016">
        <v>872.94</v>
      </c>
      <c r="AJ1100" s="1016">
        <v>756.26700000000005</v>
      </c>
      <c r="AK1100" s="1016">
        <v>1720.751</v>
      </c>
      <c r="AL1100" s="1016">
        <v>2169.6320000000001</v>
      </c>
      <c r="AM1100" s="1016">
        <v>691.00400000000002</v>
      </c>
      <c r="AN1100" s="1016">
        <v>597.12</v>
      </c>
      <c r="AO1100" s="1016">
        <v>1760.4449999999999</v>
      </c>
      <c r="AP1100" s="1016">
        <v>1133.3710000000001</v>
      </c>
      <c r="AQ1100" s="1016">
        <v>1383.203</v>
      </c>
      <c r="AR1100" s="1016">
        <v>1766.6079999999999</v>
      </c>
      <c r="AS1100" s="1016">
        <v>14646.665999999999</v>
      </c>
    </row>
    <row r="1101" spans="2:45" outlineLevel="1">
      <c r="B1101" s="1387" t="s">
        <v>1569</v>
      </c>
      <c r="AE1101" s="1016">
        <v>318.04199999999997</v>
      </c>
      <c r="AF1101" s="1016">
        <v>456.87400000000002</v>
      </c>
      <c r="AG1101" s="1016">
        <v>656.47699999999998</v>
      </c>
      <c r="AH1101" s="1016">
        <v>598.24599999999998</v>
      </c>
      <c r="AI1101" s="1016">
        <v>1419.557</v>
      </c>
      <c r="AJ1101" s="1016">
        <v>1430.3579999999999</v>
      </c>
      <c r="AK1101" s="1016">
        <v>2172.9940000000001</v>
      </c>
      <c r="AL1101" s="1016">
        <v>2064.9299999999998</v>
      </c>
      <c r="AM1101" s="1016">
        <v>456.79500000000002</v>
      </c>
      <c r="AN1101" s="1016">
        <v>643.08900000000006</v>
      </c>
      <c r="AO1101" s="1016">
        <v>1388.596</v>
      </c>
      <c r="AP1101" s="1016">
        <v>1012.753</v>
      </c>
      <c r="AQ1101" s="1016">
        <v>1438.029</v>
      </c>
      <c r="AR1101" s="1016">
        <v>2495.9659999999999</v>
      </c>
      <c r="AS1101" s="1016">
        <v>16552.706000000002</v>
      </c>
    </row>
    <row r="1102" spans="2:45" outlineLevel="1">
      <c r="B1102" s="1387" t="s">
        <v>1573</v>
      </c>
      <c r="AE1102" s="1016">
        <v>50.463000000000001</v>
      </c>
      <c r="AF1102" s="1016">
        <v>82.531000000000006</v>
      </c>
      <c r="AG1102" s="1016">
        <v>309.286</v>
      </c>
      <c r="AH1102" s="1016">
        <v>116.271</v>
      </c>
      <c r="AI1102" s="1016">
        <v>413.733</v>
      </c>
      <c r="AJ1102" s="1016">
        <v>247.11600000000001</v>
      </c>
      <c r="AK1102" s="1016">
        <v>765.20100000000002</v>
      </c>
      <c r="AL1102" s="1016">
        <v>665.77099999999996</v>
      </c>
      <c r="AM1102" s="1016">
        <v>122.714</v>
      </c>
      <c r="AN1102" s="1016">
        <v>513.98800000000006</v>
      </c>
      <c r="AO1102" s="1016">
        <v>625.33199999999999</v>
      </c>
      <c r="AP1102" s="1016">
        <v>714.67700000000002</v>
      </c>
      <c r="AQ1102" s="1016">
        <v>571.67999999999995</v>
      </c>
      <c r="AR1102" s="1016">
        <v>530.41</v>
      </c>
      <c r="AS1102" s="1016">
        <v>5729.1729999999998</v>
      </c>
    </row>
    <row r="1103" spans="2:45" outlineLevel="1">
      <c r="B1103" s="1387" t="s">
        <v>1770</v>
      </c>
      <c r="O1103" s="1016">
        <v>0</v>
      </c>
      <c r="P1103" s="1016">
        <v>5.81</v>
      </c>
      <c r="Q1103" s="1016">
        <v>7.49</v>
      </c>
      <c r="R1103" s="1016">
        <v>60.82</v>
      </c>
      <c r="S1103" s="1016">
        <v>39.58</v>
      </c>
      <c r="T1103" s="1016">
        <v>82.710999999999999</v>
      </c>
      <c r="U1103" s="1016">
        <v>49.6</v>
      </c>
      <c r="V1103" s="1016">
        <v>130.40899999999999</v>
      </c>
      <c r="W1103" s="1016">
        <v>302.16500000000002</v>
      </c>
      <c r="X1103" s="1016">
        <v>522.14599999999996</v>
      </c>
      <c r="Y1103" s="1016">
        <v>430.11900000000003</v>
      </c>
      <c r="Z1103" s="1016">
        <v>704.65499999999997</v>
      </c>
      <c r="AA1103" s="1016">
        <v>192.75700000000001</v>
      </c>
      <c r="AB1103" s="1016">
        <v>82.378</v>
      </c>
      <c r="AC1103" s="1016">
        <v>191.51900000000001</v>
      </c>
      <c r="AD1103" s="1016">
        <v>201.91900000000001</v>
      </c>
      <c r="AE1103" s="1016">
        <v>290.12599999999998</v>
      </c>
      <c r="AF1103" s="1016">
        <v>305.452</v>
      </c>
      <c r="AS1103" s="1016">
        <v>3599.6560000000009</v>
      </c>
    </row>
    <row r="1104" spans="2:45" outlineLevel="1">
      <c r="B1104" s="1387" t="s">
        <v>1777</v>
      </c>
      <c r="R1104" s="1016">
        <v>0</v>
      </c>
      <c r="S1104" s="1016">
        <v>42.75</v>
      </c>
      <c r="T1104" s="1016">
        <v>96.025999999999996</v>
      </c>
      <c r="U1104" s="1016">
        <v>111.459</v>
      </c>
      <c r="V1104" s="1016">
        <v>115.30800000000001</v>
      </c>
      <c r="W1104" s="1016">
        <v>291.721</v>
      </c>
      <c r="X1104" s="1016">
        <v>360.73099999999999</v>
      </c>
      <c r="Y1104" s="1016">
        <v>262.52600000000001</v>
      </c>
      <c r="Z1104" s="1016">
        <v>527.47299999999996</v>
      </c>
      <c r="AA1104" s="1016">
        <v>99.097999999999999</v>
      </c>
      <c r="AB1104" s="1016">
        <v>56.576999999999998</v>
      </c>
      <c r="AC1104" s="1016">
        <v>75.278000000000006</v>
      </c>
      <c r="AD1104" s="1016">
        <v>152.59899999999999</v>
      </c>
      <c r="AE1104" s="1016">
        <v>155.898</v>
      </c>
      <c r="AF1104" s="1016">
        <v>248.09700000000001</v>
      </c>
      <c r="AG1104" s="1016">
        <v>118.04600000000001</v>
      </c>
      <c r="AH1104" s="1016">
        <v>121.505</v>
      </c>
      <c r="AI1104" s="1016">
        <v>160.374</v>
      </c>
      <c r="AJ1104" s="1016">
        <v>108.685</v>
      </c>
      <c r="AK1104" s="1016">
        <v>164.39500000000001</v>
      </c>
      <c r="AL1104" s="1016">
        <v>280.46699999999998</v>
      </c>
      <c r="AM1104" s="1016">
        <v>39.03</v>
      </c>
      <c r="AN1104" s="1016">
        <v>50.095999999999997</v>
      </c>
      <c r="AO1104" s="1016">
        <v>73.287999999999997</v>
      </c>
      <c r="AP1104" s="1016">
        <v>15.488</v>
      </c>
      <c r="AS1104" s="1016">
        <v>3726.915</v>
      </c>
    </row>
    <row r="1105" spans="2:45" outlineLevel="1">
      <c r="B1105" s="1387" t="s">
        <v>1773</v>
      </c>
      <c r="V1105" s="1016">
        <v>92.769000000000005</v>
      </c>
      <c r="W1105" s="1016">
        <v>385.33199999999999</v>
      </c>
      <c r="X1105" s="1016">
        <v>498.33199999999999</v>
      </c>
      <c r="Y1105" s="1016">
        <v>985.86900000000003</v>
      </c>
      <c r="Z1105" s="1016">
        <v>1403.49</v>
      </c>
      <c r="AA1105" s="1016">
        <v>370.52100000000002</v>
      </c>
      <c r="AB1105" s="1016">
        <v>146.23099999999999</v>
      </c>
      <c r="AC1105" s="1016">
        <v>218.95099999999999</v>
      </c>
      <c r="AD1105" s="1016">
        <v>205.12200000000001</v>
      </c>
      <c r="AE1105" s="1016">
        <v>196.78399999999999</v>
      </c>
      <c r="AF1105" s="1016">
        <v>284.80500000000001</v>
      </c>
      <c r="AG1105" s="1016">
        <v>276.67899999999997</v>
      </c>
      <c r="AH1105" s="1016">
        <v>176.67400000000001</v>
      </c>
      <c r="AI1105" s="1016">
        <v>1016.73</v>
      </c>
      <c r="AJ1105" s="1016">
        <v>520.09100000000001</v>
      </c>
      <c r="AK1105" s="1016">
        <v>522.15899999999999</v>
      </c>
      <c r="AL1105" s="1016">
        <v>626.92399999999998</v>
      </c>
      <c r="AM1105" s="1016">
        <v>411.22899999999998</v>
      </c>
      <c r="AN1105" s="1016">
        <v>351.63099999999997</v>
      </c>
      <c r="AO1105" s="1016">
        <v>635.04200000000003</v>
      </c>
      <c r="AP1105" s="1016">
        <v>361.37200000000001</v>
      </c>
      <c r="AQ1105" s="1016">
        <v>580.36300000000006</v>
      </c>
      <c r="AR1105" s="1016">
        <v>553.12199999999996</v>
      </c>
      <c r="AS1105" s="1016">
        <v>10820.221999999998</v>
      </c>
    </row>
    <row r="1106" spans="2:45" outlineLevel="1">
      <c r="B1106" s="1387" t="s">
        <v>1950</v>
      </c>
      <c r="R1106" s="1016">
        <v>140.49</v>
      </c>
      <c r="S1106" s="1016">
        <v>69.650000000000006</v>
      </c>
      <c r="T1106" s="1016">
        <v>107.586</v>
      </c>
      <c r="U1106" s="1016">
        <v>140.339</v>
      </c>
      <c r="V1106" s="1016">
        <v>195.64599999999999</v>
      </c>
      <c r="W1106" s="1016">
        <v>354.03100000000001</v>
      </c>
      <c r="X1106" s="1016">
        <v>236.041</v>
      </c>
      <c r="Y1106" s="1016">
        <v>199.37799999999999</v>
      </c>
      <c r="Z1106" s="1016">
        <v>600.70100000000002</v>
      </c>
      <c r="AA1106" s="1016">
        <v>289.31200000000001</v>
      </c>
      <c r="AB1106" s="1016">
        <v>128.178</v>
      </c>
      <c r="AC1106" s="1016">
        <v>436.86599999999999</v>
      </c>
      <c r="AD1106" s="1016">
        <v>321.47500000000002</v>
      </c>
      <c r="AE1106" s="1016">
        <v>222.791</v>
      </c>
      <c r="AF1106" s="1016">
        <v>90.182000000000002</v>
      </c>
      <c r="AG1106" s="1016">
        <v>113.529</v>
      </c>
      <c r="AH1106" s="1016">
        <v>237.405</v>
      </c>
      <c r="AI1106" s="1016">
        <v>262.005</v>
      </c>
      <c r="AJ1106" s="1016">
        <v>250.714</v>
      </c>
      <c r="AK1106" s="1016">
        <v>127.608</v>
      </c>
      <c r="AL1106" s="1016">
        <v>400.18799999999999</v>
      </c>
      <c r="AM1106" s="1016">
        <v>60.420999999999999</v>
      </c>
      <c r="AN1106" s="1016">
        <v>210.63200000000001</v>
      </c>
      <c r="AO1106" s="1016">
        <v>252.74100000000001</v>
      </c>
      <c r="AP1106" s="1016">
        <v>136.92099999999999</v>
      </c>
      <c r="AS1106" s="1016">
        <v>5584.83</v>
      </c>
    </row>
    <row r="1107" spans="2:45" outlineLevel="1">
      <c r="B1107" s="1387" t="s">
        <v>2054</v>
      </c>
      <c r="AI1107" s="1016">
        <v>123.383</v>
      </c>
      <c r="AJ1107" s="1016">
        <v>468.9</v>
      </c>
      <c r="AK1107" s="1016">
        <v>1136.04</v>
      </c>
      <c r="AL1107" s="1016">
        <v>1331.3009999999999</v>
      </c>
      <c r="AM1107" s="1016">
        <v>354.51100000000002</v>
      </c>
      <c r="AN1107" s="1016">
        <v>290.21199999999999</v>
      </c>
      <c r="AO1107" s="1016">
        <v>1179.587</v>
      </c>
      <c r="AP1107" s="1016">
        <v>863.00199999999995</v>
      </c>
      <c r="AQ1107" s="1016">
        <v>948.24300000000005</v>
      </c>
      <c r="AR1107" s="1016">
        <v>1987.713</v>
      </c>
      <c r="AS1107" s="1016">
        <v>8682.8919999999998</v>
      </c>
    </row>
    <row r="1108" spans="2:45" outlineLevel="1">
      <c r="B1108" s="1387" t="s">
        <v>2705</v>
      </c>
      <c r="AO1108" s="1016">
        <v>158.37100000000001</v>
      </c>
      <c r="AP1108" s="1016">
        <v>128.041</v>
      </c>
      <c r="AQ1108" s="1016">
        <v>351.69299999999998</v>
      </c>
      <c r="AR1108" s="1016">
        <v>43.616999999999997</v>
      </c>
      <c r="AS1108" s="1016">
        <v>681.72199999999998</v>
      </c>
    </row>
    <row r="1109" spans="2:45" outlineLevel="1">
      <c r="B1109" s="1387" t="s">
        <v>2706</v>
      </c>
      <c r="AO1109" s="1016">
        <v>226.22900000000001</v>
      </c>
      <c r="AP1109" s="1016">
        <v>314.077</v>
      </c>
      <c r="AQ1109" s="1016">
        <v>757.06600000000003</v>
      </c>
      <c r="AR1109" s="1016">
        <v>458.673</v>
      </c>
      <c r="AS1109" s="1016">
        <v>1756.0450000000001</v>
      </c>
    </row>
    <row r="1110" spans="2:45" outlineLevel="1">
      <c r="B1110" s="1387" t="s">
        <v>2707</v>
      </c>
      <c r="AO1110" s="1016">
        <v>66.430000000000007</v>
      </c>
      <c r="AP1110" s="1016">
        <v>53.063000000000002</v>
      </c>
      <c r="AQ1110" s="1016">
        <v>127.925</v>
      </c>
      <c r="AS1110" s="1016">
        <v>247.41800000000001</v>
      </c>
    </row>
    <row r="1111" spans="2:45" outlineLevel="1">
      <c r="B1111" s="1387" t="s">
        <v>2709</v>
      </c>
      <c r="AO1111" s="1016">
        <v>37.866</v>
      </c>
      <c r="AP1111" s="1016">
        <v>223.215</v>
      </c>
      <c r="AQ1111" s="1016">
        <v>228.47300000000001</v>
      </c>
      <c r="AR1111" s="1016">
        <v>1557.5930000000001</v>
      </c>
      <c r="AS1111" s="1016">
        <v>2047.1470000000002</v>
      </c>
    </row>
    <row r="1112" spans="2:45" outlineLevel="1">
      <c r="B1112" s="1387" t="s">
        <v>2711</v>
      </c>
      <c r="AO1112" s="1016">
        <v>124.366</v>
      </c>
      <c r="AP1112" s="1016">
        <v>304.43900000000002</v>
      </c>
      <c r="AQ1112" s="1016">
        <v>500.72199999999998</v>
      </c>
      <c r="AR1112" s="1016">
        <v>769.25300000000004</v>
      </c>
      <c r="AS1112" s="1016">
        <v>1698.7800000000002</v>
      </c>
    </row>
    <row r="1113" spans="2:45" outlineLevel="1">
      <c r="B1113" s="1387" t="s">
        <v>3169</v>
      </c>
      <c r="AQ1113" s="1016">
        <v>0</v>
      </c>
      <c r="AR1113" s="1016">
        <v>158.59100000000001</v>
      </c>
      <c r="AS1113" s="1016">
        <v>158.59100000000001</v>
      </c>
    </row>
    <row r="1114" spans="2:45" outlineLevel="1">
      <c r="B1114" s="1387" t="s">
        <v>1410</v>
      </c>
      <c r="AQ1114" s="1016">
        <v>47.076999999999998</v>
      </c>
      <c r="AR1114" s="1016">
        <v>265.37599999999998</v>
      </c>
      <c r="AS1114" s="1016">
        <v>312.45299999999997</v>
      </c>
    </row>
    <row r="1115" spans="2:45" outlineLevel="1">
      <c r="B1115" s="1387" t="s">
        <v>2897</v>
      </c>
      <c r="AQ1115" s="1016">
        <v>428.06200000000001</v>
      </c>
      <c r="AR1115" s="1016">
        <v>440.34899999999999</v>
      </c>
      <c r="AS1115" s="1016">
        <v>868.41100000000006</v>
      </c>
    </row>
    <row r="1116" spans="2:45" outlineLevel="1">
      <c r="B1116" s="1387" t="s">
        <v>3184</v>
      </c>
      <c r="AQ1116" s="1016">
        <v>898.84799999999996</v>
      </c>
      <c r="AR1116" s="1016">
        <v>963.947</v>
      </c>
      <c r="AS1116" s="1016">
        <v>1862.7950000000001</v>
      </c>
    </row>
    <row r="1117" spans="2:45" outlineLevel="1">
      <c r="B1117" s="1387" t="s">
        <v>3180</v>
      </c>
      <c r="AQ1117" s="1016">
        <v>465.19</v>
      </c>
      <c r="AR1117" s="1016">
        <v>103.80200000000001</v>
      </c>
      <c r="AS1117" s="1016">
        <v>568.99199999999996</v>
      </c>
    </row>
    <row r="1118" spans="2:45" outlineLevel="1">
      <c r="B1118" s="1387" t="s">
        <v>3189</v>
      </c>
      <c r="AQ1118" s="1016">
        <v>396.57799999999997</v>
      </c>
      <c r="AR1118" s="1016">
        <v>379.58699999999999</v>
      </c>
      <c r="AS1118" s="1016">
        <v>776.16499999999996</v>
      </c>
    </row>
    <row r="1119" spans="2:45" outlineLevel="1">
      <c r="B1119" s="1387" t="s">
        <v>3190</v>
      </c>
      <c r="AQ1119" s="1016">
        <v>750.99099999999999</v>
      </c>
      <c r="AR1119" s="1016">
        <v>2141.9769999999999</v>
      </c>
      <c r="AS1119" s="1016">
        <v>2892.9679999999998</v>
      </c>
    </row>
    <row r="1120" spans="2:45" outlineLevel="1">
      <c r="B1120" s="1387" t="s">
        <v>3191</v>
      </c>
      <c r="AQ1120" s="1016">
        <v>508.88600000000002</v>
      </c>
      <c r="AR1120" s="1016">
        <v>1195.617</v>
      </c>
      <c r="AS1120" s="1016">
        <v>1704.5029999999999</v>
      </c>
    </row>
    <row r="1121" spans="2:45" outlineLevel="1">
      <c r="B1121" s="1387" t="s">
        <v>3528</v>
      </c>
      <c r="AR1121" s="1016">
        <v>10.333</v>
      </c>
      <c r="AS1121" s="1016">
        <v>10.333</v>
      </c>
    </row>
    <row r="1122" spans="2:45" outlineLevel="1">
      <c r="B1122" s="1387" t="s">
        <v>3529</v>
      </c>
      <c r="AR1122" s="1016">
        <v>1486.4190000000001</v>
      </c>
      <c r="AS1122" s="1016">
        <v>1486.4190000000001</v>
      </c>
    </row>
    <row r="1123" spans="2:45" outlineLevel="1">
      <c r="B1123" s="1387" t="s">
        <v>3530</v>
      </c>
      <c r="AR1123" s="1016">
        <v>1322.62</v>
      </c>
      <c r="AS1123" s="1016">
        <v>1322.62</v>
      </c>
    </row>
    <row r="1124" spans="2:45" outlineLevel="1">
      <c r="B1124" s="1387" t="s">
        <v>3575</v>
      </c>
      <c r="AR1124" s="1016">
        <v>50.512</v>
      </c>
      <c r="AS1124" s="1016">
        <v>50.512</v>
      </c>
    </row>
    <row r="1125" spans="2:45" outlineLevel="1">
      <c r="B1125" s="1387" t="s">
        <v>3519</v>
      </c>
      <c r="AR1125" s="1016">
        <v>441.66500000000002</v>
      </c>
      <c r="AS1125" s="1016">
        <v>441.66500000000002</v>
      </c>
    </row>
    <row r="1126" spans="2:45" outlineLevel="1">
      <c r="B1126" s="1387" t="s">
        <v>3521</v>
      </c>
      <c r="AR1126" s="1016">
        <v>1283.806</v>
      </c>
      <c r="AS1126" s="1016">
        <v>1283.806</v>
      </c>
    </row>
    <row r="1127" spans="2:45" outlineLevel="1">
      <c r="B1127" s="1387" t="s">
        <v>3523</v>
      </c>
      <c r="AR1127" s="1016">
        <v>78.289000000000001</v>
      </c>
      <c r="AS1127" s="1016">
        <v>78.289000000000001</v>
      </c>
    </row>
    <row r="1128" spans="2:45" outlineLevel="1">
      <c r="B1128" s="1387" t="s">
        <v>3573</v>
      </c>
      <c r="AR1128" s="1016">
        <v>495.87099999999998</v>
      </c>
      <c r="AS1128" s="1016">
        <v>495.87099999999998</v>
      </c>
    </row>
    <row r="1129" spans="2:45" outlineLevel="1">
      <c r="B1129" s="1387" t="s">
        <v>3525</v>
      </c>
      <c r="AR1129" s="1016">
        <v>95.768000000000001</v>
      </c>
      <c r="AS1129" s="1016">
        <v>95.768000000000001</v>
      </c>
    </row>
    <row r="1130" spans="2:45" outlineLevel="1">
      <c r="B1130" s="1387" t="s">
        <v>274</v>
      </c>
      <c r="C1130" s="1016">
        <v>294.464</v>
      </c>
      <c r="D1130" s="1016">
        <v>108.50200000000001</v>
      </c>
      <c r="E1130" s="1016">
        <v>519.67200000000003</v>
      </c>
      <c r="F1130" s="1016">
        <v>892.375</v>
      </c>
      <c r="G1130" s="1016">
        <v>1167.0250000000001</v>
      </c>
      <c r="H1130" s="1016">
        <v>1091.1320000000001</v>
      </c>
      <c r="I1130" s="1016">
        <v>905.69999999999993</v>
      </c>
      <c r="J1130" s="1016">
        <v>1145.73</v>
      </c>
      <c r="K1130" s="1016">
        <v>2689.6389999999997</v>
      </c>
      <c r="L1130" s="1016">
        <v>2012.5699999999997</v>
      </c>
      <c r="M1130" s="1016">
        <v>2123.317</v>
      </c>
      <c r="N1130" s="1016">
        <v>3719.16</v>
      </c>
      <c r="O1130" s="1016">
        <v>1194.7300000000002</v>
      </c>
      <c r="P1130" s="1016">
        <v>1746.6399999999999</v>
      </c>
      <c r="Q1130" s="1016">
        <v>1740.4</v>
      </c>
      <c r="R1130" s="1016">
        <v>2983.41</v>
      </c>
      <c r="S1130" s="1016">
        <v>3717.74</v>
      </c>
      <c r="T1130" s="1016">
        <v>8264.146999999999</v>
      </c>
      <c r="U1130" s="1016">
        <v>7606.1340000000018</v>
      </c>
      <c r="V1130" s="1016">
        <v>8644.5550000000021</v>
      </c>
      <c r="W1130" s="1016">
        <v>13309.986000000003</v>
      </c>
      <c r="X1130" s="1016">
        <v>14702.573</v>
      </c>
      <c r="Y1130" s="1016">
        <v>15023.791000000003</v>
      </c>
      <c r="Z1130" s="1016">
        <v>37652.176999999989</v>
      </c>
      <c r="AA1130" s="1016">
        <v>10063.002999999997</v>
      </c>
      <c r="AB1130" s="1016">
        <v>9101.6389999999992</v>
      </c>
      <c r="AC1130" s="1016">
        <v>18571.495999999999</v>
      </c>
      <c r="AD1130" s="1016">
        <v>22629.834999999995</v>
      </c>
      <c r="AE1130" s="1016">
        <v>18306.072000000004</v>
      </c>
      <c r="AF1130" s="1016">
        <v>26230.601999999999</v>
      </c>
      <c r="AG1130" s="1016">
        <v>28475.155999999992</v>
      </c>
      <c r="AH1130" s="1016">
        <v>16301.705999999996</v>
      </c>
      <c r="AI1130" s="1016">
        <v>37854.292000000009</v>
      </c>
      <c r="AJ1130" s="1016">
        <v>25289.309000000001</v>
      </c>
      <c r="AK1130" s="1016">
        <v>41639.970999999998</v>
      </c>
      <c r="AL1130" s="1016">
        <v>57736.464500000009</v>
      </c>
      <c r="AM1130" s="1016">
        <v>13641.9247</v>
      </c>
      <c r="AN1130" s="1016">
        <v>13892.638999999997</v>
      </c>
      <c r="AO1130" s="1016">
        <v>33141.966700000004</v>
      </c>
      <c r="AP1130" s="1016">
        <v>30625.544499999985</v>
      </c>
      <c r="AQ1130" s="1016">
        <v>27465.260999999999</v>
      </c>
      <c r="AR1130" s="1016">
        <v>41468.133599999986</v>
      </c>
      <c r="AS1130" s="1016">
        <v>605690.58399999992</v>
      </c>
    </row>
    <row r="1131" spans="2:45" outlineLevel="1">
      <c r="B1131" s="1387"/>
    </row>
    <row r="1132" spans="2:45" outlineLevel="1">
      <c r="B1132" s="1387"/>
    </row>
    <row r="1133" spans="2:45" outlineLevel="1">
      <c r="B1133" s="1387"/>
    </row>
    <row r="1134" spans="2:45" outlineLevel="1">
      <c r="B1134" s="1387"/>
    </row>
    <row r="1135" spans="2:45" outlineLevel="1">
      <c r="B1135" s="1387"/>
    </row>
    <row r="1136" spans="2:45" outlineLevel="1">
      <c r="B1136" s="1387"/>
    </row>
    <row r="1137" spans="2:45" outlineLevel="1">
      <c r="B1137" s="1387"/>
    </row>
    <row r="1138" spans="2:45" outlineLevel="1">
      <c r="B1138" s="1387"/>
    </row>
    <row r="1139" spans="2:45" outlineLevel="1">
      <c r="B1139" s="1387"/>
    </row>
    <row r="1140" spans="2:45" outlineLevel="1">
      <c r="B1140" s="1387"/>
    </row>
    <row r="1141" spans="2:45" outlineLevel="1">
      <c r="B1141" s="1387"/>
    </row>
    <row r="1142" spans="2:45" outlineLevel="1">
      <c r="B1142" s="1488" t="s">
        <v>503</v>
      </c>
      <c r="C1142" s="1487" t="s">
        <v>275</v>
      </c>
    </row>
    <row r="1143" spans="2:45" outlineLevel="1">
      <c r="B1143" s="1487" t="s">
        <v>253</v>
      </c>
      <c r="C1143" s="1016">
        <v>201301</v>
      </c>
      <c r="D1143" s="1016">
        <v>201302</v>
      </c>
      <c r="E1143" s="1016">
        <v>201303</v>
      </c>
      <c r="F1143" s="1016">
        <v>201304</v>
      </c>
      <c r="G1143" s="1016">
        <v>201305</v>
      </c>
      <c r="H1143" s="1016">
        <v>201306</v>
      </c>
      <c r="I1143" s="1016">
        <v>201307</v>
      </c>
      <c r="J1143" s="1016">
        <v>201308</v>
      </c>
      <c r="K1143" s="1016">
        <v>201309</v>
      </c>
      <c r="L1143" s="1016">
        <v>201310</v>
      </c>
      <c r="M1143" s="1016">
        <v>201311</v>
      </c>
      <c r="N1143" s="1016">
        <v>201312</v>
      </c>
      <c r="O1143" s="1016">
        <v>201401</v>
      </c>
      <c r="P1143" s="1016">
        <v>201402</v>
      </c>
      <c r="Q1143" s="1016">
        <v>201403</v>
      </c>
      <c r="R1143" s="1016">
        <v>201404</v>
      </c>
      <c r="S1143" s="1016">
        <v>201405</v>
      </c>
      <c r="T1143" s="1016">
        <v>201406</v>
      </c>
      <c r="U1143" s="1016">
        <v>201407</v>
      </c>
      <c r="V1143" s="1016">
        <v>201408</v>
      </c>
      <c r="W1143" s="1016">
        <v>201409</v>
      </c>
      <c r="X1143" s="1016">
        <v>201410</v>
      </c>
      <c r="Y1143" s="1016">
        <v>201411</v>
      </c>
      <c r="Z1143" s="1016">
        <v>201412</v>
      </c>
      <c r="AA1143" s="1016">
        <v>201501</v>
      </c>
      <c r="AB1143" s="1016">
        <v>201502</v>
      </c>
      <c r="AC1143" s="1016">
        <v>201503</v>
      </c>
      <c r="AD1143" s="1016">
        <v>201504</v>
      </c>
      <c r="AE1143" s="1016">
        <v>201505</v>
      </c>
      <c r="AF1143" s="1016">
        <v>201506</v>
      </c>
      <c r="AG1143" s="1016">
        <v>201507</v>
      </c>
      <c r="AH1143" s="1016">
        <v>201508</v>
      </c>
      <c r="AI1143" s="1016">
        <v>201509</v>
      </c>
      <c r="AJ1143" s="1016">
        <v>201510</v>
      </c>
      <c r="AK1143" s="1016">
        <v>201511</v>
      </c>
      <c r="AL1143" s="1016">
        <v>201512</v>
      </c>
      <c r="AM1143" s="1016">
        <v>201601</v>
      </c>
      <c r="AN1143" s="1016">
        <v>201602</v>
      </c>
      <c r="AO1143" s="1016">
        <v>201603</v>
      </c>
      <c r="AP1143" s="1016">
        <v>201604</v>
      </c>
      <c r="AQ1143" s="1016">
        <v>201605</v>
      </c>
      <c r="AR1143" s="1016">
        <v>201606</v>
      </c>
      <c r="AS1143" s="1016" t="s">
        <v>274</v>
      </c>
    </row>
    <row r="1144" spans="2:45" outlineLevel="1">
      <c r="B1144" s="1387"/>
      <c r="L1144" s="1016">
        <v>0</v>
      </c>
      <c r="M1144" s="1016">
        <v>0</v>
      </c>
      <c r="AS1144" s="1016">
        <v>0</v>
      </c>
    </row>
    <row r="1145" spans="2:45" outlineLevel="1">
      <c r="B1145" s="1387" t="s">
        <v>191</v>
      </c>
      <c r="E1145" s="1016">
        <v>0</v>
      </c>
      <c r="F1145" s="1016">
        <v>0</v>
      </c>
      <c r="G1145" s="1016">
        <v>0</v>
      </c>
      <c r="H1145" s="1016">
        <v>0</v>
      </c>
      <c r="I1145" s="1016">
        <v>0</v>
      </c>
      <c r="J1145" s="1016">
        <v>4</v>
      </c>
      <c r="K1145" s="1016">
        <v>5</v>
      </c>
      <c r="L1145" s="1016">
        <v>5</v>
      </c>
      <c r="M1145" s="1016">
        <v>9</v>
      </c>
      <c r="N1145" s="1016">
        <v>2</v>
      </c>
      <c r="O1145" s="1016">
        <v>9</v>
      </c>
      <c r="P1145" s="1016">
        <v>10</v>
      </c>
      <c r="Q1145" s="1016">
        <v>18</v>
      </c>
      <c r="R1145" s="1016">
        <v>11</v>
      </c>
      <c r="S1145" s="1016">
        <v>23</v>
      </c>
      <c r="T1145" s="1016">
        <v>22</v>
      </c>
      <c r="U1145" s="1016">
        <v>17</v>
      </c>
      <c r="V1145" s="1016">
        <v>4</v>
      </c>
      <c r="W1145" s="1016">
        <v>7</v>
      </c>
      <c r="X1145" s="1016">
        <v>7</v>
      </c>
      <c r="Y1145" s="1016">
        <v>14</v>
      </c>
      <c r="Z1145" s="1016">
        <v>14</v>
      </c>
      <c r="AA1145" s="1016">
        <v>6</v>
      </c>
      <c r="AB1145" s="1016">
        <v>17</v>
      </c>
      <c r="AC1145" s="1016">
        <v>19</v>
      </c>
      <c r="AD1145" s="1016">
        <v>9</v>
      </c>
      <c r="AE1145" s="1016">
        <v>50</v>
      </c>
      <c r="AF1145" s="1016">
        <v>23</v>
      </c>
      <c r="AG1145" s="1016">
        <v>53</v>
      </c>
      <c r="AH1145" s="1016">
        <v>63</v>
      </c>
      <c r="AI1145" s="1016">
        <v>27</v>
      </c>
      <c r="AJ1145" s="1016">
        <v>20</v>
      </c>
      <c r="AK1145" s="1016">
        <v>4</v>
      </c>
      <c r="AL1145" s="1016">
        <v>9</v>
      </c>
      <c r="AM1145" s="1016">
        <v>1</v>
      </c>
      <c r="AN1145" s="1016">
        <v>29</v>
      </c>
      <c r="AO1145" s="1016">
        <v>17</v>
      </c>
      <c r="AP1145" s="1016">
        <v>28</v>
      </c>
      <c r="AQ1145" s="1016">
        <v>6</v>
      </c>
      <c r="AR1145" s="1016">
        <v>31</v>
      </c>
      <c r="AS1145" s="1016">
        <v>593</v>
      </c>
    </row>
    <row r="1146" spans="2:45" outlineLevel="1">
      <c r="B1146" s="1387" t="s">
        <v>189</v>
      </c>
      <c r="E1146" s="1016">
        <v>0</v>
      </c>
      <c r="F1146" s="1016">
        <v>0</v>
      </c>
      <c r="G1146" s="1016">
        <v>0</v>
      </c>
      <c r="H1146" s="1016">
        <v>0</v>
      </c>
      <c r="I1146" s="1016">
        <v>2</v>
      </c>
      <c r="J1146" s="1016">
        <v>4</v>
      </c>
      <c r="K1146" s="1016">
        <v>6</v>
      </c>
      <c r="L1146" s="1016">
        <v>5</v>
      </c>
      <c r="M1146" s="1016">
        <v>4</v>
      </c>
      <c r="N1146" s="1016">
        <v>1</v>
      </c>
      <c r="O1146" s="1016">
        <v>3</v>
      </c>
      <c r="P1146" s="1016">
        <v>17</v>
      </c>
      <c r="Q1146" s="1016">
        <v>23</v>
      </c>
      <c r="R1146" s="1016">
        <v>1</v>
      </c>
      <c r="S1146" s="1016">
        <v>17</v>
      </c>
      <c r="T1146" s="1016">
        <v>39</v>
      </c>
      <c r="U1146" s="1016">
        <v>20</v>
      </c>
      <c r="V1146" s="1016">
        <v>26</v>
      </c>
      <c r="W1146" s="1016">
        <v>25</v>
      </c>
      <c r="X1146" s="1016">
        <v>13</v>
      </c>
      <c r="Y1146" s="1016">
        <v>11</v>
      </c>
      <c r="Z1146" s="1016">
        <v>4</v>
      </c>
      <c r="AA1146" s="1016">
        <v>3</v>
      </c>
      <c r="AB1146" s="1016">
        <v>6</v>
      </c>
      <c r="AC1146" s="1016">
        <v>6</v>
      </c>
      <c r="AD1146" s="1016">
        <v>15</v>
      </c>
      <c r="AE1146" s="1016">
        <v>5</v>
      </c>
      <c r="AF1146" s="1016">
        <v>14</v>
      </c>
      <c r="AG1146" s="1016">
        <v>22</v>
      </c>
      <c r="AH1146" s="1016">
        <v>8</v>
      </c>
      <c r="AI1146" s="1016">
        <v>16</v>
      </c>
      <c r="AJ1146" s="1016">
        <v>14</v>
      </c>
      <c r="AK1146" s="1016">
        <v>10</v>
      </c>
      <c r="AL1146" s="1016">
        <v>11</v>
      </c>
      <c r="AM1146" s="1016">
        <v>0</v>
      </c>
      <c r="AN1146" s="1016">
        <v>0</v>
      </c>
      <c r="AO1146" s="1016">
        <v>8</v>
      </c>
      <c r="AP1146" s="1016">
        <v>7</v>
      </c>
      <c r="AQ1146" s="1016">
        <v>5</v>
      </c>
      <c r="AS1146" s="1016">
        <v>371</v>
      </c>
    </row>
    <row r="1147" spans="2:45" outlineLevel="1">
      <c r="B1147" s="1387" t="s">
        <v>192</v>
      </c>
      <c r="E1147" s="1016">
        <v>0</v>
      </c>
      <c r="F1147" s="1016">
        <v>0</v>
      </c>
      <c r="G1147" s="1016">
        <v>0</v>
      </c>
      <c r="H1147" s="1016">
        <v>0</v>
      </c>
      <c r="I1147" s="1016">
        <v>2</v>
      </c>
      <c r="J1147" s="1016">
        <v>5</v>
      </c>
      <c r="K1147" s="1016">
        <v>5</v>
      </c>
      <c r="L1147" s="1016">
        <v>9</v>
      </c>
      <c r="M1147" s="1016">
        <v>1</v>
      </c>
      <c r="N1147" s="1016">
        <v>0</v>
      </c>
      <c r="O1147" s="1016">
        <v>21</v>
      </c>
      <c r="P1147" s="1016">
        <v>9</v>
      </c>
      <c r="Q1147" s="1016">
        <v>21</v>
      </c>
      <c r="R1147" s="1016">
        <v>4</v>
      </c>
      <c r="S1147" s="1016">
        <v>5</v>
      </c>
      <c r="AS1147" s="1016">
        <v>82</v>
      </c>
    </row>
    <row r="1148" spans="2:45" outlineLevel="1">
      <c r="B1148" s="1387" t="s">
        <v>194</v>
      </c>
      <c r="E1148" s="1016">
        <v>0</v>
      </c>
      <c r="F1148" s="1016">
        <v>0</v>
      </c>
      <c r="G1148" s="1016">
        <v>0</v>
      </c>
      <c r="H1148" s="1016">
        <v>0</v>
      </c>
      <c r="I1148" s="1016">
        <v>1</v>
      </c>
      <c r="J1148" s="1016">
        <v>6</v>
      </c>
      <c r="K1148" s="1016">
        <v>7</v>
      </c>
      <c r="L1148" s="1016">
        <v>2</v>
      </c>
      <c r="M1148" s="1016">
        <v>5</v>
      </c>
      <c r="N1148" s="1016">
        <v>0</v>
      </c>
      <c r="O1148" s="1016">
        <v>4</v>
      </c>
      <c r="P1148" s="1016">
        <v>20</v>
      </c>
      <c r="Q1148" s="1016">
        <v>2</v>
      </c>
      <c r="R1148" s="1016">
        <v>2</v>
      </c>
      <c r="S1148" s="1016">
        <v>9</v>
      </c>
      <c r="T1148" s="1016">
        <v>12</v>
      </c>
      <c r="U1148" s="1016">
        <v>18</v>
      </c>
      <c r="V1148" s="1016">
        <v>2</v>
      </c>
      <c r="W1148" s="1016">
        <v>8</v>
      </c>
      <c r="X1148" s="1016">
        <v>5</v>
      </c>
      <c r="Y1148" s="1016">
        <v>4</v>
      </c>
      <c r="Z1148" s="1016">
        <v>18</v>
      </c>
      <c r="AA1148" s="1016">
        <v>4</v>
      </c>
      <c r="AB1148" s="1016">
        <v>9</v>
      </c>
      <c r="AC1148" s="1016">
        <v>0</v>
      </c>
      <c r="AD1148" s="1016">
        <v>6</v>
      </c>
      <c r="AE1148" s="1016">
        <v>13</v>
      </c>
      <c r="AF1148" s="1016">
        <v>2</v>
      </c>
      <c r="AG1148" s="1016">
        <v>18</v>
      </c>
      <c r="AH1148" s="1016">
        <v>4</v>
      </c>
      <c r="AI1148" s="1016">
        <v>5</v>
      </c>
      <c r="AJ1148" s="1016">
        <v>0</v>
      </c>
      <c r="AK1148" s="1016">
        <v>7</v>
      </c>
      <c r="AL1148" s="1016">
        <v>7</v>
      </c>
      <c r="AM1148" s="1016">
        <v>0</v>
      </c>
      <c r="AN1148" s="1016">
        <v>0</v>
      </c>
      <c r="AO1148" s="1016">
        <v>15</v>
      </c>
      <c r="AP1148" s="1016">
        <v>6</v>
      </c>
      <c r="AQ1148" s="1016">
        <v>4</v>
      </c>
      <c r="AR1148" s="1016">
        <v>0</v>
      </c>
      <c r="AS1148" s="1016">
        <v>225</v>
      </c>
    </row>
    <row r="1149" spans="2:45" outlineLevel="1">
      <c r="B1149" s="1387" t="s">
        <v>190</v>
      </c>
      <c r="E1149" s="1016">
        <v>0</v>
      </c>
      <c r="F1149" s="1016">
        <v>0</v>
      </c>
      <c r="G1149" s="1016">
        <v>0</v>
      </c>
      <c r="H1149" s="1016">
        <v>1</v>
      </c>
      <c r="I1149" s="1016">
        <v>0</v>
      </c>
      <c r="J1149" s="1016">
        <v>3</v>
      </c>
      <c r="K1149" s="1016">
        <v>1</v>
      </c>
      <c r="L1149" s="1016">
        <v>1</v>
      </c>
      <c r="M1149" s="1016">
        <v>4</v>
      </c>
      <c r="N1149" s="1016">
        <v>1</v>
      </c>
      <c r="O1149" s="1016">
        <v>2</v>
      </c>
      <c r="P1149" s="1016">
        <v>10</v>
      </c>
      <c r="Q1149" s="1016">
        <v>3</v>
      </c>
      <c r="R1149" s="1016">
        <v>0</v>
      </c>
      <c r="S1149" s="1016">
        <v>2</v>
      </c>
      <c r="T1149" s="1016">
        <v>18</v>
      </c>
      <c r="U1149" s="1016">
        <v>6</v>
      </c>
      <c r="V1149" s="1016">
        <v>2</v>
      </c>
      <c r="W1149" s="1016">
        <v>9</v>
      </c>
      <c r="X1149" s="1016">
        <v>6</v>
      </c>
      <c r="Y1149" s="1016">
        <v>19</v>
      </c>
      <c r="Z1149" s="1016">
        <v>8</v>
      </c>
      <c r="AA1149" s="1016">
        <v>3</v>
      </c>
      <c r="AB1149" s="1016">
        <v>0</v>
      </c>
      <c r="AC1149" s="1016">
        <v>6</v>
      </c>
      <c r="AD1149" s="1016">
        <v>1</v>
      </c>
      <c r="AE1149" s="1016">
        <v>8</v>
      </c>
      <c r="AF1149" s="1016">
        <v>3</v>
      </c>
      <c r="AG1149" s="1016">
        <v>9</v>
      </c>
      <c r="AH1149" s="1016">
        <v>2</v>
      </c>
      <c r="AI1149" s="1016">
        <v>6</v>
      </c>
      <c r="AJ1149" s="1016">
        <v>7</v>
      </c>
      <c r="AK1149" s="1016">
        <v>5</v>
      </c>
      <c r="AL1149" s="1016">
        <v>4</v>
      </c>
      <c r="AM1149" s="1016">
        <v>1</v>
      </c>
      <c r="AN1149" s="1016">
        <v>4</v>
      </c>
      <c r="AO1149" s="1016">
        <v>8</v>
      </c>
      <c r="AP1149" s="1016">
        <v>0</v>
      </c>
      <c r="AS1149" s="1016">
        <v>163</v>
      </c>
    </row>
    <row r="1150" spans="2:45" outlineLevel="1">
      <c r="B1150" s="1387" t="s">
        <v>461</v>
      </c>
      <c r="M1150" s="1016">
        <v>0</v>
      </c>
      <c r="N1150" s="1016">
        <v>0</v>
      </c>
      <c r="O1150" s="1016">
        <v>0</v>
      </c>
      <c r="P1150" s="1016">
        <v>0</v>
      </c>
      <c r="AS1150" s="1016">
        <v>0</v>
      </c>
    </row>
    <row r="1151" spans="2:45" outlineLevel="1">
      <c r="B1151" s="1387" t="s">
        <v>92</v>
      </c>
      <c r="C1151" s="1016">
        <v>0</v>
      </c>
      <c r="D1151" s="1016">
        <v>0</v>
      </c>
      <c r="E1151" s="1016">
        <v>1</v>
      </c>
      <c r="F1151" s="1016">
        <v>1</v>
      </c>
      <c r="G1151" s="1016">
        <v>0</v>
      </c>
      <c r="H1151" s="1016">
        <v>0</v>
      </c>
      <c r="I1151" s="1016">
        <v>13</v>
      </c>
      <c r="J1151" s="1016">
        <v>0</v>
      </c>
      <c r="K1151" s="1016">
        <v>7</v>
      </c>
      <c r="L1151" s="1016">
        <v>8</v>
      </c>
      <c r="M1151" s="1016">
        <v>1</v>
      </c>
      <c r="N1151" s="1016">
        <v>0</v>
      </c>
      <c r="O1151" s="1016">
        <v>5</v>
      </c>
      <c r="P1151" s="1016">
        <v>15</v>
      </c>
      <c r="Q1151" s="1016">
        <v>0</v>
      </c>
      <c r="R1151" s="1016">
        <v>0</v>
      </c>
      <c r="S1151" s="1016">
        <v>25</v>
      </c>
      <c r="T1151" s="1016">
        <v>35</v>
      </c>
      <c r="U1151" s="1016">
        <v>6</v>
      </c>
      <c r="V1151" s="1016">
        <v>9</v>
      </c>
      <c r="W1151" s="1016">
        <v>10</v>
      </c>
      <c r="X1151" s="1016">
        <v>6</v>
      </c>
      <c r="Y1151" s="1016">
        <v>8</v>
      </c>
      <c r="Z1151" s="1016">
        <v>14</v>
      </c>
      <c r="AA1151" s="1016">
        <v>4</v>
      </c>
      <c r="AB1151" s="1016">
        <v>5</v>
      </c>
      <c r="AC1151" s="1016">
        <v>14</v>
      </c>
      <c r="AD1151" s="1016">
        <v>26</v>
      </c>
      <c r="AE1151" s="1016">
        <v>17</v>
      </c>
      <c r="AF1151" s="1016">
        <v>9</v>
      </c>
      <c r="AG1151" s="1016">
        <v>26</v>
      </c>
      <c r="AH1151" s="1016">
        <v>11</v>
      </c>
      <c r="AI1151" s="1016">
        <v>12</v>
      </c>
      <c r="AJ1151" s="1016">
        <v>1</v>
      </c>
      <c r="AK1151" s="1016">
        <v>14</v>
      </c>
      <c r="AL1151" s="1016">
        <v>6</v>
      </c>
      <c r="AM1151" s="1016">
        <v>0</v>
      </c>
      <c r="AN1151" s="1016">
        <v>3</v>
      </c>
      <c r="AO1151" s="1016">
        <v>9</v>
      </c>
      <c r="AP1151" s="1016">
        <v>18</v>
      </c>
      <c r="AQ1151" s="1016">
        <v>0</v>
      </c>
      <c r="AS1151" s="1016">
        <v>339</v>
      </c>
    </row>
    <row r="1152" spans="2:45" outlineLevel="1">
      <c r="B1152" s="1387" t="s">
        <v>17</v>
      </c>
      <c r="C1152" s="1016">
        <v>3</v>
      </c>
      <c r="D1152" s="1016">
        <v>0</v>
      </c>
      <c r="E1152" s="1016">
        <v>0</v>
      </c>
      <c r="F1152" s="1016">
        <v>3</v>
      </c>
      <c r="G1152" s="1016">
        <v>1</v>
      </c>
      <c r="H1152" s="1016">
        <v>1</v>
      </c>
      <c r="I1152" s="1016">
        <v>4</v>
      </c>
      <c r="J1152" s="1016">
        <v>3</v>
      </c>
      <c r="K1152" s="1016">
        <v>6</v>
      </c>
      <c r="L1152" s="1016">
        <v>7</v>
      </c>
      <c r="M1152" s="1016">
        <v>2</v>
      </c>
      <c r="N1152" s="1016">
        <v>0</v>
      </c>
      <c r="O1152" s="1016">
        <v>5</v>
      </c>
      <c r="P1152" s="1016">
        <v>6</v>
      </c>
      <c r="Q1152" s="1016">
        <v>1</v>
      </c>
      <c r="R1152" s="1016">
        <v>1</v>
      </c>
      <c r="S1152" s="1016">
        <v>14</v>
      </c>
      <c r="T1152" s="1016">
        <v>22</v>
      </c>
      <c r="U1152" s="1016">
        <v>13</v>
      </c>
      <c r="V1152" s="1016">
        <v>7</v>
      </c>
      <c r="W1152" s="1016">
        <v>11</v>
      </c>
      <c r="X1152" s="1016">
        <v>7</v>
      </c>
      <c r="Y1152" s="1016">
        <v>8</v>
      </c>
      <c r="Z1152" s="1016">
        <v>2</v>
      </c>
      <c r="AA1152" s="1016">
        <v>7</v>
      </c>
      <c r="AB1152" s="1016">
        <v>4</v>
      </c>
      <c r="AC1152" s="1016">
        <v>4</v>
      </c>
      <c r="AD1152" s="1016">
        <v>16</v>
      </c>
      <c r="AE1152" s="1016">
        <v>13</v>
      </c>
      <c r="AF1152" s="1016">
        <v>7</v>
      </c>
      <c r="AG1152" s="1016">
        <v>5</v>
      </c>
      <c r="AH1152" s="1016">
        <v>5</v>
      </c>
      <c r="AI1152" s="1016">
        <v>2</v>
      </c>
      <c r="AJ1152" s="1016">
        <v>7</v>
      </c>
      <c r="AK1152" s="1016">
        <v>4</v>
      </c>
      <c r="AL1152" s="1016">
        <v>3</v>
      </c>
      <c r="AM1152" s="1016">
        <v>0</v>
      </c>
      <c r="AN1152" s="1016">
        <v>0</v>
      </c>
      <c r="AO1152" s="1016">
        <v>1</v>
      </c>
      <c r="AP1152" s="1016">
        <v>2</v>
      </c>
      <c r="AQ1152" s="1016">
        <v>2</v>
      </c>
      <c r="AR1152" s="1016">
        <v>3</v>
      </c>
      <c r="AS1152" s="1016">
        <v>212</v>
      </c>
    </row>
    <row r="1153" spans="2:45" outlineLevel="1">
      <c r="B1153" s="1387" t="s">
        <v>188</v>
      </c>
      <c r="E1153" s="1016">
        <v>0</v>
      </c>
      <c r="F1153" s="1016">
        <v>0</v>
      </c>
      <c r="G1153" s="1016">
        <v>0</v>
      </c>
      <c r="H1153" s="1016">
        <v>0</v>
      </c>
      <c r="I1153" s="1016">
        <v>3</v>
      </c>
      <c r="J1153" s="1016">
        <v>5</v>
      </c>
      <c r="K1153" s="1016">
        <v>3</v>
      </c>
      <c r="L1153" s="1016">
        <v>6</v>
      </c>
      <c r="M1153" s="1016">
        <v>7</v>
      </c>
      <c r="N1153" s="1016">
        <v>0</v>
      </c>
      <c r="O1153" s="1016">
        <v>13</v>
      </c>
      <c r="P1153" s="1016">
        <v>20</v>
      </c>
      <c r="Q1153" s="1016">
        <v>10</v>
      </c>
      <c r="R1153" s="1016">
        <v>0</v>
      </c>
      <c r="S1153" s="1016">
        <v>9</v>
      </c>
      <c r="T1153" s="1016">
        <v>40</v>
      </c>
      <c r="U1153" s="1016">
        <v>17</v>
      </c>
      <c r="V1153" s="1016">
        <v>6</v>
      </c>
      <c r="W1153" s="1016">
        <v>8</v>
      </c>
      <c r="X1153" s="1016">
        <v>3</v>
      </c>
      <c r="Y1153" s="1016">
        <v>14</v>
      </c>
      <c r="Z1153" s="1016">
        <v>17</v>
      </c>
      <c r="AA1153" s="1016">
        <v>18</v>
      </c>
      <c r="AB1153" s="1016">
        <v>21</v>
      </c>
      <c r="AC1153" s="1016">
        <v>18</v>
      </c>
      <c r="AD1153" s="1016">
        <v>20</v>
      </c>
      <c r="AE1153" s="1016">
        <v>21</v>
      </c>
      <c r="AF1153" s="1016">
        <v>18</v>
      </c>
      <c r="AG1153" s="1016">
        <v>40</v>
      </c>
      <c r="AH1153" s="1016">
        <v>34</v>
      </c>
      <c r="AI1153" s="1016">
        <v>12</v>
      </c>
      <c r="AJ1153" s="1016">
        <v>12</v>
      </c>
      <c r="AK1153" s="1016">
        <v>24</v>
      </c>
      <c r="AL1153" s="1016">
        <v>7</v>
      </c>
      <c r="AM1153" s="1016">
        <v>9</v>
      </c>
      <c r="AN1153" s="1016">
        <v>39</v>
      </c>
      <c r="AO1153" s="1016">
        <v>28</v>
      </c>
      <c r="AP1153" s="1016">
        <v>22</v>
      </c>
      <c r="AS1153" s="1016">
        <v>524</v>
      </c>
    </row>
    <row r="1154" spans="2:45" outlineLevel="1">
      <c r="B1154" s="1387" t="s">
        <v>483</v>
      </c>
      <c r="N1154" s="1016">
        <v>0</v>
      </c>
      <c r="O1154" s="1016">
        <v>0</v>
      </c>
      <c r="P1154" s="1016">
        <v>0</v>
      </c>
      <c r="Q1154" s="1016">
        <v>0</v>
      </c>
      <c r="R1154" s="1016">
        <v>0</v>
      </c>
      <c r="S1154" s="1016">
        <v>0</v>
      </c>
      <c r="T1154" s="1016">
        <v>9</v>
      </c>
      <c r="U1154" s="1016">
        <v>6</v>
      </c>
      <c r="V1154" s="1016">
        <v>5</v>
      </c>
      <c r="W1154" s="1016">
        <v>4</v>
      </c>
      <c r="X1154" s="1016">
        <v>7</v>
      </c>
      <c r="Y1154" s="1016">
        <v>11</v>
      </c>
      <c r="Z1154" s="1016">
        <v>7</v>
      </c>
      <c r="AA1154" s="1016">
        <v>1</v>
      </c>
      <c r="AB1154" s="1016">
        <v>6</v>
      </c>
      <c r="AC1154" s="1016">
        <v>9</v>
      </c>
      <c r="AD1154" s="1016">
        <v>11</v>
      </c>
      <c r="AE1154" s="1016">
        <v>16</v>
      </c>
      <c r="AF1154" s="1016">
        <v>10</v>
      </c>
      <c r="AG1154" s="1016">
        <v>12</v>
      </c>
      <c r="AH1154" s="1016">
        <v>14</v>
      </c>
      <c r="AI1154" s="1016">
        <v>9</v>
      </c>
      <c r="AJ1154" s="1016">
        <v>7</v>
      </c>
      <c r="AK1154" s="1016">
        <v>11</v>
      </c>
      <c r="AL1154" s="1016">
        <v>3</v>
      </c>
      <c r="AM1154" s="1016">
        <v>0</v>
      </c>
      <c r="AN1154" s="1016">
        <v>0</v>
      </c>
      <c r="AO1154" s="1016">
        <v>0</v>
      </c>
      <c r="AP1154" s="1016">
        <v>0</v>
      </c>
      <c r="AS1154" s="1016">
        <v>158</v>
      </c>
    </row>
    <row r="1155" spans="2:45" outlineLevel="1">
      <c r="B1155" s="1387" t="s">
        <v>381</v>
      </c>
      <c r="I1155" s="1016">
        <v>6</v>
      </c>
      <c r="J1155" s="1016">
        <v>0</v>
      </c>
      <c r="K1155" s="1016">
        <v>1</v>
      </c>
      <c r="N1155" s="1016">
        <v>0</v>
      </c>
      <c r="O1155" s="1016">
        <v>0</v>
      </c>
      <c r="P1155" s="1016">
        <v>0</v>
      </c>
      <c r="S1155" s="1016">
        <v>0</v>
      </c>
      <c r="T1155" s="1016">
        <v>0</v>
      </c>
      <c r="U1155" s="1016">
        <v>0</v>
      </c>
      <c r="V1155" s="1016">
        <v>0</v>
      </c>
      <c r="W1155" s="1016">
        <v>10</v>
      </c>
      <c r="X1155" s="1016">
        <v>1</v>
      </c>
      <c r="Y1155" s="1016">
        <v>9</v>
      </c>
      <c r="Z1155" s="1016">
        <v>4</v>
      </c>
      <c r="AA1155" s="1016">
        <v>2</v>
      </c>
      <c r="AB1155" s="1016">
        <v>0</v>
      </c>
      <c r="AC1155" s="1016">
        <v>15</v>
      </c>
      <c r="AD1155" s="1016">
        <v>2</v>
      </c>
      <c r="AE1155" s="1016">
        <v>36</v>
      </c>
      <c r="AF1155" s="1016">
        <v>15</v>
      </c>
      <c r="AG1155" s="1016">
        <v>9</v>
      </c>
      <c r="AH1155" s="1016">
        <v>0</v>
      </c>
      <c r="AI1155" s="1016">
        <v>0</v>
      </c>
      <c r="AJ1155" s="1016">
        <v>0</v>
      </c>
      <c r="AS1155" s="1016">
        <v>110</v>
      </c>
    </row>
    <row r="1156" spans="2:45" outlineLevel="1">
      <c r="B1156" s="1387" t="s">
        <v>629</v>
      </c>
      <c r="Q1156" s="1016">
        <v>0</v>
      </c>
      <c r="R1156" s="1016">
        <v>0</v>
      </c>
      <c r="S1156" s="1016">
        <v>0</v>
      </c>
      <c r="T1156" s="1016">
        <v>0</v>
      </c>
      <c r="U1156" s="1016">
        <v>8</v>
      </c>
      <c r="V1156" s="1016">
        <v>13</v>
      </c>
      <c r="W1156" s="1016">
        <v>8</v>
      </c>
      <c r="X1156" s="1016">
        <v>10</v>
      </c>
      <c r="Y1156" s="1016">
        <v>6</v>
      </c>
      <c r="Z1156" s="1016">
        <v>4</v>
      </c>
      <c r="AA1156" s="1016">
        <v>4</v>
      </c>
      <c r="AB1156" s="1016">
        <v>4</v>
      </c>
      <c r="AC1156" s="1016">
        <v>5</v>
      </c>
      <c r="AD1156" s="1016">
        <v>10</v>
      </c>
      <c r="AE1156" s="1016">
        <v>7</v>
      </c>
      <c r="AF1156" s="1016">
        <v>14</v>
      </c>
      <c r="AG1156" s="1016">
        <v>8</v>
      </c>
      <c r="AH1156" s="1016">
        <v>3</v>
      </c>
      <c r="AI1156" s="1016">
        <v>7</v>
      </c>
      <c r="AJ1156" s="1016">
        <v>4</v>
      </c>
      <c r="AK1156" s="1016">
        <v>1</v>
      </c>
      <c r="AL1156" s="1016">
        <v>3</v>
      </c>
      <c r="AM1156" s="1016">
        <v>0</v>
      </c>
      <c r="AN1156" s="1016">
        <v>3</v>
      </c>
      <c r="AO1156" s="1016">
        <v>2</v>
      </c>
      <c r="AP1156" s="1016">
        <v>0</v>
      </c>
      <c r="AS1156" s="1016">
        <v>124</v>
      </c>
    </row>
    <row r="1157" spans="2:45" outlineLevel="1">
      <c r="B1157" s="1387" t="s">
        <v>645</v>
      </c>
      <c r="R1157" s="1016">
        <v>0</v>
      </c>
      <c r="S1157" s="1016">
        <v>2</v>
      </c>
      <c r="T1157" s="1016">
        <v>0</v>
      </c>
      <c r="U1157" s="1016">
        <v>0</v>
      </c>
      <c r="V1157" s="1016">
        <v>6</v>
      </c>
      <c r="W1157" s="1016">
        <v>4</v>
      </c>
      <c r="X1157" s="1016">
        <v>0</v>
      </c>
      <c r="Y1157" s="1016">
        <v>0</v>
      </c>
      <c r="Z1157" s="1016">
        <v>3</v>
      </c>
      <c r="AA1157" s="1016">
        <v>1</v>
      </c>
      <c r="AB1157" s="1016">
        <v>3</v>
      </c>
      <c r="AC1157" s="1016">
        <v>9</v>
      </c>
      <c r="AD1157" s="1016">
        <v>3</v>
      </c>
      <c r="AE1157" s="1016">
        <v>25</v>
      </c>
      <c r="AF1157" s="1016">
        <v>10</v>
      </c>
      <c r="AG1157" s="1016">
        <v>6</v>
      </c>
      <c r="AH1157" s="1016">
        <v>5</v>
      </c>
      <c r="AI1157" s="1016">
        <v>5</v>
      </c>
      <c r="AJ1157" s="1016">
        <v>5</v>
      </c>
      <c r="AK1157" s="1016">
        <v>16</v>
      </c>
      <c r="AL1157" s="1016">
        <v>7</v>
      </c>
      <c r="AM1157" s="1016">
        <v>4</v>
      </c>
      <c r="AN1157" s="1016">
        <v>12</v>
      </c>
      <c r="AO1157" s="1016">
        <v>0</v>
      </c>
      <c r="AP1157" s="1016">
        <v>0</v>
      </c>
      <c r="AQ1157" s="1016">
        <v>2</v>
      </c>
      <c r="AR1157" s="1016">
        <v>16</v>
      </c>
      <c r="AS1157" s="1016">
        <v>144</v>
      </c>
    </row>
    <row r="1158" spans="2:45" outlineLevel="1">
      <c r="B1158" s="1387" t="s">
        <v>641</v>
      </c>
      <c r="R1158" s="1016">
        <v>0</v>
      </c>
      <c r="S1158" s="1016">
        <v>0</v>
      </c>
      <c r="T1158" s="1016">
        <v>0</v>
      </c>
      <c r="U1158" s="1016">
        <v>0</v>
      </c>
      <c r="V1158" s="1016">
        <v>3</v>
      </c>
      <c r="W1158" s="1016">
        <v>10</v>
      </c>
      <c r="X1158" s="1016">
        <v>6</v>
      </c>
      <c r="Y1158" s="1016">
        <v>2</v>
      </c>
      <c r="Z1158" s="1016">
        <v>11</v>
      </c>
      <c r="AA1158" s="1016">
        <v>15</v>
      </c>
      <c r="AB1158" s="1016">
        <v>2</v>
      </c>
      <c r="AC1158" s="1016">
        <v>7</v>
      </c>
      <c r="AD1158" s="1016">
        <v>8</v>
      </c>
      <c r="AE1158" s="1016">
        <v>9</v>
      </c>
      <c r="AF1158" s="1016">
        <v>14</v>
      </c>
      <c r="AG1158" s="1016">
        <v>1</v>
      </c>
      <c r="AH1158" s="1016">
        <v>0</v>
      </c>
      <c r="AI1158" s="1016">
        <v>7</v>
      </c>
      <c r="AJ1158" s="1016">
        <v>0</v>
      </c>
      <c r="AK1158" s="1016">
        <v>0</v>
      </c>
      <c r="AL1158" s="1016">
        <v>9</v>
      </c>
      <c r="AM1158" s="1016">
        <v>5</v>
      </c>
      <c r="AN1158" s="1016">
        <v>1</v>
      </c>
      <c r="AO1158" s="1016">
        <v>7</v>
      </c>
      <c r="AP1158" s="1016">
        <v>19</v>
      </c>
      <c r="AQ1158" s="1016">
        <v>0</v>
      </c>
      <c r="AR1158" s="1016">
        <v>10</v>
      </c>
      <c r="AS1158" s="1016">
        <v>146</v>
      </c>
    </row>
    <row r="1159" spans="2:45" outlineLevel="1">
      <c r="B1159" s="1387" t="s">
        <v>643</v>
      </c>
      <c r="R1159" s="1016">
        <v>0</v>
      </c>
      <c r="S1159" s="1016">
        <v>0</v>
      </c>
      <c r="T1159" s="1016">
        <v>0</v>
      </c>
      <c r="U1159" s="1016">
        <v>0</v>
      </c>
      <c r="V1159" s="1016">
        <v>1</v>
      </c>
      <c r="W1159" s="1016">
        <v>4</v>
      </c>
      <c r="X1159" s="1016">
        <v>2</v>
      </c>
      <c r="Y1159" s="1016">
        <v>10</v>
      </c>
      <c r="Z1159" s="1016">
        <v>7</v>
      </c>
      <c r="AA1159" s="1016">
        <v>6</v>
      </c>
      <c r="AB1159" s="1016">
        <v>1</v>
      </c>
      <c r="AC1159" s="1016">
        <v>5</v>
      </c>
      <c r="AD1159" s="1016">
        <v>0</v>
      </c>
      <c r="AE1159" s="1016">
        <v>6</v>
      </c>
      <c r="AF1159" s="1016">
        <v>1</v>
      </c>
      <c r="AS1159" s="1016">
        <v>43</v>
      </c>
    </row>
    <row r="1160" spans="2:45" outlineLevel="1">
      <c r="B1160" s="1387" t="s">
        <v>644</v>
      </c>
      <c r="R1160" s="1016">
        <v>0</v>
      </c>
      <c r="S1160" s="1016">
        <v>0</v>
      </c>
      <c r="T1160" s="1016">
        <v>0</v>
      </c>
      <c r="U1160" s="1016">
        <v>0</v>
      </c>
      <c r="V1160" s="1016">
        <v>0</v>
      </c>
      <c r="W1160" s="1016">
        <v>4</v>
      </c>
      <c r="X1160" s="1016">
        <v>5</v>
      </c>
      <c r="Y1160" s="1016">
        <v>2</v>
      </c>
      <c r="Z1160" s="1016">
        <v>2</v>
      </c>
      <c r="AA1160" s="1016">
        <v>0</v>
      </c>
      <c r="AB1160" s="1016">
        <v>0</v>
      </c>
      <c r="AC1160" s="1016">
        <v>4</v>
      </c>
      <c r="AD1160" s="1016">
        <v>8</v>
      </c>
      <c r="AE1160" s="1016">
        <v>7</v>
      </c>
      <c r="AF1160" s="1016">
        <v>4</v>
      </c>
      <c r="AG1160" s="1016">
        <v>12</v>
      </c>
      <c r="AH1160" s="1016">
        <v>5</v>
      </c>
      <c r="AI1160" s="1016">
        <v>8</v>
      </c>
      <c r="AJ1160" s="1016">
        <v>10</v>
      </c>
      <c r="AK1160" s="1016">
        <v>9</v>
      </c>
      <c r="AL1160" s="1016">
        <v>10</v>
      </c>
      <c r="AM1160" s="1016">
        <v>3</v>
      </c>
      <c r="AN1160" s="1016">
        <v>0</v>
      </c>
      <c r="AO1160" s="1016">
        <v>7</v>
      </c>
      <c r="AP1160" s="1016">
        <v>0</v>
      </c>
      <c r="AQ1160" s="1016">
        <v>3</v>
      </c>
      <c r="AR1160" s="1016">
        <v>1</v>
      </c>
      <c r="AS1160" s="1016">
        <v>104</v>
      </c>
    </row>
    <row r="1161" spans="2:45" outlineLevel="1">
      <c r="B1161" s="1387" t="s">
        <v>655</v>
      </c>
      <c r="R1161" s="1016">
        <v>0</v>
      </c>
      <c r="S1161" s="1016">
        <v>0</v>
      </c>
      <c r="T1161" s="1016">
        <v>0</v>
      </c>
      <c r="U1161" s="1016">
        <v>4</v>
      </c>
      <c r="V1161" s="1016">
        <v>4</v>
      </c>
      <c r="W1161" s="1016">
        <v>6</v>
      </c>
      <c r="X1161" s="1016">
        <v>2</v>
      </c>
      <c r="Y1161" s="1016">
        <v>8</v>
      </c>
      <c r="Z1161" s="1016">
        <v>0</v>
      </c>
      <c r="AA1161" s="1016">
        <v>7</v>
      </c>
      <c r="AB1161" s="1016">
        <v>18</v>
      </c>
      <c r="AC1161" s="1016">
        <v>10</v>
      </c>
      <c r="AD1161" s="1016">
        <v>16</v>
      </c>
      <c r="AE1161" s="1016">
        <v>18</v>
      </c>
      <c r="AF1161" s="1016">
        <v>25</v>
      </c>
      <c r="AG1161" s="1016">
        <v>22</v>
      </c>
      <c r="AH1161" s="1016">
        <v>11</v>
      </c>
      <c r="AI1161" s="1016">
        <v>19</v>
      </c>
      <c r="AJ1161" s="1016">
        <v>6</v>
      </c>
      <c r="AK1161" s="1016">
        <v>5</v>
      </c>
      <c r="AL1161" s="1016">
        <v>9</v>
      </c>
      <c r="AM1161" s="1016">
        <v>0</v>
      </c>
      <c r="AN1161" s="1016">
        <v>15</v>
      </c>
      <c r="AO1161" s="1016">
        <v>0</v>
      </c>
      <c r="AP1161" s="1016">
        <v>15</v>
      </c>
      <c r="AQ1161" s="1016">
        <v>3</v>
      </c>
      <c r="AS1161" s="1016">
        <v>223</v>
      </c>
    </row>
    <row r="1162" spans="2:45" outlineLevel="1">
      <c r="B1162" s="1387" t="s">
        <v>656</v>
      </c>
      <c r="R1162" s="1016">
        <v>0</v>
      </c>
      <c r="S1162" s="1016">
        <v>0</v>
      </c>
      <c r="T1162" s="1016">
        <v>0</v>
      </c>
      <c r="U1162" s="1016">
        <v>0</v>
      </c>
      <c r="V1162" s="1016">
        <v>3</v>
      </c>
      <c r="W1162" s="1016">
        <v>6</v>
      </c>
      <c r="X1162" s="1016">
        <v>0</v>
      </c>
      <c r="Y1162" s="1016">
        <v>0</v>
      </c>
      <c r="Z1162" s="1016">
        <v>1</v>
      </c>
      <c r="AA1162" s="1016">
        <v>8</v>
      </c>
      <c r="AB1162" s="1016">
        <v>0</v>
      </c>
      <c r="AC1162" s="1016">
        <v>11</v>
      </c>
      <c r="AD1162" s="1016">
        <v>0</v>
      </c>
      <c r="AE1162" s="1016">
        <v>19</v>
      </c>
      <c r="AF1162" s="1016">
        <v>30</v>
      </c>
      <c r="AG1162" s="1016">
        <v>30</v>
      </c>
      <c r="AH1162" s="1016">
        <v>3</v>
      </c>
      <c r="AI1162" s="1016">
        <v>6</v>
      </c>
      <c r="AJ1162" s="1016">
        <v>10</v>
      </c>
      <c r="AK1162" s="1016">
        <v>24</v>
      </c>
      <c r="AL1162" s="1016">
        <v>19</v>
      </c>
      <c r="AM1162" s="1016">
        <v>13</v>
      </c>
      <c r="AN1162" s="1016">
        <v>9</v>
      </c>
      <c r="AO1162" s="1016">
        <v>14</v>
      </c>
      <c r="AP1162" s="1016">
        <v>20</v>
      </c>
      <c r="AS1162" s="1016">
        <v>226</v>
      </c>
    </row>
    <row r="1163" spans="2:45" outlineLevel="1">
      <c r="B1163" s="1387" t="s">
        <v>697</v>
      </c>
      <c r="S1163" s="1016">
        <v>0</v>
      </c>
      <c r="T1163" s="1016">
        <v>0</v>
      </c>
      <c r="U1163" s="1016">
        <v>0</v>
      </c>
      <c r="V1163" s="1016">
        <v>0</v>
      </c>
      <c r="W1163" s="1016">
        <v>0</v>
      </c>
      <c r="X1163" s="1016">
        <v>0</v>
      </c>
      <c r="Y1163" s="1016">
        <v>0</v>
      </c>
      <c r="Z1163" s="1016">
        <v>6</v>
      </c>
      <c r="AA1163" s="1016">
        <v>8</v>
      </c>
      <c r="AB1163" s="1016">
        <v>2</v>
      </c>
      <c r="AC1163" s="1016">
        <v>17</v>
      </c>
      <c r="AD1163" s="1016">
        <v>16</v>
      </c>
      <c r="AE1163" s="1016">
        <v>15</v>
      </c>
      <c r="AF1163" s="1016">
        <v>16</v>
      </c>
      <c r="AG1163" s="1016">
        <v>18</v>
      </c>
      <c r="AH1163" s="1016">
        <v>8</v>
      </c>
      <c r="AI1163" s="1016">
        <v>13</v>
      </c>
      <c r="AJ1163" s="1016">
        <v>5</v>
      </c>
      <c r="AK1163" s="1016">
        <v>6</v>
      </c>
      <c r="AL1163" s="1016">
        <v>24</v>
      </c>
      <c r="AM1163" s="1016">
        <v>7</v>
      </c>
      <c r="AN1163" s="1016">
        <v>2</v>
      </c>
      <c r="AO1163" s="1016">
        <v>3</v>
      </c>
      <c r="AP1163" s="1016">
        <v>5</v>
      </c>
      <c r="AQ1163" s="1016">
        <v>7</v>
      </c>
      <c r="AR1163" s="1016">
        <v>7</v>
      </c>
      <c r="AS1163" s="1016">
        <v>185</v>
      </c>
    </row>
    <row r="1164" spans="2:45" outlineLevel="1">
      <c r="B1164" s="1387" t="s">
        <v>658</v>
      </c>
      <c r="AK1164" s="1016">
        <v>0</v>
      </c>
      <c r="AL1164" s="1016">
        <v>0</v>
      </c>
      <c r="AM1164" s="1016">
        <v>0</v>
      </c>
      <c r="AN1164" s="1016">
        <v>0</v>
      </c>
      <c r="AO1164" s="1016">
        <v>0</v>
      </c>
      <c r="AP1164" s="1016">
        <v>0</v>
      </c>
      <c r="AS1164" s="1016">
        <v>0</v>
      </c>
    </row>
    <row r="1165" spans="2:45" outlineLevel="1">
      <c r="B1165" s="1387" t="s">
        <v>698</v>
      </c>
      <c r="T1165" s="1016">
        <v>0</v>
      </c>
      <c r="U1165" s="1016">
        <v>0</v>
      </c>
      <c r="V1165" s="1016">
        <v>1</v>
      </c>
      <c r="W1165" s="1016">
        <v>2</v>
      </c>
      <c r="X1165" s="1016">
        <v>0</v>
      </c>
      <c r="Y1165" s="1016">
        <v>0</v>
      </c>
      <c r="Z1165" s="1016">
        <v>6</v>
      </c>
      <c r="AA1165" s="1016">
        <v>5</v>
      </c>
      <c r="AB1165" s="1016">
        <v>5</v>
      </c>
      <c r="AC1165" s="1016">
        <v>4</v>
      </c>
      <c r="AD1165" s="1016">
        <v>12</v>
      </c>
      <c r="AE1165" s="1016">
        <v>16</v>
      </c>
      <c r="AF1165" s="1016">
        <v>11</v>
      </c>
      <c r="AG1165" s="1016">
        <v>15</v>
      </c>
      <c r="AH1165" s="1016">
        <v>7</v>
      </c>
      <c r="AI1165" s="1016">
        <v>4</v>
      </c>
      <c r="AJ1165" s="1016">
        <v>6</v>
      </c>
      <c r="AK1165" s="1016">
        <v>7</v>
      </c>
      <c r="AL1165" s="1016">
        <v>15</v>
      </c>
      <c r="AM1165" s="1016">
        <v>0</v>
      </c>
      <c r="AN1165" s="1016">
        <v>13</v>
      </c>
      <c r="AO1165" s="1016">
        <v>2</v>
      </c>
      <c r="AP1165" s="1016">
        <v>4</v>
      </c>
      <c r="AQ1165" s="1016">
        <v>1</v>
      </c>
      <c r="AS1165" s="1016">
        <v>136</v>
      </c>
    </row>
    <row r="1166" spans="2:45" outlineLevel="1">
      <c r="B1166" s="1387" t="s">
        <v>790</v>
      </c>
      <c r="T1166" s="1016">
        <v>0</v>
      </c>
      <c r="U1166" s="1016">
        <v>0</v>
      </c>
      <c r="V1166" s="1016">
        <v>0</v>
      </c>
      <c r="W1166" s="1016">
        <v>0</v>
      </c>
      <c r="X1166" s="1016">
        <v>0</v>
      </c>
      <c r="Y1166" s="1016">
        <v>0</v>
      </c>
      <c r="Z1166" s="1016">
        <v>4</v>
      </c>
      <c r="AA1166" s="1016">
        <v>1</v>
      </c>
      <c r="AB1166" s="1016">
        <v>0</v>
      </c>
      <c r="AC1166" s="1016">
        <v>9</v>
      </c>
      <c r="AD1166" s="1016">
        <v>1</v>
      </c>
      <c r="AE1166" s="1016">
        <v>10</v>
      </c>
      <c r="AF1166" s="1016">
        <v>2</v>
      </c>
      <c r="AG1166" s="1016">
        <v>3</v>
      </c>
      <c r="AH1166" s="1016">
        <v>4</v>
      </c>
      <c r="AI1166" s="1016">
        <v>8</v>
      </c>
      <c r="AJ1166" s="1016">
        <v>9</v>
      </c>
      <c r="AK1166" s="1016">
        <v>13</v>
      </c>
      <c r="AL1166" s="1016">
        <v>14</v>
      </c>
      <c r="AM1166" s="1016">
        <v>0</v>
      </c>
      <c r="AN1166" s="1016">
        <v>6</v>
      </c>
      <c r="AO1166" s="1016">
        <v>7</v>
      </c>
      <c r="AP1166" s="1016">
        <v>6</v>
      </c>
      <c r="AQ1166" s="1016">
        <v>21</v>
      </c>
      <c r="AR1166" s="1016">
        <v>10</v>
      </c>
      <c r="AS1166" s="1016">
        <v>128</v>
      </c>
    </row>
    <row r="1167" spans="2:45" outlineLevel="1">
      <c r="B1167" s="1387" t="s">
        <v>797</v>
      </c>
      <c r="U1167" s="1016">
        <v>0</v>
      </c>
      <c r="V1167" s="1016">
        <v>0</v>
      </c>
      <c r="W1167" s="1016">
        <v>0</v>
      </c>
      <c r="X1167" s="1016">
        <v>0</v>
      </c>
      <c r="Y1167" s="1016">
        <v>0</v>
      </c>
      <c r="Z1167" s="1016">
        <v>5</v>
      </c>
      <c r="AA1167" s="1016">
        <v>8</v>
      </c>
      <c r="AB1167" s="1016">
        <v>5</v>
      </c>
      <c r="AC1167" s="1016">
        <v>10</v>
      </c>
      <c r="AD1167" s="1016">
        <v>18</v>
      </c>
      <c r="AE1167" s="1016">
        <v>5</v>
      </c>
      <c r="AF1167" s="1016">
        <v>36</v>
      </c>
      <c r="AG1167" s="1016">
        <v>14</v>
      </c>
      <c r="AH1167" s="1016">
        <v>11</v>
      </c>
      <c r="AI1167" s="1016">
        <v>11</v>
      </c>
      <c r="AJ1167" s="1016">
        <v>2</v>
      </c>
      <c r="AK1167" s="1016">
        <v>21</v>
      </c>
      <c r="AL1167" s="1016">
        <v>15</v>
      </c>
      <c r="AM1167" s="1016">
        <v>0</v>
      </c>
      <c r="AN1167" s="1016">
        <v>0</v>
      </c>
      <c r="AO1167" s="1016">
        <v>6</v>
      </c>
      <c r="AP1167" s="1016">
        <v>0</v>
      </c>
      <c r="AQ1167" s="1016">
        <v>0</v>
      </c>
      <c r="AR1167" s="1016">
        <v>1</v>
      </c>
      <c r="AS1167" s="1016">
        <v>168</v>
      </c>
    </row>
    <row r="1168" spans="2:45" outlineLevel="1">
      <c r="B1168" s="1387" t="s">
        <v>800</v>
      </c>
      <c r="U1168" s="1016">
        <v>0</v>
      </c>
      <c r="V1168" s="1016">
        <v>0</v>
      </c>
      <c r="W1168" s="1016">
        <v>0</v>
      </c>
      <c r="X1168" s="1016">
        <v>0</v>
      </c>
      <c r="Y1168" s="1016">
        <v>0</v>
      </c>
      <c r="Z1168" s="1016">
        <v>0</v>
      </c>
      <c r="AA1168" s="1016">
        <v>4</v>
      </c>
      <c r="AB1168" s="1016">
        <v>7</v>
      </c>
      <c r="AC1168" s="1016">
        <v>2</v>
      </c>
      <c r="AD1168" s="1016">
        <v>7</v>
      </c>
      <c r="AE1168" s="1016">
        <v>10</v>
      </c>
      <c r="AF1168" s="1016">
        <v>2</v>
      </c>
      <c r="AG1168" s="1016">
        <v>8</v>
      </c>
      <c r="AH1168" s="1016">
        <v>4</v>
      </c>
      <c r="AI1168" s="1016">
        <v>5</v>
      </c>
      <c r="AJ1168" s="1016">
        <v>4</v>
      </c>
      <c r="AK1168" s="1016">
        <v>8</v>
      </c>
      <c r="AL1168" s="1016">
        <v>12</v>
      </c>
      <c r="AM1168" s="1016">
        <v>19</v>
      </c>
      <c r="AN1168" s="1016">
        <v>14</v>
      </c>
      <c r="AO1168" s="1016">
        <v>3</v>
      </c>
      <c r="AP1168" s="1016">
        <v>10</v>
      </c>
      <c r="AQ1168" s="1016">
        <v>11</v>
      </c>
      <c r="AR1168" s="1016">
        <v>19</v>
      </c>
      <c r="AS1168" s="1016">
        <v>149</v>
      </c>
    </row>
    <row r="1169" spans="2:45" outlineLevel="1">
      <c r="B1169" s="1387" t="s">
        <v>904</v>
      </c>
      <c r="X1169" s="1016">
        <v>0</v>
      </c>
      <c r="Y1169" s="1016">
        <v>0</v>
      </c>
      <c r="Z1169" s="1016">
        <v>0</v>
      </c>
      <c r="AA1169" s="1016">
        <v>0</v>
      </c>
      <c r="AB1169" s="1016">
        <v>0</v>
      </c>
      <c r="AC1169" s="1016">
        <v>2</v>
      </c>
      <c r="AD1169" s="1016">
        <v>1</v>
      </c>
      <c r="AE1169" s="1016">
        <v>9</v>
      </c>
      <c r="AF1169" s="1016">
        <v>9</v>
      </c>
      <c r="AG1169" s="1016">
        <v>11</v>
      </c>
      <c r="AH1169" s="1016">
        <v>6</v>
      </c>
      <c r="AI1169" s="1016">
        <v>11</v>
      </c>
      <c r="AJ1169" s="1016">
        <v>5</v>
      </c>
      <c r="AK1169" s="1016">
        <v>14</v>
      </c>
      <c r="AL1169" s="1016">
        <v>14</v>
      </c>
      <c r="AM1169" s="1016">
        <v>0</v>
      </c>
      <c r="AN1169" s="1016">
        <v>0</v>
      </c>
      <c r="AO1169" s="1016">
        <v>13</v>
      </c>
      <c r="AP1169" s="1016">
        <v>24</v>
      </c>
      <c r="AQ1169" s="1016">
        <v>2</v>
      </c>
      <c r="AR1169" s="1016">
        <v>16</v>
      </c>
      <c r="AS1169" s="1016">
        <v>137</v>
      </c>
    </row>
    <row r="1170" spans="2:45" outlineLevel="1">
      <c r="B1170" s="1387" t="s">
        <v>906</v>
      </c>
      <c r="X1170" s="1016">
        <v>0</v>
      </c>
      <c r="Y1170" s="1016">
        <v>0</v>
      </c>
      <c r="Z1170" s="1016">
        <v>0</v>
      </c>
      <c r="AA1170" s="1016">
        <v>0</v>
      </c>
      <c r="AB1170" s="1016">
        <v>0</v>
      </c>
      <c r="AC1170" s="1016">
        <v>5</v>
      </c>
      <c r="AD1170" s="1016">
        <v>5</v>
      </c>
      <c r="AE1170" s="1016">
        <v>4</v>
      </c>
      <c r="AF1170" s="1016">
        <v>0</v>
      </c>
      <c r="AG1170" s="1016">
        <v>12</v>
      </c>
      <c r="AH1170" s="1016">
        <v>6</v>
      </c>
      <c r="AI1170" s="1016">
        <v>3</v>
      </c>
      <c r="AJ1170" s="1016">
        <v>3</v>
      </c>
      <c r="AK1170" s="1016">
        <v>10</v>
      </c>
      <c r="AL1170" s="1016">
        <v>3</v>
      </c>
      <c r="AM1170" s="1016">
        <v>0</v>
      </c>
      <c r="AN1170" s="1016">
        <v>5</v>
      </c>
      <c r="AO1170" s="1016">
        <v>0</v>
      </c>
      <c r="AP1170" s="1016">
        <v>5</v>
      </c>
      <c r="AQ1170" s="1016">
        <v>8</v>
      </c>
      <c r="AS1170" s="1016">
        <v>69</v>
      </c>
    </row>
    <row r="1171" spans="2:45" outlineLevel="1">
      <c r="B1171" s="1387" t="s">
        <v>901</v>
      </c>
      <c r="Y1171" s="1016">
        <v>0</v>
      </c>
      <c r="Z1171" s="1016">
        <v>0</v>
      </c>
      <c r="AA1171" s="1016">
        <v>0</v>
      </c>
      <c r="AB1171" s="1016">
        <v>0</v>
      </c>
      <c r="AC1171" s="1016">
        <v>0</v>
      </c>
      <c r="AD1171" s="1016">
        <v>6</v>
      </c>
      <c r="AE1171" s="1016">
        <v>8</v>
      </c>
      <c r="AF1171" s="1016">
        <v>0</v>
      </c>
      <c r="AG1171" s="1016">
        <v>5</v>
      </c>
      <c r="AH1171" s="1016">
        <v>0</v>
      </c>
      <c r="AI1171" s="1016">
        <v>5</v>
      </c>
      <c r="AJ1171" s="1016">
        <v>5</v>
      </c>
      <c r="AK1171" s="1016">
        <v>2</v>
      </c>
      <c r="AL1171" s="1016">
        <v>6</v>
      </c>
      <c r="AM1171" s="1016">
        <v>0</v>
      </c>
      <c r="AN1171" s="1016">
        <v>0</v>
      </c>
      <c r="AO1171" s="1016">
        <v>0</v>
      </c>
      <c r="AP1171" s="1016">
        <v>0</v>
      </c>
      <c r="AQ1171" s="1016">
        <v>0</v>
      </c>
      <c r="AR1171" s="1016">
        <v>0</v>
      </c>
      <c r="AS1171" s="1016">
        <v>37</v>
      </c>
    </row>
    <row r="1172" spans="2:45" outlineLevel="1">
      <c r="B1172" s="1387" t="s">
        <v>950</v>
      </c>
      <c r="Y1172" s="1016">
        <v>0</v>
      </c>
      <c r="Z1172" s="1016">
        <v>0</v>
      </c>
      <c r="AA1172" s="1016">
        <v>0</v>
      </c>
      <c r="AB1172" s="1016">
        <v>1</v>
      </c>
      <c r="AC1172" s="1016">
        <v>3</v>
      </c>
      <c r="AD1172" s="1016">
        <v>4</v>
      </c>
      <c r="AE1172" s="1016">
        <v>22</v>
      </c>
      <c r="AF1172" s="1016">
        <v>2</v>
      </c>
      <c r="AG1172" s="1016">
        <v>4</v>
      </c>
      <c r="AH1172" s="1016">
        <v>12</v>
      </c>
      <c r="AI1172" s="1016">
        <v>12</v>
      </c>
      <c r="AJ1172" s="1016">
        <v>3</v>
      </c>
      <c r="AK1172" s="1016">
        <v>6</v>
      </c>
      <c r="AL1172" s="1016">
        <v>17</v>
      </c>
      <c r="AM1172" s="1016">
        <v>2</v>
      </c>
      <c r="AN1172" s="1016">
        <v>10</v>
      </c>
      <c r="AO1172" s="1016">
        <v>2</v>
      </c>
      <c r="AP1172" s="1016">
        <v>11</v>
      </c>
      <c r="AQ1172" s="1016">
        <v>0</v>
      </c>
      <c r="AR1172" s="1016">
        <v>18</v>
      </c>
      <c r="AS1172" s="1016">
        <v>129</v>
      </c>
    </row>
    <row r="1173" spans="2:45" outlineLevel="1">
      <c r="B1173" s="1387" t="s">
        <v>1014</v>
      </c>
      <c r="X1173" s="1016">
        <v>0</v>
      </c>
      <c r="Y1173" s="1016">
        <v>0</v>
      </c>
      <c r="Z1173" s="1016">
        <v>0</v>
      </c>
      <c r="AA1173" s="1016">
        <v>0</v>
      </c>
      <c r="AB1173" s="1016">
        <v>0</v>
      </c>
      <c r="AC1173" s="1016">
        <v>1</v>
      </c>
      <c r="AD1173" s="1016">
        <v>0</v>
      </c>
      <c r="AE1173" s="1016">
        <v>5</v>
      </c>
      <c r="AF1173" s="1016">
        <v>6</v>
      </c>
      <c r="AG1173" s="1016">
        <v>16</v>
      </c>
      <c r="AH1173" s="1016">
        <v>5</v>
      </c>
      <c r="AI1173" s="1016">
        <v>9</v>
      </c>
      <c r="AJ1173" s="1016">
        <v>2</v>
      </c>
      <c r="AK1173" s="1016">
        <v>8</v>
      </c>
      <c r="AL1173" s="1016">
        <v>9</v>
      </c>
      <c r="AM1173" s="1016">
        <v>6</v>
      </c>
      <c r="AN1173" s="1016">
        <v>5</v>
      </c>
      <c r="AO1173" s="1016">
        <v>6</v>
      </c>
      <c r="AP1173" s="1016">
        <v>8</v>
      </c>
      <c r="AQ1173" s="1016">
        <v>8</v>
      </c>
      <c r="AR1173" s="1016">
        <v>15</v>
      </c>
      <c r="AS1173" s="1016">
        <v>109</v>
      </c>
    </row>
    <row r="1174" spans="2:45" outlineLevel="1">
      <c r="B1174" s="1387" t="s">
        <v>1162</v>
      </c>
      <c r="AA1174" s="1016">
        <v>0</v>
      </c>
      <c r="AB1174" s="1016">
        <v>0</v>
      </c>
      <c r="AC1174" s="1016">
        <v>0</v>
      </c>
      <c r="AD1174" s="1016">
        <v>0</v>
      </c>
      <c r="AE1174" s="1016">
        <v>17</v>
      </c>
      <c r="AF1174" s="1016">
        <v>20</v>
      </c>
      <c r="AG1174" s="1016">
        <v>2</v>
      </c>
      <c r="AH1174" s="1016">
        <v>0</v>
      </c>
      <c r="AI1174" s="1016">
        <v>12</v>
      </c>
      <c r="AJ1174" s="1016">
        <v>2</v>
      </c>
      <c r="AK1174" s="1016">
        <v>16</v>
      </c>
      <c r="AL1174" s="1016">
        <v>7</v>
      </c>
      <c r="AM1174" s="1016">
        <v>12</v>
      </c>
      <c r="AN1174" s="1016">
        <v>5</v>
      </c>
      <c r="AO1174" s="1016">
        <v>14</v>
      </c>
      <c r="AP1174" s="1016">
        <v>2</v>
      </c>
      <c r="AS1174" s="1016">
        <v>109</v>
      </c>
    </row>
    <row r="1175" spans="2:45" outlineLevel="1">
      <c r="B1175" s="1387" t="s">
        <v>1163</v>
      </c>
      <c r="AA1175" s="1016">
        <v>0</v>
      </c>
      <c r="AB1175" s="1016">
        <v>0</v>
      </c>
      <c r="AC1175" s="1016">
        <v>0</v>
      </c>
      <c r="AD1175" s="1016">
        <v>0</v>
      </c>
      <c r="AE1175" s="1016">
        <v>8</v>
      </c>
      <c r="AF1175" s="1016">
        <v>9</v>
      </c>
      <c r="AG1175" s="1016">
        <v>7</v>
      </c>
      <c r="AH1175" s="1016">
        <v>2</v>
      </c>
      <c r="AI1175" s="1016">
        <v>21</v>
      </c>
      <c r="AJ1175" s="1016">
        <v>16</v>
      </c>
      <c r="AK1175" s="1016">
        <v>19</v>
      </c>
      <c r="AL1175" s="1016">
        <v>15</v>
      </c>
      <c r="AM1175" s="1016">
        <v>0</v>
      </c>
      <c r="AN1175" s="1016">
        <v>7</v>
      </c>
      <c r="AO1175" s="1016">
        <v>17</v>
      </c>
      <c r="AP1175" s="1016">
        <v>0</v>
      </c>
      <c r="AQ1175" s="1016">
        <v>16</v>
      </c>
      <c r="AR1175" s="1016">
        <v>0</v>
      </c>
      <c r="AS1175" s="1016">
        <v>137</v>
      </c>
    </row>
    <row r="1176" spans="2:45" outlineLevel="1">
      <c r="B1176" s="1387" t="s">
        <v>1286</v>
      </c>
      <c r="AB1176" s="1016">
        <v>0</v>
      </c>
      <c r="AC1176" s="1016">
        <v>0</v>
      </c>
      <c r="AD1176" s="1016">
        <v>2</v>
      </c>
      <c r="AE1176" s="1016">
        <v>8</v>
      </c>
      <c r="AF1176" s="1016">
        <v>4</v>
      </c>
      <c r="AG1176" s="1016">
        <v>2</v>
      </c>
      <c r="AH1176" s="1016">
        <v>0</v>
      </c>
      <c r="AI1176" s="1016">
        <v>3</v>
      </c>
      <c r="AJ1176" s="1016">
        <v>4</v>
      </c>
      <c r="AK1176" s="1016">
        <v>0</v>
      </c>
      <c r="AL1176" s="1016">
        <v>14</v>
      </c>
      <c r="AM1176" s="1016">
        <v>0</v>
      </c>
      <c r="AN1176" s="1016">
        <v>0</v>
      </c>
      <c r="AO1176" s="1016">
        <v>5</v>
      </c>
      <c r="AP1176" s="1016">
        <v>1</v>
      </c>
      <c r="AQ1176" s="1016">
        <v>0</v>
      </c>
      <c r="AR1176" s="1016">
        <v>16</v>
      </c>
      <c r="AS1176" s="1016">
        <v>59</v>
      </c>
    </row>
    <row r="1177" spans="2:45" outlineLevel="1">
      <c r="B1177" s="1387" t="s">
        <v>1161</v>
      </c>
      <c r="AC1177" s="1016">
        <v>1</v>
      </c>
      <c r="AD1177" s="1016">
        <v>0</v>
      </c>
      <c r="AE1177" s="1016">
        <v>3</v>
      </c>
      <c r="AF1177" s="1016">
        <v>0</v>
      </c>
      <c r="AG1177" s="1016">
        <v>2</v>
      </c>
      <c r="AH1177" s="1016">
        <v>1</v>
      </c>
      <c r="AI1177" s="1016">
        <v>5</v>
      </c>
      <c r="AJ1177" s="1016">
        <v>5</v>
      </c>
      <c r="AK1177" s="1016">
        <v>0</v>
      </c>
      <c r="AL1177" s="1016">
        <v>13</v>
      </c>
      <c r="AM1177" s="1016">
        <v>0</v>
      </c>
      <c r="AN1177" s="1016">
        <v>3</v>
      </c>
      <c r="AO1177" s="1016">
        <v>0</v>
      </c>
      <c r="AP1177" s="1016">
        <v>7</v>
      </c>
      <c r="AQ1177" s="1016">
        <v>6</v>
      </c>
      <c r="AR1177" s="1016">
        <v>1</v>
      </c>
      <c r="AS1177" s="1016">
        <v>47</v>
      </c>
    </row>
    <row r="1178" spans="2:45" outlineLevel="1">
      <c r="B1178" s="1387" t="s">
        <v>1287</v>
      </c>
      <c r="AB1178" s="1016">
        <v>0</v>
      </c>
      <c r="AC1178" s="1016">
        <v>0</v>
      </c>
      <c r="AD1178" s="1016">
        <v>0</v>
      </c>
      <c r="AE1178" s="1016">
        <v>7</v>
      </c>
      <c r="AF1178" s="1016">
        <v>10</v>
      </c>
      <c r="AG1178" s="1016">
        <v>14</v>
      </c>
      <c r="AH1178" s="1016">
        <v>8</v>
      </c>
      <c r="AI1178" s="1016">
        <v>17</v>
      </c>
      <c r="AJ1178" s="1016">
        <v>17</v>
      </c>
      <c r="AK1178" s="1016">
        <v>6</v>
      </c>
      <c r="AL1178" s="1016">
        <v>25</v>
      </c>
      <c r="AM1178" s="1016">
        <v>0</v>
      </c>
      <c r="AN1178" s="1016">
        <v>8</v>
      </c>
      <c r="AO1178" s="1016">
        <v>9</v>
      </c>
      <c r="AP1178" s="1016">
        <v>2</v>
      </c>
      <c r="AQ1178" s="1016">
        <v>14</v>
      </c>
      <c r="AR1178" s="1016">
        <v>25</v>
      </c>
      <c r="AS1178" s="1016">
        <v>162</v>
      </c>
    </row>
    <row r="1179" spans="2:45" outlineLevel="1">
      <c r="B1179" s="1387" t="s">
        <v>1348</v>
      </c>
      <c r="AB1179" s="1016">
        <v>0</v>
      </c>
      <c r="AC1179" s="1016">
        <v>0</v>
      </c>
      <c r="AD1179" s="1016">
        <v>0</v>
      </c>
      <c r="AE1179" s="1016">
        <v>4</v>
      </c>
      <c r="AF1179" s="1016">
        <v>18</v>
      </c>
      <c r="AG1179" s="1016">
        <v>10</v>
      </c>
      <c r="AH1179" s="1016">
        <v>0</v>
      </c>
      <c r="AI1179" s="1016">
        <v>14</v>
      </c>
      <c r="AJ1179" s="1016">
        <v>7</v>
      </c>
      <c r="AK1179" s="1016">
        <v>3</v>
      </c>
      <c r="AL1179" s="1016">
        <v>12</v>
      </c>
      <c r="AM1179" s="1016">
        <v>7</v>
      </c>
      <c r="AN1179" s="1016">
        <v>0</v>
      </c>
      <c r="AO1179" s="1016">
        <v>12</v>
      </c>
      <c r="AP1179" s="1016">
        <v>19</v>
      </c>
      <c r="AQ1179" s="1016">
        <v>1</v>
      </c>
      <c r="AR1179" s="1016">
        <v>0</v>
      </c>
      <c r="AS1179" s="1016">
        <v>107</v>
      </c>
    </row>
    <row r="1180" spans="2:45" outlineLevel="1">
      <c r="B1180" s="1387" t="s">
        <v>1420</v>
      </c>
      <c r="AD1180" s="1016">
        <v>0</v>
      </c>
      <c r="AE1180" s="1016">
        <v>0</v>
      </c>
      <c r="AF1180" s="1016">
        <v>2</v>
      </c>
      <c r="AG1180" s="1016">
        <v>6</v>
      </c>
      <c r="AH1180" s="1016">
        <v>13</v>
      </c>
      <c r="AI1180" s="1016">
        <v>9</v>
      </c>
      <c r="AJ1180" s="1016">
        <v>14</v>
      </c>
      <c r="AK1180" s="1016">
        <v>9</v>
      </c>
      <c r="AL1180" s="1016">
        <v>9</v>
      </c>
      <c r="AM1180" s="1016">
        <v>1</v>
      </c>
      <c r="AN1180" s="1016">
        <v>0</v>
      </c>
      <c r="AO1180" s="1016">
        <v>15</v>
      </c>
      <c r="AP1180" s="1016">
        <v>13</v>
      </c>
      <c r="AQ1180" s="1016">
        <v>11</v>
      </c>
      <c r="AR1180" s="1016">
        <v>10</v>
      </c>
      <c r="AS1180" s="1016">
        <v>112</v>
      </c>
    </row>
    <row r="1181" spans="2:45" outlineLevel="1">
      <c r="B1181" s="1387" t="s">
        <v>1566</v>
      </c>
      <c r="AF1181" s="1016">
        <v>0</v>
      </c>
      <c r="AG1181" s="1016">
        <v>0</v>
      </c>
      <c r="AH1181" s="1016">
        <v>0</v>
      </c>
      <c r="AI1181" s="1016">
        <v>0</v>
      </c>
      <c r="AJ1181" s="1016">
        <v>0</v>
      </c>
      <c r="AK1181" s="1016">
        <v>4</v>
      </c>
      <c r="AL1181" s="1016">
        <v>5</v>
      </c>
      <c r="AM1181" s="1016">
        <v>4</v>
      </c>
      <c r="AS1181" s="1016">
        <v>13</v>
      </c>
    </row>
    <row r="1182" spans="2:45" outlineLevel="1">
      <c r="B1182" s="1387" t="s">
        <v>1670</v>
      </c>
      <c r="AF1182" s="1016">
        <v>0</v>
      </c>
      <c r="AG1182" s="1016">
        <v>0</v>
      </c>
      <c r="AH1182" s="1016">
        <v>0</v>
      </c>
      <c r="AI1182" s="1016">
        <v>0</v>
      </c>
      <c r="AJ1182" s="1016">
        <v>1</v>
      </c>
      <c r="AK1182" s="1016">
        <v>4</v>
      </c>
      <c r="AL1182" s="1016">
        <v>3</v>
      </c>
      <c r="AM1182" s="1016">
        <v>3</v>
      </c>
      <c r="AN1182" s="1016">
        <v>2</v>
      </c>
      <c r="AO1182" s="1016">
        <v>13</v>
      </c>
      <c r="AS1182" s="1016">
        <v>26</v>
      </c>
    </row>
    <row r="1183" spans="2:45" outlineLevel="1">
      <c r="B1183" s="1387" t="s">
        <v>1571</v>
      </c>
      <c r="AF1183" s="1016">
        <v>0</v>
      </c>
      <c r="AG1183" s="1016">
        <v>0</v>
      </c>
      <c r="AH1183" s="1016">
        <v>0</v>
      </c>
      <c r="AI1183" s="1016">
        <v>0</v>
      </c>
      <c r="AJ1183" s="1016">
        <v>0</v>
      </c>
      <c r="AK1183" s="1016">
        <v>25</v>
      </c>
      <c r="AL1183" s="1016">
        <v>32</v>
      </c>
      <c r="AM1183" s="1016">
        <v>0</v>
      </c>
      <c r="AN1183" s="1016">
        <v>0</v>
      </c>
      <c r="AO1183" s="1016">
        <v>23</v>
      </c>
      <c r="AP1183" s="1016">
        <v>38</v>
      </c>
      <c r="AQ1183" s="1016">
        <v>10</v>
      </c>
      <c r="AR1183" s="1016">
        <v>3</v>
      </c>
      <c r="AS1183" s="1016">
        <v>131</v>
      </c>
    </row>
    <row r="1184" spans="2:45" outlineLevel="1">
      <c r="B1184" s="1387" t="s">
        <v>1564</v>
      </c>
      <c r="AD1184" s="1016">
        <v>0</v>
      </c>
      <c r="AE1184" s="1016">
        <v>0</v>
      </c>
      <c r="AF1184" s="1016">
        <v>0</v>
      </c>
      <c r="AG1184" s="1016">
        <v>0</v>
      </c>
      <c r="AH1184" s="1016">
        <v>0</v>
      </c>
      <c r="AI1184" s="1016">
        <v>4</v>
      </c>
      <c r="AJ1184" s="1016">
        <v>3</v>
      </c>
      <c r="AK1184" s="1016">
        <v>0</v>
      </c>
      <c r="AL1184" s="1016">
        <v>0</v>
      </c>
      <c r="AM1184" s="1016">
        <v>0</v>
      </c>
      <c r="AN1184" s="1016">
        <v>0</v>
      </c>
      <c r="AO1184" s="1016">
        <v>0</v>
      </c>
      <c r="AP1184" s="1016">
        <v>0</v>
      </c>
      <c r="AQ1184" s="1016">
        <v>0</v>
      </c>
      <c r="AR1184" s="1016">
        <v>13</v>
      </c>
      <c r="AS1184" s="1016">
        <v>20</v>
      </c>
    </row>
    <row r="1185" spans="1:45" outlineLevel="1">
      <c r="B1185" s="1387" t="s">
        <v>1766</v>
      </c>
      <c r="T1185" s="1016">
        <v>0</v>
      </c>
      <c r="U1185" s="1016">
        <v>0</v>
      </c>
      <c r="V1185" s="1016">
        <v>0</v>
      </c>
      <c r="W1185" s="1016">
        <v>0</v>
      </c>
      <c r="X1185" s="1016">
        <v>0</v>
      </c>
      <c r="Y1185" s="1016">
        <v>3</v>
      </c>
      <c r="Z1185" s="1016">
        <v>0</v>
      </c>
      <c r="AA1185" s="1016">
        <v>4</v>
      </c>
      <c r="AB1185" s="1016">
        <v>0</v>
      </c>
      <c r="AC1185" s="1016">
        <v>7</v>
      </c>
      <c r="AD1185" s="1016">
        <v>5</v>
      </c>
      <c r="AE1185" s="1016">
        <v>12</v>
      </c>
      <c r="AF1185" s="1016">
        <v>37</v>
      </c>
      <c r="AG1185" s="1016">
        <v>15</v>
      </c>
      <c r="AH1185" s="1016">
        <v>18</v>
      </c>
      <c r="AI1185" s="1016">
        <v>44</v>
      </c>
      <c r="AJ1185" s="1016">
        <v>9</v>
      </c>
      <c r="AK1185" s="1016">
        <v>19</v>
      </c>
      <c r="AL1185" s="1016">
        <v>24</v>
      </c>
      <c r="AM1185" s="1016">
        <v>8</v>
      </c>
      <c r="AN1185" s="1016">
        <v>0</v>
      </c>
      <c r="AO1185" s="1016">
        <v>8</v>
      </c>
      <c r="AP1185" s="1016">
        <v>19</v>
      </c>
      <c r="AQ1185" s="1016">
        <v>16</v>
      </c>
      <c r="AR1185" s="1016">
        <v>45</v>
      </c>
      <c r="AS1185" s="1016">
        <v>293</v>
      </c>
    </row>
    <row r="1186" spans="1:45" outlineLevel="1">
      <c r="B1186" s="1387" t="s">
        <v>1768</v>
      </c>
      <c r="U1186" s="1016">
        <v>0</v>
      </c>
      <c r="V1186" s="1016">
        <v>0</v>
      </c>
      <c r="W1186" s="1016">
        <v>0</v>
      </c>
      <c r="X1186" s="1016">
        <v>0</v>
      </c>
      <c r="Y1186" s="1016">
        <v>0</v>
      </c>
      <c r="Z1186" s="1016">
        <v>0</v>
      </c>
      <c r="AA1186" s="1016">
        <v>0</v>
      </c>
      <c r="AB1186" s="1016">
        <v>0</v>
      </c>
      <c r="AC1186" s="1016">
        <v>4</v>
      </c>
      <c r="AD1186" s="1016">
        <v>0</v>
      </c>
      <c r="AE1186" s="1016">
        <v>1</v>
      </c>
      <c r="AF1186" s="1016">
        <v>6</v>
      </c>
      <c r="AG1186" s="1016">
        <v>0</v>
      </c>
      <c r="AH1186" s="1016">
        <v>0</v>
      </c>
      <c r="AI1186" s="1016">
        <v>6</v>
      </c>
      <c r="AJ1186" s="1016">
        <v>0</v>
      </c>
      <c r="AK1186" s="1016">
        <v>4</v>
      </c>
      <c r="AL1186" s="1016">
        <v>5</v>
      </c>
      <c r="AM1186" s="1016">
        <v>0</v>
      </c>
      <c r="AN1186" s="1016">
        <v>0</v>
      </c>
      <c r="AO1186" s="1016">
        <v>6</v>
      </c>
      <c r="AP1186" s="1016">
        <v>4</v>
      </c>
      <c r="AQ1186" s="1016">
        <v>5</v>
      </c>
      <c r="AS1186" s="1016">
        <v>41</v>
      </c>
    </row>
    <row r="1187" spans="1:45" outlineLevel="1">
      <c r="B1187" s="1387" t="s">
        <v>1771</v>
      </c>
      <c r="AD1187" s="1016">
        <v>0</v>
      </c>
      <c r="AE1187" s="1016">
        <v>0</v>
      </c>
      <c r="AF1187" s="1016">
        <v>1</v>
      </c>
      <c r="AG1187" s="1016">
        <v>5</v>
      </c>
      <c r="AH1187" s="1016">
        <v>4</v>
      </c>
      <c r="AI1187" s="1016">
        <v>14</v>
      </c>
      <c r="AJ1187" s="1016">
        <v>3</v>
      </c>
      <c r="AK1187" s="1016">
        <v>6</v>
      </c>
      <c r="AL1187" s="1016">
        <v>6</v>
      </c>
      <c r="AM1187" s="1016">
        <v>0</v>
      </c>
      <c r="AN1187" s="1016">
        <v>0</v>
      </c>
      <c r="AO1187" s="1016">
        <v>25</v>
      </c>
      <c r="AP1187" s="1016">
        <v>9</v>
      </c>
      <c r="AQ1187" s="1016">
        <v>10</v>
      </c>
      <c r="AS1187" s="1016">
        <v>83</v>
      </c>
    </row>
    <row r="1188" spans="1:45" outlineLevel="1">
      <c r="B1188" s="1387" t="s">
        <v>1774</v>
      </c>
      <c r="AA1188" s="1016">
        <v>4</v>
      </c>
      <c r="AB1188" s="1016">
        <v>4</v>
      </c>
      <c r="AC1188" s="1016">
        <v>3</v>
      </c>
      <c r="AD1188" s="1016">
        <v>16</v>
      </c>
      <c r="AE1188" s="1016">
        <v>48</v>
      </c>
      <c r="AF1188" s="1016">
        <v>30</v>
      </c>
      <c r="AG1188" s="1016">
        <v>12</v>
      </c>
      <c r="AH1188" s="1016">
        <v>0</v>
      </c>
      <c r="AI1188" s="1016">
        <v>12</v>
      </c>
      <c r="AJ1188" s="1016">
        <v>13</v>
      </c>
      <c r="AK1188" s="1016">
        <v>40</v>
      </c>
      <c r="AL1188" s="1016">
        <v>27</v>
      </c>
      <c r="AM1188" s="1016">
        <v>24</v>
      </c>
      <c r="AN1188" s="1016">
        <v>11</v>
      </c>
      <c r="AO1188" s="1016">
        <v>22</v>
      </c>
      <c r="AP1188" s="1016">
        <v>13</v>
      </c>
      <c r="AQ1188" s="1016">
        <v>16</v>
      </c>
      <c r="AR1188" s="1016">
        <v>13</v>
      </c>
      <c r="AS1188" s="1016">
        <v>308</v>
      </c>
    </row>
    <row r="1189" spans="1:45" outlineLevel="1">
      <c r="B1189" s="1387" t="s">
        <v>1028</v>
      </c>
      <c r="AE1189" s="1016">
        <v>3</v>
      </c>
      <c r="AF1189" s="1016">
        <v>1</v>
      </c>
      <c r="AG1189" s="1016">
        <v>3</v>
      </c>
      <c r="AH1189" s="1016">
        <v>1</v>
      </c>
      <c r="AI1189" s="1016">
        <v>10</v>
      </c>
      <c r="AJ1189" s="1016">
        <v>4</v>
      </c>
      <c r="AK1189" s="1016">
        <v>5</v>
      </c>
      <c r="AL1189" s="1016">
        <v>13</v>
      </c>
      <c r="AM1189" s="1016">
        <v>3</v>
      </c>
      <c r="AN1189" s="1016">
        <v>4</v>
      </c>
      <c r="AO1189" s="1016">
        <v>6</v>
      </c>
      <c r="AP1189" s="1016">
        <v>5</v>
      </c>
      <c r="AQ1189" s="1016">
        <v>25</v>
      </c>
      <c r="AR1189" s="1016">
        <v>6</v>
      </c>
      <c r="AS1189" s="1016">
        <v>89</v>
      </c>
    </row>
    <row r="1190" spans="1:45" outlineLevel="1">
      <c r="B1190" s="1387" t="s">
        <v>1569</v>
      </c>
      <c r="AE1190" s="1016">
        <v>9</v>
      </c>
      <c r="AF1190" s="1016">
        <v>4</v>
      </c>
      <c r="AG1190" s="1016">
        <v>4</v>
      </c>
      <c r="AH1190" s="1016">
        <v>5</v>
      </c>
      <c r="AI1190" s="1016">
        <v>12</v>
      </c>
      <c r="AJ1190" s="1016">
        <v>9</v>
      </c>
      <c r="AK1190" s="1016">
        <v>26</v>
      </c>
      <c r="AL1190" s="1016">
        <v>18</v>
      </c>
      <c r="AM1190" s="1016">
        <v>20</v>
      </c>
      <c r="AN1190" s="1016">
        <v>20</v>
      </c>
      <c r="AO1190" s="1016">
        <v>37</v>
      </c>
      <c r="AP1190" s="1016">
        <v>0</v>
      </c>
      <c r="AQ1190" s="1016">
        <v>16</v>
      </c>
      <c r="AR1190" s="1016">
        <v>2</v>
      </c>
      <c r="AS1190" s="1016">
        <v>182</v>
      </c>
    </row>
    <row r="1191" spans="1:45" outlineLevel="1">
      <c r="B1191" s="1387" t="s">
        <v>1573</v>
      </c>
      <c r="AE1191" s="1016">
        <v>0</v>
      </c>
      <c r="AF1191" s="1016">
        <v>0</v>
      </c>
      <c r="AG1191" s="1016">
        <v>1</v>
      </c>
      <c r="AH1191" s="1016">
        <v>2</v>
      </c>
      <c r="AI1191" s="1016">
        <v>2</v>
      </c>
      <c r="AJ1191" s="1016">
        <v>0</v>
      </c>
      <c r="AK1191" s="1016">
        <v>19</v>
      </c>
      <c r="AL1191" s="1016">
        <v>16</v>
      </c>
      <c r="AM1191" s="1016">
        <v>0</v>
      </c>
      <c r="AN1191" s="1016">
        <v>28</v>
      </c>
      <c r="AO1191" s="1016">
        <v>17</v>
      </c>
      <c r="AP1191" s="1016">
        <v>5</v>
      </c>
      <c r="AQ1191" s="1016">
        <v>10</v>
      </c>
      <c r="AR1191" s="1016">
        <v>2</v>
      </c>
      <c r="AS1191" s="1016">
        <v>102</v>
      </c>
    </row>
    <row r="1192" spans="1:45" outlineLevel="1">
      <c r="B1192" s="1387" t="s">
        <v>1770</v>
      </c>
      <c r="O1192" s="1016">
        <v>0</v>
      </c>
      <c r="P1192" s="1016">
        <v>0</v>
      </c>
      <c r="Q1192" s="1016">
        <v>0</v>
      </c>
      <c r="R1192" s="1016">
        <v>0</v>
      </c>
      <c r="S1192" s="1016">
        <v>0</v>
      </c>
      <c r="T1192" s="1016">
        <v>0</v>
      </c>
      <c r="U1192" s="1016">
        <v>3</v>
      </c>
      <c r="V1192" s="1016">
        <v>3</v>
      </c>
      <c r="W1192" s="1016">
        <v>1</v>
      </c>
      <c r="X1192" s="1016">
        <v>0</v>
      </c>
      <c r="Y1192" s="1016">
        <v>2</v>
      </c>
      <c r="Z1192" s="1016">
        <v>1</v>
      </c>
      <c r="AA1192" s="1016">
        <v>0</v>
      </c>
      <c r="AB1192" s="1016">
        <v>1</v>
      </c>
      <c r="AC1192" s="1016">
        <v>18</v>
      </c>
      <c r="AD1192" s="1016">
        <v>5</v>
      </c>
      <c r="AE1192" s="1016">
        <v>22</v>
      </c>
      <c r="AF1192" s="1016">
        <v>7</v>
      </c>
      <c r="AS1192" s="1016">
        <v>63</v>
      </c>
    </row>
    <row r="1193" spans="1:45" outlineLevel="1">
      <c r="B1193" s="1387" t="s">
        <v>1777</v>
      </c>
      <c r="R1193" s="1016">
        <v>0</v>
      </c>
      <c r="S1193" s="1016">
        <v>0</v>
      </c>
      <c r="T1193" s="1016">
        <v>0</v>
      </c>
      <c r="U1193" s="1016">
        <v>0</v>
      </c>
      <c r="V1193" s="1016">
        <v>0</v>
      </c>
      <c r="W1193" s="1016">
        <v>3</v>
      </c>
      <c r="X1193" s="1016">
        <v>0</v>
      </c>
      <c r="Y1193" s="1016">
        <v>3</v>
      </c>
      <c r="Z1193" s="1016">
        <v>8</v>
      </c>
      <c r="AA1193" s="1016">
        <v>4</v>
      </c>
      <c r="AB1193" s="1016">
        <v>1</v>
      </c>
      <c r="AC1193" s="1016">
        <v>7</v>
      </c>
      <c r="AD1193" s="1016">
        <v>5</v>
      </c>
      <c r="AE1193" s="1016">
        <v>7</v>
      </c>
      <c r="AF1193" s="1016">
        <v>4</v>
      </c>
      <c r="AG1193" s="1016">
        <v>1</v>
      </c>
      <c r="AH1193" s="1016">
        <v>5</v>
      </c>
      <c r="AI1193" s="1016">
        <v>12</v>
      </c>
      <c r="AJ1193" s="1016">
        <v>13</v>
      </c>
      <c r="AK1193" s="1016">
        <v>6</v>
      </c>
      <c r="AL1193" s="1016">
        <v>0</v>
      </c>
      <c r="AM1193" s="1016">
        <v>4</v>
      </c>
      <c r="AN1193" s="1016">
        <v>1</v>
      </c>
      <c r="AO1193" s="1016">
        <v>0</v>
      </c>
      <c r="AP1193" s="1016">
        <v>2</v>
      </c>
      <c r="AS1193" s="1016">
        <v>86</v>
      </c>
    </row>
    <row r="1194" spans="1:45" outlineLevel="1">
      <c r="B1194" s="1387" t="s">
        <v>1773</v>
      </c>
      <c r="V1194" s="1016">
        <v>0</v>
      </c>
      <c r="W1194" s="1016">
        <v>0</v>
      </c>
      <c r="X1194" s="1016">
        <v>0</v>
      </c>
      <c r="Y1194" s="1016">
        <v>0</v>
      </c>
      <c r="Z1194" s="1016">
        <v>0</v>
      </c>
      <c r="AA1194" s="1016">
        <v>1</v>
      </c>
      <c r="AB1194" s="1016">
        <v>7</v>
      </c>
      <c r="AC1194" s="1016">
        <v>5</v>
      </c>
      <c r="AD1194" s="1016">
        <v>14</v>
      </c>
      <c r="AE1194" s="1016">
        <v>30</v>
      </c>
      <c r="AF1194" s="1016">
        <v>17</v>
      </c>
      <c r="AG1194" s="1016">
        <v>8</v>
      </c>
      <c r="AH1194" s="1016">
        <v>4</v>
      </c>
      <c r="AI1194" s="1016">
        <v>5</v>
      </c>
      <c r="AJ1194" s="1016">
        <v>5</v>
      </c>
      <c r="AK1194" s="1016">
        <v>10</v>
      </c>
      <c r="AL1194" s="1016">
        <v>7</v>
      </c>
      <c r="AM1194" s="1016">
        <v>9</v>
      </c>
      <c r="AN1194" s="1016">
        <v>12</v>
      </c>
      <c r="AO1194" s="1016">
        <v>14</v>
      </c>
      <c r="AP1194" s="1016">
        <v>11</v>
      </c>
      <c r="AQ1194" s="1016">
        <v>8</v>
      </c>
      <c r="AR1194" s="1016">
        <v>11</v>
      </c>
      <c r="AS1194" s="1016">
        <v>178</v>
      </c>
    </row>
    <row r="1195" spans="1:45" outlineLevel="1">
      <c r="B1195" s="1387" t="s">
        <v>1950</v>
      </c>
      <c r="R1195" s="1016">
        <v>0</v>
      </c>
      <c r="S1195" s="1016">
        <v>0</v>
      </c>
      <c r="T1195" s="1016">
        <v>7</v>
      </c>
      <c r="U1195" s="1016">
        <v>19</v>
      </c>
      <c r="V1195" s="1016">
        <v>2</v>
      </c>
      <c r="W1195" s="1016">
        <v>7</v>
      </c>
      <c r="X1195" s="1016">
        <v>6</v>
      </c>
      <c r="Y1195" s="1016">
        <v>5</v>
      </c>
      <c r="Z1195" s="1016">
        <v>8</v>
      </c>
      <c r="AA1195" s="1016">
        <v>0</v>
      </c>
      <c r="AB1195" s="1016">
        <v>0</v>
      </c>
      <c r="AC1195" s="1016">
        <v>4</v>
      </c>
      <c r="AD1195" s="1016">
        <v>3</v>
      </c>
      <c r="AE1195" s="1016">
        <v>10</v>
      </c>
      <c r="AF1195" s="1016">
        <v>0</v>
      </c>
      <c r="AG1195" s="1016">
        <v>11</v>
      </c>
      <c r="AH1195" s="1016">
        <v>12</v>
      </c>
      <c r="AI1195" s="1016">
        <v>11</v>
      </c>
      <c r="AJ1195" s="1016">
        <v>7</v>
      </c>
      <c r="AK1195" s="1016">
        <v>14</v>
      </c>
      <c r="AL1195" s="1016">
        <v>8</v>
      </c>
      <c r="AM1195" s="1016">
        <v>0</v>
      </c>
      <c r="AN1195" s="1016">
        <v>5</v>
      </c>
      <c r="AO1195" s="1016">
        <v>5</v>
      </c>
      <c r="AP1195" s="1016">
        <v>0</v>
      </c>
      <c r="AS1195" s="1016">
        <v>144</v>
      </c>
    </row>
    <row r="1196" spans="1:45" outlineLevel="1">
      <c r="B1196" s="1387" t="s">
        <v>2054</v>
      </c>
      <c r="AI1196" s="1016">
        <v>0</v>
      </c>
      <c r="AJ1196" s="1016">
        <v>0</v>
      </c>
      <c r="AK1196" s="1016">
        <v>0</v>
      </c>
      <c r="AL1196" s="1016">
        <v>3</v>
      </c>
      <c r="AM1196" s="1016">
        <v>3</v>
      </c>
      <c r="AN1196" s="1016">
        <v>11</v>
      </c>
      <c r="AO1196" s="1016">
        <v>27</v>
      </c>
      <c r="AP1196" s="1016">
        <v>16</v>
      </c>
      <c r="AQ1196" s="1016">
        <v>21</v>
      </c>
      <c r="AR1196" s="1016">
        <v>15</v>
      </c>
      <c r="AS1196" s="1016">
        <v>96</v>
      </c>
    </row>
    <row r="1197" spans="1:45" outlineLevel="1">
      <c r="B1197" s="1387" t="s">
        <v>2705</v>
      </c>
      <c r="AO1197" s="1016">
        <v>0</v>
      </c>
      <c r="AP1197" s="1016">
        <v>0</v>
      </c>
      <c r="AQ1197" s="1016">
        <v>0</v>
      </c>
      <c r="AR1197" s="1016">
        <v>1</v>
      </c>
      <c r="AS1197" s="1016">
        <v>1</v>
      </c>
    </row>
    <row r="1198" spans="1:45" outlineLevel="1">
      <c r="B1198" s="1387" t="s">
        <v>2706</v>
      </c>
      <c r="AO1198" s="1016">
        <v>0</v>
      </c>
      <c r="AP1198" s="1016">
        <v>0</v>
      </c>
      <c r="AQ1198" s="1016">
        <v>0</v>
      </c>
      <c r="AR1198" s="1016">
        <v>0</v>
      </c>
      <c r="AS1198" s="1016">
        <v>0</v>
      </c>
    </row>
    <row r="1199" spans="1:45">
      <c r="B1199" s="1387" t="s">
        <v>2707</v>
      </c>
      <c r="AO1199" s="1016">
        <v>0</v>
      </c>
      <c r="AP1199" s="1016">
        <v>0</v>
      </c>
      <c r="AQ1199" s="1016">
        <v>0</v>
      </c>
      <c r="AS1199" s="1016">
        <v>0</v>
      </c>
    </row>
    <row r="1200" spans="1:45">
      <c r="A1200" s="1382" t="s">
        <v>420</v>
      </c>
      <c r="B1200" s="1387" t="s">
        <v>2709</v>
      </c>
      <c r="AO1200" s="1016">
        <v>0</v>
      </c>
      <c r="AP1200" s="1016">
        <v>0</v>
      </c>
      <c r="AQ1200" s="1016">
        <v>0</v>
      </c>
      <c r="AR1200" s="1016">
        <v>3</v>
      </c>
      <c r="AS1200" s="1016">
        <v>3</v>
      </c>
    </row>
    <row r="1201" spans="2:45">
      <c r="B1201" s="1387" t="s">
        <v>2711</v>
      </c>
      <c r="AO1201" s="1016">
        <v>0</v>
      </c>
      <c r="AP1201" s="1016">
        <v>0</v>
      </c>
      <c r="AQ1201" s="1016">
        <v>0</v>
      </c>
      <c r="AR1201" s="1016">
        <v>0</v>
      </c>
      <c r="AS1201" s="1016">
        <v>0</v>
      </c>
    </row>
    <row r="1202" spans="2:45" outlineLevel="1">
      <c r="B1202" s="1387" t="s">
        <v>3169</v>
      </c>
      <c r="AQ1202" s="1016">
        <v>0</v>
      </c>
      <c r="AR1202" s="1016">
        <v>0</v>
      </c>
      <c r="AS1202" s="1016">
        <v>0</v>
      </c>
    </row>
    <row r="1203" spans="2:45" outlineLevel="1">
      <c r="B1203" s="1387" t="s">
        <v>1410</v>
      </c>
      <c r="AQ1203" s="1016">
        <v>0</v>
      </c>
      <c r="AR1203" s="1016">
        <v>0</v>
      </c>
      <c r="AS1203" s="1016">
        <v>0</v>
      </c>
    </row>
    <row r="1204" spans="2:45" outlineLevel="1">
      <c r="B1204" s="1387" t="s">
        <v>2897</v>
      </c>
      <c r="AQ1204" s="1016">
        <v>1</v>
      </c>
      <c r="AR1204" s="1016">
        <v>0</v>
      </c>
      <c r="AS1204" s="1016">
        <v>1</v>
      </c>
    </row>
    <row r="1205" spans="2:45" outlineLevel="1">
      <c r="B1205" s="1387" t="s">
        <v>3184</v>
      </c>
      <c r="AQ1205" s="1016">
        <v>9</v>
      </c>
      <c r="AR1205" s="1016">
        <v>3</v>
      </c>
      <c r="AS1205" s="1016">
        <v>12</v>
      </c>
    </row>
    <row r="1206" spans="2:45" outlineLevel="1">
      <c r="B1206" s="1387" t="s">
        <v>3180</v>
      </c>
      <c r="AQ1206" s="1016">
        <v>0</v>
      </c>
      <c r="AR1206" s="1016">
        <v>1</v>
      </c>
      <c r="AS1206" s="1016">
        <v>1</v>
      </c>
    </row>
    <row r="1207" spans="2:45" outlineLevel="1">
      <c r="B1207" s="1387" t="s">
        <v>3189</v>
      </c>
      <c r="AQ1207" s="1016">
        <v>0</v>
      </c>
      <c r="AR1207" s="1016">
        <v>0</v>
      </c>
      <c r="AS1207" s="1016">
        <v>0</v>
      </c>
    </row>
    <row r="1208" spans="2:45" outlineLevel="1">
      <c r="B1208" s="1387" t="s">
        <v>3190</v>
      </c>
      <c r="AQ1208" s="1016">
        <v>24</v>
      </c>
      <c r="AR1208" s="1016">
        <v>34</v>
      </c>
      <c r="AS1208" s="1016">
        <v>58</v>
      </c>
    </row>
    <row r="1209" spans="2:45" outlineLevel="1">
      <c r="B1209" s="1387" t="s">
        <v>3191</v>
      </c>
      <c r="AQ1209" s="1016">
        <v>14</v>
      </c>
      <c r="AR1209" s="1016">
        <v>11</v>
      </c>
      <c r="AS1209" s="1016">
        <v>25</v>
      </c>
    </row>
    <row r="1210" spans="2:45" outlineLevel="1">
      <c r="B1210" s="1387" t="s">
        <v>3528</v>
      </c>
      <c r="AR1210" s="1016">
        <v>0</v>
      </c>
      <c r="AS1210" s="1016">
        <v>0</v>
      </c>
    </row>
    <row r="1211" spans="2:45" outlineLevel="1">
      <c r="B1211" s="1387" t="s">
        <v>3529</v>
      </c>
      <c r="AR1211" s="1016">
        <v>0</v>
      </c>
      <c r="AS1211" s="1016">
        <v>0</v>
      </c>
    </row>
    <row r="1212" spans="2:45" outlineLevel="1">
      <c r="B1212" s="1387" t="s">
        <v>3530</v>
      </c>
      <c r="AR1212" s="1016">
        <v>27</v>
      </c>
      <c r="AS1212" s="1016">
        <v>27</v>
      </c>
    </row>
    <row r="1213" spans="2:45" outlineLevel="1">
      <c r="B1213" s="1387" t="s">
        <v>3575</v>
      </c>
      <c r="AR1213" s="1016">
        <v>5</v>
      </c>
      <c r="AS1213" s="1016">
        <v>5</v>
      </c>
    </row>
    <row r="1214" spans="2:45" outlineLevel="1">
      <c r="B1214" s="1387" t="s">
        <v>3519</v>
      </c>
      <c r="AR1214" s="1016">
        <v>1</v>
      </c>
      <c r="AS1214" s="1016">
        <v>1</v>
      </c>
    </row>
    <row r="1215" spans="2:45" outlineLevel="1">
      <c r="B1215" s="1387" t="s">
        <v>3521</v>
      </c>
      <c r="AR1215" s="1016">
        <v>20</v>
      </c>
      <c r="AS1215" s="1016">
        <v>20</v>
      </c>
    </row>
    <row r="1216" spans="2:45" outlineLevel="1">
      <c r="B1216" s="1387" t="s">
        <v>3523</v>
      </c>
      <c r="AR1216" s="1016">
        <v>0</v>
      </c>
      <c r="AS1216" s="1016">
        <v>0</v>
      </c>
    </row>
    <row r="1217" spans="2:45" outlineLevel="1">
      <c r="B1217" s="1387" t="s">
        <v>3573</v>
      </c>
      <c r="AR1217" s="1016">
        <v>4</v>
      </c>
      <c r="AS1217" s="1016">
        <v>4</v>
      </c>
    </row>
    <row r="1218" spans="2:45" outlineLevel="1">
      <c r="B1218" s="1387" t="s">
        <v>3525</v>
      </c>
      <c r="AR1218" s="1016">
        <v>0</v>
      </c>
      <c r="AS1218" s="1016">
        <v>0</v>
      </c>
    </row>
    <row r="1219" spans="2:45" outlineLevel="1">
      <c r="B1219" s="1387" t="s">
        <v>274</v>
      </c>
      <c r="C1219" s="1016">
        <v>3</v>
      </c>
      <c r="D1219" s="1016">
        <v>0</v>
      </c>
      <c r="E1219" s="1016">
        <v>1</v>
      </c>
      <c r="F1219" s="1016">
        <v>4</v>
      </c>
      <c r="G1219" s="1016">
        <v>1</v>
      </c>
      <c r="H1219" s="1016">
        <v>2</v>
      </c>
      <c r="I1219" s="1016">
        <v>31</v>
      </c>
      <c r="J1219" s="1016">
        <v>30</v>
      </c>
      <c r="K1219" s="1016">
        <v>41</v>
      </c>
      <c r="L1219" s="1016">
        <v>43</v>
      </c>
      <c r="M1219" s="1016">
        <v>33</v>
      </c>
      <c r="N1219" s="1016">
        <v>4</v>
      </c>
      <c r="O1219" s="1016">
        <v>62</v>
      </c>
      <c r="P1219" s="1016">
        <v>107</v>
      </c>
      <c r="Q1219" s="1016">
        <v>78</v>
      </c>
      <c r="R1219" s="1016">
        <v>19</v>
      </c>
      <c r="S1219" s="1016">
        <v>106</v>
      </c>
      <c r="T1219" s="1016">
        <v>204</v>
      </c>
      <c r="U1219" s="1016">
        <v>137</v>
      </c>
      <c r="V1219" s="1016">
        <v>97</v>
      </c>
      <c r="W1219" s="1016">
        <v>147</v>
      </c>
      <c r="X1219" s="1016">
        <v>86</v>
      </c>
      <c r="Y1219" s="1016">
        <v>139</v>
      </c>
      <c r="Z1219" s="1016">
        <v>154</v>
      </c>
      <c r="AA1219" s="1016">
        <v>128</v>
      </c>
      <c r="AB1219" s="1016">
        <v>129</v>
      </c>
      <c r="AC1219" s="1016">
        <v>244</v>
      </c>
      <c r="AD1219" s="1016">
        <v>271</v>
      </c>
      <c r="AE1219" s="1016">
        <v>563</v>
      </c>
      <c r="AF1219" s="1016">
        <v>453</v>
      </c>
      <c r="AG1219" s="1016">
        <v>482</v>
      </c>
      <c r="AH1219" s="1016">
        <v>306</v>
      </c>
      <c r="AI1219" s="1016">
        <v>435</v>
      </c>
      <c r="AJ1219" s="1016">
        <v>279</v>
      </c>
      <c r="AK1219" s="1016">
        <v>464</v>
      </c>
      <c r="AL1219" s="1016">
        <v>498</v>
      </c>
      <c r="AM1219" s="1016">
        <v>168</v>
      </c>
      <c r="AN1219" s="1016">
        <v>287</v>
      </c>
      <c r="AO1219" s="1016">
        <v>433</v>
      </c>
      <c r="AP1219" s="1016">
        <v>376</v>
      </c>
      <c r="AQ1219" s="1016">
        <v>316</v>
      </c>
      <c r="AR1219" s="1016">
        <v>419</v>
      </c>
      <c r="AS1219" s="1016">
        <v>7780</v>
      </c>
    </row>
    <row r="1220" spans="2:45" outlineLevel="1">
      <c r="B1220" s="1387"/>
    </row>
    <row r="1221" spans="2:45" outlineLevel="1">
      <c r="B1221" s="1387"/>
    </row>
    <row r="1222" spans="2:45" outlineLevel="1">
      <c r="B1222" s="1387"/>
    </row>
    <row r="1223" spans="2:45" outlineLevel="1">
      <c r="B1223" s="1387"/>
    </row>
    <row r="1224" spans="2:45" outlineLevel="1">
      <c r="B1224" s="1387"/>
    </row>
    <row r="1225" spans="2:45" outlineLevel="1">
      <c r="B1225" s="1387"/>
    </row>
    <row r="1226" spans="2:45" outlineLevel="1">
      <c r="B1226" s="2401" t="s">
        <v>123</v>
      </c>
      <c r="C1226" s="2403" t="s">
        <v>394</v>
      </c>
      <c r="D1226" s="2403"/>
      <c r="E1226" s="2403"/>
      <c r="F1226" s="2403"/>
      <c r="G1226" s="1389"/>
      <c r="H1226" s="1390"/>
      <c r="I1226" s="1390"/>
      <c r="J1226" s="1390"/>
      <c r="K1226" s="1390"/>
      <c r="L1226" s="1390"/>
      <c r="M1226" s="1390"/>
      <c r="N1226" s="1390"/>
      <c r="O1226" s="1390"/>
      <c r="P1226" s="1390"/>
      <c r="Q1226" s="1390"/>
      <c r="R1226" s="1391"/>
    </row>
    <row r="1227" spans="2:45" outlineLevel="1">
      <c r="B1227" s="2402"/>
      <c r="C1227" s="2404"/>
      <c r="D1227" s="2404"/>
      <c r="E1227" s="2404"/>
      <c r="F1227" s="2404"/>
      <c r="G1227" s="1392"/>
      <c r="H1227" s="1393"/>
      <c r="I1227" s="1393"/>
      <c r="J1227" s="1393"/>
      <c r="K1227" s="1393"/>
      <c r="L1227" s="1393"/>
      <c r="M1227" s="1393"/>
      <c r="N1227" s="1393"/>
      <c r="O1227" s="1393"/>
      <c r="P1227" s="1393"/>
      <c r="Q1227" s="1393"/>
      <c r="R1227" s="1394"/>
    </row>
    <row r="1228" spans="2:45" outlineLevel="1">
      <c r="B1228" s="1395">
        <v>1</v>
      </c>
      <c r="C1228" s="2415" t="s">
        <v>395</v>
      </c>
      <c r="D1228" s="2416"/>
      <c r="E1228" s="2416"/>
      <c r="F1228" s="2416"/>
      <c r="G1228" s="2417"/>
      <c r="H1228" s="1396">
        <v>290</v>
      </c>
      <c r="I1228" s="1396">
        <v>500</v>
      </c>
      <c r="J1228" s="1396">
        <v>320</v>
      </c>
      <c r="K1228" s="1396">
        <v>600</v>
      </c>
      <c r="L1228" s="1396">
        <v>380</v>
      </c>
      <c r="M1228" s="1396">
        <v>610</v>
      </c>
      <c r="N1228" s="1397"/>
      <c r="O1228" s="1397"/>
      <c r="P1228" s="1397"/>
      <c r="Q1228" s="1397"/>
      <c r="R1228" s="1398"/>
    </row>
    <row r="1229" spans="2:45" ht="12.75" customHeight="1" outlineLevel="1">
      <c r="B1229" s="1395">
        <v>2</v>
      </c>
      <c r="C1229" s="2415" t="s">
        <v>396</v>
      </c>
      <c r="D1229" s="2416"/>
      <c r="E1229" s="2416"/>
      <c r="F1229" s="2416"/>
      <c r="G1229" s="2417"/>
      <c r="H1229" s="1396">
        <v>290</v>
      </c>
      <c r="I1229" s="1396">
        <v>500</v>
      </c>
      <c r="J1229" s="1396">
        <v>300</v>
      </c>
      <c r="K1229" s="1396">
        <v>470</v>
      </c>
      <c r="L1229" s="1396">
        <v>380</v>
      </c>
      <c r="M1229" s="1396">
        <v>630</v>
      </c>
      <c r="N1229" s="1397"/>
      <c r="O1229" s="1397"/>
      <c r="P1229" s="1397"/>
      <c r="Q1229" s="1397"/>
      <c r="R1229" s="1398"/>
    </row>
    <row r="1230" spans="2:45" ht="12.75" customHeight="1" outlineLevel="1">
      <c r="B1230" s="1395">
        <v>3</v>
      </c>
      <c r="C1230" s="2415" t="s">
        <v>397</v>
      </c>
      <c r="D1230" s="2416"/>
      <c r="E1230" s="2416"/>
      <c r="F1230" s="2416"/>
      <c r="G1230" s="2417"/>
      <c r="H1230" s="1396">
        <v>17</v>
      </c>
      <c r="I1230" s="1396">
        <v>21</v>
      </c>
      <c r="J1230" s="1396">
        <v>16</v>
      </c>
      <c r="K1230" s="1396">
        <v>29</v>
      </c>
      <c r="L1230" s="1396">
        <v>24</v>
      </c>
      <c r="M1230" s="1396">
        <v>32</v>
      </c>
      <c r="N1230" s="1397"/>
      <c r="O1230" s="1397"/>
      <c r="P1230" s="1397"/>
      <c r="Q1230" s="1397"/>
      <c r="R1230" s="1398"/>
    </row>
    <row r="1231" spans="2:45" ht="12.75" customHeight="1" outlineLevel="1">
      <c r="B1231" s="1395">
        <v>4</v>
      </c>
      <c r="C1231" s="2415" t="s">
        <v>398</v>
      </c>
      <c r="D1231" s="2416"/>
      <c r="E1231" s="2416"/>
      <c r="F1231" s="2416"/>
      <c r="G1231" s="2417"/>
      <c r="H1231" s="1396">
        <v>11</v>
      </c>
      <c r="I1231" s="1396">
        <v>14</v>
      </c>
      <c r="J1231" s="1396">
        <v>10</v>
      </c>
      <c r="K1231" s="1396">
        <v>27</v>
      </c>
      <c r="L1231" s="1396">
        <v>24</v>
      </c>
      <c r="M1231" s="1396">
        <v>23</v>
      </c>
      <c r="N1231" s="1397"/>
      <c r="O1231" s="1397"/>
      <c r="P1231" s="1397"/>
      <c r="Q1231" s="1397"/>
      <c r="R1231" s="1398"/>
    </row>
    <row r="1232" spans="2:45" ht="12.75" customHeight="1" outlineLevel="1">
      <c r="B1232" s="1395">
        <v>5</v>
      </c>
      <c r="C1232" s="2415" t="s">
        <v>399</v>
      </c>
      <c r="D1232" s="2416"/>
      <c r="E1232" s="2416"/>
      <c r="F1232" s="2416"/>
      <c r="G1232" s="2417"/>
      <c r="H1232" s="1489">
        <v>0.84615384615384615</v>
      </c>
      <c r="I1232" s="1489">
        <v>0.4</v>
      </c>
      <c r="J1232" s="1489">
        <v>0.48780487804878048</v>
      </c>
      <c r="K1232" s="1489">
        <v>0.31764705882352939</v>
      </c>
      <c r="L1232" s="1489">
        <v>0.49484536082474229</v>
      </c>
      <c r="M1232" s="1489">
        <v>0.48421052631578948</v>
      </c>
      <c r="N1232" s="1490"/>
      <c r="O1232" s="1490"/>
      <c r="P1232" s="1490"/>
      <c r="Q1232" s="1490"/>
      <c r="R1232" s="1491"/>
    </row>
    <row r="1233" spans="2:18" ht="12.75" customHeight="1" outlineLevel="1">
      <c r="B1233" s="1395">
        <v>6</v>
      </c>
      <c r="C1233" s="2415" t="s">
        <v>400</v>
      </c>
      <c r="D1233" s="2416"/>
      <c r="E1233" s="2416"/>
      <c r="F1233" s="2416"/>
      <c r="G1233" s="2417"/>
      <c r="H1233" s="1396">
        <v>17.058823529411764</v>
      </c>
      <c r="I1233" s="1396">
        <v>23.80952380952381</v>
      </c>
      <c r="J1233" s="1396">
        <v>18.75</v>
      </c>
      <c r="K1233" s="1396">
        <v>16.206896551724139</v>
      </c>
      <c r="L1233" s="1396">
        <v>15.833333333333334</v>
      </c>
      <c r="M1233" s="1396">
        <v>19.6875</v>
      </c>
      <c r="N1233" s="1397"/>
      <c r="O1233" s="1397"/>
      <c r="P1233" s="1397"/>
      <c r="Q1233" s="1397"/>
      <c r="R1233" s="1398"/>
    </row>
    <row r="1234" spans="2:18" ht="12.75" customHeight="1" outlineLevel="1">
      <c r="B1234" s="1395">
        <v>7</v>
      </c>
      <c r="C1234" s="1399" t="s">
        <v>401</v>
      </c>
      <c r="D1234" s="1400"/>
      <c r="E1234" s="1400"/>
      <c r="F1234" s="1400"/>
      <c r="G1234" s="1401"/>
      <c r="H1234" s="1396">
        <v>1.5454545454545454</v>
      </c>
      <c r="I1234" s="1396">
        <v>1.5</v>
      </c>
      <c r="J1234" s="1396">
        <v>1.6</v>
      </c>
      <c r="K1234" s="1396">
        <v>1.07407407407407</v>
      </c>
      <c r="L1234" s="1396">
        <v>1</v>
      </c>
      <c r="M1234" s="1396">
        <v>1.3913043478260869</v>
      </c>
      <c r="N1234" s="1397"/>
      <c r="O1234" s="1397"/>
      <c r="P1234" s="1397"/>
      <c r="Q1234" s="1397"/>
      <c r="R1234" s="1398"/>
    </row>
    <row r="1235" spans="2:18" ht="12.75" customHeight="1" outlineLevel="1">
      <c r="B1235" s="1395">
        <v>8</v>
      </c>
      <c r="C1235" s="2415" t="s">
        <v>402</v>
      </c>
      <c r="D1235" s="2416"/>
      <c r="E1235" s="2416"/>
      <c r="F1235" s="2416"/>
      <c r="G1235" s="2417"/>
      <c r="H1235" s="1396">
        <v>5</v>
      </c>
      <c r="I1235" s="1396">
        <v>9</v>
      </c>
      <c r="J1235" s="1396">
        <v>5</v>
      </c>
      <c r="K1235" s="1396">
        <v>21</v>
      </c>
      <c r="L1235" s="1396">
        <v>16</v>
      </c>
      <c r="M1235" s="1396">
        <v>8</v>
      </c>
      <c r="N1235" s="1397"/>
      <c r="O1235" s="1397"/>
      <c r="P1235" s="1397"/>
      <c r="Q1235" s="1397"/>
      <c r="R1235" s="1398"/>
    </row>
    <row r="1236" spans="2:18" ht="12.75" customHeight="1" outlineLevel="1">
      <c r="B1236" s="1395">
        <v>9</v>
      </c>
      <c r="C1236" s="2418" t="s">
        <v>403</v>
      </c>
      <c r="D1236" s="2419"/>
      <c r="E1236" s="2419"/>
      <c r="F1236" s="2419"/>
      <c r="G1236" s="2420"/>
      <c r="H1236" s="1396">
        <v>6</v>
      </c>
      <c r="I1236" s="1396">
        <v>10</v>
      </c>
      <c r="J1236" s="1396">
        <v>10</v>
      </c>
      <c r="K1236" s="1396">
        <v>25</v>
      </c>
      <c r="L1236" s="1396">
        <v>12</v>
      </c>
      <c r="M1236" s="1396">
        <v>8</v>
      </c>
      <c r="N1236" s="1397"/>
      <c r="O1236" s="1397"/>
      <c r="P1236" s="1397"/>
      <c r="Q1236" s="1397"/>
      <c r="R1236" s="1398"/>
    </row>
    <row r="1237" spans="2:18" ht="12.75" customHeight="1" outlineLevel="1">
      <c r="B1237" s="1395">
        <v>10</v>
      </c>
      <c r="C1237" s="2418" t="s">
        <v>404</v>
      </c>
      <c r="D1237" s="2419"/>
      <c r="E1237" s="2419"/>
      <c r="F1237" s="2419"/>
      <c r="G1237" s="2420"/>
      <c r="H1237" s="1396">
        <v>1</v>
      </c>
      <c r="I1237" s="1396">
        <v>2</v>
      </c>
      <c r="J1237" s="1396">
        <v>2</v>
      </c>
      <c r="K1237" s="1396">
        <v>5</v>
      </c>
      <c r="L1237" s="1396">
        <v>3</v>
      </c>
      <c r="M1237" s="1396">
        <v>4</v>
      </c>
      <c r="N1237" s="1397"/>
      <c r="O1237" s="1397"/>
      <c r="P1237" s="1397"/>
      <c r="Q1237" s="1397"/>
      <c r="R1237" s="1398"/>
    </row>
    <row r="1238" spans="2:18" ht="12.75" customHeight="1" outlineLevel="1">
      <c r="B1238" s="1402">
        <v>11</v>
      </c>
      <c r="C1238" s="2421" t="s">
        <v>405</v>
      </c>
      <c r="D1238" s="2422"/>
      <c r="E1238" s="2422"/>
      <c r="F1238" s="2422"/>
      <c r="G1238" s="2423"/>
      <c r="H1238" s="1403">
        <v>16</v>
      </c>
      <c r="I1238" s="1403">
        <v>41</v>
      </c>
      <c r="J1238" s="1403">
        <v>25</v>
      </c>
      <c r="K1238" s="1403">
        <v>100</v>
      </c>
      <c r="L1238" s="1403">
        <v>56</v>
      </c>
      <c r="M1238" s="1403">
        <v>50</v>
      </c>
      <c r="N1238" s="1404"/>
      <c r="O1238" s="1404"/>
      <c r="P1238" s="1404"/>
      <c r="Q1238" s="1404"/>
      <c r="R1238" s="1405"/>
    </row>
    <row r="1239" spans="2:18" ht="12.75" customHeight="1" outlineLevel="1"/>
    <row r="1240" spans="2:18" ht="26.25" customHeight="1" outlineLevel="1">
      <c r="H1240" s="1406" t="s">
        <v>292</v>
      </c>
      <c r="I1240" s="1407" t="s">
        <v>186</v>
      </c>
      <c r="J1240" s="1407" t="s">
        <v>440</v>
      </c>
      <c r="K1240" s="1407" t="s">
        <v>91</v>
      </c>
      <c r="L1240" s="1407" t="s">
        <v>187</v>
      </c>
      <c r="M1240" s="1407" t="s">
        <v>47</v>
      </c>
      <c r="N1240" s="1407" t="s">
        <v>179</v>
      </c>
      <c r="O1240" s="1407" t="s">
        <v>185</v>
      </c>
      <c r="P1240" s="1407" t="s">
        <v>177</v>
      </c>
      <c r="Q1240" s="1407" t="s">
        <v>176</v>
      </c>
      <c r="R1240" s="1408" t="s">
        <v>178</v>
      </c>
    </row>
    <row r="1241" spans="2:18" ht="12.75" customHeight="1" outlineLevel="1">
      <c r="B1241" s="2408" t="s">
        <v>123</v>
      </c>
      <c r="C1241" s="2410" t="s">
        <v>418</v>
      </c>
      <c r="D1241" s="2410"/>
      <c r="E1241" s="2410"/>
      <c r="F1241" s="2410"/>
      <c r="G1241" s="2410"/>
      <c r="H1241" s="1409"/>
      <c r="I1241" s="1409"/>
      <c r="J1241" s="1409"/>
      <c r="K1241" s="1409"/>
      <c r="L1241" s="1409"/>
      <c r="M1241" s="1409"/>
      <c r="N1241" s="1409"/>
      <c r="O1241" s="1409"/>
      <c r="P1241" s="1409"/>
      <c r="Q1241" s="1409"/>
      <c r="R1241" s="1410"/>
    </row>
    <row r="1242" spans="2:18" ht="12.75" customHeight="1" outlineLevel="1">
      <c r="B1242" s="2409"/>
      <c r="C1242" s="2411"/>
      <c r="D1242" s="2411"/>
      <c r="E1242" s="2411"/>
      <c r="F1242" s="2411"/>
      <c r="G1242" s="2411"/>
      <c r="H1242" s="1411"/>
      <c r="I1242" s="1411"/>
      <c r="J1242" s="1411"/>
      <c r="K1242" s="1411"/>
      <c r="L1242" s="1411"/>
      <c r="M1242" s="1411"/>
      <c r="N1242" s="1411"/>
      <c r="O1242" s="1411"/>
      <c r="P1242" s="1411"/>
      <c r="Q1242" s="1411"/>
      <c r="R1242" s="1412"/>
    </row>
    <row r="1243" spans="2:18" ht="12.75" customHeight="1" outlineLevel="1">
      <c r="B1243" s="1413">
        <v>1</v>
      </c>
      <c r="C1243" s="2412" t="s">
        <v>406</v>
      </c>
      <c r="D1243" s="2413"/>
      <c r="E1243" s="2413"/>
      <c r="F1243" s="2413"/>
      <c r="G1243" s="2414"/>
      <c r="H1243" s="1414">
        <v>8</v>
      </c>
      <c r="I1243" s="1415">
        <v>37</v>
      </c>
      <c r="J1243" s="1415">
        <v>13</v>
      </c>
      <c r="K1243" s="1415">
        <v>28</v>
      </c>
      <c r="L1243" s="1415">
        <v>15</v>
      </c>
      <c r="M1243" s="1415">
        <v>6</v>
      </c>
      <c r="N1243" s="1416"/>
      <c r="O1243" s="1416"/>
      <c r="P1243" s="1416"/>
      <c r="Q1243" s="1416"/>
      <c r="R1243" s="1417"/>
    </row>
    <row r="1244" spans="2:18" ht="12.75" customHeight="1" outlineLevel="1">
      <c r="B1244" s="1413">
        <v>2</v>
      </c>
      <c r="C1244" s="2405" t="s">
        <v>407</v>
      </c>
      <c r="D1244" s="2406"/>
      <c r="E1244" s="2406"/>
      <c r="F1244" s="2406"/>
      <c r="G1244" s="2407"/>
      <c r="H1244" s="1418">
        <v>17</v>
      </c>
      <c r="I1244" s="1396">
        <v>22</v>
      </c>
      <c r="J1244" s="1396">
        <v>40</v>
      </c>
      <c r="K1244" s="1396">
        <v>50</v>
      </c>
      <c r="L1244" s="1396">
        <v>30</v>
      </c>
      <c r="M1244" s="1396">
        <v>12</v>
      </c>
      <c r="N1244" s="1397"/>
      <c r="O1244" s="1397"/>
      <c r="P1244" s="1397"/>
      <c r="Q1244" s="1397"/>
      <c r="R1244" s="1398"/>
    </row>
    <row r="1245" spans="2:18" ht="12.75" customHeight="1" outlineLevel="1">
      <c r="B1245" s="1413">
        <v>3</v>
      </c>
      <c r="C1245" s="2405" t="s">
        <v>408</v>
      </c>
      <c r="D1245" s="2406"/>
      <c r="E1245" s="2406"/>
      <c r="F1245" s="2406"/>
      <c r="G1245" s="2407"/>
      <c r="H1245" s="1418">
        <v>3</v>
      </c>
      <c r="I1245" s="1396">
        <v>38</v>
      </c>
      <c r="J1245" s="1396">
        <v>4</v>
      </c>
      <c r="K1245" s="1396">
        <v>10</v>
      </c>
      <c r="L1245" s="1396">
        <v>0</v>
      </c>
      <c r="M1245" s="1396">
        <v>0</v>
      </c>
      <c r="N1245" s="1397"/>
      <c r="O1245" s="1397"/>
      <c r="P1245" s="1397"/>
      <c r="Q1245" s="1397"/>
      <c r="R1245" s="1398"/>
    </row>
    <row r="1246" spans="2:18" ht="12.75" customHeight="1" outlineLevel="1">
      <c r="B1246" s="1413">
        <v>4</v>
      </c>
      <c r="C1246" s="2405" t="s">
        <v>409</v>
      </c>
      <c r="D1246" s="2406"/>
      <c r="E1246" s="2406"/>
      <c r="F1246" s="2406"/>
      <c r="G1246" s="2407"/>
      <c r="H1246" s="1418">
        <v>5</v>
      </c>
      <c r="I1246" s="1396">
        <v>10</v>
      </c>
      <c r="J1246" s="1396">
        <v>16</v>
      </c>
      <c r="K1246" s="1396">
        <v>15</v>
      </c>
      <c r="L1246" s="1396">
        <v>13</v>
      </c>
      <c r="M1246" s="1396">
        <v>5</v>
      </c>
      <c r="N1246" s="1397"/>
      <c r="O1246" s="1397"/>
      <c r="P1246" s="1397"/>
      <c r="Q1246" s="1397"/>
      <c r="R1246" s="1398"/>
    </row>
    <row r="1247" spans="2:18" ht="12.75" customHeight="1" outlineLevel="1">
      <c r="B1247" s="1413">
        <v>5</v>
      </c>
      <c r="C1247" s="2405" t="s">
        <v>410</v>
      </c>
      <c r="D1247" s="2406"/>
      <c r="E1247" s="2406"/>
      <c r="F1247" s="2406"/>
      <c r="G1247" s="2407"/>
      <c r="H1247" s="1418">
        <v>7</v>
      </c>
      <c r="I1247" s="1396">
        <v>11</v>
      </c>
      <c r="J1247" s="1396">
        <v>18</v>
      </c>
      <c r="K1247" s="1396">
        <v>17</v>
      </c>
      <c r="L1247" s="1396">
        <v>6</v>
      </c>
      <c r="M1247" s="1396">
        <v>8</v>
      </c>
      <c r="N1247" s="1397"/>
      <c r="O1247" s="1397"/>
      <c r="P1247" s="1397"/>
      <c r="Q1247" s="1397"/>
      <c r="R1247" s="1398"/>
    </row>
    <row r="1248" spans="2:18" ht="12.75" customHeight="1" outlineLevel="1">
      <c r="B1248" s="1413">
        <v>6</v>
      </c>
      <c r="C1248" s="2405" t="s">
        <v>411</v>
      </c>
      <c r="D1248" s="2406"/>
      <c r="E1248" s="2406"/>
      <c r="F1248" s="2406"/>
      <c r="G1248" s="2407"/>
      <c r="H1248" s="1418">
        <v>3</v>
      </c>
      <c r="I1248" s="1396">
        <v>4</v>
      </c>
      <c r="J1248" s="1396">
        <v>32</v>
      </c>
      <c r="K1248" s="1396">
        <v>64</v>
      </c>
      <c r="L1248" s="1396">
        <v>0</v>
      </c>
      <c r="M1248" s="1396">
        <v>8</v>
      </c>
      <c r="N1248" s="1397"/>
      <c r="O1248" s="1397"/>
      <c r="P1248" s="1397"/>
      <c r="Q1248" s="1397"/>
      <c r="R1248" s="1398"/>
    </row>
    <row r="1249" spans="1:18" ht="12.75" customHeight="1" outlineLevel="1">
      <c r="B1249" s="1413">
        <v>7</v>
      </c>
      <c r="C1249" s="2405" t="s">
        <v>412</v>
      </c>
      <c r="D1249" s="2406"/>
      <c r="E1249" s="2406"/>
      <c r="F1249" s="2406"/>
      <c r="G1249" s="2407"/>
      <c r="H1249" s="1418">
        <v>5</v>
      </c>
      <c r="I1249" s="1396">
        <v>21</v>
      </c>
      <c r="J1249" s="1396">
        <v>5</v>
      </c>
      <c r="K1249" s="1396">
        <v>32</v>
      </c>
      <c r="L1249" s="1396">
        <v>26</v>
      </c>
      <c r="M1249" s="1396">
        <v>9</v>
      </c>
      <c r="N1249" s="1397"/>
      <c r="O1249" s="1397"/>
      <c r="P1249" s="1397"/>
      <c r="Q1249" s="1397"/>
      <c r="R1249" s="1398"/>
    </row>
    <row r="1250" spans="1:18" ht="12.75" customHeight="1" outlineLevel="1">
      <c r="B1250" s="1413">
        <v>8</v>
      </c>
      <c r="C1250" s="2405" t="s">
        <v>413</v>
      </c>
      <c r="D1250" s="2406"/>
      <c r="E1250" s="2406"/>
      <c r="F1250" s="2406"/>
      <c r="G1250" s="2407"/>
      <c r="H1250" s="1418">
        <v>6</v>
      </c>
      <c r="I1250" s="1396">
        <v>25</v>
      </c>
      <c r="J1250" s="1396">
        <v>8</v>
      </c>
      <c r="K1250" s="1396">
        <v>32</v>
      </c>
      <c r="L1250" s="1396">
        <v>32</v>
      </c>
      <c r="M1250" s="1396">
        <v>10</v>
      </c>
      <c r="N1250" s="1397"/>
      <c r="O1250" s="1397"/>
      <c r="P1250" s="1397"/>
      <c r="Q1250" s="1397"/>
      <c r="R1250" s="1398"/>
    </row>
    <row r="1251" spans="1:18" ht="12.75" customHeight="1" outlineLevel="1">
      <c r="B1251" s="1413">
        <v>9</v>
      </c>
      <c r="C1251" s="2405" t="s">
        <v>414</v>
      </c>
      <c r="D1251" s="2406"/>
      <c r="E1251" s="2406"/>
      <c r="F1251" s="2406"/>
      <c r="G1251" s="2407"/>
      <c r="H1251" s="1418">
        <v>3</v>
      </c>
      <c r="I1251" s="1396">
        <v>40</v>
      </c>
      <c r="J1251" s="1396">
        <v>7</v>
      </c>
      <c r="K1251" s="1396">
        <v>16</v>
      </c>
      <c r="L1251" s="1396">
        <v>56</v>
      </c>
      <c r="M1251" s="1396">
        <v>35</v>
      </c>
      <c r="N1251" s="1397"/>
      <c r="O1251" s="1397"/>
      <c r="P1251" s="1397"/>
      <c r="Q1251" s="1397"/>
      <c r="R1251" s="1398"/>
    </row>
    <row r="1252" spans="1:18" ht="12.75" customHeight="1" outlineLevel="1">
      <c r="B1252" s="1413">
        <v>10</v>
      </c>
      <c r="C1252" s="2405" t="s">
        <v>415</v>
      </c>
      <c r="D1252" s="2406"/>
      <c r="E1252" s="2406"/>
      <c r="F1252" s="2406"/>
      <c r="G1252" s="2407"/>
      <c r="H1252" s="1418">
        <v>0</v>
      </c>
      <c r="I1252" s="1396">
        <v>19</v>
      </c>
      <c r="J1252" s="1396">
        <v>28</v>
      </c>
      <c r="K1252" s="1396">
        <v>70</v>
      </c>
      <c r="L1252" s="1396">
        <v>42</v>
      </c>
      <c r="M1252" s="1396">
        <v>12</v>
      </c>
      <c r="N1252" s="1397"/>
      <c r="O1252" s="1397"/>
      <c r="P1252" s="1397"/>
      <c r="Q1252" s="1397"/>
      <c r="R1252" s="1398"/>
    </row>
    <row r="1253" spans="1:18" ht="12.75" customHeight="1" outlineLevel="1">
      <c r="B1253" s="1413">
        <v>11</v>
      </c>
      <c r="C1253" s="2405" t="s">
        <v>416</v>
      </c>
      <c r="D1253" s="2406"/>
      <c r="E1253" s="2406"/>
      <c r="F1253" s="2406"/>
      <c r="G1253" s="2407"/>
      <c r="H1253" s="1418">
        <v>2</v>
      </c>
      <c r="I1253" s="1396">
        <v>40</v>
      </c>
      <c r="J1253" s="1396">
        <v>3</v>
      </c>
      <c r="K1253" s="1396">
        <v>65</v>
      </c>
      <c r="L1253" s="1396">
        <v>12</v>
      </c>
      <c r="M1253" s="1396">
        <v>0</v>
      </c>
      <c r="N1253" s="1397"/>
      <c r="O1253" s="1397"/>
      <c r="P1253" s="1397"/>
      <c r="Q1253" s="1397"/>
      <c r="R1253" s="1398"/>
    </row>
    <row r="1254" spans="1:18" ht="12.75" customHeight="1" outlineLevel="1">
      <c r="B1254" s="1419">
        <v>12</v>
      </c>
      <c r="C1254" s="2424" t="s">
        <v>417</v>
      </c>
      <c r="D1254" s="2425"/>
      <c r="E1254" s="2425"/>
      <c r="F1254" s="2425"/>
      <c r="G1254" s="2426"/>
      <c r="H1254" s="1420">
        <v>5</v>
      </c>
      <c r="I1254" s="1403">
        <v>27</v>
      </c>
      <c r="J1254" s="1403">
        <v>5</v>
      </c>
      <c r="K1254" s="1403">
        <v>25</v>
      </c>
      <c r="L1254" s="1403">
        <v>4</v>
      </c>
      <c r="M1254" s="1403">
        <v>8</v>
      </c>
      <c r="N1254" s="1404"/>
      <c r="O1254" s="1404"/>
      <c r="P1254" s="1404"/>
      <c r="Q1254" s="1404"/>
      <c r="R1254" s="1405"/>
    </row>
    <row r="1257" spans="1:18">
      <c r="A1257" s="1382" t="s">
        <v>464</v>
      </c>
    </row>
    <row r="1258" spans="1:18" outlineLevel="1">
      <c r="H1258" s="1013" t="s">
        <v>694</v>
      </c>
    </row>
    <row r="1259" spans="1:18" s="1101" customFormat="1" ht="13.5" outlineLevel="1">
      <c r="A1259" s="1421" t="s">
        <v>645</v>
      </c>
      <c r="B1259" s="1422" t="s">
        <v>649</v>
      </c>
      <c r="C1259" s="1423" t="s">
        <v>421</v>
      </c>
      <c r="D1259" s="1424" t="str">
        <f t="shared" ref="D1259:D1274" si="36">B1259&amp; "_" &amp;C1259</f>
        <v>CUPID_Comment 1</v>
      </c>
      <c r="E1259" s="1424"/>
      <c r="F1259" s="1424"/>
      <c r="G1259" s="1424"/>
      <c r="H1259" s="1492"/>
      <c r="I1259" s="1492"/>
      <c r="J1259" s="1492"/>
      <c r="K1259" s="1492"/>
      <c r="L1259" s="1492"/>
      <c r="M1259" s="1492"/>
      <c r="N1259" s="1492"/>
      <c r="O1259" s="1493"/>
    </row>
    <row r="1260" spans="1:18" s="1101" customFormat="1" ht="13.5" outlineLevel="1">
      <c r="A1260" s="1421" t="s">
        <v>645</v>
      </c>
      <c r="B1260" s="1425" t="s">
        <v>649</v>
      </c>
      <c r="C1260" s="1426" t="s">
        <v>422</v>
      </c>
      <c r="D1260" s="1427" t="str">
        <f t="shared" si="36"/>
        <v>CUPID_Comment 2</v>
      </c>
      <c r="E1260" s="1427"/>
      <c r="F1260" s="1427"/>
      <c r="G1260" s="1427"/>
      <c r="H1260" s="903"/>
      <c r="I1260" s="903"/>
      <c r="J1260" s="903"/>
      <c r="K1260" s="903"/>
      <c r="L1260" s="903"/>
      <c r="M1260" s="903"/>
      <c r="N1260" s="903"/>
      <c r="O1260" s="904"/>
    </row>
    <row r="1261" spans="1:18" s="1101" customFormat="1" ht="13.5" outlineLevel="1">
      <c r="A1261" s="1421" t="s">
        <v>645</v>
      </c>
      <c r="B1261" s="1428" t="s">
        <v>649</v>
      </c>
      <c r="C1261" s="1429" t="s">
        <v>423</v>
      </c>
      <c r="D1261" s="1430" t="str">
        <f t="shared" si="36"/>
        <v>CUPID_Comment 3</v>
      </c>
      <c r="E1261" s="1430"/>
      <c r="F1261" s="1430"/>
      <c r="G1261" s="1430"/>
      <c r="H1261" s="907"/>
      <c r="I1261" s="905"/>
      <c r="J1261" s="905"/>
      <c r="K1261" s="905"/>
      <c r="L1261" s="905"/>
      <c r="M1261" s="905"/>
      <c r="N1261" s="905"/>
      <c r="O1261" s="906"/>
    </row>
    <row r="1262" spans="1:18" s="1235" customFormat="1" ht="13.5" outlineLevel="1">
      <c r="A1262" s="1431" t="s">
        <v>644</v>
      </c>
      <c r="B1262" s="1432" t="s">
        <v>648</v>
      </c>
      <c r="C1262" s="1433" t="s">
        <v>421</v>
      </c>
      <c r="D1262" s="1434" t="str">
        <f t="shared" si="36"/>
        <v>WHITE HORSE_Comment 1</v>
      </c>
      <c r="E1262" s="1434"/>
      <c r="F1262" s="1434"/>
      <c r="G1262" s="1434"/>
      <c r="H1262" s="876"/>
      <c r="I1262" s="876"/>
      <c r="J1262" s="876"/>
      <c r="K1262" s="876"/>
      <c r="L1262" s="876"/>
      <c r="M1262" s="876"/>
      <c r="N1262" s="876"/>
      <c r="O1262" s="877"/>
    </row>
    <row r="1263" spans="1:18" s="1235" customFormat="1" ht="13.5" outlineLevel="1">
      <c r="A1263" s="1431" t="s">
        <v>644</v>
      </c>
      <c r="B1263" s="1435" t="s">
        <v>648</v>
      </c>
      <c r="C1263" s="1436" t="s">
        <v>422</v>
      </c>
      <c r="D1263" s="1437" t="str">
        <f t="shared" si="36"/>
        <v>WHITE HORSE_Comment 2</v>
      </c>
      <c r="E1263" s="1437"/>
      <c r="F1263" s="1437"/>
      <c r="G1263" s="1437"/>
      <c r="H1263" s="878"/>
      <c r="I1263" s="878"/>
      <c r="J1263" s="878"/>
      <c r="K1263" s="878"/>
      <c r="L1263" s="878"/>
      <c r="M1263" s="878"/>
      <c r="N1263" s="878"/>
      <c r="O1263" s="879"/>
    </row>
    <row r="1264" spans="1:18" s="1235" customFormat="1" ht="13.5" outlineLevel="1">
      <c r="A1264" s="1431" t="s">
        <v>644</v>
      </c>
      <c r="B1264" s="1438" t="s">
        <v>648</v>
      </c>
      <c r="C1264" s="1439" t="s">
        <v>423</v>
      </c>
      <c r="D1264" s="1440" t="str">
        <f t="shared" si="36"/>
        <v>WHITE HORSE_Comment 3</v>
      </c>
      <c r="E1264" s="1440"/>
      <c r="F1264" s="1440"/>
      <c r="G1264" s="1440"/>
      <c r="H1264" s="880"/>
      <c r="I1264" s="880"/>
      <c r="J1264" s="880"/>
      <c r="K1264" s="880"/>
      <c r="L1264" s="880"/>
      <c r="M1264" s="880"/>
      <c r="N1264" s="880"/>
      <c r="O1264" s="881"/>
    </row>
    <row r="1265" spans="1:15" s="1235" customFormat="1" ht="13.5" outlineLevel="1">
      <c r="A1265" s="1421" t="s">
        <v>652</v>
      </c>
      <c r="B1265" s="1422" t="s">
        <v>647</v>
      </c>
      <c r="C1265" s="1423" t="s">
        <v>421</v>
      </c>
      <c r="D1265" s="1424" t="str">
        <f t="shared" si="36"/>
        <v>TIGER_Comment 1</v>
      </c>
      <c r="E1265" s="1424"/>
      <c r="F1265" s="1424"/>
      <c r="G1265" s="1424"/>
      <c r="H1265" s="901"/>
      <c r="I1265" s="901"/>
      <c r="J1265" s="901"/>
      <c r="K1265" s="901"/>
      <c r="L1265" s="901"/>
      <c r="M1265" s="901"/>
      <c r="N1265" s="901"/>
      <c r="O1265" s="902"/>
    </row>
    <row r="1266" spans="1:15" s="1235" customFormat="1" ht="13.5" outlineLevel="1">
      <c r="A1266" s="1421" t="s">
        <v>652</v>
      </c>
      <c r="B1266" s="1425" t="s">
        <v>647</v>
      </c>
      <c r="C1266" s="1426" t="s">
        <v>422</v>
      </c>
      <c r="D1266" s="1427" t="str">
        <f t="shared" si="36"/>
        <v>TIGER_Comment 2</v>
      </c>
      <c r="E1266" s="1427"/>
      <c r="F1266" s="1427"/>
      <c r="G1266" s="1427"/>
      <c r="H1266" s="903"/>
      <c r="I1266" s="903"/>
      <c r="J1266" s="903"/>
      <c r="K1266" s="903"/>
      <c r="L1266" s="903"/>
      <c r="M1266" s="903"/>
      <c r="N1266" s="903"/>
      <c r="O1266" s="904"/>
    </row>
    <row r="1267" spans="1:15" s="1235" customFormat="1" ht="13.5" outlineLevel="1">
      <c r="A1267" s="1421" t="s">
        <v>652</v>
      </c>
      <c r="B1267" s="1428" t="s">
        <v>647</v>
      </c>
      <c r="C1267" s="1429" t="s">
        <v>423</v>
      </c>
      <c r="D1267" s="1430" t="str">
        <f t="shared" si="36"/>
        <v>TIGER_Comment 3</v>
      </c>
      <c r="E1267" s="1430"/>
      <c r="F1267" s="1430"/>
      <c r="G1267" s="1430"/>
      <c r="H1267" s="907"/>
      <c r="I1267" s="905"/>
      <c r="J1267" s="905"/>
      <c r="K1267" s="905"/>
      <c r="L1267" s="905"/>
      <c r="M1267" s="905"/>
      <c r="N1267" s="905"/>
      <c r="O1267" s="906"/>
    </row>
    <row r="1268" spans="1:15" s="1101" customFormat="1" ht="13.5" outlineLevel="1">
      <c r="A1268" s="1431" t="s">
        <v>641</v>
      </c>
      <c r="B1268" s="1432" t="s">
        <v>642</v>
      </c>
      <c r="C1268" s="1433" t="s">
        <v>421</v>
      </c>
      <c r="D1268" s="1434" t="str">
        <f t="shared" si="36"/>
        <v>LUCKY CAT_Comment 1</v>
      </c>
      <c r="E1268" s="1434"/>
      <c r="F1268" s="1434"/>
      <c r="G1268" s="1434"/>
      <c r="H1268" s="876"/>
      <c r="I1268" s="876"/>
      <c r="J1268" s="876"/>
      <c r="K1268" s="876"/>
      <c r="L1268" s="876"/>
      <c r="M1268" s="876"/>
      <c r="N1268" s="876"/>
      <c r="O1268" s="877"/>
    </row>
    <row r="1269" spans="1:15" s="1101" customFormat="1" ht="13.5" outlineLevel="1">
      <c r="A1269" s="1431" t="s">
        <v>641</v>
      </c>
      <c r="B1269" s="1435" t="s">
        <v>642</v>
      </c>
      <c r="C1269" s="1436" t="s">
        <v>422</v>
      </c>
      <c r="D1269" s="1437" t="str">
        <f t="shared" si="36"/>
        <v>LUCKY CAT_Comment 2</v>
      </c>
      <c r="E1269" s="1437"/>
      <c r="F1269" s="1437"/>
      <c r="G1269" s="1437"/>
      <c r="H1269" s="878"/>
      <c r="I1269" s="878"/>
      <c r="J1269" s="878"/>
      <c r="K1269" s="878"/>
      <c r="L1269" s="878"/>
      <c r="M1269" s="878"/>
      <c r="N1269" s="878"/>
      <c r="O1269" s="879"/>
    </row>
    <row r="1270" spans="1:15" s="1101" customFormat="1" ht="13.5" outlineLevel="1">
      <c r="A1270" s="1431" t="s">
        <v>641</v>
      </c>
      <c r="B1270" s="1438" t="s">
        <v>642</v>
      </c>
      <c r="C1270" s="1439" t="s">
        <v>423</v>
      </c>
      <c r="D1270" s="1440" t="str">
        <f t="shared" si="36"/>
        <v>LUCKY CAT_Comment 3</v>
      </c>
      <c r="E1270" s="1440"/>
      <c r="F1270" s="1440"/>
      <c r="G1270" s="1440"/>
      <c r="H1270" s="880"/>
      <c r="I1270" s="880"/>
      <c r="J1270" s="880"/>
      <c r="K1270" s="880"/>
      <c r="L1270" s="880"/>
      <c r="M1270" s="880"/>
      <c r="N1270" s="880"/>
      <c r="O1270" s="881"/>
    </row>
    <row r="1271" spans="1:15" s="1235" customFormat="1" ht="13.5" outlineLevel="1">
      <c r="A1271" s="1421" t="e">
        <f>+VLOOKUP(B1271,'4.0 BD old'!$C$7:$D$64,2,0)</f>
        <v>#N/A</v>
      </c>
      <c r="B1271" s="1422" t="s">
        <v>628</v>
      </c>
      <c r="C1271" s="1423" t="s">
        <v>421</v>
      </c>
      <c r="D1271" s="1424" t="str">
        <f t="shared" si="36"/>
        <v>NEW IDEA_Comment 1</v>
      </c>
      <c r="E1271" s="1424"/>
      <c r="F1271" s="1424"/>
      <c r="G1271" s="1424"/>
      <c r="H1271" s="901"/>
      <c r="I1271" s="901"/>
      <c r="J1271" s="901"/>
      <c r="K1271" s="901"/>
      <c r="L1271" s="901"/>
      <c r="M1271" s="901"/>
      <c r="N1271" s="901"/>
      <c r="O1271" s="902"/>
    </row>
    <row r="1272" spans="1:15" s="1235" customFormat="1" ht="13.5" outlineLevel="1">
      <c r="A1272" s="1421" t="e">
        <f>+VLOOKUP(B1272,'4.0 BD old'!$C$7:$D$64,2,0)</f>
        <v>#N/A</v>
      </c>
      <c r="B1272" s="1425" t="s">
        <v>628</v>
      </c>
      <c r="C1272" s="1426" t="s">
        <v>422</v>
      </c>
      <c r="D1272" s="1427" t="str">
        <f t="shared" si="36"/>
        <v>NEW IDEA_Comment 2</v>
      </c>
      <c r="E1272" s="1427"/>
      <c r="F1272" s="1427"/>
      <c r="G1272" s="1427"/>
      <c r="H1272" s="903"/>
      <c r="I1272" s="903"/>
      <c r="J1272" s="903"/>
      <c r="K1272" s="903"/>
      <c r="L1272" s="903"/>
      <c r="M1272" s="903"/>
      <c r="N1272" s="903"/>
      <c r="O1272" s="904"/>
    </row>
    <row r="1273" spans="1:15" s="1235" customFormat="1" ht="13.5" outlineLevel="1">
      <c r="A1273" s="1421" t="e">
        <f>+VLOOKUP(B1273,'4.0 BD old'!$C$7:$D$64,2,0)</f>
        <v>#N/A</v>
      </c>
      <c r="B1273" s="1428" t="s">
        <v>628</v>
      </c>
      <c r="C1273" s="1429" t="s">
        <v>423</v>
      </c>
      <c r="D1273" s="1430" t="str">
        <f t="shared" si="36"/>
        <v>NEW IDEA_Comment 3</v>
      </c>
      <c r="E1273" s="1430"/>
      <c r="F1273" s="1430"/>
      <c r="G1273" s="1430"/>
      <c r="H1273" s="907"/>
      <c r="I1273" s="905"/>
      <c r="J1273" s="905"/>
      <c r="K1273" s="905"/>
      <c r="L1273" s="905"/>
      <c r="M1273" s="905"/>
      <c r="N1273" s="905"/>
      <c r="O1273" s="906"/>
    </row>
    <row r="1274" spans="1:15" ht="13.5" outlineLevel="1">
      <c r="A1274" s="1431" t="s">
        <v>558</v>
      </c>
      <c r="B1274" s="1432" t="s">
        <v>557</v>
      </c>
      <c r="C1274" s="1433" t="s">
        <v>421</v>
      </c>
      <c r="D1274" s="1434" t="str">
        <f t="shared" si="36"/>
        <v>OCEAN_Comment 1</v>
      </c>
      <c r="E1274" s="1434"/>
      <c r="F1274" s="1434"/>
      <c r="G1274" s="1434"/>
      <c r="H1274" s="876"/>
      <c r="I1274" s="876"/>
      <c r="J1274" s="876"/>
      <c r="K1274" s="876"/>
      <c r="L1274" s="876"/>
      <c r="M1274" s="876"/>
      <c r="N1274" s="876"/>
      <c r="O1274" s="877"/>
    </row>
    <row r="1275" spans="1:15" ht="13.5" outlineLevel="1">
      <c r="A1275" s="1431" t="s">
        <v>558</v>
      </c>
      <c r="B1275" s="1435" t="s">
        <v>557</v>
      </c>
      <c r="C1275" s="1436" t="s">
        <v>422</v>
      </c>
      <c r="D1275" s="1437" t="str">
        <f t="shared" ref="D1275:D1321" si="37">B1275&amp; "_" &amp;C1275</f>
        <v>OCEAN_Comment 2</v>
      </c>
      <c r="E1275" s="1437"/>
      <c r="F1275" s="1437"/>
      <c r="G1275" s="1437"/>
      <c r="H1275" s="878"/>
      <c r="I1275" s="878"/>
      <c r="J1275" s="878"/>
      <c r="K1275" s="878"/>
      <c r="L1275" s="878"/>
      <c r="M1275" s="878"/>
      <c r="N1275" s="878"/>
      <c r="O1275" s="879"/>
    </row>
    <row r="1276" spans="1:15" ht="13.5" outlineLevel="1">
      <c r="A1276" s="1431" t="s">
        <v>558</v>
      </c>
      <c r="B1276" s="1438" t="s">
        <v>557</v>
      </c>
      <c r="C1276" s="1439" t="s">
        <v>423</v>
      </c>
      <c r="D1276" s="1440" t="str">
        <f t="shared" si="37"/>
        <v>OCEAN_Comment 3</v>
      </c>
      <c r="E1276" s="1440"/>
      <c r="F1276" s="1440"/>
      <c r="G1276" s="1440"/>
      <c r="H1276" s="880"/>
      <c r="I1276" s="880"/>
      <c r="J1276" s="880"/>
      <c r="K1276" s="880"/>
      <c r="L1276" s="880"/>
      <c r="M1276" s="880"/>
      <c r="N1276" s="880"/>
      <c r="O1276" s="881"/>
    </row>
    <row r="1277" spans="1:15" ht="13.5" outlineLevel="1">
      <c r="A1277" s="1421" t="str">
        <f>+VLOOKUP(B1277,'4.0 BD old'!$C$7:$D$64,2,0)</f>
        <v>NGUYỄN HỮU NGHIỆM</v>
      </c>
      <c r="B1277" s="1422" t="s">
        <v>91</v>
      </c>
      <c r="C1277" s="1423" t="s">
        <v>421</v>
      </c>
      <c r="D1277" s="1424" t="str">
        <f t="shared" si="37"/>
        <v>LUCKY STAR_Comment 1</v>
      </c>
      <c r="E1277" s="1424"/>
      <c r="F1277" s="1424"/>
      <c r="G1277" s="1424"/>
      <c r="H1277" s="901"/>
      <c r="I1277" s="901"/>
      <c r="J1277" s="901"/>
      <c r="K1277" s="901"/>
      <c r="L1277" s="901"/>
      <c r="M1277" s="901"/>
      <c r="N1277" s="901"/>
      <c r="O1277" s="902"/>
    </row>
    <row r="1278" spans="1:15" ht="13.5" outlineLevel="1">
      <c r="A1278" s="1421" t="str">
        <f>+VLOOKUP(B1278,'4.0 BD old'!$C$7:$D$64,2,0)</f>
        <v>NGUYỄN HỮU NGHIỆM</v>
      </c>
      <c r="B1278" s="1425" t="s">
        <v>91</v>
      </c>
      <c r="C1278" s="1426" t="s">
        <v>422</v>
      </c>
      <c r="D1278" s="1427" t="str">
        <f t="shared" si="37"/>
        <v>LUCKY STAR_Comment 2</v>
      </c>
      <c r="E1278" s="1427"/>
      <c r="F1278" s="1427"/>
      <c r="G1278" s="1427"/>
      <c r="H1278" s="903"/>
      <c r="I1278" s="903"/>
      <c r="J1278" s="903"/>
      <c r="K1278" s="903"/>
      <c r="L1278" s="903"/>
      <c r="M1278" s="903"/>
      <c r="N1278" s="903"/>
      <c r="O1278" s="904"/>
    </row>
    <row r="1279" spans="1:15" ht="13.5" outlineLevel="1">
      <c r="A1279" s="1421" t="str">
        <f>+VLOOKUP(B1279,'4.0 BD old'!$C$7:$D$64,2,0)</f>
        <v>NGUYỄN HỮU NGHIỆM</v>
      </c>
      <c r="B1279" s="1428" t="s">
        <v>91</v>
      </c>
      <c r="C1279" s="1429" t="s">
        <v>423</v>
      </c>
      <c r="D1279" s="1430" t="str">
        <f t="shared" si="37"/>
        <v>LUCKY STAR_Comment 3</v>
      </c>
      <c r="E1279" s="1430"/>
      <c r="F1279" s="1430"/>
      <c r="G1279" s="1430"/>
      <c r="H1279" s="907"/>
      <c r="I1279" s="905"/>
      <c r="J1279" s="905"/>
      <c r="K1279" s="905"/>
      <c r="L1279" s="905"/>
      <c r="M1279" s="905"/>
      <c r="N1279" s="905"/>
      <c r="O1279" s="906"/>
    </row>
    <row r="1280" spans="1:15" ht="13.5" outlineLevel="1">
      <c r="A1280" s="1431" t="e">
        <f>+VLOOKUP(B1280,'4.0 BD old'!$C$7:$D$64,2,0)</f>
        <v>#N/A</v>
      </c>
      <c r="B1280" s="1432" t="s">
        <v>630</v>
      </c>
      <c r="C1280" s="1433" t="s">
        <v>421</v>
      </c>
      <c r="D1280" s="1434" t="str">
        <f t="shared" si="37"/>
        <v>VENUS_Comment 1</v>
      </c>
      <c r="E1280" s="1434"/>
      <c r="F1280" s="1434"/>
      <c r="G1280" s="1434"/>
      <c r="H1280" s="876"/>
      <c r="I1280" s="876"/>
      <c r="J1280" s="876"/>
      <c r="K1280" s="876"/>
      <c r="L1280" s="876"/>
      <c r="M1280" s="876"/>
      <c r="N1280" s="876"/>
      <c r="O1280" s="877"/>
    </row>
    <row r="1281" spans="1:15" ht="13.5" outlineLevel="1">
      <c r="A1281" s="1431" t="e">
        <f>+VLOOKUP(B1281,'4.0 BD old'!$C$7:$D$64,2,0)</f>
        <v>#N/A</v>
      </c>
      <c r="B1281" s="1435" t="s">
        <v>630</v>
      </c>
      <c r="C1281" s="1436" t="s">
        <v>422</v>
      </c>
      <c r="D1281" s="1437" t="str">
        <f t="shared" si="37"/>
        <v>VENUS_Comment 2</v>
      </c>
      <c r="E1281" s="1437"/>
      <c r="F1281" s="1437"/>
      <c r="G1281" s="1437"/>
      <c r="H1281" s="878"/>
      <c r="I1281" s="878"/>
      <c r="J1281" s="878"/>
      <c r="K1281" s="878"/>
      <c r="L1281" s="878"/>
      <c r="M1281" s="878"/>
      <c r="N1281" s="878"/>
      <c r="O1281" s="879"/>
    </row>
    <row r="1282" spans="1:15" ht="13.5" outlineLevel="1">
      <c r="A1282" s="1431" t="e">
        <f>+VLOOKUP(B1282,'4.0 BD old'!$C$7:$D$64,2,0)</f>
        <v>#N/A</v>
      </c>
      <c r="B1282" s="1438" t="s">
        <v>630</v>
      </c>
      <c r="C1282" s="1439" t="s">
        <v>423</v>
      </c>
      <c r="D1282" s="1440" t="str">
        <f t="shared" si="37"/>
        <v>VENUS_Comment 3</v>
      </c>
      <c r="E1282" s="1440"/>
      <c r="F1282" s="1440"/>
      <c r="G1282" s="1440"/>
      <c r="H1282" s="880"/>
      <c r="I1282" s="880"/>
      <c r="J1282" s="880"/>
      <c r="K1282" s="880"/>
      <c r="L1282" s="880"/>
      <c r="M1282" s="880"/>
      <c r="N1282" s="880"/>
      <c r="O1282" s="881"/>
    </row>
    <row r="1283" spans="1:15" ht="13.5" outlineLevel="1">
      <c r="A1283" s="1421" t="e">
        <f>+VLOOKUP(B1283,'4.0 BD old'!$C$7:$D$64,2,0)</f>
        <v>#N/A</v>
      </c>
      <c r="B1283" s="1422" t="s">
        <v>187</v>
      </c>
      <c r="C1283" s="1423" t="s">
        <v>421</v>
      </c>
      <c r="D1283" s="1424" t="str">
        <f t="shared" si="37"/>
        <v>MARS_Comment 1</v>
      </c>
      <c r="E1283" s="1424"/>
      <c r="F1283" s="1424"/>
      <c r="G1283" s="1424"/>
      <c r="H1283" s="901"/>
      <c r="I1283" s="901"/>
      <c r="J1283" s="901"/>
      <c r="K1283" s="901"/>
      <c r="L1283" s="901"/>
      <c r="M1283" s="901"/>
      <c r="N1283" s="901"/>
      <c r="O1283" s="902"/>
    </row>
    <row r="1284" spans="1:15" ht="13.5" outlineLevel="1">
      <c r="A1284" s="1421" t="e">
        <f>+VLOOKUP(B1284,'4.0 BD old'!$C$7:$D$64,2,0)</f>
        <v>#N/A</v>
      </c>
      <c r="B1284" s="1425" t="s">
        <v>187</v>
      </c>
      <c r="C1284" s="1426" t="s">
        <v>422</v>
      </c>
      <c r="D1284" s="1427" t="str">
        <f t="shared" si="37"/>
        <v>MARS_Comment 2</v>
      </c>
      <c r="E1284" s="1427"/>
      <c r="F1284" s="1427"/>
      <c r="G1284" s="1427"/>
      <c r="H1284" s="903"/>
      <c r="I1284" s="903"/>
      <c r="J1284" s="903"/>
      <c r="K1284" s="903"/>
      <c r="L1284" s="903"/>
      <c r="M1284" s="903"/>
      <c r="N1284" s="903"/>
      <c r="O1284" s="904"/>
    </row>
    <row r="1285" spans="1:15" ht="13.5" outlineLevel="1">
      <c r="A1285" s="1421" t="e">
        <f>+VLOOKUP(B1285,'4.0 BD old'!$C$7:$D$64,2,0)</f>
        <v>#N/A</v>
      </c>
      <c r="B1285" s="1428" t="s">
        <v>187</v>
      </c>
      <c r="C1285" s="1429" t="s">
        <v>423</v>
      </c>
      <c r="D1285" s="1430" t="str">
        <f t="shared" si="37"/>
        <v>MARS_Comment 3</v>
      </c>
      <c r="E1285" s="1430"/>
      <c r="F1285" s="1430"/>
      <c r="G1285" s="1430"/>
      <c r="H1285" s="907"/>
      <c r="I1285" s="905"/>
      <c r="J1285" s="905"/>
      <c r="K1285" s="905"/>
      <c r="L1285" s="905"/>
      <c r="M1285" s="905"/>
      <c r="N1285" s="905"/>
      <c r="O1285" s="906"/>
    </row>
    <row r="1286" spans="1:15" ht="13.5" outlineLevel="1">
      <c r="A1286" s="1431" t="e">
        <f>+VLOOKUP(B1286,'4.0 BD old'!$C$7:$D$64,2,0)</f>
        <v>#N/A</v>
      </c>
      <c r="B1286" s="1432" t="s">
        <v>47</v>
      </c>
      <c r="C1286" s="1433" t="s">
        <v>421</v>
      </c>
      <c r="D1286" s="1434" t="str">
        <f t="shared" si="37"/>
        <v>PHOENIX_Comment 1</v>
      </c>
      <c r="E1286" s="1434"/>
      <c r="F1286" s="1434"/>
      <c r="G1286" s="1434"/>
      <c r="H1286" s="876"/>
      <c r="I1286" s="876"/>
      <c r="J1286" s="876"/>
      <c r="K1286" s="876"/>
      <c r="L1286" s="876"/>
      <c r="M1286" s="876"/>
      <c r="N1286" s="876"/>
      <c r="O1286" s="877"/>
    </row>
    <row r="1287" spans="1:15" ht="13.5" outlineLevel="1">
      <c r="A1287" s="1431" t="e">
        <f>+VLOOKUP(B1287,'4.0 BD old'!$C$7:$D$64,2,0)</f>
        <v>#N/A</v>
      </c>
      <c r="B1287" s="1435" t="s">
        <v>47</v>
      </c>
      <c r="C1287" s="1436" t="s">
        <v>422</v>
      </c>
      <c r="D1287" s="1437" t="str">
        <f t="shared" si="37"/>
        <v>PHOENIX_Comment 2</v>
      </c>
      <c r="E1287" s="1437"/>
      <c r="F1287" s="1437"/>
      <c r="G1287" s="1437"/>
      <c r="H1287" s="878"/>
      <c r="I1287" s="878"/>
      <c r="J1287" s="878"/>
      <c r="K1287" s="878"/>
      <c r="L1287" s="878"/>
      <c r="M1287" s="878"/>
      <c r="N1287" s="878"/>
      <c r="O1287" s="879"/>
    </row>
    <row r="1288" spans="1:15" ht="13.5" outlineLevel="1">
      <c r="A1288" s="1431" t="e">
        <f>+VLOOKUP(B1288,'4.0 BD old'!$C$7:$D$64,2,0)</f>
        <v>#N/A</v>
      </c>
      <c r="B1288" s="1438" t="s">
        <v>47</v>
      </c>
      <c r="C1288" s="1439" t="s">
        <v>423</v>
      </c>
      <c r="D1288" s="1440" t="str">
        <f t="shared" si="37"/>
        <v>PHOENIX_Comment 3</v>
      </c>
      <c r="E1288" s="1440"/>
      <c r="F1288" s="1440"/>
      <c r="G1288" s="1440"/>
      <c r="H1288" s="880"/>
      <c r="I1288" s="880"/>
      <c r="J1288" s="880"/>
      <c r="K1288" s="880"/>
      <c r="L1288" s="880"/>
      <c r="M1288" s="880"/>
      <c r="N1288" s="880"/>
      <c r="O1288" s="881"/>
    </row>
    <row r="1289" spans="1:15" s="1441" customFormat="1" ht="13.5" outlineLevel="1">
      <c r="A1289" s="1421" t="s">
        <v>646</v>
      </c>
      <c r="B1289" s="1422" t="s">
        <v>650</v>
      </c>
      <c r="C1289" s="1423" t="s">
        <v>421</v>
      </c>
      <c r="D1289" s="1424" t="str">
        <f>B1289&amp; "_" &amp;C1289</f>
        <v>DRAGON_Comment 1</v>
      </c>
      <c r="E1289" s="1424"/>
      <c r="F1289" s="1424"/>
      <c r="G1289" s="1424"/>
      <c r="H1289" s="901"/>
      <c r="I1289" s="901"/>
      <c r="J1289" s="901"/>
      <c r="K1289" s="901"/>
      <c r="L1289" s="901"/>
      <c r="M1289" s="901"/>
      <c r="N1289" s="901"/>
      <c r="O1289" s="902"/>
    </row>
    <row r="1290" spans="1:15" s="1441" customFormat="1" ht="13.5" outlineLevel="1">
      <c r="A1290" s="1421" t="s">
        <v>646</v>
      </c>
      <c r="B1290" s="1425" t="s">
        <v>650</v>
      </c>
      <c r="C1290" s="1426" t="s">
        <v>422</v>
      </c>
      <c r="D1290" s="1427" t="str">
        <f>B1290&amp; "_" &amp;C1290</f>
        <v>DRAGON_Comment 2</v>
      </c>
      <c r="E1290" s="1427"/>
      <c r="F1290" s="1427"/>
      <c r="G1290" s="1427"/>
      <c r="H1290" s="903"/>
      <c r="I1290" s="903"/>
      <c r="J1290" s="903"/>
      <c r="K1290" s="903"/>
      <c r="L1290" s="903"/>
      <c r="M1290" s="903"/>
      <c r="N1290" s="903"/>
      <c r="O1290" s="904"/>
    </row>
    <row r="1291" spans="1:15" s="1441" customFormat="1" ht="13.5" outlineLevel="1">
      <c r="A1291" s="1421" t="s">
        <v>646</v>
      </c>
      <c r="B1291" s="1428" t="s">
        <v>650</v>
      </c>
      <c r="C1291" s="1429" t="s">
        <v>423</v>
      </c>
      <c r="D1291" s="1430" t="str">
        <f>B1291&amp; "_" &amp;C1291</f>
        <v>DRAGON_Comment 3</v>
      </c>
      <c r="E1291" s="1430"/>
      <c r="F1291" s="1430"/>
      <c r="G1291" s="1430"/>
      <c r="H1291" s="907"/>
      <c r="I1291" s="905"/>
      <c r="J1291" s="905"/>
      <c r="K1291" s="905"/>
      <c r="L1291" s="905"/>
      <c r="M1291" s="905"/>
      <c r="N1291" s="905"/>
      <c r="O1291" s="906"/>
    </row>
    <row r="1292" spans="1:15" ht="13.5" outlineLevel="1">
      <c r="A1292" s="1431" t="str">
        <f>+VLOOKUP(B1292,'4.0 BD old'!$C$7:$D$64,2,0)</f>
        <v>LÊ THANH HUYỀN</v>
      </c>
      <c r="B1292" s="1432" t="s">
        <v>179</v>
      </c>
      <c r="C1292" s="1433" t="s">
        <v>421</v>
      </c>
      <c r="D1292" s="1434" t="str">
        <f t="shared" si="37"/>
        <v>DIAMOND_Comment 1</v>
      </c>
      <c r="E1292" s="1434"/>
      <c r="F1292" s="1434"/>
      <c r="G1292" s="1434"/>
      <c r="H1292" s="876"/>
      <c r="I1292" s="876"/>
      <c r="J1292" s="876"/>
      <c r="K1292" s="876"/>
      <c r="L1292" s="876"/>
      <c r="M1292" s="876"/>
      <c r="N1292" s="876"/>
      <c r="O1292" s="877"/>
    </row>
    <row r="1293" spans="1:15" ht="13.5" outlineLevel="1">
      <c r="A1293" s="1431" t="str">
        <f>+VLOOKUP(B1293,'4.0 BD old'!$C$7:$D$64,2,0)</f>
        <v>LÊ THANH HUYỀN</v>
      </c>
      <c r="B1293" s="1435" t="s">
        <v>179</v>
      </c>
      <c r="C1293" s="1436" t="s">
        <v>422</v>
      </c>
      <c r="D1293" s="1437" t="str">
        <f t="shared" si="37"/>
        <v>DIAMOND_Comment 2</v>
      </c>
      <c r="E1293" s="1437"/>
      <c r="F1293" s="1437"/>
      <c r="G1293" s="1437"/>
      <c r="H1293" s="878"/>
      <c r="I1293" s="878"/>
      <c r="J1293" s="878"/>
      <c r="K1293" s="878"/>
      <c r="L1293" s="878"/>
      <c r="M1293" s="878"/>
      <c r="N1293" s="878"/>
      <c r="O1293" s="879"/>
    </row>
    <row r="1294" spans="1:15" ht="13.5" outlineLevel="1">
      <c r="A1294" s="1431" t="str">
        <f>+VLOOKUP(B1294,'4.0 BD old'!$C$7:$D$64,2,0)</f>
        <v>LÊ THANH HUYỀN</v>
      </c>
      <c r="B1294" s="1438" t="s">
        <v>179</v>
      </c>
      <c r="C1294" s="1439" t="s">
        <v>423</v>
      </c>
      <c r="D1294" s="1440" t="str">
        <f t="shared" si="37"/>
        <v>DIAMOND_Comment 3</v>
      </c>
      <c r="E1294" s="1440"/>
      <c r="F1294" s="1440"/>
      <c r="G1294" s="1440"/>
      <c r="H1294" s="880"/>
      <c r="I1294" s="880"/>
      <c r="J1294" s="880"/>
      <c r="K1294" s="880"/>
      <c r="L1294" s="880"/>
      <c r="M1294" s="880"/>
      <c r="N1294" s="880"/>
      <c r="O1294" s="881"/>
    </row>
    <row r="1295" spans="1:15" ht="13.5" outlineLevel="1">
      <c r="A1295" s="1421" t="e">
        <f>+VLOOKUP(B1295,'4.0 BD old'!$C$7:$D$64,2,0)</f>
        <v>#N/A</v>
      </c>
      <c r="B1295" s="1422" t="s">
        <v>185</v>
      </c>
      <c r="C1295" s="1423" t="s">
        <v>421</v>
      </c>
      <c r="D1295" s="1424" t="str">
        <f t="shared" si="37"/>
        <v>LION_Comment 1</v>
      </c>
      <c r="E1295" s="1424"/>
      <c r="F1295" s="1424"/>
      <c r="G1295" s="1424"/>
      <c r="H1295" s="901"/>
      <c r="I1295" s="901"/>
      <c r="J1295" s="901"/>
      <c r="K1295" s="901"/>
      <c r="L1295" s="901"/>
      <c r="M1295" s="901"/>
      <c r="N1295" s="901"/>
      <c r="O1295" s="902"/>
    </row>
    <row r="1296" spans="1:15" ht="13.5" outlineLevel="1">
      <c r="A1296" s="1421" t="e">
        <f>+VLOOKUP(B1296,'4.0 BD old'!$C$7:$D$64,2,0)</f>
        <v>#N/A</v>
      </c>
      <c r="B1296" s="1425" t="s">
        <v>185</v>
      </c>
      <c r="C1296" s="1426" t="s">
        <v>422</v>
      </c>
      <c r="D1296" s="1427" t="str">
        <f t="shared" si="37"/>
        <v>LION_Comment 2</v>
      </c>
      <c r="E1296" s="1427"/>
      <c r="F1296" s="1427"/>
      <c r="G1296" s="1427"/>
      <c r="H1296" s="903"/>
      <c r="I1296" s="903"/>
      <c r="J1296" s="903"/>
      <c r="K1296" s="903"/>
      <c r="L1296" s="903"/>
      <c r="M1296" s="903"/>
      <c r="N1296" s="903"/>
      <c r="O1296" s="904"/>
    </row>
    <row r="1297" spans="1:15" ht="13.5" outlineLevel="1">
      <c r="A1297" s="1421" t="e">
        <f>+VLOOKUP(B1297,'4.0 BD old'!$C$7:$D$64,2,0)</f>
        <v>#N/A</v>
      </c>
      <c r="B1297" s="1428" t="s">
        <v>185</v>
      </c>
      <c r="C1297" s="1429" t="s">
        <v>423</v>
      </c>
      <c r="D1297" s="1430" t="str">
        <f t="shared" si="37"/>
        <v>LION_Comment 3</v>
      </c>
      <c r="E1297" s="1430"/>
      <c r="F1297" s="1430"/>
      <c r="G1297" s="1430"/>
      <c r="H1297" s="907"/>
      <c r="I1297" s="905"/>
      <c r="J1297" s="905"/>
      <c r="K1297" s="905"/>
      <c r="L1297" s="905"/>
      <c r="M1297" s="905"/>
      <c r="N1297" s="905"/>
      <c r="O1297" s="906"/>
    </row>
    <row r="1298" spans="1:15" ht="13.5" outlineLevel="1">
      <c r="A1298" s="1431" t="str">
        <f>+VLOOKUP(B1298,'4.0 BD old'!$C$7:$D$64,2,0)</f>
        <v>LÊ VIỆT DŨNG</v>
      </c>
      <c r="B1298" s="1432" t="s">
        <v>177</v>
      </c>
      <c r="C1298" s="1433" t="s">
        <v>421</v>
      </c>
      <c r="D1298" s="1434" t="str">
        <f t="shared" si="37"/>
        <v>THE POWER_Comment 1</v>
      </c>
      <c r="E1298" s="1434"/>
      <c r="F1298" s="1434"/>
      <c r="G1298" s="1434"/>
      <c r="H1298" s="876"/>
      <c r="I1298" s="876"/>
      <c r="J1298" s="876"/>
      <c r="K1298" s="876"/>
      <c r="L1298" s="876"/>
      <c r="M1298" s="876"/>
      <c r="N1298" s="876"/>
      <c r="O1298" s="877"/>
    </row>
    <row r="1299" spans="1:15" ht="13.5" outlineLevel="1">
      <c r="A1299" s="1431" t="str">
        <f>+VLOOKUP(B1299,'4.0 BD old'!$C$7:$D$64,2,0)</f>
        <v>LÊ VIỆT DŨNG</v>
      </c>
      <c r="B1299" s="1435" t="s">
        <v>177</v>
      </c>
      <c r="C1299" s="1436" t="s">
        <v>422</v>
      </c>
      <c r="D1299" s="1437" t="str">
        <f t="shared" si="37"/>
        <v>THE POWER_Comment 2</v>
      </c>
      <c r="E1299" s="1437"/>
      <c r="F1299" s="1437"/>
      <c r="G1299" s="1437"/>
      <c r="H1299" s="878"/>
      <c r="I1299" s="878"/>
      <c r="J1299" s="878"/>
      <c r="K1299" s="878"/>
      <c r="L1299" s="878"/>
      <c r="M1299" s="878"/>
      <c r="N1299" s="878"/>
      <c r="O1299" s="879"/>
    </row>
    <row r="1300" spans="1:15" ht="13.5" outlineLevel="1">
      <c r="A1300" s="1431" t="str">
        <f>+VLOOKUP(B1300,'4.0 BD old'!$C$7:$D$64,2,0)</f>
        <v>LÊ VIỆT DŨNG</v>
      </c>
      <c r="B1300" s="1438" t="s">
        <v>177</v>
      </c>
      <c r="C1300" s="1439" t="s">
        <v>423</v>
      </c>
      <c r="D1300" s="1440" t="str">
        <f t="shared" si="37"/>
        <v>THE POWER_Comment 3</v>
      </c>
      <c r="E1300" s="1440"/>
      <c r="F1300" s="1440"/>
      <c r="G1300" s="1440"/>
      <c r="H1300" s="880"/>
      <c r="I1300" s="880"/>
      <c r="J1300" s="880"/>
      <c r="K1300" s="880"/>
      <c r="L1300" s="880"/>
      <c r="M1300" s="880"/>
      <c r="N1300" s="880"/>
      <c r="O1300" s="881"/>
    </row>
    <row r="1301" spans="1:15" ht="13.5" outlineLevel="1">
      <c r="A1301" s="1421" t="e">
        <f>+VLOOKUP(B1301,'4.0 BD old'!$C$7:$D$64,2,0)</f>
        <v>#N/A</v>
      </c>
      <c r="B1301" s="1422" t="s">
        <v>176</v>
      </c>
      <c r="C1301" s="1423" t="s">
        <v>421</v>
      </c>
      <c r="D1301" s="1424" t="str">
        <f t="shared" si="37"/>
        <v>THE STARS_Comment 1</v>
      </c>
      <c r="E1301" s="1424"/>
      <c r="F1301" s="1424"/>
      <c r="G1301" s="1424"/>
      <c r="H1301" s="901"/>
      <c r="I1301" s="901"/>
      <c r="J1301" s="901"/>
      <c r="K1301" s="901"/>
      <c r="L1301" s="901"/>
      <c r="M1301" s="901"/>
      <c r="N1301" s="901"/>
      <c r="O1301" s="902"/>
    </row>
    <row r="1302" spans="1:15" ht="13.5" outlineLevel="1">
      <c r="A1302" s="1421" t="e">
        <f>+VLOOKUP(B1302,'4.0 BD old'!$C$7:$D$64,2,0)</f>
        <v>#N/A</v>
      </c>
      <c r="B1302" s="1425" t="s">
        <v>176</v>
      </c>
      <c r="C1302" s="1426" t="s">
        <v>422</v>
      </c>
      <c r="D1302" s="1427" t="str">
        <f t="shared" si="37"/>
        <v>THE STARS_Comment 2</v>
      </c>
      <c r="E1302" s="1427"/>
      <c r="F1302" s="1427"/>
      <c r="G1302" s="1427"/>
      <c r="H1302" s="903"/>
      <c r="I1302" s="903"/>
      <c r="J1302" s="903"/>
      <c r="K1302" s="903"/>
      <c r="L1302" s="903"/>
      <c r="M1302" s="903"/>
      <c r="N1302" s="903"/>
      <c r="O1302" s="904"/>
    </row>
    <row r="1303" spans="1:15" ht="13.5" outlineLevel="1">
      <c r="A1303" s="1421" t="e">
        <f>+VLOOKUP(B1303,'4.0 BD old'!$C$7:$D$64,2,0)</f>
        <v>#N/A</v>
      </c>
      <c r="B1303" s="1428" t="s">
        <v>176</v>
      </c>
      <c r="C1303" s="1429" t="s">
        <v>423</v>
      </c>
      <c r="D1303" s="1430" t="str">
        <f t="shared" si="37"/>
        <v>THE STARS_Comment 3</v>
      </c>
      <c r="E1303" s="1430"/>
      <c r="F1303" s="1430"/>
      <c r="G1303" s="1430"/>
      <c r="H1303" s="907"/>
      <c r="I1303" s="905"/>
      <c r="J1303" s="905"/>
      <c r="K1303" s="905"/>
      <c r="L1303" s="905"/>
      <c r="M1303" s="905"/>
      <c r="N1303" s="905"/>
      <c r="O1303" s="906"/>
    </row>
    <row r="1304" spans="1:15" s="1442" customFormat="1" ht="13.5" outlineLevel="1">
      <c r="A1304" s="1431" t="e">
        <f>+VLOOKUP(B1304,'4.0 BD old'!$C$7:$D$64,2,0)</f>
        <v>#N/A</v>
      </c>
      <c r="B1304" s="1432" t="s">
        <v>178</v>
      </c>
      <c r="C1304" s="1433" t="s">
        <v>421</v>
      </c>
      <c r="D1304" s="1434" t="str">
        <f t="shared" si="37"/>
        <v>TRƯỜNG GIANG_Comment 1</v>
      </c>
      <c r="E1304" s="1434"/>
      <c r="F1304" s="1434"/>
      <c r="G1304" s="1434"/>
      <c r="H1304" s="876"/>
      <c r="I1304" s="876"/>
      <c r="J1304" s="876"/>
      <c r="K1304" s="876"/>
      <c r="L1304" s="876"/>
      <c r="M1304" s="876"/>
      <c r="N1304" s="876"/>
      <c r="O1304" s="877"/>
    </row>
    <row r="1305" spans="1:15" s="1442" customFormat="1" ht="13.5" outlineLevel="1">
      <c r="A1305" s="1431" t="e">
        <f>+VLOOKUP(B1305,'4.0 BD old'!$C$7:$D$64,2,0)</f>
        <v>#N/A</v>
      </c>
      <c r="B1305" s="1435" t="s">
        <v>178</v>
      </c>
      <c r="C1305" s="1436" t="s">
        <v>422</v>
      </c>
      <c r="D1305" s="1437" t="str">
        <f t="shared" si="37"/>
        <v>TRƯỜNG GIANG_Comment 2</v>
      </c>
      <c r="E1305" s="1437"/>
      <c r="F1305" s="1437"/>
      <c r="G1305" s="1437"/>
      <c r="H1305" s="878"/>
      <c r="I1305" s="878"/>
      <c r="J1305" s="878"/>
      <c r="K1305" s="878"/>
      <c r="L1305" s="878"/>
      <c r="M1305" s="878"/>
      <c r="N1305" s="878"/>
      <c r="O1305" s="879"/>
    </row>
    <row r="1306" spans="1:15" s="1442" customFormat="1" ht="13.5" outlineLevel="1">
      <c r="A1306" s="1431" t="e">
        <f>+VLOOKUP(B1306,'4.0 BD old'!$C$7:$D$64,2,0)</f>
        <v>#N/A</v>
      </c>
      <c r="B1306" s="1438" t="s">
        <v>178</v>
      </c>
      <c r="C1306" s="1439" t="s">
        <v>423</v>
      </c>
      <c r="D1306" s="1440" t="str">
        <f t="shared" si="37"/>
        <v>TRƯỜNG GIANG_Comment 3</v>
      </c>
      <c r="E1306" s="1440"/>
      <c r="F1306" s="1440"/>
      <c r="G1306" s="1440"/>
      <c r="H1306" s="880"/>
      <c r="I1306" s="880"/>
      <c r="J1306" s="880"/>
      <c r="K1306" s="880"/>
      <c r="L1306" s="880"/>
      <c r="M1306" s="880"/>
      <c r="N1306" s="880"/>
      <c r="O1306" s="881"/>
    </row>
    <row r="1307" spans="1:15" ht="13.5" outlineLevel="1">
      <c r="A1307" s="1421" t="s">
        <v>655</v>
      </c>
      <c r="B1307" s="1422" t="s">
        <v>659</v>
      </c>
      <c r="C1307" s="1423" t="s">
        <v>421</v>
      </c>
      <c r="D1307" s="1424" t="str">
        <f t="shared" ref="D1307:D1318" si="38">B1307&amp; "_" &amp;C1307</f>
        <v>ĐOÀN KẾT_Comment 1</v>
      </c>
      <c r="E1307" s="1424"/>
      <c r="F1307" s="1424"/>
      <c r="G1307" s="1424"/>
      <c r="H1307" s="901"/>
      <c r="I1307" s="901"/>
      <c r="J1307" s="901"/>
      <c r="K1307" s="901"/>
      <c r="L1307" s="901"/>
      <c r="M1307" s="901"/>
      <c r="N1307" s="901"/>
      <c r="O1307" s="902"/>
    </row>
    <row r="1308" spans="1:15" ht="13.5" outlineLevel="1">
      <c r="A1308" s="1421" t="s">
        <v>655</v>
      </c>
      <c r="B1308" s="1425" t="s">
        <v>659</v>
      </c>
      <c r="C1308" s="1426" t="s">
        <v>422</v>
      </c>
      <c r="D1308" s="1427" t="str">
        <f t="shared" si="38"/>
        <v>ĐOÀN KẾT_Comment 2</v>
      </c>
      <c r="E1308" s="1427"/>
      <c r="F1308" s="1427"/>
      <c r="G1308" s="1427"/>
      <c r="H1308" s="903"/>
      <c r="I1308" s="903"/>
      <c r="J1308" s="903"/>
      <c r="K1308" s="903"/>
      <c r="L1308" s="903"/>
      <c r="M1308" s="903"/>
      <c r="N1308" s="903"/>
      <c r="O1308" s="904"/>
    </row>
    <row r="1309" spans="1:15" ht="13.5" outlineLevel="1">
      <c r="A1309" s="1421" t="s">
        <v>655</v>
      </c>
      <c r="B1309" s="1428" t="s">
        <v>659</v>
      </c>
      <c r="C1309" s="1429" t="s">
        <v>423</v>
      </c>
      <c r="D1309" s="1430" t="str">
        <f t="shared" si="38"/>
        <v>ĐOÀN KẾT_Comment 3</v>
      </c>
      <c r="E1309" s="1430"/>
      <c r="F1309" s="1430"/>
      <c r="G1309" s="1430"/>
      <c r="H1309" s="907"/>
      <c r="I1309" s="905"/>
      <c r="J1309" s="905"/>
      <c r="K1309" s="905"/>
      <c r="L1309" s="905"/>
      <c r="M1309" s="905"/>
      <c r="N1309" s="905"/>
      <c r="O1309" s="906"/>
    </row>
    <row r="1310" spans="1:15" ht="13.5" outlineLevel="1">
      <c r="A1310" s="1431" t="s">
        <v>656</v>
      </c>
      <c r="B1310" s="1432" t="s">
        <v>660</v>
      </c>
      <c r="C1310" s="1433" t="s">
        <v>421</v>
      </c>
      <c r="D1310" s="1434" t="str">
        <f t="shared" si="38"/>
        <v>ONG VÀNG_Comment 1</v>
      </c>
      <c r="E1310" s="1434"/>
      <c r="F1310" s="1434"/>
      <c r="G1310" s="1434"/>
      <c r="H1310" s="876"/>
      <c r="I1310" s="876"/>
      <c r="J1310" s="876"/>
      <c r="K1310" s="876"/>
      <c r="L1310" s="876"/>
      <c r="M1310" s="876"/>
      <c r="N1310" s="876"/>
      <c r="O1310" s="877"/>
    </row>
    <row r="1311" spans="1:15" ht="13.5" outlineLevel="1">
      <c r="A1311" s="1431" t="s">
        <v>656</v>
      </c>
      <c r="B1311" s="1435" t="s">
        <v>660</v>
      </c>
      <c r="C1311" s="1436" t="s">
        <v>422</v>
      </c>
      <c r="D1311" s="1437" t="str">
        <f t="shared" si="38"/>
        <v>ONG VÀNG_Comment 2</v>
      </c>
      <c r="E1311" s="1437"/>
      <c r="F1311" s="1437"/>
      <c r="G1311" s="1437"/>
      <c r="H1311" s="878"/>
      <c r="I1311" s="878"/>
      <c r="J1311" s="878"/>
      <c r="K1311" s="878"/>
      <c r="L1311" s="878"/>
      <c r="M1311" s="878"/>
      <c r="N1311" s="878"/>
      <c r="O1311" s="879"/>
    </row>
    <row r="1312" spans="1:15" ht="13.5" outlineLevel="1">
      <c r="A1312" s="1431" t="s">
        <v>656</v>
      </c>
      <c r="B1312" s="1438" t="s">
        <v>660</v>
      </c>
      <c r="C1312" s="1439" t="s">
        <v>423</v>
      </c>
      <c r="D1312" s="1440" t="str">
        <f t="shared" si="38"/>
        <v>ONG VÀNG_Comment 3</v>
      </c>
      <c r="E1312" s="1440"/>
      <c r="F1312" s="1440"/>
      <c r="G1312" s="1440"/>
      <c r="H1312" s="880"/>
      <c r="I1312" s="880"/>
      <c r="J1312" s="880"/>
      <c r="K1312" s="880"/>
      <c r="L1312" s="880"/>
      <c r="M1312" s="880"/>
      <c r="N1312" s="880"/>
      <c r="O1312" s="881"/>
    </row>
    <row r="1313" spans="1:15" ht="13.5" outlineLevel="1">
      <c r="A1313" s="1421" t="s">
        <v>657</v>
      </c>
      <c r="B1313" s="1422" t="s">
        <v>661</v>
      </c>
      <c r="C1313" s="1423" t="s">
        <v>421</v>
      </c>
      <c r="D1313" s="1424" t="str">
        <f t="shared" si="38"/>
        <v>BUFFALO_Comment 1</v>
      </c>
      <c r="E1313" s="1424"/>
      <c r="F1313" s="1424"/>
      <c r="G1313" s="1424"/>
      <c r="H1313" s="901"/>
      <c r="I1313" s="901"/>
      <c r="J1313" s="901"/>
      <c r="K1313" s="901"/>
      <c r="L1313" s="901"/>
      <c r="M1313" s="901"/>
      <c r="N1313" s="901"/>
      <c r="O1313" s="902"/>
    </row>
    <row r="1314" spans="1:15" ht="13.5" outlineLevel="1">
      <c r="A1314" s="1421" t="s">
        <v>657</v>
      </c>
      <c r="B1314" s="1425" t="s">
        <v>661</v>
      </c>
      <c r="C1314" s="1426" t="s">
        <v>422</v>
      </c>
      <c r="D1314" s="1427" t="str">
        <f t="shared" si="38"/>
        <v>BUFFALO_Comment 2</v>
      </c>
      <c r="E1314" s="1427"/>
      <c r="F1314" s="1427"/>
      <c r="G1314" s="1427"/>
      <c r="H1314" s="903"/>
      <c r="I1314" s="903"/>
      <c r="J1314" s="903"/>
      <c r="K1314" s="903"/>
      <c r="L1314" s="903"/>
      <c r="M1314" s="903"/>
      <c r="N1314" s="903"/>
      <c r="O1314" s="904"/>
    </row>
    <row r="1315" spans="1:15" ht="13.5" outlineLevel="1">
      <c r="A1315" s="1421" t="s">
        <v>657</v>
      </c>
      <c r="B1315" s="1428" t="s">
        <v>661</v>
      </c>
      <c r="C1315" s="1429" t="s">
        <v>423</v>
      </c>
      <c r="D1315" s="1430" t="str">
        <f t="shared" si="38"/>
        <v>BUFFALO_Comment 3</v>
      </c>
      <c r="E1315" s="1430"/>
      <c r="F1315" s="1430"/>
      <c r="G1315" s="1430"/>
      <c r="H1315" s="907"/>
      <c r="I1315" s="905"/>
      <c r="J1315" s="905"/>
      <c r="K1315" s="905"/>
      <c r="L1315" s="905"/>
      <c r="M1315" s="905"/>
      <c r="N1315" s="905"/>
      <c r="O1315" s="906"/>
    </row>
    <row r="1316" spans="1:15" ht="13.5" outlineLevel="1">
      <c r="A1316" s="1431" t="s">
        <v>658</v>
      </c>
      <c r="B1316" s="1432" t="s">
        <v>662</v>
      </c>
      <c r="C1316" s="1433" t="s">
        <v>421</v>
      </c>
      <c r="D1316" s="1434" t="str">
        <f t="shared" si="38"/>
        <v>SÔNG THU_Comment 1</v>
      </c>
      <c r="E1316" s="1434"/>
      <c r="F1316" s="1434"/>
      <c r="G1316" s="1434"/>
      <c r="H1316" s="876"/>
      <c r="I1316" s="876"/>
      <c r="J1316" s="876"/>
      <c r="K1316" s="876"/>
      <c r="L1316" s="876"/>
      <c r="M1316" s="876"/>
      <c r="N1316" s="876"/>
      <c r="O1316" s="877"/>
    </row>
    <row r="1317" spans="1:15" ht="13.5" outlineLevel="1">
      <c r="A1317" s="1431" t="s">
        <v>658</v>
      </c>
      <c r="B1317" s="1435" t="s">
        <v>662</v>
      </c>
      <c r="C1317" s="1436" t="s">
        <v>422</v>
      </c>
      <c r="D1317" s="1437" t="str">
        <f t="shared" si="38"/>
        <v>SÔNG THU_Comment 2</v>
      </c>
      <c r="E1317" s="1437"/>
      <c r="F1317" s="1437"/>
      <c r="G1317" s="1437"/>
      <c r="H1317" s="878"/>
      <c r="I1317" s="878"/>
      <c r="J1317" s="878"/>
      <c r="K1317" s="878"/>
      <c r="L1317" s="878"/>
      <c r="M1317" s="878"/>
      <c r="N1317" s="878"/>
      <c r="O1317" s="879"/>
    </row>
    <row r="1318" spans="1:15" ht="13.5" outlineLevel="1">
      <c r="A1318" s="1431" t="s">
        <v>658</v>
      </c>
      <c r="B1318" s="1438" t="s">
        <v>662</v>
      </c>
      <c r="C1318" s="1439" t="s">
        <v>423</v>
      </c>
      <c r="D1318" s="1440" t="str">
        <f t="shared" si="38"/>
        <v>SÔNG THU_Comment 3</v>
      </c>
      <c r="E1318" s="1440"/>
      <c r="F1318" s="1440"/>
      <c r="G1318" s="1440"/>
      <c r="H1318" s="880"/>
      <c r="I1318" s="880"/>
      <c r="J1318" s="880"/>
      <c r="K1318" s="880"/>
      <c r="L1318" s="880"/>
      <c r="M1318" s="880"/>
      <c r="N1318" s="880"/>
      <c r="O1318" s="881"/>
    </row>
    <row r="1319" spans="1:15" ht="12" customHeight="1" outlineLevel="1">
      <c r="A1319" s="1421"/>
      <c r="B1319" s="1422"/>
      <c r="C1319" s="1423"/>
      <c r="D1319" s="1424" t="str">
        <f t="shared" si="37"/>
        <v>_</v>
      </c>
      <c r="E1319" s="1424"/>
      <c r="F1319" s="1424"/>
      <c r="G1319" s="1424"/>
      <c r="H1319" s="901"/>
      <c r="I1319" s="901"/>
      <c r="J1319" s="901"/>
      <c r="K1319" s="901"/>
      <c r="L1319" s="901"/>
      <c r="M1319" s="901"/>
      <c r="N1319" s="901"/>
      <c r="O1319" s="902"/>
    </row>
    <row r="1320" spans="1:15" ht="13.5" outlineLevel="1">
      <c r="A1320" s="1421"/>
      <c r="B1320" s="1425"/>
      <c r="C1320" s="1426"/>
      <c r="D1320" s="1427" t="str">
        <f t="shared" si="37"/>
        <v>_</v>
      </c>
      <c r="E1320" s="1427"/>
      <c r="F1320" s="1427"/>
      <c r="G1320" s="1427"/>
      <c r="H1320" s="903"/>
      <c r="I1320" s="903"/>
      <c r="J1320" s="903"/>
      <c r="K1320" s="903"/>
      <c r="L1320" s="903"/>
      <c r="M1320" s="903"/>
      <c r="N1320" s="903"/>
      <c r="O1320" s="904"/>
    </row>
    <row r="1321" spans="1:15" ht="13.5" outlineLevel="1">
      <c r="A1321" s="1421"/>
      <c r="B1321" s="1428"/>
      <c r="C1321" s="1429"/>
      <c r="D1321" s="1430" t="str">
        <f t="shared" si="37"/>
        <v>_</v>
      </c>
      <c r="E1321" s="1430"/>
      <c r="F1321" s="1430"/>
      <c r="G1321" s="1430"/>
      <c r="H1321" s="907"/>
      <c r="I1321" s="905"/>
      <c r="J1321" s="905"/>
      <c r="K1321" s="905"/>
      <c r="L1321" s="905"/>
      <c r="M1321" s="905"/>
      <c r="N1321" s="905"/>
      <c r="O1321" s="906"/>
    </row>
    <row r="1322" spans="1:15" outlineLevel="1"/>
    <row r="1323" spans="1:15" outlineLevel="1"/>
    <row r="1324" spans="1:15" outlineLevel="1">
      <c r="A1324" s="1208"/>
    </row>
    <row r="1339" spans="5:7">
      <c r="E1339" s="1443"/>
      <c r="F1339" s="1443"/>
      <c r="G1339" s="573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workbookViewId="0"/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431" t="s">
        <v>370</v>
      </c>
      <c r="V1" s="3" t="s">
        <v>0</v>
      </c>
    </row>
    <row r="2" spans="2:48">
      <c r="B2" s="451">
        <f>Cover!G5</f>
        <v>42947</v>
      </c>
    </row>
    <row r="3" spans="2:48">
      <c r="B3" s="432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</row>
    <row r="4" spans="2:48">
      <c r="B4" s="134" t="s">
        <v>115</v>
      </c>
      <c r="C4" s="135"/>
      <c r="D4" s="135"/>
      <c r="E4" s="383" t="s">
        <v>666</v>
      </c>
      <c r="F4" s="384"/>
      <c r="G4" s="384"/>
      <c r="H4" s="385"/>
      <c r="I4" s="383" t="s">
        <v>633</v>
      </c>
      <c r="J4" s="384"/>
      <c r="K4" s="384"/>
      <c r="L4" s="385"/>
      <c r="M4" s="383" t="s">
        <v>587</v>
      </c>
      <c r="N4" s="384"/>
      <c r="O4" s="384"/>
      <c r="P4" s="385"/>
      <c r="Q4" s="383" t="s">
        <v>560</v>
      </c>
      <c r="R4" s="384"/>
      <c r="S4" s="384"/>
      <c r="T4" s="385"/>
      <c r="U4" s="383" t="s">
        <v>484</v>
      </c>
      <c r="V4" s="384"/>
      <c r="W4" s="384"/>
      <c r="X4" s="385"/>
      <c r="Y4" s="383" t="s">
        <v>466</v>
      </c>
      <c r="Z4" s="384"/>
      <c r="AA4" s="384"/>
      <c r="AB4" s="385"/>
      <c r="AC4" s="383" t="s">
        <v>451</v>
      </c>
      <c r="AD4" s="384"/>
      <c r="AE4" s="384"/>
      <c r="AF4" s="385"/>
      <c r="AG4" s="383" t="s">
        <v>441</v>
      </c>
      <c r="AH4" s="384"/>
      <c r="AI4" s="384"/>
      <c r="AJ4" s="385"/>
      <c r="AK4" s="383" t="s">
        <v>354</v>
      </c>
      <c r="AL4" s="384"/>
      <c r="AM4" s="384"/>
      <c r="AN4" s="385"/>
      <c r="AO4" s="383" t="s">
        <v>295</v>
      </c>
      <c r="AP4" s="384"/>
      <c r="AQ4" s="384"/>
      <c r="AR4" s="385"/>
      <c r="AS4" s="383" t="s">
        <v>290</v>
      </c>
      <c r="AT4" s="384"/>
      <c r="AU4" s="384"/>
      <c r="AV4" s="385"/>
    </row>
    <row r="5" spans="2:48" ht="48">
      <c r="B5" s="254" t="s">
        <v>15</v>
      </c>
      <c r="C5" s="277" t="s">
        <v>16</v>
      </c>
      <c r="D5" s="277" t="s">
        <v>20</v>
      </c>
      <c r="E5" s="531" t="s">
        <v>434</v>
      </c>
      <c r="F5" s="532" t="s">
        <v>432</v>
      </c>
      <c r="G5" s="533" t="s">
        <v>429</v>
      </c>
      <c r="H5" s="534" t="s">
        <v>436</v>
      </c>
      <c r="I5" s="531" t="s">
        <v>434</v>
      </c>
      <c r="J5" s="532" t="s">
        <v>432</v>
      </c>
      <c r="K5" s="533" t="s">
        <v>429</v>
      </c>
      <c r="L5" s="534" t="s">
        <v>436</v>
      </c>
      <c r="M5" s="531" t="s">
        <v>434</v>
      </c>
      <c r="N5" s="532" t="s">
        <v>432</v>
      </c>
      <c r="O5" s="533" t="s">
        <v>429</v>
      </c>
      <c r="P5" s="534" t="s">
        <v>436</v>
      </c>
      <c r="Q5" s="531" t="s">
        <v>434</v>
      </c>
      <c r="R5" s="532" t="s">
        <v>432</v>
      </c>
      <c r="S5" s="533" t="s">
        <v>429</v>
      </c>
      <c r="T5" s="534" t="s">
        <v>436</v>
      </c>
      <c r="U5" s="531" t="s">
        <v>434</v>
      </c>
      <c r="V5" s="532" t="s">
        <v>432</v>
      </c>
      <c r="W5" s="533" t="s">
        <v>429</v>
      </c>
      <c r="X5" s="534" t="s">
        <v>436</v>
      </c>
      <c r="Y5" s="531" t="s">
        <v>434</v>
      </c>
      <c r="Z5" s="532" t="s">
        <v>432</v>
      </c>
      <c r="AA5" s="533" t="s">
        <v>429</v>
      </c>
      <c r="AB5" s="534" t="s">
        <v>436</v>
      </c>
      <c r="AC5" s="531" t="s">
        <v>434</v>
      </c>
      <c r="AD5" s="532" t="s">
        <v>432</v>
      </c>
      <c r="AE5" s="533" t="s">
        <v>429</v>
      </c>
      <c r="AF5" s="534" t="s">
        <v>436</v>
      </c>
      <c r="AG5" s="531" t="s">
        <v>434</v>
      </c>
      <c r="AH5" s="532" t="s">
        <v>432</v>
      </c>
      <c r="AI5" s="533" t="s">
        <v>429</v>
      </c>
      <c r="AJ5" s="534" t="s">
        <v>436</v>
      </c>
      <c r="AK5" s="531" t="s">
        <v>434</v>
      </c>
      <c r="AL5" s="532" t="s">
        <v>432</v>
      </c>
      <c r="AM5" s="533" t="s">
        <v>449</v>
      </c>
      <c r="AN5" s="534" t="s">
        <v>436</v>
      </c>
      <c r="AO5" s="531" t="s">
        <v>434</v>
      </c>
      <c r="AP5" s="532" t="s">
        <v>432</v>
      </c>
      <c r="AQ5" s="533" t="s">
        <v>241</v>
      </c>
      <c r="AR5" s="534" t="s">
        <v>436</v>
      </c>
      <c r="AS5" s="593" t="s">
        <v>434</v>
      </c>
      <c r="AT5" s="532" t="s">
        <v>432</v>
      </c>
      <c r="AU5" s="533" t="s">
        <v>241</v>
      </c>
      <c r="AV5" s="534" t="s">
        <v>436</v>
      </c>
    </row>
    <row r="6" spans="2:48">
      <c r="B6" s="307" t="s">
        <v>246</v>
      </c>
      <c r="C6" s="308"/>
      <c r="D6" s="308"/>
      <c r="E6" s="535"/>
      <c r="F6" s="542"/>
      <c r="G6" s="536"/>
      <c r="H6" s="543"/>
      <c r="I6" s="535"/>
      <c r="J6" s="542"/>
      <c r="K6" s="536"/>
      <c r="L6" s="543"/>
      <c r="M6" s="535"/>
      <c r="N6" s="542"/>
      <c r="O6" s="536"/>
      <c r="P6" s="543"/>
      <c r="Q6" s="535"/>
      <c r="R6" s="542"/>
      <c r="S6" s="536"/>
      <c r="T6" s="543"/>
      <c r="U6" s="535"/>
      <c r="V6" s="542"/>
      <c r="W6" s="536"/>
      <c r="X6" s="543"/>
      <c r="Y6" s="535"/>
      <c r="Z6" s="542"/>
      <c r="AA6" s="536"/>
      <c r="AB6" s="543"/>
      <c r="AC6" s="535"/>
      <c r="AD6" s="542"/>
      <c r="AE6" s="536"/>
      <c r="AF6" s="543"/>
      <c r="AG6" s="535"/>
      <c r="AH6" s="542"/>
      <c r="AI6" s="536"/>
      <c r="AJ6" s="543"/>
      <c r="AK6" s="535"/>
      <c r="AL6" s="542"/>
      <c r="AM6" s="536"/>
      <c r="AN6" s="543"/>
      <c r="AO6" s="535"/>
      <c r="AP6" s="542"/>
      <c r="AQ6" s="536"/>
      <c r="AR6" s="543"/>
      <c r="AS6" s="594"/>
      <c r="AT6" s="542"/>
      <c r="AU6" s="536"/>
      <c r="AV6" s="543"/>
    </row>
    <row r="7" spans="2:48" ht="13.5">
      <c r="B7" s="78" t="s">
        <v>244</v>
      </c>
      <c r="C7" s="57" t="s">
        <v>649</v>
      </c>
      <c r="D7" s="57" t="s">
        <v>645</v>
      </c>
      <c r="E7" s="548"/>
      <c r="F7" s="544"/>
      <c r="G7" s="545"/>
      <c r="H7" s="546"/>
      <c r="I7" s="548"/>
      <c r="J7" s="544"/>
      <c r="K7" s="545"/>
      <c r="L7" s="546"/>
      <c r="M7" s="548"/>
      <c r="N7" s="544"/>
      <c r="O7" s="545"/>
      <c r="P7" s="546"/>
      <c r="Q7" s="548"/>
      <c r="R7" s="544"/>
      <c r="S7" s="545"/>
      <c r="T7" s="546"/>
      <c r="U7" s="548"/>
      <c r="V7" s="544"/>
      <c r="W7" s="545"/>
      <c r="X7" s="546"/>
      <c r="Y7" s="548"/>
      <c r="Z7" s="544"/>
      <c r="AA7" s="545"/>
      <c r="AB7" s="546"/>
      <c r="AC7" s="548"/>
      <c r="AD7" s="544"/>
      <c r="AE7" s="545"/>
      <c r="AF7" s="546"/>
      <c r="AG7" s="548"/>
      <c r="AH7" s="544"/>
      <c r="AI7" s="545"/>
      <c r="AJ7" s="546"/>
      <c r="AK7" s="547"/>
      <c r="AL7" s="544"/>
      <c r="AM7" s="545"/>
      <c r="AN7" s="546"/>
      <c r="AO7" s="547"/>
      <c r="AP7" s="544"/>
      <c r="AQ7" s="545"/>
      <c r="AR7" s="546"/>
      <c r="AS7" s="595"/>
      <c r="AT7" s="544"/>
      <c r="AU7" s="545"/>
      <c r="AV7" s="546"/>
    </row>
    <row r="8" spans="2:48" ht="13.5">
      <c r="B8" s="78" t="s">
        <v>244</v>
      </c>
      <c r="C8" s="57" t="s">
        <v>650</v>
      </c>
      <c r="D8" s="57" t="s">
        <v>646</v>
      </c>
      <c r="E8" s="548"/>
      <c r="F8" s="544"/>
      <c r="G8" s="545"/>
      <c r="H8" s="546"/>
      <c r="I8" s="548"/>
      <c r="J8" s="544"/>
      <c r="K8" s="545"/>
      <c r="L8" s="546"/>
      <c r="M8" s="548"/>
      <c r="N8" s="544"/>
      <c r="O8" s="545"/>
      <c r="P8" s="546"/>
      <c r="Q8" s="548"/>
      <c r="R8" s="544"/>
      <c r="S8" s="545"/>
      <c r="T8" s="546"/>
      <c r="U8" s="548"/>
      <c r="V8" s="544"/>
      <c r="W8" s="545"/>
      <c r="X8" s="546"/>
      <c r="Y8" s="548"/>
      <c r="Z8" s="544"/>
      <c r="AA8" s="545"/>
      <c r="AB8" s="546"/>
      <c r="AC8" s="548"/>
      <c r="AD8" s="544"/>
      <c r="AE8" s="545"/>
      <c r="AF8" s="546"/>
      <c r="AG8" s="548"/>
      <c r="AH8" s="544"/>
      <c r="AI8" s="545"/>
      <c r="AJ8" s="546"/>
      <c r="AK8" s="547"/>
      <c r="AL8" s="544"/>
      <c r="AM8" s="545"/>
      <c r="AN8" s="546"/>
      <c r="AO8" s="547"/>
      <c r="AP8" s="544"/>
      <c r="AQ8" s="545"/>
      <c r="AR8" s="546"/>
      <c r="AS8" s="595"/>
      <c r="AT8" s="544"/>
      <c r="AU8" s="545"/>
      <c r="AV8" s="546"/>
    </row>
    <row r="9" spans="2:48" ht="13.5">
      <c r="B9" s="78" t="s">
        <v>244</v>
      </c>
      <c r="C9" s="57" t="s">
        <v>642</v>
      </c>
      <c r="D9" s="57" t="s">
        <v>641</v>
      </c>
      <c r="E9" s="548"/>
      <c r="F9" s="544"/>
      <c r="G9" s="545"/>
      <c r="H9" s="546"/>
      <c r="I9" s="548"/>
      <c r="J9" s="544"/>
      <c r="K9" s="545"/>
      <c r="L9" s="546"/>
      <c r="M9" s="548"/>
      <c r="N9" s="544"/>
      <c r="O9" s="545"/>
      <c r="P9" s="546"/>
      <c r="Q9" s="548"/>
      <c r="R9" s="544"/>
      <c r="S9" s="545"/>
      <c r="T9" s="546"/>
      <c r="U9" s="548"/>
      <c r="V9" s="544"/>
      <c r="W9" s="545"/>
      <c r="X9" s="546"/>
      <c r="Y9" s="548"/>
      <c r="Z9" s="544"/>
      <c r="AA9" s="545"/>
      <c r="AB9" s="546"/>
      <c r="AC9" s="548"/>
      <c r="AD9" s="544"/>
      <c r="AE9" s="545"/>
      <c r="AF9" s="546"/>
      <c r="AG9" s="548"/>
      <c r="AH9" s="544"/>
      <c r="AI9" s="545"/>
      <c r="AJ9" s="546"/>
      <c r="AK9" s="547"/>
      <c r="AL9" s="544"/>
      <c r="AM9" s="545"/>
      <c r="AN9" s="546"/>
      <c r="AO9" s="547"/>
      <c r="AP9" s="544"/>
      <c r="AQ9" s="545"/>
      <c r="AR9" s="546"/>
      <c r="AS9" s="595"/>
      <c r="AT9" s="544"/>
      <c r="AU9" s="545"/>
      <c r="AV9" s="546"/>
    </row>
    <row r="10" spans="2:48" ht="13.5">
      <c r="B10" s="78" t="s">
        <v>244</v>
      </c>
      <c r="C10" s="57" t="s">
        <v>647</v>
      </c>
      <c r="D10" s="57" t="s">
        <v>643</v>
      </c>
      <c r="E10" s="548"/>
      <c r="F10" s="544"/>
      <c r="G10" s="545"/>
      <c r="H10" s="546"/>
      <c r="I10" s="548"/>
      <c r="J10" s="544"/>
      <c r="K10" s="545"/>
      <c r="L10" s="546"/>
      <c r="M10" s="548"/>
      <c r="N10" s="544"/>
      <c r="O10" s="545"/>
      <c r="P10" s="546"/>
      <c r="Q10" s="548"/>
      <c r="R10" s="544"/>
      <c r="S10" s="545"/>
      <c r="T10" s="546"/>
      <c r="U10" s="548"/>
      <c r="V10" s="544"/>
      <c r="W10" s="545"/>
      <c r="X10" s="546"/>
      <c r="Y10" s="548"/>
      <c r="Z10" s="544"/>
      <c r="AA10" s="545"/>
      <c r="AB10" s="546"/>
      <c r="AC10" s="548"/>
      <c r="AD10" s="544"/>
      <c r="AE10" s="545"/>
      <c r="AF10" s="546"/>
      <c r="AG10" s="548"/>
      <c r="AH10" s="544"/>
      <c r="AI10" s="545"/>
      <c r="AJ10" s="546"/>
      <c r="AK10" s="547"/>
      <c r="AL10" s="544"/>
      <c r="AM10" s="545"/>
      <c r="AN10" s="546"/>
      <c r="AO10" s="547"/>
      <c r="AP10" s="544"/>
      <c r="AQ10" s="545"/>
      <c r="AR10" s="546"/>
      <c r="AS10" s="595"/>
      <c r="AT10" s="544"/>
      <c r="AU10" s="545"/>
      <c r="AV10" s="546"/>
    </row>
    <row r="11" spans="2:48" ht="13.5">
      <c r="B11" s="78" t="s">
        <v>244</v>
      </c>
      <c r="C11" s="57" t="s">
        <v>648</v>
      </c>
      <c r="D11" s="57" t="s">
        <v>644</v>
      </c>
      <c r="E11" s="548"/>
      <c r="F11" s="544"/>
      <c r="G11" s="545"/>
      <c r="H11" s="546"/>
      <c r="I11" s="548"/>
      <c r="J11" s="544"/>
      <c r="K11" s="545"/>
      <c r="L11" s="546"/>
      <c r="M11" s="548"/>
      <c r="N11" s="544"/>
      <c r="O11" s="545"/>
      <c r="P11" s="546"/>
      <c r="Q11" s="548"/>
      <c r="R11" s="544"/>
      <c r="S11" s="545"/>
      <c r="T11" s="546"/>
      <c r="U11" s="548"/>
      <c r="V11" s="544"/>
      <c r="W11" s="545"/>
      <c r="X11" s="546"/>
      <c r="Y11" s="548"/>
      <c r="Z11" s="544"/>
      <c r="AA11" s="545"/>
      <c r="AB11" s="546"/>
      <c r="AC11" s="548"/>
      <c r="AD11" s="544"/>
      <c r="AE11" s="545"/>
      <c r="AF11" s="546"/>
      <c r="AG11" s="548"/>
      <c r="AH11" s="544"/>
      <c r="AI11" s="545"/>
      <c r="AJ11" s="546"/>
      <c r="AK11" s="547"/>
      <c r="AL11" s="544"/>
      <c r="AM11" s="545"/>
      <c r="AN11" s="546"/>
      <c r="AO11" s="547"/>
      <c r="AP11" s="544"/>
      <c r="AQ11" s="545"/>
      <c r="AR11" s="546"/>
      <c r="AS11" s="595"/>
      <c r="AT11" s="544"/>
      <c r="AU11" s="545"/>
      <c r="AV11" s="546"/>
    </row>
    <row r="12" spans="2:48" ht="13.5">
      <c r="B12" s="78" t="s">
        <v>244</v>
      </c>
      <c r="C12" s="57" t="s">
        <v>557</v>
      </c>
      <c r="D12" s="57" t="s">
        <v>558</v>
      </c>
      <c r="E12" s="537"/>
      <c r="F12" s="544"/>
      <c r="G12" s="545"/>
      <c r="H12" s="546"/>
      <c r="I12" s="537"/>
      <c r="J12" s="544"/>
      <c r="K12" s="545"/>
      <c r="L12" s="546"/>
      <c r="M12" s="537"/>
      <c r="N12" s="544"/>
      <c r="O12" s="545"/>
      <c r="P12" s="546"/>
      <c r="Q12" s="537"/>
      <c r="R12" s="544"/>
      <c r="S12" s="545"/>
      <c r="T12" s="546"/>
      <c r="U12" s="537"/>
      <c r="V12" s="544"/>
      <c r="W12" s="545"/>
      <c r="X12" s="546"/>
      <c r="Y12" s="537"/>
      <c r="Z12" s="544"/>
      <c r="AA12" s="545"/>
      <c r="AB12" s="546"/>
      <c r="AC12" s="537"/>
      <c r="AD12" s="544"/>
      <c r="AE12" s="545"/>
      <c r="AF12" s="546"/>
      <c r="AG12" s="537"/>
      <c r="AH12" s="544"/>
      <c r="AI12" s="545"/>
      <c r="AJ12" s="546"/>
      <c r="AK12" s="547"/>
      <c r="AL12" s="544"/>
      <c r="AM12" s="545"/>
      <c r="AN12" s="546"/>
      <c r="AO12" s="547"/>
      <c r="AP12" s="544"/>
      <c r="AQ12" s="545"/>
      <c r="AR12" s="546"/>
      <c r="AS12" s="595"/>
      <c r="AT12" s="544"/>
      <c r="AU12" s="545"/>
      <c r="AV12" s="546"/>
    </row>
    <row r="13" spans="2:48" ht="13.5">
      <c r="B13" s="78" t="s">
        <v>244</v>
      </c>
      <c r="C13" s="99" t="s">
        <v>91</v>
      </c>
      <c r="D13" s="99" t="s">
        <v>92</v>
      </c>
      <c r="E13" s="553"/>
      <c r="F13" s="544" t="e">
        <f>IF('3.0 New AGs'!#REF! &gt; 0, '4.1 New AG out-of profile by BD'!E13/'3.0 New AGs'!#REF!, "")</f>
        <v>#REF!</v>
      </c>
      <c r="G13" s="545">
        <v>0</v>
      </c>
      <c r="H13" s="546" t="str">
        <f>IF(E13 &gt; 0, G13/E13, "")</f>
        <v/>
      </c>
      <c r="I13" s="553">
        <v>1</v>
      </c>
      <c r="J13" s="544" t="e">
        <f>IF('3.0 New AGs'!#REF! &gt; 0, '4.1 New AG out-of profile by BD'!I13/'3.0 New AGs'!#REF!, "")</f>
        <v>#REF!</v>
      </c>
      <c r="K13" s="545">
        <v>0</v>
      </c>
      <c r="L13" s="546">
        <f>IF(I13 &gt; 0, K13/I13, "")</f>
        <v>0</v>
      </c>
      <c r="M13" s="553">
        <v>2</v>
      </c>
      <c r="N13" s="544" t="e">
        <f>IF('3.0 New AGs'!#REF! &gt; 0, '4.1 New AG out-of profile by BD'!M13/'3.0 New AGs'!#REF!, "")</f>
        <v>#REF!</v>
      </c>
      <c r="O13" s="545"/>
      <c r="P13" s="546">
        <f>IF(M13 &gt; 0, O13/M13, "")</f>
        <v>0</v>
      </c>
      <c r="Q13" s="553"/>
      <c r="R13" s="544" t="e">
        <f>IF('3.0 New AGs'!#REF! &gt; 0, '4.1 New AG out-of profile by BD'!Q13/'3.0 New AGs'!#REF!, "")</f>
        <v>#REF!</v>
      </c>
      <c r="S13" s="545"/>
      <c r="T13" s="546" t="str">
        <f>IF(Q13 &gt; 0, S13/Q13, "")</f>
        <v/>
      </c>
      <c r="U13" s="553">
        <v>3</v>
      </c>
      <c r="V13" s="544" t="e">
        <f>IF('3.0 New AGs'!#REF! &gt; 0, '4.1 New AG out-of profile by BD'!U13/'3.0 New AGs'!#REF!, "")</f>
        <v>#REF!</v>
      </c>
      <c r="W13" s="545">
        <v>2</v>
      </c>
      <c r="X13" s="546">
        <f>IF(U13 &gt; 0, W13/U13, "")</f>
        <v>0.66666666666666663</v>
      </c>
      <c r="Y13" s="553"/>
      <c r="Z13" s="544" t="e">
        <f>IF('3.0 New AGs'!#REF! &gt; 0, '4.1 New AG out-of profile by BD'!Y13/'3.0 New AGs'!#REF!, "")</f>
        <v>#REF!</v>
      </c>
      <c r="AA13" s="545"/>
      <c r="AB13" s="546" t="str">
        <f t="shared" ref="AB13:AB18" si="0">IF(Y13 &gt; 0, AA13/Y13, "")</f>
        <v/>
      </c>
      <c r="AC13" s="553"/>
      <c r="AD13" s="544" t="e">
        <f>IF('3.0 New AGs'!#REF! &gt; 0, '4.1 New AG out-of profile by BD'!AC13/'3.0 New AGs'!#REF!, "")</f>
        <v>#REF!</v>
      </c>
      <c r="AE13" s="545"/>
      <c r="AF13" s="546" t="str">
        <f t="shared" ref="AF13:AF18" si="1">IF(AC13 &gt; 0, AE13/AC13, "")</f>
        <v/>
      </c>
      <c r="AG13" s="553">
        <v>4</v>
      </c>
      <c r="AH13" s="544" t="e">
        <f>IF('3.0 New AGs'!#REF! &gt; 0, '4.1 New AG out-of profile by BD'!AG13/'3.0 New AGs'!#REF!, "")</f>
        <v>#REF!</v>
      </c>
      <c r="AI13" s="545">
        <v>1</v>
      </c>
      <c r="AJ13" s="546">
        <f t="shared" ref="AJ13:AJ18" si="2">IF(AG13 &gt; 0, AI13/AG13, "")</f>
        <v>0.25</v>
      </c>
      <c r="AK13" s="547"/>
      <c r="AL13" s="544" t="e">
        <f>IF('3.0 New AGs'!#REF! &gt;= 0, '4.1 New AG out-of profile by BD'!AK13/'3.0 New AGs'!#REF!, "")</f>
        <v>#REF!</v>
      </c>
      <c r="AM13" s="545"/>
      <c r="AN13" s="546" t="str">
        <f t="shared" ref="AN13:AN18" si="3">IF(AK13 &gt; 0, AM13/AK13, "")</f>
        <v/>
      </c>
      <c r="AO13" s="547">
        <v>1</v>
      </c>
      <c r="AP13" s="544" t="e">
        <f>IF('3.0 New AGs'!#REF! &gt; 0, '4.1 New AG out-of profile by BD'!AO13/'3.0 New AGs'!#REF!, "")</f>
        <v>#REF!</v>
      </c>
      <c r="AQ13" s="545">
        <v>1</v>
      </c>
      <c r="AR13" s="546">
        <f t="shared" ref="AR13:AR18" si="4">IF(AO13 &gt; 0, AQ13/AO13, "")</f>
        <v>1</v>
      </c>
      <c r="AS13" s="595">
        <v>3</v>
      </c>
      <c r="AT13" s="544" t="e">
        <f>IF('3.0 New AGs'!#REF! &gt; 0, '4.1 New AG out-of profile by BD'!AS13/'3.0 New AGs'!#REF!, "")</f>
        <v>#REF!</v>
      </c>
      <c r="AU13" s="545"/>
      <c r="AV13" s="546">
        <f t="shared" ref="AV13:AV18" si="5">IF(AS13 &gt; 0, AU13/AS13, "")</f>
        <v>0</v>
      </c>
    </row>
    <row r="14" spans="2:48" ht="13.5">
      <c r="B14" s="78" t="s">
        <v>244</v>
      </c>
      <c r="C14" s="99" t="s">
        <v>482</v>
      </c>
      <c r="D14" s="99" t="s">
        <v>483</v>
      </c>
      <c r="E14" s="553"/>
      <c r="F14" s="544" t="e">
        <f>IF('3.0 New AGs'!#REF! &gt; 0, '4.1 New AG out-of profile by BD'!E14/'3.0 New AGs'!#REF!, "")</f>
        <v>#REF!</v>
      </c>
      <c r="G14" s="545"/>
      <c r="H14" s="546"/>
      <c r="I14" s="553"/>
      <c r="J14" s="544" t="e">
        <f>IF('3.0 New AGs'!#REF! &gt; 0, '4.1 New AG out-of profile by BD'!I14/'3.0 New AGs'!#REF!, "")</f>
        <v>#REF!</v>
      </c>
      <c r="K14" s="545"/>
      <c r="L14" s="546"/>
      <c r="M14" s="553">
        <v>1</v>
      </c>
      <c r="N14" s="544" t="e">
        <f>IF('3.0 New AGs'!#REF! &gt; 0, '4.1 New AG out-of profile by BD'!M14/'3.0 New AGs'!#REF!, "")</f>
        <v>#REF!</v>
      </c>
      <c r="O14" s="545">
        <v>1</v>
      </c>
      <c r="P14" s="546"/>
      <c r="Q14" s="553"/>
      <c r="R14" s="544"/>
      <c r="S14" s="545"/>
      <c r="T14" s="546"/>
      <c r="U14" s="553"/>
      <c r="V14" s="544"/>
      <c r="W14" s="545"/>
      <c r="X14" s="546"/>
      <c r="Y14" s="553"/>
      <c r="Z14" s="544"/>
      <c r="AA14" s="545"/>
      <c r="AB14" s="546"/>
      <c r="AC14" s="553"/>
      <c r="AD14" s="544"/>
      <c r="AE14" s="545"/>
      <c r="AF14" s="546"/>
      <c r="AG14" s="553"/>
      <c r="AH14" s="544"/>
      <c r="AI14" s="545"/>
      <c r="AJ14" s="546"/>
      <c r="AK14" s="547"/>
      <c r="AL14" s="544"/>
      <c r="AM14" s="545"/>
      <c r="AN14" s="546"/>
      <c r="AO14" s="547"/>
      <c r="AP14" s="544"/>
      <c r="AQ14" s="545"/>
      <c r="AR14" s="546"/>
      <c r="AS14" s="595"/>
      <c r="AT14" s="544"/>
      <c r="AU14" s="545"/>
      <c r="AV14" s="546"/>
    </row>
    <row r="15" spans="2:48" ht="13.5">
      <c r="B15" s="78" t="s">
        <v>244</v>
      </c>
      <c r="C15" s="57" t="s">
        <v>187</v>
      </c>
      <c r="D15" s="57" t="s">
        <v>194</v>
      </c>
      <c r="E15" s="537"/>
      <c r="F15" s="544" t="e">
        <f>IF('3.0 New AGs'!#REF! &gt; 0, '4.1 New AG out-of profile by BD'!E15/'3.0 New AGs'!#REF!, "")</f>
        <v>#REF!</v>
      </c>
      <c r="G15" s="545"/>
      <c r="H15" s="546" t="str">
        <f>IF(E15 &gt; 0, G15/E15, "")</f>
        <v/>
      </c>
      <c r="I15" s="537"/>
      <c r="J15" s="544" t="e">
        <f>IF('3.0 New AGs'!#REF! &gt; 0, '4.1 New AG out-of profile by BD'!I15/'3.0 New AGs'!#REF!, "")</f>
        <v>#REF!</v>
      </c>
      <c r="K15" s="545"/>
      <c r="L15" s="546" t="str">
        <f>IF(I15 &gt; 0, K15/I15, "")</f>
        <v/>
      </c>
      <c r="M15" s="537"/>
      <c r="N15" s="544" t="e">
        <f>IF('3.0 New AGs'!#REF! &gt; 0, '4.1 New AG out-of profile by BD'!M15/'3.0 New AGs'!#REF!, "")</f>
        <v>#REF!</v>
      </c>
      <c r="O15" s="545"/>
      <c r="P15" s="546" t="str">
        <f>IF(M15 &gt; 0, O15/M15, "")</f>
        <v/>
      </c>
      <c r="Q15" s="537"/>
      <c r="R15" s="544" t="e">
        <f>IF('3.0 New AGs'!#REF! &gt; 0, '4.1 New AG out-of profile by BD'!Q15/'3.0 New AGs'!#REF!, "")</f>
        <v>#REF!</v>
      </c>
      <c r="S15" s="545"/>
      <c r="T15" s="546" t="str">
        <f>IF(Q15 &gt; 0, S15/Q15, "")</f>
        <v/>
      </c>
      <c r="U15" s="537">
        <v>3</v>
      </c>
      <c r="V15" s="544" t="e">
        <f>IF('3.0 New AGs'!#REF! &gt; 0, '4.1 New AG out-of profile by BD'!U15/'3.0 New AGs'!#REF!, "")</f>
        <v>#REF!</v>
      </c>
      <c r="W15" s="545">
        <v>1</v>
      </c>
      <c r="X15" s="546">
        <f>IF(U15 &gt; 0, W15/U15, "")</f>
        <v>0.33333333333333331</v>
      </c>
      <c r="Y15" s="537">
        <v>2</v>
      </c>
      <c r="Z15" s="544" t="e">
        <f>IF('3.0 New AGs'!#REF! &gt; 0, '4.1 New AG out-of profile by BD'!Y15/'3.0 New AGs'!#REF!, "")</f>
        <v>#REF!</v>
      </c>
      <c r="AA15" s="545">
        <v>1</v>
      </c>
      <c r="AB15" s="546">
        <f t="shared" si="0"/>
        <v>0.5</v>
      </c>
      <c r="AC15" s="537"/>
      <c r="AD15" s="544" t="e">
        <f>IF('3.0 New AGs'!#REF! &gt; 0, '4.1 New AG out-of profile by BD'!AC15/'3.0 New AGs'!#REF!, "")</f>
        <v>#REF!</v>
      </c>
      <c r="AE15" s="545"/>
      <c r="AF15" s="546" t="str">
        <f t="shared" si="1"/>
        <v/>
      </c>
      <c r="AG15" s="537">
        <v>2</v>
      </c>
      <c r="AH15" s="544" t="e">
        <f>IF('3.0 New AGs'!#REF! &gt; 0, '4.1 New AG out-of profile by BD'!AG15/'3.0 New AGs'!#REF!, "")</f>
        <v>#REF!</v>
      </c>
      <c r="AI15" s="545">
        <v>1</v>
      </c>
      <c r="AJ15" s="546">
        <f t="shared" si="2"/>
        <v>0.5</v>
      </c>
      <c r="AK15" s="547">
        <v>1</v>
      </c>
      <c r="AL15" s="544" t="e">
        <f>IF('3.0 New AGs'!#REF! &gt;= 0, '4.1 New AG out-of profile by BD'!AK15/'3.0 New AGs'!#REF!, "")</f>
        <v>#REF!</v>
      </c>
      <c r="AM15" s="545"/>
      <c r="AN15" s="546">
        <f t="shared" si="3"/>
        <v>0</v>
      </c>
      <c r="AO15" s="547">
        <v>1</v>
      </c>
      <c r="AP15" s="544" t="e">
        <f>IF('3.0 New AGs'!#REF! &gt; 0, '4.1 New AG out-of profile by BD'!AO15/'3.0 New AGs'!#REF!, "")</f>
        <v>#REF!</v>
      </c>
      <c r="AQ15" s="545"/>
      <c r="AR15" s="546">
        <f t="shared" si="4"/>
        <v>0</v>
      </c>
      <c r="AS15" s="595">
        <v>1</v>
      </c>
      <c r="AT15" s="544" t="e">
        <f>IF('3.0 New AGs'!#REF! &gt; 0, '4.1 New AG out-of profile by BD'!AS15/'3.0 New AGs'!#REF!, "")</f>
        <v>#REF!</v>
      </c>
      <c r="AU15" s="545"/>
      <c r="AV15" s="546">
        <f t="shared" si="5"/>
        <v>0</v>
      </c>
    </row>
    <row r="16" spans="2:48" ht="13.5">
      <c r="B16" s="78" t="s">
        <v>244</v>
      </c>
      <c r="C16" s="57" t="s">
        <v>47</v>
      </c>
      <c r="D16" s="57" t="s">
        <v>17</v>
      </c>
      <c r="E16" s="537"/>
      <c r="F16" s="544" t="e">
        <f>IF('3.0 New AGs'!#REF! &gt; 0, '4.1 New AG out-of profile by BD'!E16/'3.0 New AGs'!#REF!, "")</f>
        <v>#REF!</v>
      </c>
      <c r="G16" s="545">
        <v>0</v>
      </c>
      <c r="H16" s="546" t="str">
        <f>IF(E16 &gt; 0, G16/E16, "")</f>
        <v/>
      </c>
      <c r="I16" s="537">
        <v>1</v>
      </c>
      <c r="J16" s="544" t="e">
        <f>IF('3.0 New AGs'!#REF! &gt; 0, '4.1 New AG out-of profile by BD'!I16/'3.0 New AGs'!#REF!, "")</f>
        <v>#REF!</v>
      </c>
      <c r="K16" s="545">
        <v>0</v>
      </c>
      <c r="L16" s="546">
        <f>IF(I16 &gt; 0, K16/I16, "")</f>
        <v>0</v>
      </c>
      <c r="M16" s="537">
        <v>2</v>
      </c>
      <c r="N16" s="544" t="e">
        <f>IF('3.0 New AGs'!#REF! &gt; 0, '4.1 New AG out-of profile by BD'!M16/'3.0 New AGs'!#REF!, "")</f>
        <v>#REF!</v>
      </c>
      <c r="O16" s="545">
        <v>1</v>
      </c>
      <c r="P16" s="546">
        <f>IF(M16 &gt; 0, O16/M16, "")</f>
        <v>0.5</v>
      </c>
      <c r="Q16" s="537">
        <v>2</v>
      </c>
      <c r="R16" s="544" t="e">
        <f>IF('3.0 New AGs'!#REF! &gt; 0, '4.1 New AG out-of profile by BD'!Q16/'3.0 New AGs'!#REF!, "")</f>
        <v>#REF!</v>
      </c>
      <c r="S16" s="545">
        <v>0</v>
      </c>
      <c r="T16" s="546">
        <f>IF(Q16 &gt; 0, S16/Q16, "")</f>
        <v>0</v>
      </c>
      <c r="U16" s="537"/>
      <c r="V16" s="544" t="e">
        <f>IF('3.0 New AGs'!#REF! &gt; 0, '4.1 New AG out-of profile by BD'!U16/'3.0 New AGs'!#REF!, "")</f>
        <v>#REF!</v>
      </c>
      <c r="W16" s="545">
        <v>0</v>
      </c>
      <c r="X16" s="546" t="str">
        <f>IF(U16 &gt; 0, W16/U16, "")</f>
        <v/>
      </c>
      <c r="Y16" s="537">
        <v>1</v>
      </c>
      <c r="Z16" s="544" t="e">
        <f>IF('3.0 New AGs'!#REF! &gt; 0, '4.1 New AG out-of profile by BD'!Y16/'3.0 New AGs'!#REF!, "")</f>
        <v>#REF!</v>
      </c>
      <c r="AA16" s="545">
        <v>0</v>
      </c>
      <c r="AB16" s="546">
        <f>IF(Y16 &gt; 0, AA16/Y16, "")</f>
        <v>0</v>
      </c>
      <c r="AC16" s="537">
        <v>3</v>
      </c>
      <c r="AD16" s="544" t="e">
        <f>IF('3.0 New AGs'!#REF! &gt; 0, '4.1 New AG out-of profile by BD'!AC16/'3.0 New AGs'!#REF!, "")</f>
        <v>#REF!</v>
      </c>
      <c r="AE16" s="545">
        <v>0</v>
      </c>
      <c r="AF16" s="546">
        <f t="shared" si="1"/>
        <v>0</v>
      </c>
      <c r="AG16" s="537">
        <v>1</v>
      </c>
      <c r="AH16" s="544" t="e">
        <f>IF('3.0 New AGs'!#REF! &gt; 0, '4.1 New AG out-of profile by BD'!AG16/'3.0 New AGs'!#REF!, "")</f>
        <v>#REF!</v>
      </c>
      <c r="AI16" s="545">
        <v>0</v>
      </c>
      <c r="AJ16" s="546">
        <f t="shared" si="2"/>
        <v>0</v>
      </c>
      <c r="AK16" s="547">
        <v>1</v>
      </c>
      <c r="AL16" s="544" t="e">
        <f>IF('3.0 New AGs'!#REF! &gt;= 0, '4.1 New AG out-of profile by BD'!AK16/'3.0 New AGs'!#REF!, "")</f>
        <v>#REF!</v>
      </c>
      <c r="AM16" s="545"/>
      <c r="AN16" s="546">
        <f t="shared" si="3"/>
        <v>0</v>
      </c>
      <c r="AO16" s="547"/>
      <c r="AP16" s="544" t="e">
        <f>IF('3.0 New AGs'!#REF! &gt; 0, '4.1 New AG out-of profile by BD'!AO16/'3.0 New AGs'!#REF!, "")</f>
        <v>#REF!</v>
      </c>
      <c r="AQ16" s="545"/>
      <c r="AR16" s="546" t="str">
        <f t="shared" si="4"/>
        <v/>
      </c>
      <c r="AS16" s="595"/>
      <c r="AT16" s="544" t="e">
        <f>IF('3.0 New AGs'!#REF! &gt; 0, '4.1 New AG out-of profile by BD'!AS16/'3.0 New AGs'!#REF!, "")</f>
        <v>#REF!</v>
      </c>
      <c r="AU16" s="545"/>
      <c r="AV16" s="546" t="str">
        <f t="shared" si="5"/>
        <v/>
      </c>
    </row>
    <row r="17" spans="2:48" s="136" customFormat="1" ht="13.5">
      <c r="B17" s="78" t="s">
        <v>244</v>
      </c>
      <c r="C17" s="57" t="s">
        <v>628</v>
      </c>
      <c r="D17" s="99" t="s">
        <v>629</v>
      </c>
      <c r="E17" s="553"/>
      <c r="F17" s="544"/>
      <c r="G17" s="545">
        <v>0</v>
      </c>
      <c r="H17" s="546" t="str">
        <f>IF(E17 &gt; 0, G17/E17, "")</f>
        <v/>
      </c>
      <c r="I17" s="553">
        <v>3</v>
      </c>
      <c r="J17" s="544"/>
      <c r="K17" s="545">
        <v>0</v>
      </c>
      <c r="L17" s="546">
        <f>IF(I17 &gt; 0, K17/I17, "")</f>
        <v>0</v>
      </c>
      <c r="M17" s="553"/>
      <c r="N17" s="544"/>
      <c r="O17" s="545"/>
      <c r="P17" s="546" t="str">
        <f>IF(M17 &gt; 0, O17/M17, "")</f>
        <v/>
      </c>
      <c r="Q17" s="553"/>
      <c r="R17" s="544"/>
      <c r="S17" s="545"/>
      <c r="T17" s="546" t="str">
        <f>IF(Q17 &gt; 0, S17/Q17, "")</f>
        <v/>
      </c>
      <c r="U17" s="553"/>
      <c r="V17" s="544"/>
      <c r="W17" s="545"/>
      <c r="X17" s="546" t="str">
        <f>IF(U17 &gt; 0, W17/U17, "")</f>
        <v/>
      </c>
      <c r="Y17" s="553"/>
      <c r="Z17" s="544"/>
      <c r="AA17" s="545"/>
      <c r="AB17" s="546" t="str">
        <f t="shared" si="0"/>
        <v/>
      </c>
      <c r="AC17" s="553"/>
      <c r="AD17" s="544"/>
      <c r="AE17" s="545"/>
      <c r="AF17" s="546" t="str">
        <f t="shared" si="1"/>
        <v/>
      </c>
      <c r="AG17" s="553"/>
      <c r="AH17" s="544"/>
      <c r="AI17" s="545"/>
      <c r="AJ17" s="546" t="str">
        <f t="shared" si="2"/>
        <v/>
      </c>
      <c r="AK17" s="547"/>
      <c r="AL17" s="544"/>
      <c r="AM17" s="545"/>
      <c r="AN17" s="546" t="str">
        <f t="shared" si="3"/>
        <v/>
      </c>
      <c r="AO17" s="547"/>
      <c r="AP17" s="544" t="e">
        <f>IF('3.0 New AGs'!#REF! &gt; 0, '4.1 New AG out-of profile by BD'!AO17/'3.0 New AGs'!#REF!, "")</f>
        <v>#REF!</v>
      </c>
      <c r="AQ17" s="545"/>
      <c r="AR17" s="546" t="str">
        <f t="shared" si="4"/>
        <v/>
      </c>
      <c r="AS17" s="595"/>
      <c r="AT17" s="544" t="e">
        <f>IF('3.0 New AGs'!#REF! &gt; 0, '4.1 New AG out-of profile by BD'!AS17/'3.0 New AGs'!#REF!, "")</f>
        <v>#REF!</v>
      </c>
      <c r="AU17" s="545"/>
      <c r="AV17" s="546" t="str">
        <f t="shared" si="5"/>
        <v/>
      </c>
    </row>
    <row r="18" spans="2:48" s="196" customFormat="1" ht="13.5">
      <c r="B18" s="538"/>
      <c r="C18" s="539"/>
      <c r="D18" s="563" t="s">
        <v>254</v>
      </c>
      <c r="E18" s="564">
        <f>SUM(E7:E17)</f>
        <v>0</v>
      </c>
      <c r="F18" s="565" t="e">
        <f>IF('3.0 New AGs'!#REF! &gt; 0, '4.1 New AG out-of profile by BD'!E18/'3.0 New AGs'!#REF!, "")</f>
        <v>#REF!</v>
      </c>
      <c r="G18" s="566">
        <f>SUM(G7:G17)</f>
        <v>0</v>
      </c>
      <c r="H18" s="567" t="str">
        <f>IF(E18 &gt; 0, G18/E18, "")</f>
        <v/>
      </c>
      <c r="I18" s="564">
        <f>SUM(I7:I17)</f>
        <v>5</v>
      </c>
      <c r="J18" s="565" t="e">
        <f>IF('3.0 New AGs'!#REF! &gt; 0, '4.1 New AG out-of profile by BD'!I18/'3.0 New AGs'!#REF!, "")</f>
        <v>#REF!</v>
      </c>
      <c r="K18" s="566">
        <f>SUM(K7:K17)</f>
        <v>0</v>
      </c>
      <c r="L18" s="567">
        <f>IF(I18 &gt; 0, K18/I18, "")</f>
        <v>0</v>
      </c>
      <c r="M18" s="564">
        <f>SUM(M7:M16)</f>
        <v>5</v>
      </c>
      <c r="N18" s="565" t="e">
        <f>IF('3.0 New AGs'!#REF! &gt; 0, '4.1 New AG out-of profile by BD'!M18/'3.0 New AGs'!#REF!, "")</f>
        <v>#REF!</v>
      </c>
      <c r="O18" s="566">
        <f>SUM(O7:O16)</f>
        <v>2</v>
      </c>
      <c r="P18" s="567">
        <f>IF(M18 &gt; 0, O18/M18, "")</f>
        <v>0.4</v>
      </c>
      <c r="Q18" s="564">
        <f>SUM(Q7:Q16)</f>
        <v>2</v>
      </c>
      <c r="R18" s="565" t="e">
        <f>IF('3.0 New AGs'!#REF! &gt; 0, '4.1 New AG out-of profile by BD'!Q18/'3.0 New AGs'!#REF!, "")</f>
        <v>#REF!</v>
      </c>
      <c r="S18" s="566">
        <f>SUM(S7:S16)</f>
        <v>0</v>
      </c>
      <c r="T18" s="567">
        <f>IF(Q18 &gt; 0, S18/Q18, "")</f>
        <v>0</v>
      </c>
      <c r="U18" s="564">
        <f>SUM(U7:U16)</f>
        <v>6</v>
      </c>
      <c r="V18" s="565" t="e">
        <f>IF('3.0 New AGs'!#REF! &gt; 0, '4.1 New AG out-of profile by BD'!U18/'3.0 New AGs'!#REF!, "")</f>
        <v>#REF!</v>
      </c>
      <c r="W18" s="566">
        <f>SUM(W7:W16)</f>
        <v>3</v>
      </c>
      <c r="X18" s="567">
        <f>IF(U18 &gt; 0, W18/U18, "")</f>
        <v>0.5</v>
      </c>
      <c r="Y18" s="564">
        <f>SUM(Y7:Y16)</f>
        <v>3</v>
      </c>
      <c r="Z18" s="565" t="e">
        <f>IF('3.0 New AGs'!#REF! &gt; 0, '4.1 New AG out-of profile by BD'!Y18/'3.0 New AGs'!#REF!, "")</f>
        <v>#REF!</v>
      </c>
      <c r="AA18" s="566">
        <f>SUM(AA7:AA16)</f>
        <v>1</v>
      </c>
      <c r="AB18" s="567">
        <f t="shared" si="0"/>
        <v>0.33333333333333331</v>
      </c>
      <c r="AC18" s="564">
        <f>SUM(AC7:AC16)</f>
        <v>3</v>
      </c>
      <c r="AD18" s="565" t="e">
        <f>IF('3.0 New AGs'!#REF! &gt; 0, '4.1 New AG out-of profile by BD'!AC18/'3.0 New AGs'!#REF!, "")</f>
        <v>#REF!</v>
      </c>
      <c r="AE18" s="566">
        <f>SUM(AE7:AE16)</f>
        <v>0</v>
      </c>
      <c r="AF18" s="567">
        <f t="shared" si="1"/>
        <v>0</v>
      </c>
      <c r="AG18" s="564">
        <f>SUM(AG7:AG16)</f>
        <v>7</v>
      </c>
      <c r="AH18" s="565" t="e">
        <f>IF('3.0 New AGs'!#REF! &gt; 0, '4.1 New AG out-of profile by BD'!AG18/'3.0 New AGs'!#REF!, "")</f>
        <v>#REF!</v>
      </c>
      <c r="AI18" s="566">
        <f>SUM(AI7:AI16)</f>
        <v>2</v>
      </c>
      <c r="AJ18" s="567">
        <f t="shared" si="2"/>
        <v>0.2857142857142857</v>
      </c>
      <c r="AK18" s="564">
        <f>SUM(AK7:AK16)</f>
        <v>2</v>
      </c>
      <c r="AL18" s="565" t="e">
        <f>IF('3.0 New AGs'!#REF! &gt;= 0, '4.1 New AG out-of profile by BD'!AK18/'3.0 New AGs'!#REF!, "")</f>
        <v>#REF!</v>
      </c>
      <c r="AM18" s="566">
        <f>SUM(AM7:AM16)</f>
        <v>0</v>
      </c>
      <c r="AN18" s="567">
        <f t="shared" si="3"/>
        <v>0</v>
      </c>
      <c r="AO18" s="564">
        <f>SUM(AO7:AO16)</f>
        <v>2</v>
      </c>
      <c r="AP18" s="565" t="e">
        <f>IF('3.0 New AGs'!#REF! &gt; 0, '4.1 New AG out-of profile by BD'!AO18/'3.0 New AGs'!#REF!, "")</f>
        <v>#REF!</v>
      </c>
      <c r="AQ18" s="566">
        <f>SUM(AQ7:AQ16)</f>
        <v>1</v>
      </c>
      <c r="AR18" s="567">
        <f t="shared" si="4"/>
        <v>0.5</v>
      </c>
      <c r="AS18" s="596">
        <f>SUM(AS7:AS16)</f>
        <v>4</v>
      </c>
      <c r="AT18" s="565" t="e">
        <f>IF('3.0 New AGs'!#REF! &gt; 0, '4.1 New AG out-of profile by BD'!AS18/'3.0 New AGs'!#REF!, "")</f>
        <v>#REF!</v>
      </c>
      <c r="AU18" s="566">
        <f>SUM(AU7:AU16)</f>
        <v>0</v>
      </c>
      <c r="AV18" s="567">
        <f t="shared" si="5"/>
        <v>0</v>
      </c>
    </row>
    <row r="19" spans="2:48" ht="13.5">
      <c r="B19" s="269"/>
      <c r="C19" s="253"/>
      <c r="D19" s="540"/>
      <c r="E19" s="549"/>
      <c r="F19" s="550"/>
      <c r="G19" s="541"/>
      <c r="H19" s="551"/>
      <c r="I19" s="549"/>
      <c r="J19" s="550"/>
      <c r="K19" s="541"/>
      <c r="L19" s="551"/>
      <c r="M19" s="549"/>
      <c r="N19" s="550"/>
      <c r="O19" s="541"/>
      <c r="P19" s="551"/>
      <c r="Q19" s="549"/>
      <c r="R19" s="550"/>
      <c r="S19" s="541"/>
      <c r="T19" s="551"/>
      <c r="U19" s="549"/>
      <c r="V19" s="550"/>
      <c r="W19" s="541"/>
      <c r="X19" s="551"/>
      <c r="Y19" s="549"/>
      <c r="Z19" s="550"/>
      <c r="AA19" s="541"/>
      <c r="AB19" s="551"/>
      <c r="AC19" s="549"/>
      <c r="AD19" s="550"/>
      <c r="AE19" s="541"/>
      <c r="AF19" s="551"/>
      <c r="AG19" s="549"/>
      <c r="AH19" s="550"/>
      <c r="AI19" s="541"/>
      <c r="AJ19" s="551"/>
      <c r="AK19" s="549"/>
      <c r="AL19" s="550"/>
      <c r="AM19" s="541"/>
      <c r="AN19" s="551"/>
      <c r="AO19" s="549"/>
      <c r="AP19" s="550"/>
      <c r="AQ19" s="541"/>
      <c r="AR19" s="551"/>
      <c r="AS19" s="597"/>
      <c r="AT19" s="550"/>
      <c r="AU19" s="541"/>
      <c r="AV19" s="551"/>
    </row>
    <row r="20" spans="2:48" ht="13.5">
      <c r="B20" s="315"/>
      <c r="C20" s="316"/>
      <c r="D20" s="317"/>
      <c r="E20" s="552"/>
      <c r="F20" s="599"/>
      <c r="G20" s="552"/>
      <c r="H20" s="599"/>
      <c r="I20" s="552"/>
      <c r="J20" s="599"/>
      <c r="K20" s="552"/>
      <c r="L20" s="599"/>
      <c r="M20" s="552"/>
      <c r="N20" s="599"/>
      <c r="O20" s="552"/>
      <c r="P20" s="599"/>
      <c r="Q20" s="552"/>
      <c r="R20" s="599"/>
      <c r="S20" s="552"/>
      <c r="T20" s="599"/>
      <c r="U20" s="552"/>
      <c r="V20" s="599"/>
      <c r="W20" s="552"/>
      <c r="X20" s="599"/>
      <c r="Y20" s="552"/>
      <c r="Z20" s="599"/>
      <c r="AA20" s="552"/>
      <c r="AB20" s="599"/>
      <c r="AC20" s="552"/>
      <c r="AD20" s="599"/>
      <c r="AE20" s="552"/>
      <c r="AF20" s="599"/>
      <c r="AG20" s="552"/>
      <c r="AH20" s="599"/>
      <c r="AI20" s="552"/>
      <c r="AJ20" s="599"/>
      <c r="AK20" s="552"/>
      <c r="AL20" s="599"/>
      <c r="AM20" s="552"/>
      <c r="AN20" s="599"/>
      <c r="AO20" s="552"/>
      <c r="AP20" s="599"/>
      <c r="AQ20" s="552"/>
      <c r="AR20" s="600"/>
      <c r="AS20" s="552"/>
      <c r="AT20" s="120"/>
      <c r="AU20" s="552"/>
      <c r="AV20" s="120"/>
    </row>
    <row r="21" spans="2:48" ht="13.5">
      <c r="B21" s="304" t="s">
        <v>116</v>
      </c>
      <c r="C21" s="305"/>
      <c r="D21" s="305"/>
      <c r="E21" s="535"/>
      <c r="F21" s="542"/>
      <c r="G21" s="536"/>
      <c r="H21" s="543"/>
      <c r="I21" s="535"/>
      <c r="J21" s="542"/>
      <c r="K21" s="536"/>
      <c r="L21" s="543"/>
      <c r="M21" s="535"/>
      <c r="N21" s="542"/>
      <c r="O21" s="536"/>
      <c r="P21" s="543"/>
      <c r="Q21" s="535"/>
      <c r="R21" s="542"/>
      <c r="S21" s="536"/>
      <c r="T21" s="543"/>
      <c r="U21" s="535"/>
      <c r="V21" s="542"/>
      <c r="W21" s="536"/>
      <c r="X21" s="543"/>
      <c r="Y21" s="535"/>
      <c r="Z21" s="542"/>
      <c r="AA21" s="536"/>
      <c r="AB21" s="543"/>
      <c r="AC21" s="535"/>
      <c r="AD21" s="542"/>
      <c r="AE21" s="536"/>
      <c r="AF21" s="543"/>
      <c r="AG21" s="535"/>
      <c r="AH21" s="542"/>
      <c r="AI21" s="536"/>
      <c r="AJ21" s="543"/>
      <c r="AK21" s="535"/>
      <c r="AL21" s="542"/>
      <c r="AM21" s="536"/>
      <c r="AN21" s="543"/>
      <c r="AO21" s="535"/>
      <c r="AP21" s="542"/>
      <c r="AQ21" s="536"/>
      <c r="AR21" s="543"/>
      <c r="AS21" s="594"/>
      <c r="AT21" s="542"/>
      <c r="AU21" s="536"/>
      <c r="AV21" s="543"/>
    </row>
    <row r="22" spans="2:48" ht="13.5">
      <c r="B22" s="78" t="s">
        <v>113</v>
      </c>
      <c r="C22" s="57" t="s">
        <v>661</v>
      </c>
      <c r="D22" s="57" t="s">
        <v>657</v>
      </c>
      <c r="E22" s="535"/>
      <c r="F22" s="542"/>
      <c r="G22" s="536"/>
      <c r="H22" s="543"/>
      <c r="I22" s="535"/>
      <c r="J22" s="542"/>
      <c r="K22" s="536"/>
      <c r="L22" s="543"/>
      <c r="M22" s="535"/>
      <c r="N22" s="542"/>
      <c r="O22" s="536"/>
      <c r="P22" s="543"/>
      <c r="Q22" s="535"/>
      <c r="R22" s="542"/>
      <c r="S22" s="536"/>
      <c r="T22" s="543"/>
      <c r="U22" s="535"/>
      <c r="V22" s="542"/>
      <c r="W22" s="536"/>
      <c r="X22" s="543"/>
      <c r="Y22" s="535"/>
      <c r="Z22" s="542"/>
      <c r="AA22" s="536"/>
      <c r="AB22" s="543"/>
      <c r="AC22" s="535"/>
      <c r="AD22" s="542"/>
      <c r="AE22" s="536"/>
      <c r="AF22" s="543"/>
      <c r="AG22" s="535"/>
      <c r="AH22" s="542"/>
      <c r="AI22" s="536"/>
      <c r="AJ22" s="543"/>
      <c r="AK22" s="535"/>
      <c r="AL22" s="542"/>
      <c r="AM22" s="536"/>
      <c r="AN22" s="543"/>
      <c r="AO22" s="535"/>
      <c r="AP22" s="542"/>
      <c r="AQ22" s="536"/>
      <c r="AR22" s="543"/>
      <c r="AS22" s="594"/>
      <c r="AT22" s="542"/>
      <c r="AU22" s="536"/>
      <c r="AV22" s="543"/>
    </row>
    <row r="23" spans="2:48" ht="13.5">
      <c r="B23" s="78" t="s">
        <v>113</v>
      </c>
      <c r="C23" s="57" t="s">
        <v>659</v>
      </c>
      <c r="D23" s="57" t="s">
        <v>655</v>
      </c>
      <c r="E23" s="535"/>
      <c r="F23" s="542"/>
      <c r="G23" s="536"/>
      <c r="H23" s="543"/>
      <c r="I23" s="535"/>
      <c r="J23" s="542"/>
      <c r="K23" s="536"/>
      <c r="L23" s="543"/>
      <c r="M23" s="535"/>
      <c r="N23" s="542"/>
      <c r="O23" s="536"/>
      <c r="P23" s="543"/>
      <c r="Q23" s="535"/>
      <c r="R23" s="542"/>
      <c r="S23" s="536"/>
      <c r="T23" s="543"/>
      <c r="U23" s="535"/>
      <c r="V23" s="542"/>
      <c r="W23" s="536"/>
      <c r="X23" s="543"/>
      <c r="Y23" s="535"/>
      <c r="Z23" s="542"/>
      <c r="AA23" s="536"/>
      <c r="AB23" s="543"/>
      <c r="AC23" s="535"/>
      <c r="AD23" s="542"/>
      <c r="AE23" s="536"/>
      <c r="AF23" s="543"/>
      <c r="AG23" s="535"/>
      <c r="AH23" s="542"/>
      <c r="AI23" s="536"/>
      <c r="AJ23" s="543"/>
      <c r="AK23" s="535"/>
      <c r="AL23" s="542"/>
      <c r="AM23" s="536"/>
      <c r="AN23" s="543"/>
      <c r="AO23" s="535"/>
      <c r="AP23" s="542"/>
      <c r="AQ23" s="536"/>
      <c r="AR23" s="543"/>
      <c r="AS23" s="594"/>
      <c r="AT23" s="542"/>
      <c r="AU23" s="536"/>
      <c r="AV23" s="543"/>
    </row>
    <row r="24" spans="2:48" ht="13.5">
      <c r="B24" s="78" t="s">
        <v>113</v>
      </c>
      <c r="C24" s="57" t="s">
        <v>660</v>
      </c>
      <c r="D24" s="57" t="s">
        <v>656</v>
      </c>
      <c r="E24" s="535"/>
      <c r="F24" s="542"/>
      <c r="G24" s="536"/>
      <c r="H24" s="543"/>
      <c r="I24" s="535"/>
      <c r="J24" s="542"/>
      <c r="K24" s="536"/>
      <c r="L24" s="543"/>
      <c r="M24" s="535"/>
      <c r="N24" s="542"/>
      <c r="O24" s="536"/>
      <c r="P24" s="543"/>
      <c r="Q24" s="535"/>
      <c r="R24" s="542"/>
      <c r="S24" s="536"/>
      <c r="T24" s="543"/>
      <c r="U24" s="535"/>
      <c r="V24" s="542"/>
      <c r="W24" s="536"/>
      <c r="X24" s="543"/>
      <c r="Y24" s="535"/>
      <c r="Z24" s="542"/>
      <c r="AA24" s="536"/>
      <c r="AB24" s="543"/>
      <c r="AC24" s="535"/>
      <c r="AD24" s="542"/>
      <c r="AE24" s="536"/>
      <c r="AF24" s="543"/>
      <c r="AG24" s="535"/>
      <c r="AH24" s="542"/>
      <c r="AI24" s="536"/>
      <c r="AJ24" s="543"/>
      <c r="AK24" s="535"/>
      <c r="AL24" s="542"/>
      <c r="AM24" s="536"/>
      <c r="AN24" s="543"/>
      <c r="AO24" s="535"/>
      <c r="AP24" s="542"/>
      <c r="AQ24" s="536"/>
      <c r="AR24" s="543"/>
      <c r="AS24" s="594"/>
      <c r="AT24" s="542"/>
      <c r="AU24" s="536"/>
      <c r="AV24" s="543"/>
    </row>
    <row r="25" spans="2:48" ht="13.5">
      <c r="B25" s="78" t="s">
        <v>113</v>
      </c>
      <c r="C25" s="57" t="s">
        <v>179</v>
      </c>
      <c r="D25" s="57" t="s">
        <v>191</v>
      </c>
      <c r="E25" s="537"/>
      <c r="F25" s="544" t="e">
        <f>IF('3.0 New AGs'!#REF! &gt; 0, '4.1 New AG out-of profile by BD'!E25/'3.0 New AGs'!#REF!, "")</f>
        <v>#REF!</v>
      </c>
      <c r="G25" s="545">
        <v>0</v>
      </c>
      <c r="H25" s="546" t="str">
        <f t="shared" ref="H25:H30" si="6">IF(E25 &gt; 0, G25/E25, "")</f>
        <v/>
      </c>
      <c r="I25" s="537">
        <v>2</v>
      </c>
      <c r="J25" s="544" t="e">
        <f>IF('3.0 New AGs'!#REF! &gt; 0, '4.1 New AG out-of profile by BD'!I25/'3.0 New AGs'!#REF!, "")</f>
        <v>#REF!</v>
      </c>
      <c r="K25" s="545">
        <v>0</v>
      </c>
      <c r="L25" s="546">
        <f t="shared" ref="L25:L30" si="7">IF(I25 &gt; 0, K25/I25, "")</f>
        <v>0</v>
      </c>
      <c r="M25" s="537">
        <v>1</v>
      </c>
      <c r="N25" s="544" t="e">
        <f>IF('3.0 New AGs'!#REF! &gt; 0, '4.1 New AG out-of profile by BD'!M25/'3.0 New AGs'!#REF!, "")</f>
        <v>#REF!</v>
      </c>
      <c r="O25" s="545">
        <v>1</v>
      </c>
      <c r="P25" s="546">
        <f t="shared" ref="P25:P30" si="8">IF(M25 &gt; 0, O25/M25, "")</f>
        <v>1</v>
      </c>
      <c r="Q25" s="537">
        <v>3</v>
      </c>
      <c r="R25" s="544" t="e">
        <f>IF('3.0 New AGs'!#REF! &gt; 0, '4.1 New AG out-of profile by BD'!Q25/'3.0 New AGs'!#REF!, "")</f>
        <v>#REF!</v>
      </c>
      <c r="S25" s="545">
        <v>1</v>
      </c>
      <c r="T25" s="546">
        <f t="shared" ref="T25:T30" si="9">IF(Q25 &gt; 0, S25/Q25, "")</f>
        <v>0.33333333333333331</v>
      </c>
      <c r="U25" s="537">
        <v>5</v>
      </c>
      <c r="V25" s="544" t="e">
        <f>IF('3.0 New AGs'!#REF! &gt; 0, '4.1 New AG out-of profile by BD'!U25/'3.0 New AGs'!#REF!, "")</f>
        <v>#REF!</v>
      </c>
      <c r="W25" s="545">
        <v>1</v>
      </c>
      <c r="X25" s="546">
        <f t="shared" ref="X25:X30" si="10">IF(U25 &gt; 0, W25/U25, "")</f>
        <v>0.2</v>
      </c>
      <c r="Y25" s="537"/>
      <c r="Z25" s="544"/>
      <c r="AA25" s="545"/>
      <c r="AB25" s="546" t="str">
        <f t="shared" ref="AB25:AB30" si="11">IF(Y25 &gt; 0, AA25/Y25, "")</f>
        <v/>
      </c>
      <c r="AC25" s="537">
        <v>1</v>
      </c>
      <c r="AD25" s="544" t="e">
        <f>IF('3.0 New AGs'!#REF! &gt; 0, '4.1 New AG out-of profile by BD'!AC25/'3.0 New AGs'!#REF!, "")</f>
        <v>#REF!</v>
      </c>
      <c r="AE25" s="545">
        <v>0</v>
      </c>
      <c r="AF25" s="546">
        <f t="shared" ref="AF25:AF30" si="12">IF(AC25 &gt; 0, AE25/AC25, "")</f>
        <v>0</v>
      </c>
      <c r="AG25" s="537">
        <v>3</v>
      </c>
      <c r="AH25" s="544" t="e">
        <f>IF('3.0 New AGs'!#REF! &gt; 0, '4.1 New AG out-of profile by BD'!AG25/'3.0 New AGs'!#REF!, "")</f>
        <v>#REF!</v>
      </c>
      <c r="AI25" s="545">
        <v>1</v>
      </c>
      <c r="AJ25" s="546">
        <f t="shared" ref="AJ25:AJ30" si="13">IF(AG25 &gt; 0, AI25/AG25, "")</f>
        <v>0.33333333333333331</v>
      </c>
      <c r="AK25" s="547">
        <v>2</v>
      </c>
      <c r="AL25" s="544" t="e">
        <f>IF('3.0 New AGs'!#REF! &gt; 0, '4.1 New AG out-of profile by BD'!AK25/'3.0 New AGs'!#REF!, "")</f>
        <v>#REF!</v>
      </c>
      <c r="AM25" s="545"/>
      <c r="AN25" s="546">
        <f t="shared" ref="AN25:AN30" si="14">IF(AK25 &gt; 0, AM25/AK25, "")</f>
        <v>0</v>
      </c>
      <c r="AO25" s="547">
        <v>5</v>
      </c>
      <c r="AP25" s="544" t="e">
        <f>IF('3.0 New AGs'!#REF! &gt; 0, '4.1 New AG out-of profile by BD'!AO25/'3.0 New AGs'!#REF!, "")</f>
        <v>#REF!</v>
      </c>
      <c r="AQ25" s="545">
        <v>1</v>
      </c>
      <c r="AR25" s="546">
        <f t="shared" ref="AR25:AR30" si="15">IF(AO25 &gt; 0, AQ25/AO25, "")</f>
        <v>0.2</v>
      </c>
      <c r="AS25" s="595">
        <v>5</v>
      </c>
      <c r="AT25" s="544" t="e">
        <f>IF('3.0 New AGs'!#REF! &gt; 0, '4.1 New AG out-of profile by BD'!AS25/'3.0 New AGs'!#REF!, "")</f>
        <v>#REF!</v>
      </c>
      <c r="AU25" s="545">
        <v>1</v>
      </c>
      <c r="AV25" s="546">
        <f t="shared" ref="AV25:AV30" si="16">IF(AS25 &gt; 0, AU25/AS25, "")</f>
        <v>0.2</v>
      </c>
    </row>
    <row r="26" spans="2:48" ht="13.5">
      <c r="B26" s="78" t="s">
        <v>113</v>
      </c>
      <c r="C26" s="99" t="s">
        <v>185</v>
      </c>
      <c r="D26" s="99" t="s">
        <v>190</v>
      </c>
      <c r="E26" s="537"/>
      <c r="F26" s="544" t="e">
        <f>IF('3.0 New AGs'!#REF! &gt; 0, '4.1 New AG out-of profile by BD'!E26/'3.0 New AGs'!#REF!, "")</f>
        <v>#REF!</v>
      </c>
      <c r="G26" s="545">
        <v>0</v>
      </c>
      <c r="H26" s="546" t="str">
        <f t="shared" si="6"/>
        <v/>
      </c>
      <c r="I26" s="537">
        <v>0</v>
      </c>
      <c r="J26" s="544" t="e">
        <f>IF('3.0 New AGs'!#REF! &gt; 0, '4.1 New AG out-of profile by BD'!I26/'3.0 New AGs'!#REF!, "")</f>
        <v>#REF!</v>
      </c>
      <c r="K26" s="545">
        <v>0</v>
      </c>
      <c r="L26" s="546" t="str">
        <f t="shared" si="7"/>
        <v/>
      </c>
      <c r="M26" s="537">
        <v>1</v>
      </c>
      <c r="N26" s="544" t="e">
        <f>IF('3.0 New AGs'!#REF! &gt; 0, '4.1 New AG out-of profile by BD'!M26/'3.0 New AGs'!#REF!, "")</f>
        <v>#REF!</v>
      </c>
      <c r="O26" s="545">
        <v>1</v>
      </c>
      <c r="P26" s="546">
        <f t="shared" si="8"/>
        <v>1</v>
      </c>
      <c r="Q26" s="537">
        <v>1</v>
      </c>
      <c r="R26" s="544" t="e">
        <f>IF('3.0 New AGs'!#REF! &gt; 0, '4.1 New AG out-of profile by BD'!Q26/'3.0 New AGs'!#REF!, "")</f>
        <v>#REF!</v>
      </c>
      <c r="S26" s="545">
        <v>0</v>
      </c>
      <c r="T26" s="546">
        <f t="shared" si="9"/>
        <v>0</v>
      </c>
      <c r="U26" s="537">
        <v>1</v>
      </c>
      <c r="V26" s="544" t="e">
        <f>IF('3.0 New AGs'!#REF! &gt; 0, '4.1 New AG out-of profile by BD'!U26/'3.0 New AGs'!#REF!, "")</f>
        <v>#REF!</v>
      </c>
      <c r="W26" s="545">
        <v>1</v>
      </c>
      <c r="X26" s="546">
        <f t="shared" si="10"/>
        <v>1</v>
      </c>
      <c r="Y26" s="537">
        <v>2</v>
      </c>
      <c r="Z26" s="544" t="e">
        <f>IF('3.0 New AGs'!#REF! &gt; 0, '4.1 New AG out-of profile by BD'!Y26/'3.0 New AGs'!#REF!, "")</f>
        <v>#REF!</v>
      </c>
      <c r="AA26" s="545">
        <v>1</v>
      </c>
      <c r="AB26" s="546">
        <f t="shared" si="11"/>
        <v>0.5</v>
      </c>
      <c r="AC26" s="537">
        <v>2</v>
      </c>
      <c r="AD26" s="544" t="e">
        <f>IF('3.0 New AGs'!#REF! &gt; 0, '4.1 New AG out-of profile by BD'!AC26/'3.0 New AGs'!#REF!, "")</f>
        <v>#REF!</v>
      </c>
      <c r="AE26" s="545">
        <v>1</v>
      </c>
      <c r="AF26" s="546">
        <f t="shared" si="12"/>
        <v>0.5</v>
      </c>
      <c r="AG26" s="537"/>
      <c r="AH26" s="544" t="e">
        <f>IF('3.0 New AGs'!#REF! &gt; 0, '4.1 New AG out-of profile by BD'!AG26/'3.0 New AGs'!#REF!, "")</f>
        <v>#REF!</v>
      </c>
      <c r="AI26" s="545"/>
      <c r="AJ26" s="546" t="str">
        <f t="shared" si="13"/>
        <v/>
      </c>
      <c r="AK26" s="547">
        <v>2</v>
      </c>
      <c r="AL26" s="544" t="e">
        <f>IF('3.0 New AGs'!#REF! &gt; 0, '4.1 New AG out-of profile by BD'!AK26/'3.0 New AGs'!#REF!, "")</f>
        <v>#REF!</v>
      </c>
      <c r="AM26" s="545">
        <v>1</v>
      </c>
      <c r="AN26" s="546">
        <f t="shared" si="14"/>
        <v>0.5</v>
      </c>
      <c r="AO26" s="547">
        <v>2</v>
      </c>
      <c r="AP26" s="544" t="e">
        <f>IF('3.0 New AGs'!#REF! &gt; 0, '4.1 New AG out-of profile by BD'!AO26/'3.0 New AGs'!#REF!, "")</f>
        <v>#REF!</v>
      </c>
      <c r="AQ26" s="545"/>
      <c r="AR26" s="546">
        <f t="shared" si="15"/>
        <v>0</v>
      </c>
      <c r="AS26" s="595">
        <v>2</v>
      </c>
      <c r="AT26" s="544" t="e">
        <f>IF('3.0 New AGs'!#REF! &gt; 0, '4.1 New AG out-of profile by BD'!AS26/'3.0 New AGs'!#REF!, "")</f>
        <v>#REF!</v>
      </c>
      <c r="AU26" s="545"/>
      <c r="AV26" s="546">
        <f t="shared" si="16"/>
        <v>0</v>
      </c>
    </row>
    <row r="27" spans="2:48" ht="13.5">
      <c r="B27" s="78" t="s">
        <v>113</v>
      </c>
      <c r="C27" s="57" t="s">
        <v>177</v>
      </c>
      <c r="D27" s="57" t="s">
        <v>189</v>
      </c>
      <c r="E27" s="537"/>
      <c r="F27" s="544" t="e">
        <f>IF('3.0 New AGs'!#REF! &gt; 0, '4.1 New AG out-of profile by BD'!E27/'3.0 New AGs'!#REF!, "")</f>
        <v>#REF!</v>
      </c>
      <c r="G27" s="545">
        <v>0</v>
      </c>
      <c r="H27" s="546" t="str">
        <f t="shared" si="6"/>
        <v/>
      </c>
      <c r="I27" s="537">
        <v>3</v>
      </c>
      <c r="J27" s="544" t="e">
        <f>IF('3.0 New AGs'!#REF! &gt; 0, '4.1 New AG out-of profile by BD'!I27/'3.0 New AGs'!#REF!, "")</f>
        <v>#REF!</v>
      </c>
      <c r="K27" s="545">
        <v>0</v>
      </c>
      <c r="L27" s="546">
        <f t="shared" si="7"/>
        <v>0</v>
      </c>
      <c r="M27" s="537">
        <v>4</v>
      </c>
      <c r="N27" s="544" t="e">
        <f>IF('3.0 New AGs'!#REF! &gt; 0, '4.1 New AG out-of profile by BD'!M27/'3.0 New AGs'!#REF!, "")</f>
        <v>#REF!</v>
      </c>
      <c r="O27" s="545">
        <v>4</v>
      </c>
      <c r="P27" s="546">
        <f t="shared" si="8"/>
        <v>1</v>
      </c>
      <c r="Q27" s="537">
        <v>4</v>
      </c>
      <c r="R27" s="544" t="e">
        <f>IF('3.0 New AGs'!#REF! &gt; 0, '4.1 New AG out-of profile by BD'!Q27/'3.0 New AGs'!#REF!, "")</f>
        <v>#REF!</v>
      </c>
      <c r="S27" s="545">
        <v>1</v>
      </c>
      <c r="T27" s="546">
        <f t="shared" si="9"/>
        <v>0.25</v>
      </c>
      <c r="U27" s="537">
        <v>10</v>
      </c>
      <c r="V27" s="544" t="e">
        <f>IF('3.0 New AGs'!#REF! &gt; 0, '4.1 New AG out-of profile by BD'!U27/'3.0 New AGs'!#REF!, "")</f>
        <v>#REF!</v>
      </c>
      <c r="W27" s="545">
        <v>6</v>
      </c>
      <c r="X27" s="546">
        <f t="shared" si="10"/>
        <v>0.6</v>
      </c>
      <c r="Y27" s="537">
        <v>3</v>
      </c>
      <c r="Z27" s="544" t="e">
        <f>IF('3.0 New AGs'!#REF! &gt; 0, '4.1 New AG out-of profile by BD'!Y27/'3.0 New AGs'!#REF!, "")</f>
        <v>#REF!</v>
      </c>
      <c r="AA27" s="545">
        <v>1</v>
      </c>
      <c r="AB27" s="546">
        <f t="shared" si="11"/>
        <v>0.33333333333333331</v>
      </c>
      <c r="AC27" s="537">
        <v>5</v>
      </c>
      <c r="AD27" s="544" t="e">
        <f>IF('3.0 New AGs'!#REF! &gt; 0, '4.1 New AG out-of profile by BD'!AC27/'3.0 New AGs'!#REF!, "")</f>
        <v>#REF!</v>
      </c>
      <c r="AE27" s="545">
        <v>3</v>
      </c>
      <c r="AF27" s="546">
        <f t="shared" si="12"/>
        <v>0.6</v>
      </c>
      <c r="AG27" s="537">
        <v>4</v>
      </c>
      <c r="AH27" s="544" t="e">
        <f>IF('3.0 New AGs'!#REF! &gt; 0, '4.1 New AG out-of profile by BD'!AG27/'3.0 New AGs'!#REF!, "")</f>
        <v>#REF!</v>
      </c>
      <c r="AI27" s="545">
        <v>2</v>
      </c>
      <c r="AJ27" s="546">
        <f t="shared" si="13"/>
        <v>0.5</v>
      </c>
      <c r="AK27" s="547"/>
      <c r="AL27" s="544" t="e">
        <f>IF('3.0 New AGs'!#REF! &gt; 0, '4.1 New AG out-of profile by BD'!AK27/'3.0 New AGs'!#REF!, "")</f>
        <v>#REF!</v>
      </c>
      <c r="AM27" s="545"/>
      <c r="AN27" s="546" t="str">
        <f t="shared" si="14"/>
        <v/>
      </c>
      <c r="AO27" s="547">
        <v>5</v>
      </c>
      <c r="AP27" s="544" t="e">
        <f>IF('3.0 New AGs'!#REF! &gt; 0, '4.1 New AG out-of profile by BD'!AO27/'3.0 New AGs'!#REF!, "")</f>
        <v>#REF!</v>
      </c>
      <c r="AQ27" s="545">
        <v>2</v>
      </c>
      <c r="AR27" s="546">
        <f t="shared" si="15"/>
        <v>0.4</v>
      </c>
      <c r="AS27" s="595">
        <v>4</v>
      </c>
      <c r="AT27" s="544" t="e">
        <f>IF('3.0 New AGs'!#REF! &gt; 0, '4.1 New AG out-of profile by BD'!AS27/'3.0 New AGs'!#REF!, "")</f>
        <v>#REF!</v>
      </c>
      <c r="AU27" s="545">
        <v>1</v>
      </c>
      <c r="AV27" s="546">
        <f t="shared" si="16"/>
        <v>0.25</v>
      </c>
    </row>
    <row r="28" spans="2:48" ht="13.5">
      <c r="B28" s="78" t="s">
        <v>113</v>
      </c>
      <c r="C28" s="57" t="s">
        <v>176</v>
      </c>
      <c r="D28" s="57" t="s">
        <v>188</v>
      </c>
      <c r="E28" s="537"/>
      <c r="F28" s="572" t="e">
        <f>IF('3.0 New AGs'!#REF! &gt; 0, '4.1 New AG out-of profile by BD'!E28/'3.0 New AGs'!#REF!, "")</f>
        <v>#REF!</v>
      </c>
      <c r="G28" s="545">
        <v>0</v>
      </c>
      <c r="H28" s="546" t="str">
        <f t="shared" si="6"/>
        <v/>
      </c>
      <c r="I28" s="537">
        <v>1</v>
      </c>
      <c r="J28" s="572" t="e">
        <f>IF('3.0 New AGs'!#REF! &gt; 0, '4.1 New AG out-of profile by BD'!I28/'3.0 New AGs'!#REF!, "")</f>
        <v>#REF!</v>
      </c>
      <c r="K28" s="545">
        <v>0</v>
      </c>
      <c r="L28" s="546">
        <f t="shared" si="7"/>
        <v>0</v>
      </c>
      <c r="M28" s="537">
        <v>1</v>
      </c>
      <c r="N28" s="572" t="e">
        <f>IF('3.0 New AGs'!#REF! &gt; 0, '4.1 New AG out-of profile by BD'!M28/'3.0 New AGs'!#REF!, "")</f>
        <v>#REF!</v>
      </c>
      <c r="O28" s="545">
        <v>1</v>
      </c>
      <c r="P28" s="546">
        <f t="shared" si="8"/>
        <v>1</v>
      </c>
      <c r="Q28" s="537">
        <v>3</v>
      </c>
      <c r="R28" s="572" t="e">
        <f>IF('3.0 New AGs'!#REF! &gt; 0, '4.1 New AG out-of profile by BD'!Q28/'3.0 New AGs'!#REF!, "")</f>
        <v>#REF!</v>
      </c>
      <c r="S28" s="545">
        <v>0</v>
      </c>
      <c r="T28" s="546">
        <f t="shared" si="9"/>
        <v>0</v>
      </c>
      <c r="U28" s="537">
        <v>8</v>
      </c>
      <c r="V28" s="572" t="e">
        <f>IF('3.0 New AGs'!#REF! &gt; 0, '4.1 New AG out-of profile by BD'!U28/'3.0 New AGs'!#REF!, "")</f>
        <v>#REF!</v>
      </c>
      <c r="W28" s="545">
        <v>3</v>
      </c>
      <c r="X28" s="546">
        <f t="shared" si="10"/>
        <v>0.375</v>
      </c>
      <c r="Y28" s="537">
        <v>4</v>
      </c>
      <c r="Z28" s="572" t="e">
        <f>IF('3.0 New AGs'!#REF! &gt; 0, '4.1 New AG out-of profile by BD'!Y28/'3.0 New AGs'!#REF!, "")</f>
        <v>#REF!</v>
      </c>
      <c r="AA28" s="545">
        <v>2</v>
      </c>
      <c r="AB28" s="546">
        <f t="shared" si="11"/>
        <v>0.5</v>
      </c>
      <c r="AC28" s="537">
        <v>9</v>
      </c>
      <c r="AD28" s="572" t="e">
        <f>IF('3.0 New AGs'!#REF! &gt; 0, '4.1 New AG out-of profile by BD'!AC28/'3.0 New AGs'!#REF!, "")</f>
        <v>#REF!</v>
      </c>
      <c r="AE28" s="545">
        <v>4</v>
      </c>
      <c r="AF28" s="546">
        <f t="shared" si="12"/>
        <v>0.44444444444444442</v>
      </c>
      <c r="AG28" s="537">
        <v>6</v>
      </c>
      <c r="AH28" s="572" t="e">
        <f>IF('3.0 New AGs'!#REF! &gt; 0, '4.1 New AG out-of profile by BD'!AG28/'3.0 New AGs'!#REF!, "")</f>
        <v>#REF!</v>
      </c>
      <c r="AI28" s="545">
        <v>2</v>
      </c>
      <c r="AJ28" s="546">
        <f t="shared" si="13"/>
        <v>0.33333333333333331</v>
      </c>
      <c r="AK28" s="547">
        <v>4</v>
      </c>
      <c r="AL28" s="544" t="e">
        <f>IF('3.0 New AGs'!#REF! &gt; 0, '4.1 New AG out-of profile by BD'!AK28/'3.0 New AGs'!#REF!, "")</f>
        <v>#REF!</v>
      </c>
      <c r="AM28" s="545">
        <v>3</v>
      </c>
      <c r="AN28" s="546">
        <f t="shared" si="14"/>
        <v>0.75</v>
      </c>
      <c r="AO28" s="547">
        <v>4</v>
      </c>
      <c r="AP28" s="544" t="e">
        <f>IF('3.0 New AGs'!#REF! &gt; 0, '4.1 New AG out-of profile by BD'!AO28/'3.0 New AGs'!#REF!, "")</f>
        <v>#REF!</v>
      </c>
      <c r="AQ28" s="545"/>
      <c r="AR28" s="546">
        <f t="shared" si="15"/>
        <v>0</v>
      </c>
      <c r="AS28" s="595">
        <v>2</v>
      </c>
      <c r="AT28" s="544" t="e">
        <f>IF('3.0 New AGs'!#REF! &gt; 0, '4.1 New AG out-of profile by BD'!AS28/'3.0 New AGs'!#REF!, "")</f>
        <v>#REF!</v>
      </c>
      <c r="AU28" s="545">
        <v>1</v>
      </c>
      <c r="AV28" s="546">
        <f t="shared" si="16"/>
        <v>0.5</v>
      </c>
    </row>
    <row r="29" spans="2:48" ht="13.5">
      <c r="B29" s="78" t="s">
        <v>113</v>
      </c>
      <c r="C29" s="57" t="s">
        <v>178</v>
      </c>
      <c r="D29" s="57" t="s">
        <v>192</v>
      </c>
      <c r="E29" s="553"/>
      <c r="F29" s="544" t="e">
        <f>IF('3.0 New AGs'!#REF! &gt; 0, '4.1 New AG out-of profile by BD'!E29/'3.0 New AGs'!#REF!, "")</f>
        <v>#REF!</v>
      </c>
      <c r="G29" s="545">
        <v>0</v>
      </c>
      <c r="H29" s="546" t="str">
        <f t="shared" si="6"/>
        <v/>
      </c>
      <c r="I29" s="553">
        <v>1</v>
      </c>
      <c r="J29" s="544" t="e">
        <f>IF('3.0 New AGs'!#REF! &gt; 0, '4.1 New AG out-of profile by BD'!I29/'3.0 New AGs'!#REF!, "")</f>
        <v>#REF!</v>
      </c>
      <c r="K29" s="545">
        <v>0</v>
      </c>
      <c r="L29" s="546">
        <f t="shared" si="7"/>
        <v>0</v>
      </c>
      <c r="M29" s="553">
        <v>1</v>
      </c>
      <c r="N29" s="544" t="e">
        <f>IF('3.0 New AGs'!#REF! &gt; 0, '4.1 New AG out-of profile by BD'!M29/'3.0 New AGs'!#REF!, "")</f>
        <v>#REF!</v>
      </c>
      <c r="O29" s="545">
        <v>1</v>
      </c>
      <c r="P29" s="546">
        <f t="shared" si="8"/>
        <v>1</v>
      </c>
      <c r="Q29" s="553">
        <v>1</v>
      </c>
      <c r="R29" s="544" t="e">
        <f>IF('3.0 New AGs'!#REF! &gt; 0, '4.1 New AG out-of profile by BD'!Q29/'3.0 New AGs'!#REF!, "")</f>
        <v>#REF!</v>
      </c>
      <c r="S29" s="545">
        <v>0</v>
      </c>
      <c r="T29" s="546">
        <f t="shared" si="9"/>
        <v>0</v>
      </c>
      <c r="U29" s="553">
        <v>5</v>
      </c>
      <c r="V29" s="544" t="e">
        <f>IF('3.0 New AGs'!#REF! &gt; 0, '4.1 New AG out-of profile by BD'!U29/'3.0 New AGs'!#REF!, "")</f>
        <v>#REF!</v>
      </c>
      <c r="W29" s="545">
        <v>2</v>
      </c>
      <c r="X29" s="546">
        <f t="shared" si="10"/>
        <v>0.4</v>
      </c>
      <c r="Y29" s="553">
        <v>9</v>
      </c>
      <c r="Z29" s="544" t="e">
        <f>IF('3.0 New AGs'!#REF! &gt; 0, '4.1 New AG out-of profile by BD'!Y29/'3.0 New AGs'!#REF!, "")</f>
        <v>#REF!</v>
      </c>
      <c r="AA29" s="545">
        <v>1</v>
      </c>
      <c r="AB29" s="546">
        <f t="shared" si="11"/>
        <v>0.1111111111111111</v>
      </c>
      <c r="AC29" s="553">
        <v>6</v>
      </c>
      <c r="AD29" s="544" t="e">
        <f>IF('3.0 New AGs'!#REF! &gt; 0, '4.1 New AG out-of profile by BD'!AC29/'3.0 New AGs'!#REF!, "")</f>
        <v>#REF!</v>
      </c>
      <c r="AE29" s="545">
        <v>3</v>
      </c>
      <c r="AF29" s="546">
        <f t="shared" si="12"/>
        <v>0.5</v>
      </c>
      <c r="AG29" s="553">
        <v>1</v>
      </c>
      <c r="AH29" s="544" t="e">
        <f>IF('3.0 New AGs'!#REF! &gt; 0, '4.1 New AG out-of profile by BD'!AG29/'3.0 New AGs'!#REF!, "")</f>
        <v>#REF!</v>
      </c>
      <c r="AI29" s="545"/>
      <c r="AJ29" s="546">
        <f t="shared" si="13"/>
        <v>0</v>
      </c>
      <c r="AK29" s="547">
        <v>6</v>
      </c>
      <c r="AL29" s="544" t="e">
        <f>IF('3.0 New AGs'!#REF! &gt; 0, '4.1 New AG out-of profile by BD'!AK29/'3.0 New AGs'!#REF!, "")</f>
        <v>#REF!</v>
      </c>
      <c r="AM29" s="545">
        <v>2</v>
      </c>
      <c r="AN29" s="546">
        <f t="shared" si="14"/>
        <v>0.33333333333333331</v>
      </c>
      <c r="AO29" s="547">
        <v>1</v>
      </c>
      <c r="AP29" s="544" t="e">
        <f>IF('3.0 New AGs'!#REF! &gt; 0, '4.1 New AG out-of profile by BD'!AO29/'3.0 New AGs'!#REF!, "")</f>
        <v>#REF!</v>
      </c>
      <c r="AQ29" s="545"/>
      <c r="AR29" s="546">
        <f t="shared" si="15"/>
        <v>0</v>
      </c>
      <c r="AS29" s="595">
        <v>6</v>
      </c>
      <c r="AT29" s="544" t="e">
        <f>IF('3.0 New AGs'!#REF! &gt; 0, '4.1 New AG out-of profile by BD'!AS29/'3.0 New AGs'!#REF!, "")</f>
        <v>#REF!</v>
      </c>
      <c r="AU29" s="545">
        <v>2</v>
      </c>
      <c r="AV29" s="546">
        <f t="shared" si="16"/>
        <v>0.33333333333333331</v>
      </c>
    </row>
    <row r="30" spans="2:48" s="196" customFormat="1" ht="13.5">
      <c r="B30" s="538"/>
      <c r="C30" s="539"/>
      <c r="D30" s="558" t="s">
        <v>259</v>
      </c>
      <c r="E30" s="559">
        <f>SUM(E25:E29)</f>
        <v>0</v>
      </c>
      <c r="F30" s="560" t="e">
        <f>IF('3.0 New AGs'!#REF! &gt; 0, '4.1 New AG out-of profile by BD'!E30/'3.0 New AGs'!#REF!, "")</f>
        <v>#REF!</v>
      </c>
      <c r="G30" s="561">
        <f>SUM(G25:G29)</f>
        <v>0</v>
      </c>
      <c r="H30" s="562" t="str">
        <f t="shared" si="6"/>
        <v/>
      </c>
      <c r="I30" s="559">
        <f>SUM(I25:I29)</f>
        <v>7</v>
      </c>
      <c r="J30" s="560" t="e">
        <f>IF('3.0 New AGs'!#REF! &gt; 0, '4.1 New AG out-of profile by BD'!I30/'3.0 New AGs'!#REF!, "")</f>
        <v>#REF!</v>
      </c>
      <c r="K30" s="561">
        <f>SUM(K25:K29)</f>
        <v>0</v>
      </c>
      <c r="L30" s="562">
        <f t="shared" si="7"/>
        <v>0</v>
      </c>
      <c r="M30" s="559">
        <f>SUM(M25:M29)</f>
        <v>8</v>
      </c>
      <c r="N30" s="560" t="e">
        <f>IF('3.0 New AGs'!#REF! &gt; 0, '4.1 New AG out-of profile by BD'!M30/'3.0 New AGs'!#REF!, "")</f>
        <v>#REF!</v>
      </c>
      <c r="O30" s="561">
        <f>SUM(O25:O29)</f>
        <v>8</v>
      </c>
      <c r="P30" s="562">
        <f t="shared" si="8"/>
        <v>1</v>
      </c>
      <c r="Q30" s="559">
        <f>SUM(Q25:Q29)</f>
        <v>12</v>
      </c>
      <c r="R30" s="560" t="e">
        <f>IF('3.0 New AGs'!#REF! &gt; 0, '4.1 New AG out-of profile by BD'!Q30/'3.0 New AGs'!#REF!, "")</f>
        <v>#REF!</v>
      </c>
      <c r="S30" s="561">
        <f>SUM(S25:S29)</f>
        <v>2</v>
      </c>
      <c r="T30" s="562">
        <f t="shared" si="9"/>
        <v>0.16666666666666666</v>
      </c>
      <c r="U30" s="559">
        <f>SUM(U25:U29)</f>
        <v>29</v>
      </c>
      <c r="V30" s="560" t="e">
        <f>IF('3.0 New AGs'!#REF! &gt; 0, '4.1 New AG out-of profile by BD'!U30/'3.0 New AGs'!#REF!, "")</f>
        <v>#REF!</v>
      </c>
      <c r="W30" s="561">
        <f>SUM(W25:W29)</f>
        <v>13</v>
      </c>
      <c r="X30" s="562">
        <f t="shared" si="10"/>
        <v>0.44827586206896552</v>
      </c>
      <c r="Y30" s="559">
        <f>SUM(Y25:Y29)</f>
        <v>18</v>
      </c>
      <c r="Z30" s="560" t="e">
        <f>IF('3.0 New AGs'!#REF! &gt; 0, '4.1 New AG out-of profile by BD'!Y30/'3.0 New AGs'!#REF!, "")</f>
        <v>#REF!</v>
      </c>
      <c r="AA30" s="561">
        <f>SUM(AA25:AA29)</f>
        <v>5</v>
      </c>
      <c r="AB30" s="562">
        <f t="shared" si="11"/>
        <v>0.27777777777777779</v>
      </c>
      <c r="AC30" s="559">
        <f>SUM(AC25:AC29)</f>
        <v>23</v>
      </c>
      <c r="AD30" s="560" t="e">
        <f>IF('3.0 New AGs'!#REF! &gt; 0, '4.1 New AG out-of profile by BD'!AC30/'3.0 New AGs'!#REF!, "")</f>
        <v>#REF!</v>
      </c>
      <c r="AE30" s="561">
        <f>SUM(AE25:AE29)</f>
        <v>11</v>
      </c>
      <c r="AF30" s="562">
        <f t="shared" si="12"/>
        <v>0.47826086956521741</v>
      </c>
      <c r="AG30" s="559">
        <f>SUM(AG25:AG29)</f>
        <v>14</v>
      </c>
      <c r="AH30" s="560" t="e">
        <f>IF('3.0 New AGs'!#REF! &gt; 0, '4.1 New AG out-of profile by BD'!AG30/'3.0 New AGs'!#REF!, "")</f>
        <v>#REF!</v>
      </c>
      <c r="AI30" s="561">
        <f>SUM(AI25:AI29)</f>
        <v>5</v>
      </c>
      <c r="AJ30" s="562">
        <f t="shared" si="13"/>
        <v>0.35714285714285715</v>
      </c>
      <c r="AK30" s="559">
        <f>SUM(AK25:AK29)</f>
        <v>14</v>
      </c>
      <c r="AL30" s="560" t="e">
        <f>IF('3.0 New AGs'!#REF! &gt; 0, '4.1 New AG out-of profile by BD'!AK30/'3.0 New AGs'!#REF!, "")</f>
        <v>#REF!</v>
      </c>
      <c r="AM30" s="561">
        <f>SUM(AM25:AM29)</f>
        <v>6</v>
      </c>
      <c r="AN30" s="562">
        <f t="shared" si="14"/>
        <v>0.42857142857142855</v>
      </c>
      <c r="AO30" s="559">
        <f>SUM(AO25:AO29)</f>
        <v>17</v>
      </c>
      <c r="AP30" s="560" t="e">
        <f>IF('3.0 New AGs'!#REF! &gt; 0, '4.1 New AG out-of profile by BD'!AO30/'3.0 New AGs'!#REF!, "")</f>
        <v>#REF!</v>
      </c>
      <c r="AQ30" s="561">
        <f>SUM(AQ25:AQ29)</f>
        <v>3</v>
      </c>
      <c r="AR30" s="562">
        <f t="shared" si="15"/>
        <v>0.17647058823529413</v>
      </c>
      <c r="AS30" s="598">
        <f>SUM(AS25:AS29)</f>
        <v>19</v>
      </c>
      <c r="AT30" s="560" t="e">
        <f>IF('3.0 New AGs'!#REF! &gt; 0, '4.1 New AG out-of profile by BD'!AS30/'3.0 New AGs'!#REF!, "")</f>
        <v>#REF!</v>
      </c>
      <c r="AU30" s="561">
        <f>SUM(AU25:AU29)</f>
        <v>5</v>
      </c>
      <c r="AV30" s="562">
        <f t="shared" si="16"/>
        <v>0.26315789473684209</v>
      </c>
    </row>
    <row r="31" spans="2:48" ht="13.5">
      <c r="B31" s="554"/>
      <c r="C31" s="555"/>
      <c r="D31" s="555"/>
      <c r="E31" s="556"/>
      <c r="F31" s="557"/>
      <c r="G31" s="556"/>
      <c r="H31" s="557"/>
      <c r="I31" s="556"/>
      <c r="J31" s="557"/>
      <c r="K31" s="556"/>
      <c r="L31" s="557"/>
      <c r="M31" s="556"/>
      <c r="N31" s="557"/>
      <c r="O31" s="556"/>
      <c r="P31" s="557"/>
      <c r="Q31" s="556"/>
      <c r="R31" s="557"/>
      <c r="S31" s="556"/>
      <c r="T31" s="557"/>
      <c r="U31" s="556"/>
      <c r="V31" s="557"/>
      <c r="W31" s="556"/>
      <c r="X31" s="557"/>
      <c r="Y31" s="556"/>
      <c r="Z31" s="557"/>
      <c r="AA31" s="556"/>
      <c r="AB31" s="557"/>
      <c r="AC31" s="556"/>
      <c r="AD31" s="557"/>
      <c r="AE31" s="556"/>
      <c r="AF31" s="557"/>
    </row>
    <row r="32" spans="2:48">
      <c r="H32" s="147" t="str">
        <f>IF(E32 &gt; 0, G32/E32, "")</f>
        <v/>
      </c>
      <c r="L32" s="147" t="str">
        <f>IF(I32 &gt; 0, K32/I32, "")</f>
        <v/>
      </c>
      <c r="P32" s="147" t="str">
        <f>IF(M32 &gt; 0, O32/M32, "")</f>
        <v/>
      </c>
      <c r="T32" s="147" t="str">
        <f>IF(Q32 &gt; 0, S32/Q32, "")</f>
        <v/>
      </c>
    </row>
    <row r="33" spans="2:2">
      <c r="B33" s="93" t="s">
        <v>124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workbookViewId="0"/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847" t="s">
        <v>622</v>
      </c>
      <c r="I1" s="3" t="s">
        <v>0</v>
      </c>
    </row>
    <row r="3" spans="1:12">
      <c r="B3" s="191"/>
      <c r="C3" s="844"/>
      <c r="D3" s="844"/>
      <c r="E3" s="844"/>
      <c r="F3" s="844"/>
      <c r="G3" s="844"/>
      <c r="H3" s="844"/>
      <c r="I3" s="844"/>
      <c r="J3" s="844"/>
      <c r="K3" s="844"/>
      <c r="L3" s="192"/>
    </row>
    <row r="4" spans="1:12">
      <c r="B4" s="845"/>
      <c r="C4" s="146" t="s">
        <v>616</v>
      </c>
      <c r="D4" s="146"/>
      <c r="E4" s="146"/>
      <c r="F4" s="146"/>
      <c r="G4" s="146"/>
      <c r="H4" s="146"/>
      <c r="I4" s="146"/>
      <c r="J4" s="146"/>
      <c r="K4" s="146"/>
      <c r="L4" s="193"/>
    </row>
    <row r="5" spans="1:12">
      <c r="B5" s="845"/>
      <c r="C5" s="146" t="s">
        <v>617</v>
      </c>
      <c r="D5" s="146"/>
      <c r="E5" s="146"/>
      <c r="F5" s="146"/>
      <c r="G5" s="146"/>
      <c r="H5" s="146"/>
      <c r="I5" s="146"/>
      <c r="J5" s="146"/>
      <c r="K5" s="146"/>
      <c r="L5" s="193"/>
    </row>
    <row r="6" spans="1:12">
      <c r="B6" s="194"/>
      <c r="C6" s="846"/>
      <c r="D6" s="846"/>
      <c r="E6" s="846"/>
      <c r="F6" s="846"/>
      <c r="G6" s="846"/>
      <c r="H6" s="846"/>
      <c r="I6" s="846"/>
      <c r="J6" s="846"/>
      <c r="K6" s="846"/>
      <c r="L6" s="195"/>
    </row>
    <row r="8" spans="1:12">
      <c r="B8" s="173" t="s">
        <v>605</v>
      </c>
    </row>
    <row r="9" spans="1:12">
      <c r="B9" s="369" t="s">
        <v>609</v>
      </c>
    </row>
    <row r="10" spans="1:12">
      <c r="B10" s="369"/>
    </row>
    <row r="11" spans="1:12">
      <c r="D11" s="11" t="s">
        <v>612</v>
      </c>
      <c r="J11" t="s">
        <v>604</v>
      </c>
    </row>
    <row r="12" spans="1:12" s="190" customFormat="1" ht="15.75" customHeight="1">
      <c r="C12" s="848"/>
      <c r="D12" s="849" t="s">
        <v>174</v>
      </c>
      <c r="E12" s="850" t="s">
        <v>244</v>
      </c>
      <c r="F12" s="850" t="s">
        <v>135</v>
      </c>
      <c r="I12" s="851"/>
      <c r="J12" s="852" t="s">
        <v>174</v>
      </c>
      <c r="K12" s="853" t="s">
        <v>244</v>
      </c>
      <c r="L12" s="853" t="s">
        <v>135</v>
      </c>
    </row>
    <row r="13" spans="1:12">
      <c r="C13" t="s">
        <v>600</v>
      </c>
      <c r="D13" s="837">
        <f t="shared" ref="D13:F17" si="0">J13/J$17</f>
        <v>0.28947368421052633</v>
      </c>
      <c r="E13" s="147">
        <f t="shared" si="0"/>
        <v>0.24561403508771928</v>
      </c>
      <c r="F13" s="147">
        <f t="shared" si="0"/>
        <v>0.33333333333333331</v>
      </c>
      <c r="I13" t="s">
        <v>600</v>
      </c>
      <c r="J13" s="838">
        <f>SUM(K13:L13)</f>
        <v>33</v>
      </c>
      <c r="K13">
        <v>14</v>
      </c>
      <c r="L13">
        <v>19</v>
      </c>
    </row>
    <row r="14" spans="1:12">
      <c r="C14" t="s">
        <v>601</v>
      </c>
      <c r="D14" s="837">
        <f t="shared" si="0"/>
        <v>0.13157894736842105</v>
      </c>
      <c r="E14" s="147">
        <f t="shared" si="0"/>
        <v>0.15789473684210525</v>
      </c>
      <c r="F14" s="147">
        <f t="shared" si="0"/>
        <v>0.10526315789473684</v>
      </c>
      <c r="I14" t="s">
        <v>601</v>
      </c>
      <c r="J14" s="838">
        <f>SUM(K14:L14)</f>
        <v>15</v>
      </c>
      <c r="K14">
        <v>9</v>
      </c>
      <c r="L14">
        <v>6</v>
      </c>
    </row>
    <row r="15" spans="1:12">
      <c r="C15" t="s">
        <v>611</v>
      </c>
      <c r="D15" s="837">
        <f t="shared" si="0"/>
        <v>0.12280701754385964</v>
      </c>
      <c r="E15" s="147">
        <f t="shared" si="0"/>
        <v>0.17543859649122806</v>
      </c>
      <c r="F15" s="147">
        <f t="shared" si="0"/>
        <v>7.0175438596491224E-2</v>
      </c>
      <c r="I15" t="s">
        <v>602</v>
      </c>
      <c r="J15" s="838">
        <f>SUM(K15:L15)</f>
        <v>14</v>
      </c>
      <c r="K15">
        <v>10</v>
      </c>
      <c r="L15">
        <v>4</v>
      </c>
    </row>
    <row r="16" spans="1:12" s="836" customFormat="1">
      <c r="C16" s="840" t="s">
        <v>603</v>
      </c>
      <c r="D16" s="841">
        <f t="shared" si="0"/>
        <v>0.45614035087719296</v>
      </c>
      <c r="E16" s="842">
        <f t="shared" si="0"/>
        <v>0.42105263157894735</v>
      </c>
      <c r="F16" s="842">
        <f t="shared" si="0"/>
        <v>0.49122807017543857</v>
      </c>
      <c r="I16" s="840" t="s">
        <v>603</v>
      </c>
      <c r="J16" s="843">
        <f>SUM(K16:L16)</f>
        <v>52</v>
      </c>
      <c r="K16" s="840">
        <v>24</v>
      </c>
      <c r="L16" s="840">
        <v>28</v>
      </c>
    </row>
    <row r="17" spans="2:12">
      <c r="D17" s="854">
        <f t="shared" si="0"/>
        <v>1</v>
      </c>
      <c r="E17" s="855">
        <f t="shared" si="0"/>
        <v>1</v>
      </c>
      <c r="F17" s="855">
        <f t="shared" si="0"/>
        <v>1</v>
      </c>
      <c r="J17" s="839">
        <f>SUM(J13:J16)</f>
        <v>114</v>
      </c>
      <c r="K17" s="196">
        <f>SUM(K13:K16)</f>
        <v>57</v>
      </c>
      <c r="L17" s="196">
        <f>SUM(L13:L16)</f>
        <v>57</v>
      </c>
    </row>
    <row r="19" spans="2:12">
      <c r="B19" s="173" t="s">
        <v>606</v>
      </c>
    </row>
    <row r="20" spans="2:12">
      <c r="B20" s="173"/>
    </row>
    <row r="21" spans="2:12">
      <c r="D21" s="11" t="s">
        <v>614</v>
      </c>
      <c r="J21" s="11" t="s">
        <v>307</v>
      </c>
    </row>
    <row r="22" spans="2:12" s="190" customFormat="1" ht="14.25" customHeight="1">
      <c r="C22" s="848"/>
      <c r="D22" s="849" t="s">
        <v>174</v>
      </c>
      <c r="E22" s="850" t="s">
        <v>244</v>
      </c>
      <c r="F22" s="850" t="s">
        <v>135</v>
      </c>
      <c r="I22" s="851"/>
      <c r="J22" s="852" t="s">
        <v>174</v>
      </c>
      <c r="K22" s="853" t="s">
        <v>244</v>
      </c>
      <c r="L22" s="853" t="s">
        <v>135</v>
      </c>
    </row>
    <row r="23" spans="2:12">
      <c r="C23" t="s">
        <v>590</v>
      </c>
      <c r="D23" s="837">
        <f>J23/J$26</f>
        <v>0.45</v>
      </c>
      <c r="E23" s="147">
        <f>K23/K$26</f>
        <v>0.36363636363636365</v>
      </c>
      <c r="F23" s="147">
        <f>L23/L$26</f>
        <v>0.55555555555555558</v>
      </c>
      <c r="I23" t="s">
        <v>590</v>
      </c>
      <c r="J23" s="838">
        <f>SUM(K23:L23)</f>
        <v>9</v>
      </c>
      <c r="K23">
        <v>4</v>
      </c>
      <c r="L23">
        <v>5</v>
      </c>
    </row>
    <row r="24" spans="2:12">
      <c r="C24" t="s">
        <v>613</v>
      </c>
      <c r="D24" s="837">
        <f>J24/J$26</f>
        <v>0.3</v>
      </c>
      <c r="E24" s="147">
        <f t="shared" ref="E24:F26" si="1">K24/K$26</f>
        <v>0.27272727272727271</v>
      </c>
      <c r="F24" s="147">
        <f t="shared" si="1"/>
        <v>0.33333333333333331</v>
      </c>
      <c r="I24" t="s">
        <v>613</v>
      </c>
      <c r="J24" s="838">
        <f>SUM(K24:L24)</f>
        <v>6</v>
      </c>
      <c r="K24">
        <v>3</v>
      </c>
      <c r="L24">
        <v>3</v>
      </c>
    </row>
    <row r="25" spans="2:12" s="836" customFormat="1">
      <c r="C25" s="840" t="s">
        <v>332</v>
      </c>
      <c r="D25" s="841">
        <f>J25/J$26</f>
        <v>0.25</v>
      </c>
      <c r="E25" s="842">
        <f t="shared" si="1"/>
        <v>0.36363636363636365</v>
      </c>
      <c r="F25" s="842">
        <f t="shared" si="1"/>
        <v>0.1111111111111111</v>
      </c>
      <c r="I25" s="840" t="s">
        <v>332</v>
      </c>
      <c r="J25" s="843">
        <f>SUM(K25:L25)</f>
        <v>5</v>
      </c>
      <c r="K25" s="840">
        <v>4</v>
      </c>
      <c r="L25" s="840">
        <v>1</v>
      </c>
    </row>
    <row r="26" spans="2:12">
      <c r="D26" s="854">
        <f>J26/J$26</f>
        <v>1</v>
      </c>
      <c r="E26" s="855">
        <f t="shared" si="1"/>
        <v>1</v>
      </c>
      <c r="F26" s="855">
        <f t="shared" si="1"/>
        <v>1</v>
      </c>
      <c r="J26" s="839">
        <f>SUM(K26:L26)</f>
        <v>20</v>
      </c>
      <c r="K26" s="196">
        <v>11</v>
      </c>
      <c r="L26" s="196">
        <v>9</v>
      </c>
    </row>
    <row r="28" spans="2:12">
      <c r="B28" s="173" t="s">
        <v>607</v>
      </c>
    </row>
    <row r="29" spans="2:12">
      <c r="B29" s="173"/>
    </row>
    <row r="30" spans="2:12">
      <c r="D30" s="11" t="s">
        <v>615</v>
      </c>
      <c r="J30" s="11" t="s">
        <v>608</v>
      </c>
    </row>
    <row r="31" spans="2:12" s="190" customFormat="1" ht="15.75" customHeight="1">
      <c r="C31" s="848"/>
      <c r="D31" s="849" t="s">
        <v>174</v>
      </c>
      <c r="E31" s="850" t="s">
        <v>244</v>
      </c>
      <c r="F31" s="850" t="s">
        <v>135</v>
      </c>
      <c r="I31" s="851"/>
      <c r="J31" s="852" t="s">
        <v>174</v>
      </c>
      <c r="K31" s="853" t="s">
        <v>244</v>
      </c>
      <c r="L31" s="853" t="s">
        <v>135</v>
      </c>
    </row>
    <row r="32" spans="2:12">
      <c r="C32" t="s">
        <v>368</v>
      </c>
      <c r="D32" s="837">
        <f t="shared" ref="D32:F35" si="2">J32/J$35</f>
        <v>0.41176470588235292</v>
      </c>
      <c r="E32" s="147">
        <f t="shared" si="2"/>
        <v>0.33333333333333331</v>
      </c>
      <c r="F32" s="147">
        <f t="shared" si="2"/>
        <v>0.45454545454545453</v>
      </c>
      <c r="I32" t="s">
        <v>591</v>
      </c>
      <c r="J32" s="838">
        <f>SUM(K32:L32)</f>
        <v>7</v>
      </c>
      <c r="K32">
        <v>2</v>
      </c>
      <c r="L32">
        <v>5</v>
      </c>
    </row>
    <row r="33" spans="1:12">
      <c r="C33" t="s">
        <v>618</v>
      </c>
      <c r="D33" s="837">
        <f t="shared" si="2"/>
        <v>0.23529411764705882</v>
      </c>
      <c r="E33" s="147">
        <f t="shared" si="2"/>
        <v>0.16666666666666666</v>
      </c>
      <c r="F33" s="147">
        <f t="shared" si="2"/>
        <v>0.27272727272727271</v>
      </c>
      <c r="I33" t="s">
        <v>618</v>
      </c>
      <c r="J33" s="838">
        <f>SUM(K33:L33)</f>
        <v>4</v>
      </c>
      <c r="K33">
        <v>1</v>
      </c>
      <c r="L33">
        <v>3</v>
      </c>
    </row>
    <row r="34" spans="1:12" s="836" customFormat="1">
      <c r="C34" s="840" t="s">
        <v>332</v>
      </c>
      <c r="D34" s="841">
        <f t="shared" si="2"/>
        <v>0.35294117647058826</v>
      </c>
      <c r="E34" s="842">
        <f t="shared" si="2"/>
        <v>0.5</v>
      </c>
      <c r="F34" s="842">
        <f t="shared" si="2"/>
        <v>0.27272727272727271</v>
      </c>
      <c r="I34" s="840" t="s">
        <v>332</v>
      </c>
      <c r="J34" s="843">
        <f>SUM(K34:L34)</f>
        <v>6</v>
      </c>
      <c r="K34" s="840">
        <v>3</v>
      </c>
      <c r="L34" s="840">
        <v>3</v>
      </c>
    </row>
    <row r="35" spans="1:12">
      <c r="D35" s="854">
        <f t="shared" si="2"/>
        <v>1</v>
      </c>
      <c r="E35" s="855">
        <f t="shared" si="2"/>
        <v>1</v>
      </c>
      <c r="F35" s="855">
        <f t="shared" si="2"/>
        <v>1</v>
      </c>
      <c r="J35" s="839">
        <f>SUM(K35:L35)</f>
        <v>17</v>
      </c>
      <c r="K35" s="196">
        <v>6</v>
      </c>
      <c r="L35" s="196">
        <v>11</v>
      </c>
    </row>
    <row r="40" spans="1:12" s="152" customFormat="1">
      <c r="A40" s="856" t="s">
        <v>619</v>
      </c>
    </row>
    <row r="41" spans="1:12" s="152" customFormat="1">
      <c r="A41" s="857" t="s">
        <v>610</v>
      </c>
    </row>
    <row r="42" spans="1:12" s="152" customFormat="1"/>
    <row r="43" spans="1:12" s="152" customFormat="1"/>
    <row r="44" spans="1:12" s="152" customFormat="1"/>
    <row r="45" spans="1:12" s="152" customFormat="1"/>
    <row r="46" spans="1:12" s="152" customFormat="1"/>
    <row r="47" spans="1:12" s="152" customFormat="1"/>
    <row r="48" spans="1:12" s="152" customFormat="1"/>
    <row r="49" s="152" customFormat="1"/>
    <row r="50" s="152" customFormat="1"/>
    <row r="51" s="152" customFormat="1"/>
    <row r="52" s="152" customFormat="1"/>
    <row r="53" s="152" customFormat="1"/>
    <row r="54" s="152" customFormat="1"/>
    <row r="55" s="152" customFormat="1"/>
    <row r="56" s="152" customFormat="1"/>
    <row r="57" s="152" customFormat="1"/>
    <row r="58" s="152" customFormat="1"/>
    <row r="59" s="152" customFormat="1"/>
    <row r="60" s="152" customFormat="1"/>
    <row r="61" s="152" customFormat="1"/>
    <row r="62" s="152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workbookViewId="0"/>
  </sheetViews>
  <sheetFormatPr defaultColWidth="9.140625" defaultRowHeight="12.75"/>
  <cols>
    <col min="1" max="1" width="9.140625" style="1016"/>
    <col min="2" max="2" width="5.42578125" style="1016" customWidth="1"/>
    <col min="3" max="17" width="9.140625" style="1016"/>
    <col min="18" max="18" width="8.7109375" style="1016" customWidth="1"/>
    <col min="19" max="19" width="2.42578125" style="1016" customWidth="1"/>
    <col min="20" max="20" width="2.5703125" style="1016" customWidth="1"/>
    <col min="21" max="16384" width="9.140625" style="1016"/>
  </cols>
  <sheetData>
    <row r="2" spans="1:24">
      <c r="A2" s="1494" t="s">
        <v>536</v>
      </c>
      <c r="B2" s="1273"/>
      <c r="C2" s="1273"/>
      <c r="D2" s="1273"/>
      <c r="E2" s="1273"/>
      <c r="F2" s="1273"/>
      <c r="G2" s="1273"/>
      <c r="H2" s="1273"/>
      <c r="I2" s="1273"/>
      <c r="J2" s="1273"/>
      <c r="K2" s="1273"/>
      <c r="L2" s="1495" t="s">
        <v>537</v>
      </c>
      <c r="M2" s="1273"/>
      <c r="N2" s="1273"/>
      <c r="O2" s="1273"/>
      <c r="P2" s="1273"/>
      <c r="Q2" s="1273"/>
      <c r="R2" s="1273"/>
      <c r="S2" s="1270"/>
      <c r="T2" s="1120"/>
    </row>
    <row r="3" spans="1:24">
      <c r="A3" s="1353"/>
      <c r="B3" s="1120"/>
      <c r="C3" s="1120" t="s">
        <v>538</v>
      </c>
      <c r="D3" s="1120" t="str">
        <f>'4.1 BD Review'!L2</f>
        <v>NGUYEN HUU HIEN</v>
      </c>
      <c r="E3" s="1120"/>
      <c r="F3" s="1120"/>
      <c r="G3" s="1120"/>
      <c r="H3" s="1120"/>
      <c r="I3" s="1120"/>
      <c r="J3" s="1120"/>
      <c r="K3" s="1120"/>
      <c r="L3" s="1496" t="s">
        <v>539</v>
      </c>
      <c r="M3" s="755">
        <v>0.95</v>
      </c>
      <c r="N3" s="1497"/>
      <c r="O3" s="1497"/>
      <c r="P3" s="1497"/>
      <c r="Q3" s="1497"/>
      <c r="R3" s="1497"/>
      <c r="S3" s="1365"/>
      <c r="T3" s="1120"/>
    </row>
    <row r="4" spans="1:24">
      <c r="A4" s="1353"/>
      <c r="B4" s="1120"/>
      <c r="C4" s="1354" t="s">
        <v>540</v>
      </c>
      <c r="D4" s="1498">
        <f>'BD comment'!A2</f>
        <v>201501</v>
      </c>
      <c r="E4" s="1499" t="s">
        <v>541</v>
      </c>
      <c r="F4" s="1120"/>
      <c r="G4" s="1120"/>
      <c r="H4" s="1120"/>
      <c r="I4" s="1120"/>
      <c r="J4" s="1120"/>
      <c r="K4" s="1120"/>
      <c r="L4" s="1496"/>
      <c r="M4" s="1496"/>
      <c r="N4" s="1497"/>
      <c r="O4" s="1497"/>
      <c r="P4" s="1497"/>
      <c r="Q4" s="1497"/>
      <c r="R4" s="1497"/>
      <c r="S4" s="1365"/>
      <c r="T4" s="1120"/>
    </row>
    <row r="5" spans="1:24">
      <c r="A5" s="1353"/>
      <c r="B5" s="1120"/>
      <c r="C5" s="1120"/>
      <c r="D5" s="1120"/>
      <c r="E5" s="1500"/>
      <c r="F5" s="1120"/>
      <c r="G5" s="1120"/>
      <c r="H5" s="1120"/>
      <c r="I5" s="1120"/>
      <c r="J5" s="1120"/>
      <c r="K5" s="1120"/>
      <c r="L5" s="1496"/>
      <c r="M5" s="1496"/>
      <c r="N5" s="1497"/>
      <c r="O5" s="1497"/>
      <c r="P5" s="1497"/>
      <c r="Q5" s="1497"/>
      <c r="R5" s="1497"/>
      <c r="S5" s="1365"/>
      <c r="T5" s="1120"/>
    </row>
    <row r="6" spans="1:24">
      <c r="A6" s="1353"/>
      <c r="B6" s="756"/>
      <c r="C6" s="1501" t="s">
        <v>542</v>
      </c>
      <c r="D6" s="1502"/>
      <c r="E6" s="1502"/>
      <c r="F6" s="1502"/>
      <c r="G6" s="1502"/>
      <c r="H6" s="1502"/>
      <c r="I6" s="1502"/>
      <c r="J6" s="1502"/>
      <c r="K6" s="1502"/>
      <c r="L6" s="1502"/>
      <c r="M6" s="1502"/>
      <c r="N6" s="1502"/>
      <c r="O6" s="1502"/>
      <c r="P6" s="1502"/>
      <c r="Q6" s="1502"/>
      <c r="R6" s="1502"/>
      <c r="S6" s="1365"/>
      <c r="T6" s="1120"/>
    </row>
    <row r="7" spans="1:24" ht="38.25">
      <c r="A7" s="1503" t="s">
        <v>543</v>
      </c>
      <c r="B7" s="1504">
        <f>+IF(D4&gt;201400,12-(D4-201401),(2014-LEFT(D4,4))*12+(12-(D4-(LEFT(D4,4)*100+1))))</f>
        <v>-88</v>
      </c>
      <c r="C7" s="1505"/>
      <c r="D7" s="1506" t="s">
        <v>520</v>
      </c>
      <c r="E7" s="1507" t="s">
        <v>521</v>
      </c>
      <c r="F7" s="1506" t="s">
        <v>205</v>
      </c>
      <c r="G7" s="1506" t="s">
        <v>206</v>
      </c>
      <c r="H7" s="1506" t="s">
        <v>437</v>
      </c>
      <c r="I7" s="1508" t="s">
        <v>522</v>
      </c>
      <c r="J7" s="1509" t="s">
        <v>547</v>
      </c>
      <c r="K7" s="1508" t="s">
        <v>96</v>
      </c>
      <c r="L7" s="1507" t="s">
        <v>55</v>
      </c>
      <c r="M7" s="1507" t="s">
        <v>523</v>
      </c>
      <c r="N7" s="1507" t="s">
        <v>309</v>
      </c>
      <c r="O7" s="1507" t="s">
        <v>162</v>
      </c>
      <c r="P7" s="1506" t="s">
        <v>78</v>
      </c>
      <c r="Q7" s="1506" t="s">
        <v>524</v>
      </c>
      <c r="R7" s="1510" t="s">
        <v>525</v>
      </c>
      <c r="S7" s="1365"/>
      <c r="T7" s="1120"/>
      <c r="U7" s="1511" t="s">
        <v>563</v>
      </c>
    </row>
    <row r="8" spans="1:24">
      <c r="A8" s="1512">
        <v>201401</v>
      </c>
      <c r="B8" s="1513">
        <v>1</v>
      </c>
      <c r="C8" s="679">
        <v>41640</v>
      </c>
      <c r="D8" s="1514">
        <f>VLOOKUP('4.1 BD Review'!$L$2, BDList!$A$2:$Q$74, 6, 0)</f>
        <v>0</v>
      </c>
      <c r="E8" s="680">
        <f>IF(D8&gt;3,80%,100%)</f>
        <v>1</v>
      </c>
      <c r="F8" s="1515" t="e">
        <f>VLOOKUP(D8, HCMHN_BDMasterPlan!$B$26:$P$63, HCMHN_BDMasterPlan!$D$25)</f>
        <v>#N/A</v>
      </c>
      <c r="G8" s="1515" t="e">
        <f>VLOOKUP(D8, HCMHN_BDMasterPlan!$B$26:$P$63, HCMHN_BDMasterPlan!$E$25)</f>
        <v>#N/A</v>
      </c>
      <c r="H8" s="791" t="e">
        <f>ROUND(VLOOKUP(D8, HCMHN_BDMasterPlan!$B$26:$P$63, HCMHN_BDMasterPlan!$G$25), 1)</f>
        <v>#N/A</v>
      </c>
      <c r="I8" s="791" t="e">
        <f>ROUND(VLOOKUP(D8, HCMHN_BDMasterPlan!$B$26:$P$63, HCMHN_BDMasterPlan!$I$25), 1)</f>
        <v>#N/A</v>
      </c>
      <c r="J8" s="1516" t="e">
        <f>ROUND(VLOOKUP(D8, HCMHN_BDMasterPlan!$B$26:$P$63, HCMHN_BDMasterPlan!$H$25), 0)</f>
        <v>#N/A</v>
      </c>
      <c r="K8" s="681" t="e">
        <f>VLOOKUP(D8, HCMHN_BDMasterPlan!$B$26:$P$63, HCMHN_BDMasterPlan!$J$25)</f>
        <v>#N/A</v>
      </c>
      <c r="L8" s="682" t="e">
        <f>VLOOKUP(D8, HCMHN_BDMasterPlan!$B$26:$P$63, HCMHN_BDMasterPlan!$K$25) *E8</f>
        <v>#N/A</v>
      </c>
      <c r="M8" s="683" t="e">
        <f>VLOOKUP(D8, HCMHN_BDMasterPlan!$B$26:$P$63, HCMHN_BDMasterPlan!$M$25)</f>
        <v>#N/A</v>
      </c>
      <c r="N8" s="684" t="e">
        <f t="shared" ref="N8:N19" si="0">M8*P8</f>
        <v>#N/A</v>
      </c>
      <c r="O8" s="685">
        <v>15</v>
      </c>
      <c r="P8" s="686" t="e">
        <f t="shared" ref="P8:P19" si="1">ROUND(K8 *L8, 0)</f>
        <v>#N/A</v>
      </c>
      <c r="Q8" s="687" t="e">
        <f t="shared" ref="Q8:Q19" si="2">ROUND(M8*O8*P8, 0)</f>
        <v>#N/A</v>
      </c>
      <c r="R8" s="688" t="e">
        <f t="shared" ref="R8:R19" si="3">ROUND(+Q8*$M$3, 0)</f>
        <v>#N/A</v>
      </c>
      <c r="S8" s="626"/>
      <c r="T8" s="1120"/>
      <c r="U8" s="1330" t="s">
        <v>2</v>
      </c>
      <c r="V8" s="1330" t="s">
        <v>78</v>
      </c>
      <c r="W8" s="1330" t="s">
        <v>564</v>
      </c>
      <c r="X8" s="1330" t="s">
        <v>565</v>
      </c>
    </row>
    <row r="9" spans="1:24">
      <c r="A9" s="1512">
        <v>201402</v>
      </c>
      <c r="B9" s="1513">
        <v>2</v>
      </c>
      <c r="C9" s="679">
        <v>41671</v>
      </c>
      <c r="D9" s="1514">
        <f>VLOOKUP('4.1 BD Review'!$L$2, BDList!$A$2:$Q$74, 7, 0)</f>
        <v>0</v>
      </c>
      <c r="E9" s="680">
        <f>IF(D9&gt;3,70%,100%)</f>
        <v>1</v>
      </c>
      <c r="F9" s="1515" t="e">
        <f>VLOOKUP(D9, HCMHN_BDMasterPlan!$B$26:$P$63, HCMHN_BDMasterPlan!$D$25)</f>
        <v>#N/A</v>
      </c>
      <c r="G9" s="1515" t="e">
        <f>VLOOKUP(D9, HCMHN_BDMasterPlan!$B$26:$P$63, HCMHN_BDMasterPlan!$E$25)</f>
        <v>#N/A</v>
      </c>
      <c r="H9" s="791" t="e">
        <f>ROUND(VLOOKUP(D9, HCMHN_BDMasterPlan!$B$26:$P$63, HCMHN_BDMasterPlan!$G$25), 1)</f>
        <v>#N/A</v>
      </c>
      <c r="I9" s="791" t="e">
        <f>ROUND(VLOOKUP(D9, HCMHN_BDMasterPlan!$B$26:$P$63, HCMHN_BDMasterPlan!$I$25), 1)</f>
        <v>#N/A</v>
      </c>
      <c r="J9" s="1516" t="e">
        <f>ROUND(VLOOKUP(D9, HCMHN_BDMasterPlan!$B$26:$P$63, HCMHN_BDMasterPlan!$H$25), 0)</f>
        <v>#N/A</v>
      </c>
      <c r="K9" s="681" t="e">
        <f>VLOOKUP(D9, HCMHN_BDMasterPlan!$B$26:$P$63, HCMHN_BDMasterPlan!$J$25)</f>
        <v>#N/A</v>
      </c>
      <c r="L9" s="682" t="e">
        <f>VLOOKUP(D9, HCMHN_BDMasterPlan!$B$26:$P$63, HCMHN_BDMasterPlan!$K$25) *E9</f>
        <v>#N/A</v>
      </c>
      <c r="M9" s="683" t="e">
        <f>VLOOKUP(D9, HCMHN_BDMasterPlan!$B$26:$P$63, HCMHN_BDMasterPlan!$M$25)</f>
        <v>#N/A</v>
      </c>
      <c r="N9" s="684" t="e">
        <f>M9*P9</f>
        <v>#N/A</v>
      </c>
      <c r="O9" s="685">
        <v>15</v>
      </c>
      <c r="P9" s="686" t="e">
        <f t="shared" si="1"/>
        <v>#N/A</v>
      </c>
      <c r="Q9" s="687" t="e">
        <f t="shared" si="2"/>
        <v>#N/A</v>
      </c>
      <c r="R9" s="688" t="e">
        <f t="shared" si="3"/>
        <v>#N/A</v>
      </c>
      <c r="S9" s="626"/>
      <c r="T9" s="1120"/>
      <c r="U9" s="521" t="e">
        <f>R8</f>
        <v>#N/A</v>
      </c>
      <c r="V9" s="138" t="e">
        <f>P8</f>
        <v>#N/A</v>
      </c>
      <c r="W9" s="1016" t="e">
        <f>G8</f>
        <v>#N/A</v>
      </c>
      <c r="X9" s="1016" t="e">
        <f>F8</f>
        <v>#N/A</v>
      </c>
    </row>
    <row r="10" spans="1:24">
      <c r="A10" s="1512">
        <v>201403</v>
      </c>
      <c r="B10" s="1513">
        <v>3</v>
      </c>
      <c r="C10" s="689">
        <v>41699</v>
      </c>
      <c r="D10" s="1514">
        <f>VLOOKUP('4.1 BD Review'!$L$2, BDList!$A$2:$Q$74, 8, 0)</f>
        <v>0</v>
      </c>
      <c r="E10" s="1517">
        <f>IF(D10&gt;3,110%,100%)</f>
        <v>1</v>
      </c>
      <c r="F10" s="1518" t="e">
        <f>VLOOKUP(D10, HCMHN_BDMasterPlan!$B$26:$P$63, HCMHN_BDMasterPlan!$D$25)</f>
        <v>#N/A</v>
      </c>
      <c r="G10" s="1518" t="e">
        <f>VLOOKUP(D10, HCMHN_BDMasterPlan!$B$26:$P$63, HCMHN_BDMasterPlan!$E$25)</f>
        <v>#N/A</v>
      </c>
      <c r="H10" s="1519" t="e">
        <f>ROUND(VLOOKUP(D10, HCMHN_BDMasterPlan!$B$26:$P$63, HCMHN_BDMasterPlan!$G$25), 1)</f>
        <v>#N/A</v>
      </c>
      <c r="I10" s="1519" t="e">
        <f>ROUND(VLOOKUP(D10, HCMHN_BDMasterPlan!$B$26:$P$63, HCMHN_BDMasterPlan!$I$25), 1)</f>
        <v>#N/A</v>
      </c>
      <c r="J10" s="1520" t="e">
        <f>ROUND(VLOOKUP(D10, HCMHN_BDMasterPlan!$B$26:$P$63, HCMHN_BDMasterPlan!$H$25), 0)</f>
        <v>#N/A</v>
      </c>
      <c r="K10" s="1521" t="e">
        <f>VLOOKUP(D10, HCMHN_BDMasterPlan!$B$26:$P$63, HCMHN_BDMasterPlan!$J$25)</f>
        <v>#N/A</v>
      </c>
      <c r="L10" s="1522" t="e">
        <f>VLOOKUP(D10, HCMHN_BDMasterPlan!$B$26:$P$63, HCMHN_BDMasterPlan!$K$25) *E10</f>
        <v>#N/A</v>
      </c>
      <c r="M10" s="1523" t="e">
        <f>VLOOKUP(D10, HCMHN_BDMasterPlan!$B$26:$P$63, HCMHN_BDMasterPlan!$M$25)</f>
        <v>#N/A</v>
      </c>
      <c r="N10" s="1524" t="e">
        <f t="shared" si="0"/>
        <v>#N/A</v>
      </c>
      <c r="O10" s="1525">
        <v>15</v>
      </c>
      <c r="P10" s="1526" t="e">
        <f t="shared" si="1"/>
        <v>#N/A</v>
      </c>
      <c r="Q10" s="1527" t="e">
        <f t="shared" si="2"/>
        <v>#N/A</v>
      </c>
      <c r="R10" s="690" t="e">
        <f t="shared" si="3"/>
        <v>#N/A</v>
      </c>
      <c r="S10" s="626"/>
      <c r="T10" s="1120"/>
    </row>
    <row r="11" spans="1:24">
      <c r="A11" s="1512">
        <v>201404</v>
      </c>
      <c r="B11" s="1513">
        <v>4</v>
      </c>
      <c r="C11" s="679">
        <v>41730</v>
      </c>
      <c r="D11" s="1514">
        <f>VLOOKUP('4.1 BD Review'!$L$2, BDList!$A$2:$Q$74, 9, 0)</f>
        <v>0</v>
      </c>
      <c r="E11" s="680">
        <f>IF(D11&gt;3,90%,100%)</f>
        <v>1</v>
      </c>
      <c r="F11" s="1515" t="e">
        <f>VLOOKUP(D11, HCMHN_BDMasterPlan!$B$26:$P$63, HCMHN_BDMasterPlan!$D$25)</f>
        <v>#N/A</v>
      </c>
      <c r="G11" s="1515" t="e">
        <f>VLOOKUP(D11, HCMHN_BDMasterPlan!$B$26:$P$63, HCMHN_BDMasterPlan!$E$25)</f>
        <v>#N/A</v>
      </c>
      <c r="H11" s="791" t="e">
        <f>ROUND(VLOOKUP(D11, HCMHN_BDMasterPlan!$B$26:$P$63, HCMHN_BDMasterPlan!$G$25), 1)</f>
        <v>#N/A</v>
      </c>
      <c r="I11" s="791" t="e">
        <f>ROUND(VLOOKUP(D11, HCMHN_BDMasterPlan!$B$26:$P$63, HCMHN_BDMasterPlan!$I$25), 1)</f>
        <v>#N/A</v>
      </c>
      <c r="J11" s="1516" t="e">
        <f>ROUND(VLOOKUP(D11, HCMHN_BDMasterPlan!$B$26:$P$63, HCMHN_BDMasterPlan!$H$25), 0)</f>
        <v>#N/A</v>
      </c>
      <c r="K11" s="681" t="e">
        <f>VLOOKUP(D11, HCMHN_BDMasterPlan!$B$26:$P$63, HCMHN_BDMasterPlan!$J$25)</f>
        <v>#N/A</v>
      </c>
      <c r="L11" s="682" t="e">
        <f>VLOOKUP(D11, HCMHN_BDMasterPlan!$B$26:$P$63, HCMHN_BDMasterPlan!$K$25) *E11</f>
        <v>#N/A</v>
      </c>
      <c r="M11" s="683" t="e">
        <f>VLOOKUP(D11, HCMHN_BDMasterPlan!$B$26:$P$63, HCMHN_BDMasterPlan!$M$25)</f>
        <v>#N/A</v>
      </c>
      <c r="N11" s="684" t="e">
        <f t="shared" si="0"/>
        <v>#N/A</v>
      </c>
      <c r="O11" s="685">
        <v>15</v>
      </c>
      <c r="P11" s="686" t="e">
        <f t="shared" si="1"/>
        <v>#N/A</v>
      </c>
      <c r="Q11" s="687" t="e">
        <f t="shared" si="2"/>
        <v>#N/A</v>
      </c>
      <c r="R11" s="688" t="e">
        <f t="shared" si="3"/>
        <v>#N/A</v>
      </c>
      <c r="S11" s="626"/>
      <c r="T11" s="1120"/>
    </row>
    <row r="12" spans="1:24">
      <c r="A12" s="1512">
        <v>201405</v>
      </c>
      <c r="B12" s="1513">
        <v>5</v>
      </c>
      <c r="C12" s="679">
        <v>41760</v>
      </c>
      <c r="D12" s="1514">
        <f>VLOOKUP('4.1 BD Review'!$L$2, BDList!$A$2:$Q$74,10, 0)</f>
        <v>0</v>
      </c>
      <c r="E12" s="680">
        <v>1</v>
      </c>
      <c r="F12" s="1515" t="e">
        <f>VLOOKUP(D12, HCMHN_BDMasterPlan!$B$26:$P$63, HCMHN_BDMasterPlan!$D$25)</f>
        <v>#N/A</v>
      </c>
      <c r="G12" s="1515" t="e">
        <f>VLOOKUP(D12, HCMHN_BDMasterPlan!$B$26:$P$63, HCMHN_BDMasterPlan!$E$25)</f>
        <v>#N/A</v>
      </c>
      <c r="H12" s="791" t="e">
        <f>ROUND(VLOOKUP(D12, HCMHN_BDMasterPlan!$B$26:$P$63, HCMHN_BDMasterPlan!$G$25), 1)</f>
        <v>#N/A</v>
      </c>
      <c r="I12" s="791" t="e">
        <f>ROUND(VLOOKUP(D12, HCMHN_BDMasterPlan!$B$26:$P$63, HCMHN_BDMasterPlan!$I$25), 1)</f>
        <v>#N/A</v>
      </c>
      <c r="J12" s="1516" t="e">
        <f>ROUND(VLOOKUP(D12, HCMHN_BDMasterPlan!$B$26:$P$63, HCMHN_BDMasterPlan!$H$25), 0)</f>
        <v>#N/A</v>
      </c>
      <c r="K12" s="681" t="e">
        <f>VLOOKUP(D12, HCMHN_BDMasterPlan!$B$26:$P$63, HCMHN_BDMasterPlan!$J$25)</f>
        <v>#N/A</v>
      </c>
      <c r="L12" s="682" t="e">
        <f>VLOOKUP(D12, HCMHN_BDMasterPlan!$B$26:$P$63, HCMHN_BDMasterPlan!$K$25) *E12</f>
        <v>#N/A</v>
      </c>
      <c r="M12" s="683" t="e">
        <f>VLOOKUP(D12, HCMHN_BDMasterPlan!$B$26:$P$63, HCMHN_BDMasterPlan!$M$25)</f>
        <v>#N/A</v>
      </c>
      <c r="N12" s="684" t="e">
        <f t="shared" si="0"/>
        <v>#N/A</v>
      </c>
      <c r="O12" s="685">
        <v>15</v>
      </c>
      <c r="P12" s="686" t="e">
        <f t="shared" si="1"/>
        <v>#N/A</v>
      </c>
      <c r="Q12" s="687" t="e">
        <f t="shared" si="2"/>
        <v>#N/A</v>
      </c>
      <c r="R12" s="688" t="e">
        <f t="shared" si="3"/>
        <v>#N/A</v>
      </c>
      <c r="S12" s="626"/>
      <c r="T12" s="1120"/>
    </row>
    <row r="13" spans="1:24">
      <c r="A13" s="1512">
        <v>201406</v>
      </c>
      <c r="B13" s="1513">
        <v>6</v>
      </c>
      <c r="C13" s="689">
        <v>41791</v>
      </c>
      <c r="D13" s="1514">
        <f>VLOOKUP('4.1 BD Review'!$L$2, BDList!$A$2:$Q$74, 11, 0)</f>
        <v>0</v>
      </c>
      <c r="E13" s="1517">
        <f>IF(D13&gt;3,110%,100%)</f>
        <v>1</v>
      </c>
      <c r="F13" s="1518" t="e">
        <f>VLOOKUP(D13, HCMHN_BDMasterPlan!$B$26:$P$63, HCMHN_BDMasterPlan!$D$25)</f>
        <v>#N/A</v>
      </c>
      <c r="G13" s="1518" t="e">
        <f>VLOOKUP(D13, HCMHN_BDMasterPlan!$B$26:$P$63, HCMHN_BDMasterPlan!$E$25)</f>
        <v>#N/A</v>
      </c>
      <c r="H13" s="1519" t="e">
        <f>ROUND(VLOOKUP(D13, HCMHN_BDMasterPlan!$B$26:$P$63, HCMHN_BDMasterPlan!$G$25), 1)</f>
        <v>#N/A</v>
      </c>
      <c r="I13" s="1519" t="e">
        <f>ROUND(VLOOKUP(D13, HCMHN_BDMasterPlan!$B$26:$P$63, HCMHN_BDMasterPlan!$I$25), 1)</f>
        <v>#N/A</v>
      </c>
      <c r="J13" s="1520" t="e">
        <f>ROUND(VLOOKUP(D13, HCMHN_BDMasterPlan!$B$26:$P$63, HCMHN_BDMasterPlan!$H$25), 0)</f>
        <v>#N/A</v>
      </c>
      <c r="K13" s="1521" t="e">
        <f>VLOOKUP(D13, HCMHN_BDMasterPlan!$B$26:$P$63, HCMHN_BDMasterPlan!$J$25)</f>
        <v>#N/A</v>
      </c>
      <c r="L13" s="1522" t="e">
        <f>VLOOKUP(D13, HCMHN_BDMasterPlan!$B$26:$P$63, HCMHN_BDMasterPlan!$K$25) *E13</f>
        <v>#N/A</v>
      </c>
      <c r="M13" s="1523" t="e">
        <f>VLOOKUP(D13, HCMHN_BDMasterPlan!$B$26:$P$63, HCMHN_BDMasterPlan!$M$25)</f>
        <v>#N/A</v>
      </c>
      <c r="N13" s="1524" t="e">
        <f t="shared" si="0"/>
        <v>#N/A</v>
      </c>
      <c r="O13" s="1525">
        <v>15</v>
      </c>
      <c r="P13" s="1526" t="e">
        <f t="shared" si="1"/>
        <v>#N/A</v>
      </c>
      <c r="Q13" s="1527" t="e">
        <f t="shared" si="2"/>
        <v>#N/A</v>
      </c>
      <c r="R13" s="690" t="e">
        <f t="shared" si="3"/>
        <v>#N/A</v>
      </c>
      <c r="S13" s="626"/>
      <c r="T13" s="1120"/>
    </row>
    <row r="14" spans="1:24">
      <c r="A14" s="1512">
        <v>201407</v>
      </c>
      <c r="B14" s="1513">
        <v>7</v>
      </c>
      <c r="C14" s="679">
        <v>41821</v>
      </c>
      <c r="D14" s="1514">
        <f>VLOOKUP('4.1 BD Review'!$L$2, BDList!$A$2:$Q$74, 12, 0)</f>
        <v>0</v>
      </c>
      <c r="E14" s="680">
        <f>IF(D14&gt;3,90%,100%)</f>
        <v>1</v>
      </c>
      <c r="F14" s="1515" t="e">
        <f>VLOOKUP(D14, HCMHN_BDMasterPlan!$B$26:$P$63, HCMHN_BDMasterPlan!$D$25)</f>
        <v>#N/A</v>
      </c>
      <c r="G14" s="1515" t="e">
        <f>VLOOKUP(D14, HCMHN_BDMasterPlan!$B$26:$P$63, HCMHN_BDMasterPlan!$E$25)</f>
        <v>#N/A</v>
      </c>
      <c r="H14" s="791" t="e">
        <f>ROUND(VLOOKUP(D14, HCMHN_BDMasterPlan!$B$26:$P$63, HCMHN_BDMasterPlan!$G$25), 1)</f>
        <v>#N/A</v>
      </c>
      <c r="I14" s="791" t="e">
        <f>ROUND(VLOOKUP(D14, HCMHN_BDMasterPlan!$B$26:$P$63, HCMHN_BDMasterPlan!$I$25), 1)</f>
        <v>#N/A</v>
      </c>
      <c r="J14" s="1516" t="e">
        <f>ROUND(VLOOKUP(D14, HCMHN_BDMasterPlan!$B$26:$P$63, HCMHN_BDMasterPlan!$H$25), 0)</f>
        <v>#N/A</v>
      </c>
      <c r="K14" s="681" t="e">
        <f>VLOOKUP(D14, HCMHN_BDMasterPlan!$B$26:$P$63, HCMHN_BDMasterPlan!$J$25)</f>
        <v>#N/A</v>
      </c>
      <c r="L14" s="682" t="e">
        <f>VLOOKUP(D14, HCMHN_BDMasterPlan!$B$26:$P$63, HCMHN_BDMasterPlan!$K$25) *E14</f>
        <v>#N/A</v>
      </c>
      <c r="M14" s="683" t="e">
        <f>VLOOKUP(D14, HCMHN_BDMasterPlan!$B$26:$P$63, HCMHN_BDMasterPlan!$M$25)</f>
        <v>#N/A</v>
      </c>
      <c r="N14" s="684" t="e">
        <f t="shared" si="0"/>
        <v>#N/A</v>
      </c>
      <c r="O14" s="685">
        <v>15</v>
      </c>
      <c r="P14" s="686" t="e">
        <f t="shared" si="1"/>
        <v>#N/A</v>
      </c>
      <c r="Q14" s="687" t="e">
        <f t="shared" si="2"/>
        <v>#N/A</v>
      </c>
      <c r="R14" s="688" t="e">
        <f t="shared" si="3"/>
        <v>#N/A</v>
      </c>
      <c r="S14" s="626"/>
      <c r="T14" s="1120"/>
    </row>
    <row r="15" spans="1:24">
      <c r="A15" s="1512">
        <v>201408</v>
      </c>
      <c r="B15" s="1513">
        <v>8</v>
      </c>
      <c r="C15" s="679">
        <v>41852</v>
      </c>
      <c r="D15" s="1514">
        <f>VLOOKUP('4.1 BD Review'!$L$2, BDList!$A$2:$Q$74, 13, 0)</f>
        <v>0</v>
      </c>
      <c r="E15" s="680">
        <v>1</v>
      </c>
      <c r="F15" s="1515" t="e">
        <f>VLOOKUP(D15, HCMHN_BDMasterPlan!$B$26:$P$63, HCMHN_BDMasterPlan!$D$25)</f>
        <v>#N/A</v>
      </c>
      <c r="G15" s="1515" t="e">
        <f>VLOOKUP(D15, HCMHN_BDMasterPlan!$B$26:$P$63, HCMHN_BDMasterPlan!$E$25)</f>
        <v>#N/A</v>
      </c>
      <c r="H15" s="791" t="e">
        <f>ROUND(VLOOKUP(D15, HCMHN_BDMasterPlan!$B$26:$P$63, HCMHN_BDMasterPlan!$G$25), 1)</f>
        <v>#N/A</v>
      </c>
      <c r="I15" s="791" t="e">
        <f>ROUND(VLOOKUP(D15, HCMHN_BDMasterPlan!$B$26:$P$63, HCMHN_BDMasterPlan!$I$25), 1)</f>
        <v>#N/A</v>
      </c>
      <c r="J15" s="1516" t="e">
        <f>ROUND(VLOOKUP(D15, HCMHN_BDMasterPlan!$B$26:$P$63, HCMHN_BDMasterPlan!$H$25), 0)</f>
        <v>#N/A</v>
      </c>
      <c r="K15" s="681" t="e">
        <f>VLOOKUP(D15, HCMHN_BDMasterPlan!$B$26:$P$63, HCMHN_BDMasterPlan!$J$25)</f>
        <v>#N/A</v>
      </c>
      <c r="L15" s="682" t="e">
        <f>VLOOKUP(D15, HCMHN_BDMasterPlan!$B$26:$P$63, HCMHN_BDMasterPlan!$K$25) *E15</f>
        <v>#N/A</v>
      </c>
      <c r="M15" s="683" t="e">
        <f>VLOOKUP(D15, HCMHN_BDMasterPlan!$B$26:$P$63, HCMHN_BDMasterPlan!$M$25)</f>
        <v>#N/A</v>
      </c>
      <c r="N15" s="684" t="e">
        <f t="shared" si="0"/>
        <v>#N/A</v>
      </c>
      <c r="O15" s="685">
        <v>15</v>
      </c>
      <c r="P15" s="686" t="e">
        <f t="shared" si="1"/>
        <v>#N/A</v>
      </c>
      <c r="Q15" s="687" t="e">
        <f t="shared" si="2"/>
        <v>#N/A</v>
      </c>
      <c r="R15" s="688" t="e">
        <f t="shared" si="3"/>
        <v>#N/A</v>
      </c>
      <c r="S15" s="626"/>
      <c r="T15" s="1120"/>
    </row>
    <row r="16" spans="1:24">
      <c r="A16" s="1512">
        <v>201409</v>
      </c>
      <c r="B16" s="1513">
        <v>9</v>
      </c>
      <c r="C16" s="689">
        <v>41883</v>
      </c>
      <c r="D16" s="1514">
        <f>VLOOKUP('4.1 BD Review'!$L$2, BDList!$A$2:$Q$74, 14, 0)</f>
        <v>0</v>
      </c>
      <c r="E16" s="1517">
        <f>IF(D16&gt;3,110%,100%)</f>
        <v>1</v>
      </c>
      <c r="F16" s="1518" t="e">
        <f>VLOOKUP(D16, HCMHN_BDMasterPlan!$B$26:$P$63, HCMHN_BDMasterPlan!$D$25)</f>
        <v>#N/A</v>
      </c>
      <c r="G16" s="1518" t="e">
        <f>VLOOKUP(D16, HCMHN_BDMasterPlan!$B$26:$P$63, HCMHN_BDMasterPlan!$E$25)</f>
        <v>#N/A</v>
      </c>
      <c r="H16" s="1519" t="e">
        <f>ROUND(VLOOKUP(D16, HCMHN_BDMasterPlan!$B$26:$P$63, HCMHN_BDMasterPlan!$G$25), 1)</f>
        <v>#N/A</v>
      </c>
      <c r="I16" s="1519" t="e">
        <f>ROUND(VLOOKUP(D16, HCMHN_BDMasterPlan!$B$26:$P$63, HCMHN_BDMasterPlan!$I$25), 1)</f>
        <v>#N/A</v>
      </c>
      <c r="J16" s="1520" t="e">
        <f>ROUND(VLOOKUP(D16, HCMHN_BDMasterPlan!$B$26:$P$63, HCMHN_BDMasterPlan!$H$25), 0)</f>
        <v>#N/A</v>
      </c>
      <c r="K16" s="1521" t="e">
        <f>VLOOKUP(D16, HCMHN_BDMasterPlan!$B$26:$P$63, HCMHN_BDMasterPlan!$J$25)</f>
        <v>#N/A</v>
      </c>
      <c r="L16" s="1522" t="e">
        <f>VLOOKUP(D16, HCMHN_BDMasterPlan!$B$26:$P$63, HCMHN_BDMasterPlan!$K$25) *E16</f>
        <v>#N/A</v>
      </c>
      <c r="M16" s="1523" t="e">
        <f>VLOOKUP(D16, HCMHN_BDMasterPlan!$B$26:$P$63, HCMHN_BDMasterPlan!$M$25)</f>
        <v>#N/A</v>
      </c>
      <c r="N16" s="1524" t="e">
        <f t="shared" si="0"/>
        <v>#N/A</v>
      </c>
      <c r="O16" s="1525">
        <v>15</v>
      </c>
      <c r="P16" s="1526" t="e">
        <f t="shared" si="1"/>
        <v>#N/A</v>
      </c>
      <c r="Q16" s="1527" t="e">
        <f t="shared" si="2"/>
        <v>#N/A</v>
      </c>
      <c r="R16" s="690" t="e">
        <f t="shared" si="3"/>
        <v>#N/A</v>
      </c>
      <c r="S16" s="626"/>
      <c r="T16" s="1120"/>
    </row>
    <row r="17" spans="1:20">
      <c r="A17" s="1512">
        <v>201410</v>
      </c>
      <c r="B17" s="1513">
        <v>10</v>
      </c>
      <c r="C17" s="679">
        <v>41913</v>
      </c>
      <c r="D17" s="1514">
        <f>VLOOKUP('4.1 BD Review'!$L$2, BDList!$A$2:$Q$74, 15, 0)</f>
        <v>0</v>
      </c>
      <c r="E17" s="680">
        <v>0.9</v>
      </c>
      <c r="F17" s="1515" t="e">
        <f>VLOOKUP(D17, HCMHN_BDMasterPlan!$B$26:$P$63, HCMHN_BDMasterPlan!$D$25)</f>
        <v>#N/A</v>
      </c>
      <c r="G17" s="1515" t="e">
        <f>VLOOKUP(D17, HCMHN_BDMasterPlan!$B$26:$P$63, HCMHN_BDMasterPlan!$E$25)</f>
        <v>#N/A</v>
      </c>
      <c r="H17" s="791" t="e">
        <f>ROUND(VLOOKUP(D17, HCMHN_BDMasterPlan!$B$26:$P$63, HCMHN_BDMasterPlan!$G$25), 1)</f>
        <v>#N/A</v>
      </c>
      <c r="I17" s="791" t="e">
        <f>ROUND(VLOOKUP(D17, HCMHN_BDMasterPlan!$B$26:$P$63, HCMHN_BDMasterPlan!$I$25), 1)</f>
        <v>#N/A</v>
      </c>
      <c r="J17" s="1516" t="e">
        <f>ROUND(VLOOKUP(D17, HCMHN_BDMasterPlan!$B$26:$P$63, HCMHN_BDMasterPlan!$H$25), 0)</f>
        <v>#N/A</v>
      </c>
      <c r="K17" s="681" t="e">
        <f>VLOOKUP(D17, HCMHN_BDMasterPlan!$B$26:$P$63, HCMHN_BDMasterPlan!$J$25)</f>
        <v>#N/A</v>
      </c>
      <c r="L17" s="682" t="e">
        <f>VLOOKUP(D17, HCMHN_BDMasterPlan!$B$26:$P$63, HCMHN_BDMasterPlan!$K$25) *E17</f>
        <v>#N/A</v>
      </c>
      <c r="M17" s="683" t="e">
        <f>VLOOKUP(D17, HCMHN_BDMasterPlan!$B$26:$P$63, HCMHN_BDMasterPlan!$M$25)</f>
        <v>#N/A</v>
      </c>
      <c r="N17" s="684" t="e">
        <f t="shared" si="0"/>
        <v>#N/A</v>
      </c>
      <c r="O17" s="685">
        <v>15</v>
      </c>
      <c r="P17" s="686" t="e">
        <f t="shared" si="1"/>
        <v>#N/A</v>
      </c>
      <c r="Q17" s="687" t="e">
        <f t="shared" si="2"/>
        <v>#N/A</v>
      </c>
      <c r="R17" s="688" t="e">
        <f t="shared" si="3"/>
        <v>#N/A</v>
      </c>
      <c r="S17" s="626"/>
      <c r="T17" s="1120"/>
    </row>
    <row r="18" spans="1:20">
      <c r="A18" s="1512">
        <v>201411</v>
      </c>
      <c r="B18" s="1513">
        <v>11</v>
      </c>
      <c r="C18" s="679">
        <v>41944</v>
      </c>
      <c r="D18" s="1514">
        <f>VLOOKUP('4.1 BD Review'!$L$2, BDList!$A$2:$Q$74, 16, 0)</f>
        <v>0</v>
      </c>
      <c r="E18" s="680">
        <v>1</v>
      </c>
      <c r="F18" s="1515" t="e">
        <f>VLOOKUP(D18, HCMHN_BDMasterPlan!$B$26:$P$63, HCMHN_BDMasterPlan!$D$25)</f>
        <v>#N/A</v>
      </c>
      <c r="G18" s="1515" t="e">
        <f>VLOOKUP(D18, HCMHN_BDMasterPlan!$B$26:$P$63, HCMHN_BDMasterPlan!$E$25)</f>
        <v>#N/A</v>
      </c>
      <c r="H18" s="791" t="e">
        <f>ROUND(VLOOKUP(D18, HCMHN_BDMasterPlan!$B$26:$P$63, HCMHN_BDMasterPlan!$G$25), 1)</f>
        <v>#N/A</v>
      </c>
      <c r="I18" s="791" t="e">
        <f>ROUND(VLOOKUP(D18, HCMHN_BDMasterPlan!$B$26:$P$63, HCMHN_BDMasterPlan!$I$25), 1)</f>
        <v>#N/A</v>
      </c>
      <c r="J18" s="1516" t="e">
        <f>ROUND(VLOOKUP(D18, HCMHN_BDMasterPlan!$B$26:$P$63, HCMHN_BDMasterPlan!$H$25), 0)</f>
        <v>#N/A</v>
      </c>
      <c r="K18" s="681" t="e">
        <f>VLOOKUP(D18, HCMHN_BDMasterPlan!$B$26:$P$63, HCMHN_BDMasterPlan!$J$25)</f>
        <v>#N/A</v>
      </c>
      <c r="L18" s="682" t="e">
        <f>VLOOKUP(D18, HCMHN_BDMasterPlan!$B$26:$P$63, HCMHN_BDMasterPlan!$K$25) *E18</f>
        <v>#N/A</v>
      </c>
      <c r="M18" s="683" t="e">
        <f>VLOOKUP(D18, HCMHN_BDMasterPlan!$B$26:$P$63, HCMHN_BDMasterPlan!$M$25)</f>
        <v>#N/A</v>
      </c>
      <c r="N18" s="684" t="e">
        <f t="shared" si="0"/>
        <v>#N/A</v>
      </c>
      <c r="O18" s="685">
        <v>15</v>
      </c>
      <c r="P18" s="686" t="e">
        <f t="shared" si="1"/>
        <v>#N/A</v>
      </c>
      <c r="Q18" s="687" t="e">
        <f t="shared" si="2"/>
        <v>#N/A</v>
      </c>
      <c r="R18" s="688" t="e">
        <f t="shared" si="3"/>
        <v>#N/A</v>
      </c>
      <c r="S18" s="626"/>
      <c r="T18" s="1120"/>
    </row>
    <row r="19" spans="1:20">
      <c r="A19" s="1512">
        <v>201412</v>
      </c>
      <c r="B19" s="1513">
        <v>12</v>
      </c>
      <c r="C19" s="679">
        <v>41974</v>
      </c>
      <c r="D19" s="1514">
        <f>VLOOKUP('4.1 BD Review'!$L$2, BDList!$A$2:$Q$74, 17, 0)</f>
        <v>0</v>
      </c>
      <c r="E19" s="680">
        <v>1.1000000000000001</v>
      </c>
      <c r="F19" s="1518" t="e">
        <f>VLOOKUP(D19, HCMHN_BDMasterPlan!$B$26:$P$63, HCMHN_BDMasterPlan!$D$25)</f>
        <v>#N/A</v>
      </c>
      <c r="G19" s="1518" t="e">
        <f>VLOOKUP(D19, HCMHN_BDMasterPlan!$B$26:$P$63, HCMHN_BDMasterPlan!$E$25)</f>
        <v>#N/A</v>
      </c>
      <c r="H19" s="1519" t="e">
        <f>ROUND(VLOOKUP(D19, HCMHN_BDMasterPlan!$B$26:$P$63, HCMHN_BDMasterPlan!$G$25), 1)</f>
        <v>#N/A</v>
      </c>
      <c r="I19" s="1519" t="e">
        <f>ROUND(VLOOKUP(D19, HCMHN_BDMasterPlan!$B$26:$P$63, HCMHN_BDMasterPlan!$I$25), 1)</f>
        <v>#N/A</v>
      </c>
      <c r="J19" s="1520" t="e">
        <f>ROUND(VLOOKUP(D19, HCMHN_BDMasterPlan!$B$26:$P$63, HCMHN_BDMasterPlan!$H$25), 0)</f>
        <v>#N/A</v>
      </c>
      <c r="K19" s="1521" t="e">
        <f>VLOOKUP(D19, HCMHN_BDMasterPlan!$B$26:$P$63, HCMHN_BDMasterPlan!$J$25)</f>
        <v>#N/A</v>
      </c>
      <c r="L19" s="1522" t="e">
        <f>VLOOKUP(D19, HCMHN_BDMasterPlan!$B$26:$P$63, HCMHN_BDMasterPlan!$K$25) *E19</f>
        <v>#N/A</v>
      </c>
      <c r="M19" s="1523" t="e">
        <f>VLOOKUP(D19, HCMHN_BDMasterPlan!$B$26:$P$63, HCMHN_BDMasterPlan!$M$25)</f>
        <v>#N/A</v>
      </c>
      <c r="N19" s="1524" t="e">
        <f t="shared" si="0"/>
        <v>#N/A</v>
      </c>
      <c r="O19" s="1525">
        <v>15</v>
      </c>
      <c r="P19" s="1526" t="e">
        <f t="shared" si="1"/>
        <v>#N/A</v>
      </c>
      <c r="Q19" s="1527" t="e">
        <f t="shared" si="2"/>
        <v>#N/A</v>
      </c>
      <c r="R19" s="690" t="e">
        <f t="shared" si="3"/>
        <v>#N/A</v>
      </c>
      <c r="S19" s="626"/>
      <c r="T19" s="1120"/>
    </row>
    <row r="20" spans="1:20">
      <c r="A20" s="1353"/>
      <c r="B20" s="1528"/>
      <c r="C20" s="1529"/>
      <c r="D20" s="1530"/>
      <c r="E20" s="1530"/>
      <c r="F20" s="691">
        <f>SUMIF($D$8:$D$19, "&gt; 0", F8:F19)</f>
        <v>0</v>
      </c>
      <c r="G20" s="691">
        <f>SUMIF($D$8:$D$19, "&gt; 0", G8:G19)</f>
        <v>0</v>
      </c>
      <c r="H20" s="691">
        <f>SUMIF($D$8:$D$19, "&gt; 0", H8:H19)</f>
        <v>0</v>
      </c>
      <c r="I20" s="691" t="e">
        <f>I19</f>
        <v>#N/A</v>
      </c>
      <c r="J20" s="790" t="e">
        <f>J19</f>
        <v>#N/A</v>
      </c>
      <c r="K20" s="692" t="e">
        <f>SUMIF($D$8:$D$19, "&gt; 0", K8:K19)/ COUNTIF($D$8:$D$19, "&gt; 0")</f>
        <v>#DIV/0!</v>
      </c>
      <c r="L20" s="693" t="e">
        <f>P20/(K20*COUNTIF($D$8:$D$19,"&gt; 0"))</f>
        <v>#DIV/0!</v>
      </c>
      <c r="M20" s="694" t="e">
        <f>N20/P20</f>
        <v>#DIV/0!</v>
      </c>
      <c r="N20" s="695">
        <f>SUMIF($D$8:$D$19, "&gt; 0", N8:N19)</f>
        <v>0</v>
      </c>
      <c r="O20" s="696" t="e">
        <f>Q20/N20</f>
        <v>#DIV/0!</v>
      </c>
      <c r="P20" s="697">
        <f>SUMIF($D$8:$D$19, "&gt; 0", P8:P19)</f>
        <v>0</v>
      </c>
      <c r="Q20" s="698">
        <f>SUMIF($D$8:$D$19, "&gt; 0", Q8:Q19)</f>
        <v>0</v>
      </c>
      <c r="R20" s="699">
        <f>+Q20*0.95</f>
        <v>0</v>
      </c>
      <c r="S20" s="1365"/>
      <c r="T20" s="1120"/>
    </row>
    <row r="21" spans="1:20">
      <c r="A21" s="1377"/>
      <c r="B21" s="1379"/>
      <c r="C21" s="1379"/>
      <c r="D21" s="1379"/>
      <c r="E21" s="1379"/>
      <c r="F21" s="1379"/>
      <c r="G21" s="1379"/>
      <c r="H21" s="1379"/>
      <c r="I21" s="1379"/>
      <c r="J21" s="1379"/>
      <c r="K21" s="1379"/>
      <c r="L21" s="1379"/>
      <c r="M21" s="1379"/>
      <c r="N21" s="1379"/>
      <c r="O21" s="1379"/>
      <c r="P21" s="1379"/>
      <c r="Q21" s="1379"/>
      <c r="R21" s="1379"/>
      <c r="S21" s="1381"/>
      <c r="T21" s="1120"/>
    </row>
    <row r="23" spans="1:20" ht="38.25">
      <c r="C23" s="1531" t="s">
        <v>544</v>
      </c>
      <c r="D23" s="1532" t="s">
        <v>111</v>
      </c>
      <c r="E23" s="1532" t="s">
        <v>110</v>
      </c>
      <c r="F23" s="1533" t="s">
        <v>545</v>
      </c>
      <c r="G23" s="1534" t="s">
        <v>546</v>
      </c>
      <c r="H23" s="1535" t="s">
        <v>547</v>
      </c>
      <c r="I23" s="1532" t="s">
        <v>522</v>
      </c>
      <c r="J23" s="1536" t="s">
        <v>96</v>
      </c>
      <c r="K23" s="1532" t="s">
        <v>55</v>
      </c>
      <c r="L23" s="1537" t="s">
        <v>78</v>
      </c>
      <c r="M23" s="1532" t="s">
        <v>548</v>
      </c>
      <c r="N23" s="1537" t="s">
        <v>549</v>
      </c>
      <c r="O23" s="1532" t="s">
        <v>14</v>
      </c>
      <c r="P23" s="1538" t="s">
        <v>1</v>
      </c>
      <c r="Q23" s="1538" t="s">
        <v>2</v>
      </c>
    </row>
    <row r="24" spans="1:20">
      <c r="A24" s="1539" t="s">
        <v>526</v>
      </c>
      <c r="B24" s="1540"/>
      <c r="C24" s="1541"/>
      <c r="D24" s="1542"/>
      <c r="E24" s="1542"/>
      <c r="F24" s="736"/>
      <c r="G24" s="737"/>
      <c r="H24" s="738"/>
      <c r="I24" s="739"/>
      <c r="J24" s="740"/>
      <c r="K24" s="741"/>
      <c r="L24" s="742"/>
      <c r="M24" s="1542"/>
      <c r="N24" s="742"/>
      <c r="O24" s="743"/>
      <c r="P24" s="738"/>
      <c r="Q24" s="744"/>
    </row>
    <row r="25" spans="1:20">
      <c r="A25" s="1543"/>
      <c r="B25" s="1544">
        <v>1</v>
      </c>
      <c r="C25" s="1544">
        <v>2</v>
      </c>
      <c r="D25" s="1544">
        <v>3</v>
      </c>
      <c r="E25" s="1544">
        <v>4</v>
      </c>
      <c r="F25" s="1544">
        <v>5</v>
      </c>
      <c r="G25" s="1544">
        <v>6</v>
      </c>
      <c r="H25" s="1544">
        <v>7</v>
      </c>
      <c r="I25" s="1544">
        <v>8</v>
      </c>
      <c r="J25" s="1544">
        <v>9</v>
      </c>
      <c r="K25" s="1544">
        <v>10</v>
      </c>
      <c r="L25" s="1544">
        <v>11</v>
      </c>
      <c r="M25" s="1544">
        <v>12</v>
      </c>
      <c r="N25" s="1544">
        <v>13</v>
      </c>
      <c r="O25" s="1544">
        <v>14</v>
      </c>
      <c r="P25" s="1544">
        <v>15</v>
      </c>
      <c r="Q25" s="1545"/>
    </row>
    <row r="26" spans="1:20">
      <c r="A26" s="1546" t="s">
        <v>527</v>
      </c>
      <c r="B26" s="1547">
        <v>1</v>
      </c>
      <c r="C26" s="1548" t="s">
        <v>263</v>
      </c>
      <c r="D26" s="1549">
        <v>2</v>
      </c>
      <c r="E26" s="1549">
        <v>0</v>
      </c>
      <c r="F26" s="700">
        <v>8.1999999999999993</v>
      </c>
      <c r="G26" s="701">
        <v>0</v>
      </c>
      <c r="H26" s="702">
        <v>2</v>
      </c>
      <c r="I26" s="703">
        <v>2</v>
      </c>
      <c r="J26" s="704">
        <v>0</v>
      </c>
      <c r="K26" s="705">
        <v>0</v>
      </c>
      <c r="L26" s="1550">
        <v>0</v>
      </c>
      <c r="M26" s="1549">
        <v>1.4</v>
      </c>
      <c r="N26" s="706">
        <v>0</v>
      </c>
      <c r="O26" s="707">
        <v>14</v>
      </c>
      <c r="P26" s="708">
        <v>0</v>
      </c>
      <c r="Q26" s="745">
        <v>3944.07548983775</v>
      </c>
    </row>
    <row r="27" spans="1:20">
      <c r="A27" s="1546"/>
      <c r="B27" s="1547">
        <v>2</v>
      </c>
      <c r="C27" s="1551" t="s">
        <v>264</v>
      </c>
      <c r="D27" s="1552">
        <v>3</v>
      </c>
      <c r="E27" s="1552">
        <v>5</v>
      </c>
      <c r="F27" s="709">
        <v>7.2</v>
      </c>
      <c r="G27" s="710">
        <v>0</v>
      </c>
      <c r="H27" s="711">
        <v>5</v>
      </c>
      <c r="I27" s="712">
        <v>10</v>
      </c>
      <c r="J27" s="713">
        <v>6</v>
      </c>
      <c r="K27" s="714">
        <v>0.6</v>
      </c>
      <c r="L27" s="715">
        <v>3.5999999999999996</v>
      </c>
      <c r="M27" s="1552">
        <v>1.4</v>
      </c>
      <c r="N27" s="715">
        <v>5.0399999999999991</v>
      </c>
      <c r="O27" s="716">
        <v>14</v>
      </c>
      <c r="P27" s="717">
        <v>70.559999999999988</v>
      </c>
      <c r="Q27" s="1553"/>
    </row>
    <row r="28" spans="1:20">
      <c r="A28" s="1546"/>
      <c r="B28" s="1547">
        <v>3</v>
      </c>
      <c r="C28" s="1551" t="s">
        <v>265</v>
      </c>
      <c r="D28" s="1552">
        <v>3</v>
      </c>
      <c r="E28" s="1552">
        <v>9</v>
      </c>
      <c r="F28" s="709">
        <v>9</v>
      </c>
      <c r="G28" s="710">
        <v>0</v>
      </c>
      <c r="H28" s="711">
        <v>8</v>
      </c>
      <c r="I28" s="712">
        <v>22</v>
      </c>
      <c r="J28" s="713">
        <v>16</v>
      </c>
      <c r="K28" s="714">
        <v>0.4</v>
      </c>
      <c r="L28" s="715">
        <v>6.4</v>
      </c>
      <c r="M28" s="1552">
        <v>1.4</v>
      </c>
      <c r="N28" s="715">
        <v>8.9599999999999991</v>
      </c>
      <c r="O28" s="716">
        <v>14</v>
      </c>
      <c r="P28" s="717">
        <v>125.43999999999998</v>
      </c>
      <c r="Q28" s="1553"/>
    </row>
    <row r="29" spans="1:20">
      <c r="A29" s="1546"/>
      <c r="B29" s="1547">
        <v>4</v>
      </c>
      <c r="C29" s="1551" t="s">
        <v>479</v>
      </c>
      <c r="D29" s="1554">
        <v>3</v>
      </c>
      <c r="E29" s="1554">
        <v>13</v>
      </c>
      <c r="F29" s="709">
        <v>10.8</v>
      </c>
      <c r="G29" s="710">
        <v>0.23428424301422268</v>
      </c>
      <c r="H29" s="711">
        <v>10.765715756985779</v>
      </c>
      <c r="I29" s="712">
        <v>37.765715756985777</v>
      </c>
      <c r="J29" s="713">
        <v>29.882857878492889</v>
      </c>
      <c r="K29" s="718">
        <v>0.3</v>
      </c>
      <c r="L29" s="715">
        <v>8.9648573635478659</v>
      </c>
      <c r="M29" s="1554">
        <v>1.4</v>
      </c>
      <c r="N29" s="719">
        <v>12.550800308967011</v>
      </c>
      <c r="O29" s="720">
        <v>14</v>
      </c>
      <c r="P29" s="721">
        <v>175.71120432553815</v>
      </c>
      <c r="Q29" s="1553"/>
    </row>
    <row r="30" spans="1:20">
      <c r="A30" s="1546"/>
      <c r="B30" s="1547">
        <v>5</v>
      </c>
      <c r="C30" s="1551" t="s">
        <v>480</v>
      </c>
      <c r="D30" s="1554">
        <v>2</v>
      </c>
      <c r="E30" s="1554">
        <v>13</v>
      </c>
      <c r="F30" s="709">
        <v>10.459429454191467</v>
      </c>
      <c r="G30" s="710">
        <v>0.31527969582895565</v>
      </c>
      <c r="H30" s="711">
        <v>12.450436061156818</v>
      </c>
      <c r="I30" s="712">
        <v>52.450436061156822</v>
      </c>
      <c r="J30" s="713">
        <v>45.108075909071303</v>
      </c>
      <c r="K30" s="718">
        <v>0.3</v>
      </c>
      <c r="L30" s="715">
        <v>13.532422772721391</v>
      </c>
      <c r="M30" s="1554">
        <v>1.4</v>
      </c>
      <c r="N30" s="719">
        <v>18.945391881809947</v>
      </c>
      <c r="O30" s="720">
        <v>14</v>
      </c>
      <c r="P30" s="721">
        <v>265.23548634533927</v>
      </c>
      <c r="Q30" s="1553"/>
    </row>
    <row r="31" spans="1:20">
      <c r="A31" s="1546"/>
      <c r="B31" s="1547">
        <v>6</v>
      </c>
      <c r="C31" s="1551" t="s">
        <v>481</v>
      </c>
      <c r="D31" s="1554">
        <v>2</v>
      </c>
      <c r="E31" s="1554">
        <v>13</v>
      </c>
      <c r="F31" s="709">
        <v>11.470261636694092</v>
      </c>
      <c r="G31" s="710">
        <v>1.2680112704699127</v>
      </c>
      <c r="H31" s="711">
        <v>14.085818437683683</v>
      </c>
      <c r="I31" s="712">
        <v>66.182424790686909</v>
      </c>
      <c r="J31" s="713">
        <v>59.316430425921865</v>
      </c>
      <c r="K31" s="718">
        <v>0.3</v>
      </c>
      <c r="L31" s="715">
        <v>17.794929127776559</v>
      </c>
      <c r="M31" s="1554">
        <v>1.4</v>
      </c>
      <c r="N31" s="719">
        <v>24.912900778887181</v>
      </c>
      <c r="O31" s="720">
        <v>14</v>
      </c>
      <c r="P31" s="721">
        <v>348.78061090442054</v>
      </c>
      <c r="Q31" s="1553"/>
    </row>
    <row r="32" spans="1:20">
      <c r="A32" s="1546"/>
      <c r="B32" s="1547">
        <v>7</v>
      </c>
      <c r="C32" s="1551" t="s">
        <v>528</v>
      </c>
      <c r="D32" s="1554"/>
      <c r="E32" s="1554">
        <v>13</v>
      </c>
      <c r="F32" s="709">
        <v>8.4514910626102093</v>
      </c>
      <c r="G32" s="710">
        <v>2.6021221923760294</v>
      </c>
      <c r="H32" s="711">
        <v>13.849974440611788</v>
      </c>
      <c r="I32" s="712">
        <v>76.58030259831088</v>
      </c>
      <c r="J32" s="713">
        <v>71.381363694498901</v>
      </c>
      <c r="K32" s="718">
        <v>0.28000000000000003</v>
      </c>
      <c r="L32" s="715">
        <v>19.986781834459695</v>
      </c>
      <c r="M32" s="1554">
        <v>1.4</v>
      </c>
      <c r="N32" s="719">
        <v>27.981494568243573</v>
      </c>
      <c r="O32" s="720">
        <v>14</v>
      </c>
      <c r="P32" s="721">
        <v>391.74092395541004</v>
      </c>
      <c r="Q32" s="1553"/>
    </row>
    <row r="33" spans="1:17">
      <c r="A33" s="1546"/>
      <c r="B33" s="1547">
        <v>8</v>
      </c>
      <c r="C33" s="1551" t="s">
        <v>529</v>
      </c>
      <c r="D33" s="1554"/>
      <c r="E33" s="1554">
        <v>13</v>
      </c>
      <c r="F33" s="709">
        <v>8.3099846643670734</v>
      </c>
      <c r="G33" s="710">
        <v>4.4731693869609046</v>
      </c>
      <c r="H33" s="711">
        <v>13.664370593413659</v>
      </c>
      <c r="I33" s="712">
        <v>85.107133211349975</v>
      </c>
      <c r="J33" s="713">
        <v>80.843717904830427</v>
      </c>
      <c r="K33" s="718">
        <v>0.28000000000000003</v>
      </c>
      <c r="L33" s="715">
        <v>22.636241013352521</v>
      </c>
      <c r="M33" s="1554">
        <v>1.4</v>
      </c>
      <c r="N33" s="719">
        <v>31.690737418693526</v>
      </c>
      <c r="O33" s="720">
        <v>14</v>
      </c>
      <c r="P33" s="721">
        <v>443.67032386170939</v>
      </c>
      <c r="Q33" s="1553"/>
    </row>
    <row r="34" spans="1:17">
      <c r="A34" s="1546"/>
      <c r="B34" s="1547">
        <v>9</v>
      </c>
      <c r="C34" s="1551" t="s">
        <v>530</v>
      </c>
      <c r="D34" s="1554"/>
      <c r="E34" s="1554">
        <v>13</v>
      </c>
      <c r="F34" s="709">
        <v>8.1986223560481957</v>
      </c>
      <c r="G34" s="710">
        <v>5.8443603325688542</v>
      </c>
      <c r="H34" s="711">
        <v>13.527535586654031</v>
      </c>
      <c r="I34" s="712">
        <v>92.262772878781121</v>
      </c>
      <c r="J34" s="713">
        <v>88.684953045065555</v>
      </c>
      <c r="K34" s="718">
        <v>0.28000000000000003</v>
      </c>
      <c r="L34" s="715">
        <v>24.831786852618357</v>
      </c>
      <c r="M34" s="1554">
        <v>1.4</v>
      </c>
      <c r="N34" s="719">
        <v>34.764501593665699</v>
      </c>
      <c r="O34" s="720">
        <v>14</v>
      </c>
      <c r="P34" s="721">
        <v>486.70302231131978</v>
      </c>
      <c r="Q34" s="1553"/>
    </row>
    <row r="35" spans="1:17">
      <c r="A35" s="1546"/>
      <c r="B35" s="1547">
        <v>10</v>
      </c>
      <c r="C35" s="1551" t="s">
        <v>531</v>
      </c>
      <c r="D35" s="1554"/>
      <c r="E35" s="1554">
        <v>12</v>
      </c>
      <c r="F35" s="709">
        <v>8.116521351992418</v>
      </c>
      <c r="G35" s="710">
        <v>6.8562832115120358</v>
      </c>
      <c r="H35" s="711">
        <v>13.438041198974801</v>
      </c>
      <c r="I35" s="712">
        <v>97.406489667269085</v>
      </c>
      <c r="J35" s="713">
        <v>94.83463127302511</v>
      </c>
      <c r="K35" s="718">
        <v>0.28000000000000003</v>
      </c>
      <c r="L35" s="715">
        <v>26.553696756447032</v>
      </c>
      <c r="M35" s="1554">
        <v>1.4</v>
      </c>
      <c r="N35" s="719">
        <v>37.175175459025844</v>
      </c>
      <c r="O35" s="720">
        <v>14</v>
      </c>
      <c r="P35" s="721">
        <v>520.45245642636178</v>
      </c>
      <c r="Q35" s="1553"/>
    </row>
    <row r="36" spans="1:17">
      <c r="A36" s="1546"/>
      <c r="B36" s="1547">
        <v>11</v>
      </c>
      <c r="C36" s="1551" t="s">
        <v>532</v>
      </c>
      <c r="D36" s="1554"/>
      <c r="E36" s="1554">
        <v>12</v>
      </c>
      <c r="F36" s="709">
        <v>8.0628247193848814</v>
      </c>
      <c r="G36" s="710">
        <v>7.5903764272822229</v>
      </c>
      <c r="H36" s="711">
        <v>13.391167701904504</v>
      </c>
      <c r="I36" s="712">
        <v>101.81611323998686</v>
      </c>
      <c r="J36" s="713">
        <v>99.611301453627974</v>
      </c>
      <c r="K36" s="718">
        <v>0.28000000000000003</v>
      </c>
      <c r="L36" s="715">
        <v>27.891164407015836</v>
      </c>
      <c r="M36" s="1554">
        <v>1.4</v>
      </c>
      <c r="N36" s="719">
        <v>39.04763016982217</v>
      </c>
      <c r="O36" s="720">
        <v>14</v>
      </c>
      <c r="P36" s="721">
        <v>546.66682237751036</v>
      </c>
      <c r="Q36" s="1553"/>
    </row>
    <row r="37" spans="1:17">
      <c r="A37" s="1546"/>
      <c r="B37" s="1547">
        <v>12</v>
      </c>
      <c r="C37" s="1555" t="s">
        <v>533</v>
      </c>
      <c r="D37" s="1556"/>
      <c r="E37" s="1556">
        <v>12</v>
      </c>
      <c r="F37" s="722">
        <v>8.0347006211427026</v>
      </c>
      <c r="G37" s="723">
        <v>8.2289322634501474</v>
      </c>
      <c r="H37" s="724">
        <v>13.385666920056522</v>
      </c>
      <c r="I37" s="725">
        <v>105.58718097653671</v>
      </c>
      <c r="J37" s="726">
        <v>103.7016471082618</v>
      </c>
      <c r="K37" s="727">
        <v>0.28000000000000003</v>
      </c>
      <c r="L37" s="728">
        <v>29.036461190313304</v>
      </c>
      <c r="M37" s="1556">
        <v>1.4</v>
      </c>
      <c r="N37" s="729">
        <v>40.65104566643862</v>
      </c>
      <c r="O37" s="730">
        <v>14</v>
      </c>
      <c r="P37" s="731">
        <v>569.11463933014068</v>
      </c>
      <c r="Q37" s="1553"/>
    </row>
    <row r="38" spans="1:17">
      <c r="A38" s="1557"/>
      <c r="B38" s="1544"/>
      <c r="C38" s="1146"/>
      <c r="D38" s="1514"/>
      <c r="E38" s="1514"/>
      <c r="F38" s="1558"/>
      <c r="G38" s="746"/>
      <c r="H38" s="747"/>
      <c r="I38" s="748"/>
      <c r="J38" s="749"/>
      <c r="K38" s="1514"/>
      <c r="L38" s="1514"/>
      <c r="M38" s="1514"/>
      <c r="N38" s="1514"/>
      <c r="O38" s="750">
        <v>1.0714285714285714</v>
      </c>
      <c r="P38" s="1146"/>
      <c r="Q38" s="1545"/>
    </row>
    <row r="39" spans="1:17">
      <c r="A39" s="1557" t="s">
        <v>534</v>
      </c>
      <c r="B39" s="1544">
        <v>13</v>
      </c>
      <c r="C39" s="1548" t="s">
        <v>263</v>
      </c>
      <c r="D39" s="1549">
        <v>2</v>
      </c>
      <c r="E39" s="1549">
        <v>9</v>
      </c>
      <c r="F39" s="700">
        <v>12.031400152033914</v>
      </c>
      <c r="G39" s="701">
        <v>8.7839745161276994</v>
      </c>
      <c r="H39" s="702">
        <v>15.420327231522446</v>
      </c>
      <c r="I39" s="703">
        <v>107.80320646040902</v>
      </c>
      <c r="J39" s="732">
        <v>107.80320646040902</v>
      </c>
      <c r="K39" s="733">
        <v>0.25</v>
      </c>
      <c r="L39" s="706">
        <v>26.950801615102254</v>
      </c>
      <c r="M39" s="1549">
        <v>1.4</v>
      </c>
      <c r="N39" s="706">
        <v>37.731122261143156</v>
      </c>
      <c r="O39" s="707">
        <v>15</v>
      </c>
      <c r="P39" s="708">
        <v>565.96683391714737</v>
      </c>
      <c r="Q39" s="745">
        <v>7255.1708570320025</v>
      </c>
    </row>
    <row r="40" spans="1:17">
      <c r="A40" s="1557"/>
      <c r="B40" s="1544">
        <v>14</v>
      </c>
      <c r="C40" s="1551" t="s">
        <v>264</v>
      </c>
      <c r="D40" s="1552"/>
      <c r="E40" s="1552">
        <v>9</v>
      </c>
      <c r="F40" s="709">
        <v>9.2521963389134676</v>
      </c>
      <c r="G40" s="710">
        <v>9.1539175553702279</v>
      </c>
      <c r="H40" s="711">
        <v>15.425401436630512</v>
      </c>
      <c r="I40" s="712">
        <v>107.64928890503879</v>
      </c>
      <c r="J40" s="713">
        <v>107.72624768272391</v>
      </c>
      <c r="K40" s="734">
        <v>0.25</v>
      </c>
      <c r="L40" s="715">
        <v>26.931561920680977</v>
      </c>
      <c r="M40" s="1552">
        <v>1.4</v>
      </c>
      <c r="N40" s="715">
        <v>37.704186688953364</v>
      </c>
      <c r="O40" s="716">
        <v>15</v>
      </c>
      <c r="P40" s="717">
        <v>565.5628003343005</v>
      </c>
      <c r="Q40" s="751">
        <v>1.8395111543188194</v>
      </c>
    </row>
    <row r="41" spans="1:17">
      <c r="A41" s="1557"/>
      <c r="B41" s="1544">
        <v>15</v>
      </c>
      <c r="C41" s="1551" t="s">
        <v>265</v>
      </c>
      <c r="D41" s="1552"/>
      <c r="E41" s="1552">
        <v>10</v>
      </c>
      <c r="F41" s="709">
        <v>9.255240861978308</v>
      </c>
      <c r="G41" s="710">
        <v>9.3174042625496867</v>
      </c>
      <c r="H41" s="711">
        <v>15.443660374284081</v>
      </c>
      <c r="I41" s="712">
        <v>108.3318846424891</v>
      </c>
      <c r="J41" s="713">
        <v>107.99058677376394</v>
      </c>
      <c r="K41" s="734">
        <v>0.25</v>
      </c>
      <c r="L41" s="715">
        <v>26.997646693440984</v>
      </c>
      <c r="M41" s="1552">
        <v>1.4</v>
      </c>
      <c r="N41" s="715">
        <v>37.796705370817378</v>
      </c>
      <c r="O41" s="716">
        <v>15</v>
      </c>
      <c r="P41" s="717">
        <v>566.95058056226071</v>
      </c>
      <c r="Q41" s="752"/>
    </row>
    <row r="42" spans="1:17">
      <c r="A42" s="1557"/>
      <c r="B42" s="1544">
        <v>16</v>
      </c>
      <c r="C42" s="1551" t="s">
        <v>479</v>
      </c>
      <c r="D42" s="1554">
        <v>2</v>
      </c>
      <c r="E42" s="1554">
        <v>10</v>
      </c>
      <c r="F42" s="709">
        <v>13.266196224570448</v>
      </c>
      <c r="G42" s="710">
        <v>9.3748597381626126</v>
      </c>
      <c r="H42" s="711">
        <v>17.464717922597682</v>
      </c>
      <c r="I42" s="712">
        <v>110.95702490432649</v>
      </c>
      <c r="J42" s="713">
        <v>109.6444547734078</v>
      </c>
      <c r="K42" s="734">
        <v>0.25</v>
      </c>
      <c r="L42" s="715">
        <v>27.41111369335195</v>
      </c>
      <c r="M42" s="1554">
        <v>1.4</v>
      </c>
      <c r="N42" s="719">
        <v>38.375559170692725</v>
      </c>
      <c r="O42" s="720">
        <v>15</v>
      </c>
      <c r="P42" s="721">
        <v>575.63338756039093</v>
      </c>
      <c r="Q42" s="753"/>
    </row>
    <row r="43" spans="1:17">
      <c r="A43" s="1557"/>
      <c r="B43" s="1544">
        <v>17</v>
      </c>
      <c r="C43" s="1551" t="s">
        <v>480</v>
      </c>
      <c r="D43" s="1554"/>
      <c r="E43" s="1554">
        <v>10</v>
      </c>
      <c r="F43" s="709">
        <v>10.47883075355861</v>
      </c>
      <c r="G43" s="710">
        <v>8.8915855001084623</v>
      </c>
      <c r="H43" s="711">
        <v>17.416587728686931</v>
      </c>
      <c r="I43" s="712">
        <v>112.06543940421803</v>
      </c>
      <c r="J43" s="713">
        <v>111.51123215427225</v>
      </c>
      <c r="K43" s="734">
        <v>0.25</v>
      </c>
      <c r="L43" s="715">
        <v>27.877808038568062</v>
      </c>
      <c r="M43" s="1554">
        <v>1.4</v>
      </c>
      <c r="N43" s="719">
        <v>39.028931253995282</v>
      </c>
      <c r="O43" s="720">
        <v>15</v>
      </c>
      <c r="P43" s="721">
        <v>585.43396880992918</v>
      </c>
      <c r="Q43" s="753"/>
    </row>
    <row r="44" spans="1:17">
      <c r="A44" s="1557"/>
      <c r="B44" s="1544">
        <v>18</v>
      </c>
      <c r="C44" s="1551" t="s">
        <v>481</v>
      </c>
      <c r="D44" s="1554"/>
      <c r="E44" s="1554">
        <v>10</v>
      </c>
      <c r="F44" s="709">
        <v>10.44995263721216</v>
      </c>
      <c r="G44" s="710">
        <v>8.4531179084560648</v>
      </c>
      <c r="H44" s="711">
        <v>17.359867053031991</v>
      </c>
      <c r="I44" s="712">
        <v>113.61232149576196</v>
      </c>
      <c r="J44" s="713">
        <v>112.83888044999</v>
      </c>
      <c r="K44" s="734">
        <v>0.25</v>
      </c>
      <c r="L44" s="715">
        <v>28.2097201124975</v>
      </c>
      <c r="M44" s="1554">
        <v>1.4</v>
      </c>
      <c r="N44" s="719">
        <v>39.493608157496496</v>
      </c>
      <c r="O44" s="720">
        <v>15</v>
      </c>
      <c r="P44" s="721">
        <v>592.40412236244742</v>
      </c>
      <c r="Q44" s="752"/>
    </row>
    <row r="45" spans="1:17">
      <c r="A45" s="1557"/>
      <c r="B45" s="1544">
        <v>19</v>
      </c>
      <c r="C45" s="1551" t="s">
        <v>528</v>
      </c>
      <c r="D45" s="1554">
        <v>2</v>
      </c>
      <c r="E45" s="1554">
        <v>10</v>
      </c>
      <c r="F45" s="709">
        <v>14.415920231819195</v>
      </c>
      <c r="G45" s="710">
        <v>8.2817422658548026</v>
      </c>
      <c r="H45" s="711">
        <v>19.294807472446934</v>
      </c>
      <c r="I45" s="712">
        <v>117.33057922990716</v>
      </c>
      <c r="J45" s="713">
        <v>115.47145036283456</v>
      </c>
      <c r="K45" s="734">
        <v>0.25</v>
      </c>
      <c r="L45" s="715">
        <v>28.86786259070864</v>
      </c>
      <c r="M45" s="1554">
        <v>1.4</v>
      </c>
      <c r="N45" s="719">
        <v>40.415007626992093</v>
      </c>
      <c r="O45" s="720">
        <v>15</v>
      </c>
      <c r="P45" s="721">
        <v>606.22511440488142</v>
      </c>
      <c r="Q45" s="754"/>
    </row>
    <row r="46" spans="1:17">
      <c r="A46" s="1557"/>
      <c r="B46" s="1544">
        <v>20</v>
      </c>
      <c r="C46" s="1551" t="s">
        <v>529</v>
      </c>
      <c r="D46" s="1554"/>
      <c r="E46" s="1554">
        <v>10</v>
      </c>
      <c r="F46" s="709">
        <v>11.576884483468161</v>
      </c>
      <c r="G46" s="710">
        <v>8.2998187300899389</v>
      </c>
      <c r="H46" s="711">
        <v>19.163082135431846</v>
      </c>
      <c r="I46" s="712">
        <v>119.03076049981722</v>
      </c>
      <c r="J46" s="713">
        <v>118.18066986486218</v>
      </c>
      <c r="K46" s="734">
        <v>0.25</v>
      </c>
      <c r="L46" s="715">
        <v>29.545167466215545</v>
      </c>
      <c r="M46" s="1554">
        <v>1.4</v>
      </c>
      <c r="N46" s="719">
        <v>41.363234452701761</v>
      </c>
      <c r="O46" s="720">
        <v>15</v>
      </c>
      <c r="P46" s="721">
        <v>620.44851679052636</v>
      </c>
      <c r="Q46" s="1545"/>
    </row>
    <row r="47" spans="1:17">
      <c r="A47" s="1557"/>
      <c r="B47" s="1544">
        <v>21</v>
      </c>
      <c r="C47" s="1551" t="s">
        <v>530</v>
      </c>
      <c r="D47" s="1554"/>
      <c r="E47" s="1554">
        <v>10</v>
      </c>
      <c r="F47" s="709">
        <v>11.497849281259109</v>
      </c>
      <c r="G47" s="710">
        <v>8.2609617856628432</v>
      </c>
      <c r="H47" s="711">
        <v>19.025214444775305</v>
      </c>
      <c r="I47" s="712">
        <v>120.76979871415439</v>
      </c>
      <c r="J47" s="713">
        <v>119.90027960698581</v>
      </c>
      <c r="K47" s="734">
        <v>0.25</v>
      </c>
      <c r="L47" s="715">
        <v>29.975069901746451</v>
      </c>
      <c r="M47" s="1554">
        <v>1.4</v>
      </c>
      <c r="N47" s="719">
        <v>41.965097862445027</v>
      </c>
      <c r="O47" s="720">
        <v>15</v>
      </c>
      <c r="P47" s="721">
        <v>629.47646793667536</v>
      </c>
      <c r="Q47" s="1545"/>
    </row>
    <row r="48" spans="1:17">
      <c r="A48" s="1557"/>
      <c r="B48" s="1544">
        <v>22</v>
      </c>
      <c r="C48" s="1551" t="s">
        <v>531</v>
      </c>
      <c r="D48" s="1554">
        <v>2</v>
      </c>
      <c r="E48" s="1554">
        <v>9</v>
      </c>
      <c r="F48" s="709">
        <v>15.415128666865183</v>
      </c>
      <c r="G48" s="710">
        <v>8.1956214101665239</v>
      </c>
      <c r="H48" s="711">
        <v>20.881384282561463</v>
      </c>
      <c r="I48" s="712">
        <v>123.57417730398785</v>
      </c>
      <c r="J48" s="713">
        <v>122.17198800907113</v>
      </c>
      <c r="K48" s="734">
        <v>0.25</v>
      </c>
      <c r="L48" s="715">
        <v>30.542997002267782</v>
      </c>
      <c r="M48" s="1554">
        <v>1.4</v>
      </c>
      <c r="N48" s="719">
        <v>42.760195803174895</v>
      </c>
      <c r="O48" s="720">
        <v>15</v>
      </c>
      <c r="P48" s="721">
        <v>641.40293704762348</v>
      </c>
      <c r="Q48" s="1545"/>
    </row>
    <row r="49" spans="1:17">
      <c r="A49" s="1557"/>
      <c r="B49" s="1544">
        <v>23</v>
      </c>
      <c r="C49" s="1551" t="s">
        <v>532</v>
      </c>
      <c r="D49" s="1554"/>
      <c r="E49" s="1554">
        <v>9</v>
      </c>
      <c r="F49" s="709">
        <v>12.528830569536879</v>
      </c>
      <c r="G49" s="710">
        <v>8.2294658858578345</v>
      </c>
      <c r="H49" s="711">
        <v>20.673195202178675</v>
      </c>
      <c r="I49" s="712">
        <v>124.34471141813002</v>
      </c>
      <c r="J49" s="713">
        <v>123.95944436105893</v>
      </c>
      <c r="K49" s="734">
        <v>0.25</v>
      </c>
      <c r="L49" s="715">
        <v>30.989861090264732</v>
      </c>
      <c r="M49" s="1554">
        <v>1.4</v>
      </c>
      <c r="N49" s="719">
        <v>43.385805526370625</v>
      </c>
      <c r="O49" s="720">
        <v>15</v>
      </c>
      <c r="P49" s="721">
        <v>650.78708289555937</v>
      </c>
      <c r="Q49" s="1545"/>
    </row>
    <row r="50" spans="1:17">
      <c r="A50" s="1557"/>
      <c r="B50" s="1544">
        <v>24</v>
      </c>
      <c r="C50" s="1555" t="s">
        <v>533</v>
      </c>
      <c r="D50" s="1556"/>
      <c r="E50" s="1556">
        <v>9</v>
      </c>
      <c r="F50" s="722">
        <v>12.403917121307206</v>
      </c>
      <c r="G50" s="723">
        <v>8.2116916323516875</v>
      </c>
      <c r="H50" s="724">
        <v>20.461103049433554</v>
      </c>
      <c r="I50" s="725">
        <v>125.13301978577834</v>
      </c>
      <c r="J50" s="726">
        <v>124.73886560195419</v>
      </c>
      <c r="K50" s="735">
        <v>0.25</v>
      </c>
      <c r="L50" s="728">
        <v>31.184716400488547</v>
      </c>
      <c r="M50" s="1556">
        <v>1.4</v>
      </c>
      <c r="N50" s="729">
        <v>43.658602960683965</v>
      </c>
      <c r="O50" s="730">
        <v>15</v>
      </c>
      <c r="P50" s="731">
        <v>654.87904441025944</v>
      </c>
      <c r="Q50" s="1545"/>
    </row>
    <row r="51" spans="1:17">
      <c r="A51" s="1557"/>
      <c r="B51" s="1544"/>
      <c r="C51" s="1146"/>
      <c r="D51" s="1514"/>
      <c r="E51" s="1514"/>
      <c r="F51" s="1558"/>
      <c r="G51" s="746"/>
      <c r="H51" s="747"/>
      <c r="I51" s="748"/>
      <c r="J51" s="749"/>
      <c r="K51" s="1514"/>
      <c r="L51" s="1514"/>
      <c r="M51" s="1514"/>
      <c r="N51" s="1514"/>
      <c r="O51" s="750">
        <v>1.0799999999999998</v>
      </c>
      <c r="P51" s="1146"/>
      <c r="Q51" s="1545"/>
    </row>
    <row r="52" spans="1:17">
      <c r="A52" s="1557" t="s">
        <v>535</v>
      </c>
      <c r="B52" s="1544">
        <v>25</v>
      </c>
      <c r="C52" s="1548" t="s">
        <v>263</v>
      </c>
      <c r="D52" s="1549">
        <v>2</v>
      </c>
      <c r="E52" s="1549">
        <v>12</v>
      </c>
      <c r="F52" s="700">
        <v>16.276661829660135</v>
      </c>
      <c r="G52" s="701">
        <v>8.2014462503593393</v>
      </c>
      <c r="H52" s="702">
        <v>22.245222127870324</v>
      </c>
      <c r="I52" s="703">
        <v>130.93157353541901</v>
      </c>
      <c r="J52" s="732">
        <v>130.93157353541901</v>
      </c>
      <c r="K52" s="733">
        <v>0.25</v>
      </c>
      <c r="L52" s="706">
        <v>32.732893383854751</v>
      </c>
      <c r="M52" s="1549">
        <v>1.4</v>
      </c>
      <c r="N52" s="706">
        <v>45.826050737396649</v>
      </c>
      <c r="O52" s="707">
        <v>16.2</v>
      </c>
      <c r="P52" s="708">
        <v>742.38202194582573</v>
      </c>
      <c r="Q52" s="745">
        <v>10075.34978926344</v>
      </c>
    </row>
    <row r="53" spans="1:17">
      <c r="A53" s="1557"/>
      <c r="B53" s="1544">
        <v>26</v>
      </c>
      <c r="C53" s="1551" t="s">
        <v>264</v>
      </c>
      <c r="D53" s="1552"/>
      <c r="E53" s="1552">
        <v>10</v>
      </c>
      <c r="F53" s="709">
        <v>13.347133276722193</v>
      </c>
      <c r="G53" s="710">
        <v>8.1344247052954017</v>
      </c>
      <c r="H53" s="711">
        <v>21.987092332839747</v>
      </c>
      <c r="I53" s="712">
        <v>132.7971488301236</v>
      </c>
      <c r="J53" s="713">
        <v>131.86436118277129</v>
      </c>
      <c r="K53" s="734">
        <v>0.25</v>
      </c>
      <c r="L53" s="715">
        <v>32.966090295692823</v>
      </c>
      <c r="M53" s="1552">
        <v>1.4</v>
      </c>
      <c r="N53" s="715">
        <v>46.152526413969952</v>
      </c>
      <c r="O53" s="716">
        <v>16.2</v>
      </c>
      <c r="P53" s="717">
        <v>747.67092790631318</v>
      </c>
      <c r="Q53" s="751">
        <v>1.3887129590474092</v>
      </c>
    </row>
    <row r="54" spans="1:17">
      <c r="A54" s="1557"/>
      <c r="B54" s="1544">
        <v>27</v>
      </c>
      <c r="C54" s="1551" t="s">
        <v>265</v>
      </c>
      <c r="D54" s="1552"/>
      <c r="E54" s="1552">
        <v>10</v>
      </c>
      <c r="F54" s="709">
        <v>13.19225539970385</v>
      </c>
      <c r="G54" s="710">
        <v>8.0725779452851327</v>
      </c>
      <c r="H54" s="711">
        <v>21.739855339096025</v>
      </c>
      <c r="I54" s="712">
        <v>134.72457088483847</v>
      </c>
      <c r="J54" s="713">
        <v>133.76085985748102</v>
      </c>
      <c r="K54" s="734">
        <v>0.25</v>
      </c>
      <c r="L54" s="715">
        <v>33.440214964370256</v>
      </c>
      <c r="M54" s="1552">
        <v>1.4</v>
      </c>
      <c r="N54" s="715">
        <v>46.816300950118354</v>
      </c>
      <c r="O54" s="716">
        <v>16.2</v>
      </c>
      <c r="P54" s="717">
        <v>758.42407539191731</v>
      </c>
      <c r="Q54" s="1545"/>
    </row>
    <row r="55" spans="1:17">
      <c r="A55" s="1557"/>
      <c r="B55" s="1544">
        <v>28</v>
      </c>
      <c r="C55" s="1551" t="s">
        <v>479</v>
      </c>
      <c r="D55" s="1554">
        <v>2</v>
      </c>
      <c r="E55" s="1554">
        <v>12</v>
      </c>
      <c r="F55" s="709">
        <v>17.043913203457613</v>
      </c>
      <c r="G55" s="710">
        <v>8.0327652105667653</v>
      </c>
      <c r="H55" s="711">
        <v>23.499858811842845</v>
      </c>
      <c r="I55" s="712">
        <v>140.69180567427171</v>
      </c>
      <c r="J55" s="713">
        <v>137.70818827955509</v>
      </c>
      <c r="K55" s="734">
        <v>0.25</v>
      </c>
      <c r="L55" s="715">
        <v>34.427047069888772</v>
      </c>
      <c r="M55" s="1554">
        <v>1.4</v>
      </c>
      <c r="N55" s="719">
        <v>48.197865897844281</v>
      </c>
      <c r="O55" s="720">
        <v>16.2</v>
      </c>
      <c r="P55" s="721">
        <v>780.80542754507735</v>
      </c>
      <c r="Q55" s="1545"/>
    </row>
    <row r="56" spans="1:17">
      <c r="A56" s="1557"/>
      <c r="B56" s="1544">
        <v>29</v>
      </c>
      <c r="C56" s="1551" t="s">
        <v>480</v>
      </c>
      <c r="D56" s="1554"/>
      <c r="E56" s="1554">
        <v>12</v>
      </c>
      <c r="F56" s="709">
        <v>14.099915287105706</v>
      </c>
      <c r="G56" s="710">
        <v>8.6604963579675882</v>
      </c>
      <c r="H56" s="711">
        <v>23.21498631609197</v>
      </c>
      <c r="I56" s="712">
        <v>144.03130931630412</v>
      </c>
      <c r="J56" s="713">
        <v>142.36155749528791</v>
      </c>
      <c r="K56" s="734">
        <v>0.25</v>
      </c>
      <c r="L56" s="715">
        <v>35.590389373821978</v>
      </c>
      <c r="M56" s="1554">
        <v>1.4</v>
      </c>
      <c r="N56" s="719">
        <v>49.826545123350769</v>
      </c>
      <c r="O56" s="720">
        <v>16.2</v>
      </c>
      <c r="P56" s="721">
        <v>807.1900309982824</v>
      </c>
      <c r="Q56" s="1545"/>
    </row>
    <row r="57" spans="1:17">
      <c r="A57" s="1557"/>
      <c r="B57" s="1544">
        <v>30</v>
      </c>
      <c r="C57" s="1551" t="s">
        <v>481</v>
      </c>
      <c r="D57" s="1554"/>
      <c r="E57" s="1554">
        <v>12</v>
      </c>
      <c r="F57" s="709">
        <v>13.928991789655182</v>
      </c>
      <c r="G57" s="710">
        <v>8.7717267682521936</v>
      </c>
      <c r="H57" s="711">
        <v>22.945123129135581</v>
      </c>
      <c r="I57" s="712">
        <v>147.25958254805192</v>
      </c>
      <c r="J57" s="713">
        <v>145.64544593217801</v>
      </c>
      <c r="K57" s="734">
        <v>0.25</v>
      </c>
      <c r="L57" s="715">
        <v>36.411361483044502</v>
      </c>
      <c r="M57" s="1554">
        <v>1.4</v>
      </c>
      <c r="N57" s="719">
        <v>50.975906076262298</v>
      </c>
      <c r="O57" s="720">
        <v>16.2</v>
      </c>
      <c r="P57" s="721">
        <v>825.8096784354492</v>
      </c>
      <c r="Q57" s="1545"/>
    </row>
    <row r="58" spans="1:17">
      <c r="A58" s="1557"/>
      <c r="B58" s="1544">
        <v>31</v>
      </c>
      <c r="C58" s="1551" t="s">
        <v>528</v>
      </c>
      <c r="D58" s="1554">
        <v>2</v>
      </c>
      <c r="E58" s="1554">
        <v>12</v>
      </c>
      <c r="F58" s="709">
        <v>17.767073877481351</v>
      </c>
      <c r="G58" s="710">
        <v>8.8703593130251761</v>
      </c>
      <c r="H58" s="711">
        <v>24.689829695405045</v>
      </c>
      <c r="I58" s="712">
        <v>152.38922323502675</v>
      </c>
      <c r="J58" s="713">
        <v>149.82440289153934</v>
      </c>
      <c r="K58" s="734">
        <v>0.25</v>
      </c>
      <c r="L58" s="715">
        <v>37.456100722884834</v>
      </c>
      <c r="M58" s="1554">
        <v>1.4</v>
      </c>
      <c r="N58" s="719">
        <v>52.438541012038762</v>
      </c>
      <c r="O58" s="720">
        <v>16.2</v>
      </c>
      <c r="P58" s="721">
        <v>849.50436439502789</v>
      </c>
      <c r="Q58" s="1545"/>
    </row>
    <row r="59" spans="1:17">
      <c r="A59" s="1557"/>
      <c r="B59" s="1544">
        <v>32</v>
      </c>
      <c r="C59" s="1551" t="s">
        <v>529</v>
      </c>
      <c r="D59" s="1554"/>
      <c r="E59" s="1554">
        <v>12</v>
      </c>
      <c r="F59" s="709">
        <v>14.813897817243028</v>
      </c>
      <c r="G59" s="710">
        <v>9.2858494853990692</v>
      </c>
      <c r="H59" s="711">
        <v>24.390108271196127</v>
      </c>
      <c r="I59" s="712">
        <v>155.10337374962768</v>
      </c>
      <c r="J59" s="713">
        <v>153.74629849232721</v>
      </c>
      <c r="K59" s="734">
        <v>0.25</v>
      </c>
      <c r="L59" s="715">
        <v>38.436574623081803</v>
      </c>
      <c r="M59" s="1554">
        <v>1.4</v>
      </c>
      <c r="N59" s="719">
        <v>53.811204472314522</v>
      </c>
      <c r="O59" s="720">
        <v>16.2</v>
      </c>
      <c r="P59" s="721">
        <v>871.74151245149517</v>
      </c>
      <c r="Q59" s="1545"/>
    </row>
    <row r="60" spans="1:17">
      <c r="A60" s="1557"/>
      <c r="B60" s="1544">
        <v>33</v>
      </c>
      <c r="C60" s="1551" t="s">
        <v>530</v>
      </c>
      <c r="D60" s="1554"/>
      <c r="E60" s="1554">
        <v>12</v>
      </c>
      <c r="F60" s="709">
        <v>14.634064962717677</v>
      </c>
      <c r="G60" s="710">
        <v>9.6567844046321909</v>
      </c>
      <c r="H60" s="711">
        <v>24.105831014527116</v>
      </c>
      <c r="I60" s="712">
        <v>157.44658934499549</v>
      </c>
      <c r="J60" s="713">
        <v>156.2749815473116</v>
      </c>
      <c r="K60" s="734">
        <v>0.25</v>
      </c>
      <c r="L60" s="715">
        <v>39.068745386827899</v>
      </c>
      <c r="M60" s="1554">
        <v>1.4</v>
      </c>
      <c r="N60" s="719">
        <v>54.696243541559056</v>
      </c>
      <c r="O60" s="720">
        <v>16.2</v>
      </c>
      <c r="P60" s="721">
        <v>886.07914537325667</v>
      </c>
      <c r="Q60" s="1545"/>
    </row>
    <row r="61" spans="1:17">
      <c r="A61" s="1557"/>
      <c r="B61" s="1544">
        <v>34</v>
      </c>
      <c r="C61" s="1551" t="s">
        <v>531</v>
      </c>
      <c r="D61" s="1554">
        <v>2</v>
      </c>
      <c r="E61" s="1554">
        <v>14</v>
      </c>
      <c r="F61" s="709">
        <v>18.463498608716272</v>
      </c>
      <c r="G61" s="710">
        <v>9.9695961814178418</v>
      </c>
      <c r="H61" s="711">
        <v>25.83654563476038</v>
      </c>
      <c r="I61" s="712">
        <v>163.47699316357765</v>
      </c>
      <c r="J61" s="713">
        <v>160.46179125428657</v>
      </c>
      <c r="K61" s="734">
        <v>0.25</v>
      </c>
      <c r="L61" s="715">
        <v>40.115447813571642</v>
      </c>
      <c r="M61" s="1554">
        <v>1.4</v>
      </c>
      <c r="N61" s="719">
        <v>56.161626939000293</v>
      </c>
      <c r="O61" s="720">
        <v>16.2</v>
      </c>
      <c r="P61" s="721">
        <v>909.81835641180476</v>
      </c>
      <c r="Q61" s="1545"/>
    </row>
    <row r="62" spans="1:17">
      <c r="A62" s="1557"/>
      <c r="B62" s="1544">
        <v>35</v>
      </c>
      <c r="C62" s="1551" t="s">
        <v>532</v>
      </c>
      <c r="D62" s="1554"/>
      <c r="E62" s="1554">
        <v>14</v>
      </c>
      <c r="F62" s="709">
        <v>15.50192738085623</v>
      </c>
      <c r="G62" s="710">
        <v>10.241145447084051</v>
      </c>
      <c r="H62" s="711">
        <v>25.533242026075936</v>
      </c>
      <c r="I62" s="712">
        <v>167.23584771649359</v>
      </c>
      <c r="J62" s="713">
        <v>165.35642044003561</v>
      </c>
      <c r="K62" s="734">
        <v>0.25</v>
      </c>
      <c r="L62" s="715">
        <v>41.339105110008902</v>
      </c>
      <c r="M62" s="1554">
        <v>1.4</v>
      </c>
      <c r="N62" s="719">
        <v>57.874747154012461</v>
      </c>
      <c r="O62" s="720">
        <v>16.2</v>
      </c>
      <c r="P62" s="721">
        <v>937.57090389500183</v>
      </c>
      <c r="Q62" s="1545"/>
    </row>
    <row r="63" spans="1:17">
      <c r="A63" s="1559"/>
      <c r="B63" s="1560">
        <v>36</v>
      </c>
      <c r="C63" s="1555" t="s">
        <v>533</v>
      </c>
      <c r="D63" s="1556"/>
      <c r="E63" s="1556">
        <v>14</v>
      </c>
      <c r="F63" s="722">
        <v>15.319945215645562</v>
      </c>
      <c r="G63" s="723">
        <v>10.428187667911601</v>
      </c>
      <c r="H63" s="724">
        <v>25.255487491103672</v>
      </c>
      <c r="I63" s="725">
        <v>170.80766004858199</v>
      </c>
      <c r="J63" s="726">
        <v>169.02175388253778</v>
      </c>
      <c r="K63" s="735">
        <v>0.25</v>
      </c>
      <c r="L63" s="728">
        <v>42.255438470634445</v>
      </c>
      <c r="M63" s="1556">
        <v>1.4</v>
      </c>
      <c r="N63" s="729">
        <v>59.157613858888219</v>
      </c>
      <c r="O63" s="730">
        <v>16.2</v>
      </c>
      <c r="P63" s="731">
        <v>958.3533445139891</v>
      </c>
      <c r="Q63" s="156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workbookViewId="0"/>
  </sheetViews>
  <sheetFormatPr defaultColWidth="9.140625" defaultRowHeight="15" outlineLevelRow="1" outlineLevelCol="1"/>
  <cols>
    <col min="1" max="1" width="1.7109375" style="1579" customWidth="1"/>
    <col min="2" max="2" width="9.5703125" style="1579" customWidth="1"/>
    <col min="3" max="3" width="8.5703125" style="1579" bestFit="1" customWidth="1"/>
    <col min="4" max="4" width="9.140625" style="1579" customWidth="1"/>
    <col min="5" max="6" width="8.42578125" style="1579" customWidth="1"/>
    <col min="7" max="7" width="12" style="1579" customWidth="1"/>
    <col min="8" max="9" width="11.85546875" style="1579" customWidth="1"/>
    <col min="10" max="10" width="12" style="1579" customWidth="1"/>
    <col min="11" max="11" width="8.42578125" style="1829" customWidth="1"/>
    <col min="12" max="29" width="8.42578125" style="1829" hidden="1" customWidth="1" outlineLevel="1"/>
    <col min="30" max="30" width="8.42578125" style="1829" customWidth="1" collapsed="1"/>
    <col min="31" max="41" width="8.42578125" style="1829" hidden="1" customWidth="1" outlineLevel="1"/>
    <col min="42" max="42" width="8.42578125" style="1829" customWidth="1" collapsed="1"/>
    <col min="43" max="53" width="8.42578125" style="1829" hidden="1" customWidth="1" outlineLevel="1"/>
    <col min="54" max="54" width="8.42578125" style="1829" customWidth="1" collapsed="1"/>
    <col min="55" max="60" width="8.42578125" style="1829" hidden="1" customWidth="1" outlineLevel="1"/>
    <col min="61" max="61" width="7.5703125" style="1829" hidden="1" customWidth="1" outlineLevel="1"/>
    <col min="62" max="65" width="8.42578125" style="1829" hidden="1" customWidth="1" outlineLevel="1"/>
    <col min="66" max="66" width="8.42578125" style="1829" customWidth="1" collapsed="1"/>
    <col min="67" max="77" width="8.42578125" style="1829" customWidth="1"/>
    <col min="78" max="78" width="9.140625" style="1579"/>
    <col min="79" max="81" width="9.140625" style="1579" hidden="1" customWidth="1"/>
    <col min="82" max="16384" width="9.140625" style="1579"/>
  </cols>
  <sheetData>
    <row r="1" spans="2:81">
      <c r="B1" s="1578" t="s">
        <v>895</v>
      </c>
      <c r="G1" s="1712" t="s">
        <v>0</v>
      </c>
    </row>
    <row r="2" spans="2:81">
      <c r="B2" s="1625">
        <v>42856</v>
      </c>
      <c r="G2" s="1580">
        <v>2</v>
      </c>
      <c r="H2" s="1580">
        <v>5</v>
      </c>
      <c r="I2" s="1580">
        <v>11</v>
      </c>
      <c r="L2" s="1830"/>
      <c r="M2" s="1830"/>
      <c r="N2" s="1831"/>
      <c r="O2" s="1832"/>
      <c r="P2" s="1830">
        <v>6</v>
      </c>
      <c r="Q2" s="1830">
        <v>7</v>
      </c>
      <c r="R2" s="1830">
        <v>8</v>
      </c>
      <c r="S2" s="1830">
        <v>9</v>
      </c>
      <c r="T2" s="1830">
        <v>10</v>
      </c>
      <c r="U2" s="1830">
        <v>11</v>
      </c>
      <c r="V2" s="1830">
        <v>12</v>
      </c>
      <c r="W2" s="1830">
        <v>13</v>
      </c>
      <c r="X2" s="1830">
        <v>14</v>
      </c>
      <c r="Y2" s="1830">
        <v>15</v>
      </c>
      <c r="Z2" s="1830">
        <v>16</v>
      </c>
      <c r="AA2" s="1830">
        <v>17</v>
      </c>
      <c r="AB2" s="1830">
        <v>18</v>
      </c>
      <c r="AC2" s="1830">
        <v>19</v>
      </c>
      <c r="AD2" s="1830">
        <v>20</v>
      </c>
      <c r="AE2" s="1830">
        <v>21</v>
      </c>
      <c r="AF2" s="1830">
        <v>22</v>
      </c>
      <c r="AG2" s="1830">
        <v>23</v>
      </c>
      <c r="AH2" s="1830">
        <v>24</v>
      </c>
      <c r="AI2" s="1830">
        <v>25</v>
      </c>
      <c r="AJ2" s="1830">
        <v>26</v>
      </c>
      <c r="AK2" s="1830">
        <v>27</v>
      </c>
      <c r="AL2" s="1830">
        <v>28</v>
      </c>
      <c r="AM2" s="1830">
        <v>29</v>
      </c>
      <c r="AN2" s="1830">
        <v>30</v>
      </c>
      <c r="AO2" s="1830">
        <v>31</v>
      </c>
      <c r="AP2" s="1830">
        <v>32</v>
      </c>
      <c r="AQ2" s="1830">
        <v>33</v>
      </c>
      <c r="AR2" s="1830">
        <v>34</v>
      </c>
      <c r="AS2" s="1830">
        <v>35</v>
      </c>
      <c r="AT2" s="1830">
        <v>36</v>
      </c>
      <c r="AU2" s="1830">
        <v>37</v>
      </c>
      <c r="AV2" s="1830">
        <v>38</v>
      </c>
      <c r="AW2" s="1830">
        <v>39</v>
      </c>
      <c r="AX2" s="1830">
        <v>40</v>
      </c>
      <c r="AY2" s="1830">
        <v>41</v>
      </c>
      <c r="AZ2" s="1830">
        <v>42</v>
      </c>
      <c r="BA2" s="1830">
        <v>43</v>
      </c>
      <c r="BB2" s="1830">
        <v>44</v>
      </c>
    </row>
    <row r="3" spans="2:81" ht="63.75" customHeight="1">
      <c r="B3" s="1581"/>
      <c r="C3" s="1825" t="s">
        <v>365</v>
      </c>
      <c r="D3" s="1827" t="s">
        <v>4017</v>
      </c>
      <c r="E3" s="1827" t="s">
        <v>4018</v>
      </c>
      <c r="F3" s="1827" t="s">
        <v>4019</v>
      </c>
      <c r="G3" s="1865" t="s">
        <v>896</v>
      </c>
      <c r="H3" s="1865" t="s">
        <v>897</v>
      </c>
      <c r="I3" s="1865" t="s">
        <v>898</v>
      </c>
      <c r="J3" s="1745"/>
      <c r="K3" s="1841">
        <v>41030</v>
      </c>
      <c r="L3" s="1842">
        <v>41061</v>
      </c>
      <c r="M3" s="1841">
        <v>41091</v>
      </c>
      <c r="N3" s="1841">
        <v>41122</v>
      </c>
      <c r="O3" s="1842">
        <v>41153</v>
      </c>
      <c r="P3" s="1841">
        <v>41183</v>
      </c>
      <c r="Q3" s="1841">
        <v>41214</v>
      </c>
      <c r="R3" s="1841">
        <v>41244</v>
      </c>
      <c r="S3" s="1843">
        <v>41275</v>
      </c>
      <c r="T3" s="1841">
        <v>41306</v>
      </c>
      <c r="U3" s="1842">
        <v>41334</v>
      </c>
      <c r="V3" s="1844">
        <v>41365</v>
      </c>
      <c r="W3" s="1844">
        <v>41395</v>
      </c>
      <c r="X3" s="1841">
        <v>41426</v>
      </c>
      <c r="Y3" s="1841">
        <v>41456</v>
      </c>
      <c r="Z3" s="1841">
        <v>41487</v>
      </c>
      <c r="AA3" s="1841">
        <v>41518</v>
      </c>
      <c r="AB3" s="1841">
        <v>41548</v>
      </c>
      <c r="AC3" s="1841">
        <v>41579</v>
      </c>
      <c r="AD3" s="1841">
        <v>41609</v>
      </c>
      <c r="AE3" s="1841">
        <v>41640</v>
      </c>
      <c r="AF3" s="1841">
        <v>41671</v>
      </c>
      <c r="AG3" s="1841">
        <v>41699</v>
      </c>
      <c r="AH3" s="1841">
        <v>41730</v>
      </c>
      <c r="AI3" s="1841">
        <v>41760</v>
      </c>
      <c r="AJ3" s="1841">
        <v>41791</v>
      </c>
      <c r="AK3" s="1841">
        <v>41821</v>
      </c>
      <c r="AL3" s="1841">
        <v>41852</v>
      </c>
      <c r="AM3" s="1841">
        <v>41883</v>
      </c>
      <c r="AN3" s="1841">
        <v>41913</v>
      </c>
      <c r="AO3" s="1841">
        <v>41944</v>
      </c>
      <c r="AP3" s="1841">
        <v>41974</v>
      </c>
      <c r="AQ3" s="1841">
        <v>42005</v>
      </c>
      <c r="AR3" s="1841">
        <v>42036</v>
      </c>
      <c r="AS3" s="1841">
        <v>42064</v>
      </c>
      <c r="AT3" s="1841">
        <v>42095</v>
      </c>
      <c r="AU3" s="1841">
        <v>42125</v>
      </c>
      <c r="AV3" s="1841">
        <v>42156</v>
      </c>
      <c r="AW3" s="1841">
        <v>42186</v>
      </c>
      <c r="AX3" s="1841">
        <v>42217</v>
      </c>
      <c r="AY3" s="1841">
        <v>42248</v>
      </c>
      <c r="AZ3" s="1841">
        <v>42278</v>
      </c>
      <c r="BA3" s="1841">
        <v>42309</v>
      </c>
      <c r="BB3" s="1841">
        <v>42339</v>
      </c>
      <c r="BC3" s="1841">
        <v>42370</v>
      </c>
      <c r="BD3" s="1841">
        <v>42401</v>
      </c>
      <c r="BE3" s="1841">
        <v>42430</v>
      </c>
      <c r="BF3" s="1841">
        <v>42461</v>
      </c>
      <c r="BG3" s="1841">
        <v>42491</v>
      </c>
      <c r="BH3" s="1841">
        <v>42522</v>
      </c>
      <c r="BI3" s="1841">
        <v>42552</v>
      </c>
      <c r="BJ3" s="1841">
        <v>42583</v>
      </c>
      <c r="BK3" s="1841">
        <v>42614</v>
      </c>
      <c r="BL3" s="1841">
        <v>42644</v>
      </c>
      <c r="BM3" s="1841">
        <v>42675</v>
      </c>
      <c r="BN3" s="1841">
        <v>42705</v>
      </c>
      <c r="BO3" s="1841">
        <v>42736</v>
      </c>
      <c r="BP3" s="1841">
        <v>42767</v>
      </c>
      <c r="BQ3" s="1841">
        <v>42795</v>
      </c>
      <c r="BR3" s="1841">
        <v>42826</v>
      </c>
      <c r="BS3" s="1841">
        <v>42856</v>
      </c>
      <c r="BT3" s="1841">
        <v>42887</v>
      </c>
      <c r="BU3" s="1841">
        <v>42917</v>
      </c>
      <c r="BV3" s="1841">
        <v>42948</v>
      </c>
      <c r="BW3" s="1841">
        <v>42979</v>
      </c>
      <c r="BX3" s="1841">
        <v>43009</v>
      </c>
      <c r="BY3" s="1841">
        <v>43040</v>
      </c>
      <c r="BZ3" s="1841">
        <v>43070</v>
      </c>
    </row>
    <row r="4" spans="2:81" s="1582" customFormat="1" ht="15.75" customHeight="1">
      <c r="B4" s="1866"/>
      <c r="C4" s="1826">
        <f>SUM(C6:C74)</f>
        <v>27200</v>
      </c>
      <c r="D4" s="1826">
        <f>SUM(D6:D74)</f>
        <v>23136</v>
      </c>
      <c r="E4" s="1826">
        <f>SUM(E6:E74)</f>
        <v>13282</v>
      </c>
      <c r="F4" s="1826">
        <f>SUM(F6:F74)</f>
        <v>4642</v>
      </c>
      <c r="G4" s="1824">
        <f>D4/SUM(C6:INDEX(C6:C74,MATCH($B$2,B6:B74,0)-2))</f>
        <v>0.98258727597044082</v>
      </c>
      <c r="H4" s="1824">
        <f>E4/SUM(C6:INDEX(C6:C74,MATCH($B$2,B6:B74,0)-5))</f>
        <v>0.63929534077782058</v>
      </c>
      <c r="I4" s="1824">
        <f>F4/SUM(C6:INDEX(C6:C74,MATCH($B$2,B6:B74,0)-11))</f>
        <v>0.34222943084635798</v>
      </c>
      <c r="K4" s="1833"/>
      <c r="L4" s="1833"/>
      <c r="M4" s="1833"/>
      <c r="N4" s="1833"/>
      <c r="O4" s="1833"/>
      <c r="P4" s="1833"/>
      <c r="Q4" s="1833"/>
      <c r="R4" s="1833"/>
      <c r="S4" s="1833"/>
      <c r="T4" s="1833"/>
      <c r="U4" s="1833"/>
      <c r="V4" s="1833"/>
      <c r="W4" s="1833"/>
      <c r="X4" s="1833"/>
      <c r="Y4" s="1833"/>
      <c r="Z4" s="1833"/>
      <c r="AA4" s="1833"/>
      <c r="AB4" s="1833"/>
      <c r="AC4" s="1833"/>
      <c r="AD4" s="1833"/>
      <c r="AE4" s="1833"/>
      <c r="AF4" s="1833"/>
      <c r="AG4" s="1833"/>
      <c r="AH4" s="1833"/>
      <c r="AI4" s="1833"/>
      <c r="AJ4" s="1833"/>
      <c r="AK4" s="1833"/>
      <c r="AL4" s="1833"/>
      <c r="AM4" s="1833"/>
      <c r="AN4" s="1833"/>
      <c r="AO4" s="1833"/>
      <c r="AP4" s="1833"/>
      <c r="AQ4" s="1833"/>
      <c r="AR4" s="1833"/>
      <c r="AS4" s="1833"/>
      <c r="AT4" s="1833"/>
      <c r="AU4" s="1833"/>
      <c r="AV4" s="1833"/>
      <c r="AW4" s="1833"/>
      <c r="AX4" s="1833"/>
      <c r="AY4" s="1833"/>
      <c r="AZ4" s="1833"/>
      <c r="BA4" s="1833"/>
      <c r="BB4" s="1833"/>
      <c r="BC4" s="1833"/>
      <c r="BD4" s="1833"/>
      <c r="BE4" s="1833"/>
      <c r="BF4" s="1833"/>
      <c r="BG4" s="1833"/>
      <c r="BH4" s="1833"/>
      <c r="BI4" s="1834"/>
      <c r="BJ4" s="1833"/>
      <c r="BK4" s="1833"/>
      <c r="BL4" s="1833"/>
      <c r="BM4" s="1833"/>
      <c r="BN4" s="1833"/>
      <c r="BO4" s="1833"/>
      <c r="BP4" s="1833"/>
      <c r="BQ4" s="1833"/>
      <c r="BR4" s="1833"/>
      <c r="BS4" s="1833"/>
      <c r="BT4" s="1833"/>
      <c r="BU4" s="1834"/>
      <c r="BV4" s="1833"/>
      <c r="BW4" s="1833"/>
      <c r="BX4" s="1833"/>
      <c r="BY4" s="1833"/>
      <c r="BZ4" s="1833"/>
      <c r="CA4" s="1824">
        <v>0.920104211897525</v>
      </c>
      <c r="CB4" s="1587">
        <v>0.55971850530280498</v>
      </c>
      <c r="CC4" s="1587">
        <v>0.27650367806144527</v>
      </c>
    </row>
    <row r="5" spans="2:81" s="1585" customFormat="1" ht="15.75" customHeight="1">
      <c r="B5" s="1583"/>
      <c r="C5" s="1583"/>
      <c r="D5" s="1583"/>
      <c r="E5" s="1583"/>
      <c r="F5" s="1583"/>
      <c r="G5" s="1584"/>
      <c r="H5" s="1584"/>
      <c r="I5" s="1611"/>
      <c r="K5" s="1835"/>
      <c r="L5" s="1836"/>
      <c r="M5" s="1836"/>
      <c r="N5" s="1836"/>
      <c r="O5" s="1836"/>
      <c r="P5" s="1836"/>
      <c r="Q5" s="1836"/>
      <c r="R5" s="1836"/>
      <c r="S5" s="1836"/>
      <c r="T5" s="1836"/>
      <c r="U5" s="1836"/>
      <c r="V5" s="1836"/>
      <c r="W5" s="1836"/>
      <c r="X5" s="1836"/>
      <c r="Y5" s="1837"/>
      <c r="Z5" s="1838"/>
      <c r="AA5" s="1838"/>
      <c r="AB5" s="1838"/>
      <c r="AC5" s="1838"/>
      <c r="AD5" s="1838"/>
      <c r="AE5" s="1838"/>
      <c r="AF5" s="1838"/>
      <c r="AG5" s="1838"/>
      <c r="AH5" s="1838"/>
      <c r="AI5" s="1838"/>
      <c r="AJ5" s="1838"/>
      <c r="AK5" s="1838"/>
      <c r="AL5" s="1838"/>
      <c r="AM5" s="1838"/>
      <c r="AN5" s="1838"/>
      <c r="AO5" s="1838"/>
      <c r="AP5" s="1838"/>
      <c r="AQ5" s="1839"/>
      <c r="AR5" s="1840"/>
      <c r="AS5" s="1840"/>
      <c r="AT5" s="1839"/>
      <c r="AU5" s="1839"/>
      <c r="AV5" s="1839"/>
      <c r="AW5" s="1839"/>
      <c r="AX5" s="1839"/>
      <c r="AY5" s="1839"/>
      <c r="AZ5" s="1839"/>
      <c r="BA5" s="1839"/>
      <c r="BB5" s="1839"/>
      <c r="BC5" s="1839"/>
      <c r="BD5" s="1839"/>
      <c r="BE5" s="1839"/>
      <c r="BF5" s="1839"/>
      <c r="BG5" s="1839"/>
      <c r="BH5" s="1839"/>
      <c r="BI5" s="1839"/>
      <c r="BJ5" s="1839"/>
      <c r="BK5" s="1839"/>
      <c r="BL5" s="1839"/>
      <c r="BM5" s="1839"/>
      <c r="BN5" s="1839"/>
      <c r="BO5" s="1839"/>
      <c r="BP5" s="1839"/>
      <c r="BQ5" s="1839"/>
      <c r="BR5" s="1839"/>
      <c r="BS5" s="1839"/>
      <c r="BT5" s="1839"/>
      <c r="BU5" s="1839"/>
      <c r="BV5" s="1839"/>
      <c r="BW5" s="1839"/>
      <c r="BX5" s="1839"/>
      <c r="BY5" s="1839"/>
      <c r="BZ5" s="1839"/>
      <c r="CA5" s="1584"/>
      <c r="CB5" s="1584"/>
      <c r="CC5" s="1611"/>
    </row>
    <row r="6" spans="2:81" outlineLevel="1">
      <c r="B6" s="1867">
        <v>41000</v>
      </c>
      <c r="C6" s="1859">
        <v>22</v>
      </c>
      <c r="D6" s="1860">
        <f>L6</f>
        <v>22</v>
      </c>
      <c r="E6" s="1860">
        <f>O6</f>
        <v>16</v>
      </c>
      <c r="F6" s="1860">
        <f>$U$6</f>
        <v>9</v>
      </c>
      <c r="G6" s="1861">
        <f>IFERROR(D6/$C6,"-")</f>
        <v>1</v>
      </c>
      <c r="H6" s="1861">
        <f>IFERROR(E6/$C6,"-")</f>
        <v>0.72727272727272729</v>
      </c>
      <c r="I6" s="1861">
        <f>IFERROR(F6/$C6,"-")</f>
        <v>0.40909090909090912</v>
      </c>
      <c r="J6" s="1746"/>
      <c r="K6" s="1845">
        <v>22</v>
      </c>
      <c r="L6" s="1846">
        <v>22</v>
      </c>
      <c r="M6" s="1846">
        <v>21</v>
      </c>
      <c r="N6" s="1846">
        <v>20</v>
      </c>
      <c r="O6" s="1846">
        <v>16</v>
      </c>
      <c r="P6" s="1846">
        <v>13</v>
      </c>
      <c r="Q6" s="1846">
        <v>11</v>
      </c>
      <c r="R6" s="1846">
        <v>10</v>
      </c>
      <c r="S6" s="1846">
        <v>9</v>
      </c>
      <c r="T6" s="1846">
        <v>9</v>
      </c>
      <c r="U6" s="1846">
        <v>9</v>
      </c>
      <c r="V6" s="1846">
        <v>7</v>
      </c>
      <c r="W6" s="1846">
        <v>6</v>
      </c>
      <c r="X6" s="1846">
        <v>6</v>
      </c>
      <c r="Y6" s="1846">
        <v>6</v>
      </c>
      <c r="Z6" s="1846">
        <v>6</v>
      </c>
      <c r="AA6" s="1846">
        <v>6</v>
      </c>
      <c r="AB6" s="1846">
        <v>6</v>
      </c>
      <c r="AC6" s="1846">
        <v>6</v>
      </c>
      <c r="AD6" s="1846">
        <v>6</v>
      </c>
      <c r="AE6" s="1846">
        <v>6</v>
      </c>
      <c r="AF6" s="1846">
        <v>4</v>
      </c>
      <c r="AG6" s="1846">
        <v>4</v>
      </c>
      <c r="AH6" s="1846">
        <v>3</v>
      </c>
      <c r="AI6" s="1846">
        <v>3</v>
      </c>
      <c r="AJ6" s="1846">
        <v>3</v>
      </c>
      <c r="AK6" s="1846">
        <v>2</v>
      </c>
      <c r="AL6" s="1846">
        <v>2</v>
      </c>
      <c r="AM6" s="1846">
        <v>2</v>
      </c>
      <c r="AN6" s="1846">
        <v>2</v>
      </c>
      <c r="AO6" s="1846">
        <v>2</v>
      </c>
      <c r="AP6" s="1846">
        <v>2</v>
      </c>
      <c r="AQ6" s="1846">
        <v>2</v>
      </c>
      <c r="AR6" s="1846">
        <v>2</v>
      </c>
      <c r="AS6" s="1846">
        <v>2</v>
      </c>
      <c r="AT6" s="1846">
        <v>2</v>
      </c>
      <c r="AU6" s="1846">
        <v>2</v>
      </c>
      <c r="AV6" s="1846">
        <v>2</v>
      </c>
      <c r="AW6" s="1846">
        <v>2</v>
      </c>
      <c r="AX6" s="1846">
        <v>2</v>
      </c>
      <c r="AY6" s="1846">
        <v>2</v>
      </c>
      <c r="AZ6" s="1847">
        <v>2</v>
      </c>
      <c r="BA6" s="1846">
        <v>2</v>
      </c>
      <c r="BB6" s="1846">
        <v>2</v>
      </c>
      <c r="BC6" s="1846">
        <v>2</v>
      </c>
      <c r="BD6" s="1846">
        <v>2</v>
      </c>
      <c r="BE6" s="1846">
        <v>2</v>
      </c>
      <c r="BF6" s="1846">
        <v>2</v>
      </c>
      <c r="BG6" s="1846">
        <v>1</v>
      </c>
      <c r="BH6" s="1846">
        <v>1</v>
      </c>
      <c r="BI6" s="1848">
        <v>1</v>
      </c>
      <c r="BJ6" s="1846">
        <v>1</v>
      </c>
      <c r="BK6" s="1846">
        <v>1</v>
      </c>
      <c r="BL6" s="1846">
        <v>1</v>
      </c>
      <c r="BM6" s="1846">
        <v>1</v>
      </c>
      <c r="BN6" s="1846">
        <v>1</v>
      </c>
      <c r="BO6" s="1846">
        <v>1</v>
      </c>
      <c r="BP6" s="1846">
        <v>1</v>
      </c>
      <c r="BQ6" s="1846">
        <v>1</v>
      </c>
      <c r="BR6" s="1846">
        <v>1</v>
      </c>
      <c r="BS6" s="1846">
        <v>1</v>
      </c>
      <c r="BT6" s="1846">
        <v>1</v>
      </c>
      <c r="BU6" s="1848"/>
      <c r="BV6" s="1846"/>
      <c r="BW6" s="1846"/>
      <c r="BX6" s="1846"/>
      <c r="BY6" s="1846"/>
      <c r="BZ6" s="1846"/>
      <c r="CA6" s="1586">
        <v>1</v>
      </c>
      <c r="CB6" s="1586">
        <v>0.72727272727272729</v>
      </c>
      <c r="CC6" s="1586">
        <v>0.40909090909090912</v>
      </c>
    </row>
    <row r="7" spans="2:81" outlineLevel="1">
      <c r="B7" s="1867">
        <v>41030</v>
      </c>
      <c r="C7" s="1859">
        <v>8</v>
      </c>
      <c r="D7" s="1860">
        <f>IFERROR(INDEX($K7:$BN7,,MATCH($B7,$K$3:$BN$3,0)+2),0)</f>
        <v>8</v>
      </c>
      <c r="E7" s="1860">
        <f>IFERROR(INDEX($K7:$BN7,,MATCH($B7,$K$3:$BN$3,0)+5),0)</f>
        <v>7</v>
      </c>
      <c r="F7" s="1860">
        <f>IFERROR(INDEX($K7:$BN7,,MATCH($B7,$K$3:$BN$3,0)+11),0)</f>
        <v>6</v>
      </c>
      <c r="G7" s="1861">
        <f t="shared" ref="G7:G62" si="0">IFERROR(D7/$C7,"-")</f>
        <v>1</v>
      </c>
      <c r="H7" s="1861">
        <f t="shared" ref="H7:H62" si="1">IFERROR(E7/$C7,"-")</f>
        <v>0.875</v>
      </c>
      <c r="I7" s="1861">
        <f t="shared" ref="I7:I62" si="2">IFERROR(F7/$C7,"-")</f>
        <v>0.75</v>
      </c>
      <c r="J7" s="1746"/>
      <c r="K7" s="1849"/>
      <c r="L7" s="1850">
        <v>8</v>
      </c>
      <c r="M7" s="1850">
        <v>8</v>
      </c>
      <c r="N7" s="1850">
        <v>8</v>
      </c>
      <c r="O7" s="1850">
        <v>8</v>
      </c>
      <c r="P7" s="1850">
        <v>7</v>
      </c>
      <c r="Q7" s="1850">
        <v>6</v>
      </c>
      <c r="R7" s="1850">
        <v>6</v>
      </c>
      <c r="S7" s="1850">
        <v>6</v>
      </c>
      <c r="T7" s="1850">
        <v>6</v>
      </c>
      <c r="U7" s="1850">
        <v>6</v>
      </c>
      <c r="V7" s="1850">
        <v>6</v>
      </c>
      <c r="W7" s="1850">
        <v>6</v>
      </c>
      <c r="X7" s="1850">
        <v>6</v>
      </c>
      <c r="Y7" s="1850">
        <v>5</v>
      </c>
      <c r="Z7" s="1850">
        <v>5</v>
      </c>
      <c r="AA7" s="1850">
        <v>2</v>
      </c>
      <c r="AB7" s="1850">
        <v>2</v>
      </c>
      <c r="AC7" s="1850">
        <v>2</v>
      </c>
      <c r="AD7" s="1850">
        <v>2</v>
      </c>
      <c r="AE7" s="1850">
        <v>2</v>
      </c>
      <c r="AF7" s="1850">
        <v>2</v>
      </c>
      <c r="AG7" s="1850">
        <v>2</v>
      </c>
      <c r="AH7" s="1850">
        <v>2</v>
      </c>
      <c r="AI7" s="1850">
        <v>2</v>
      </c>
      <c r="AJ7" s="1850">
        <v>1</v>
      </c>
      <c r="AK7" s="1850">
        <v>0</v>
      </c>
      <c r="AL7" s="1850">
        <v>0</v>
      </c>
      <c r="AM7" s="1850">
        <v>0</v>
      </c>
      <c r="AN7" s="1850">
        <v>0</v>
      </c>
      <c r="AO7" s="1850"/>
      <c r="AP7" s="1850"/>
      <c r="AQ7" s="1850"/>
      <c r="AR7" s="1850"/>
      <c r="AS7" s="1850"/>
      <c r="AT7" s="1850"/>
      <c r="AU7" s="1850"/>
      <c r="AV7" s="1850"/>
      <c r="AW7" s="1850"/>
      <c r="AX7" s="1850"/>
      <c r="AY7" s="1850"/>
      <c r="AZ7" s="1851"/>
      <c r="BA7" s="1850"/>
      <c r="BB7" s="1850"/>
      <c r="BC7" s="1850"/>
      <c r="BD7" s="1850"/>
      <c r="BE7" s="1850"/>
      <c r="BF7" s="1850"/>
      <c r="BG7" s="1850"/>
      <c r="BH7" s="1850"/>
      <c r="BI7" s="1852" t="s">
        <v>227</v>
      </c>
      <c r="BJ7" s="1850" t="s">
        <v>227</v>
      </c>
      <c r="BK7" s="1850" t="s">
        <v>227</v>
      </c>
      <c r="BL7" s="1850" t="s">
        <v>227</v>
      </c>
      <c r="BM7" s="1850" t="s">
        <v>227</v>
      </c>
      <c r="BN7" s="1850" t="s">
        <v>227</v>
      </c>
      <c r="BO7" s="1850" t="s">
        <v>227</v>
      </c>
      <c r="BP7" s="1850" t="s">
        <v>227</v>
      </c>
      <c r="BQ7" s="1850" t="s">
        <v>227</v>
      </c>
      <c r="BR7" s="1850" t="s">
        <v>227</v>
      </c>
      <c r="BS7" s="1850" t="s">
        <v>227</v>
      </c>
      <c r="BT7" s="1850" t="s">
        <v>227</v>
      </c>
      <c r="BU7" s="1852"/>
      <c r="BV7" s="1850"/>
      <c r="BW7" s="1850"/>
      <c r="BX7" s="1850"/>
      <c r="BY7" s="1850"/>
      <c r="BZ7" s="1850"/>
      <c r="CA7" s="1586">
        <v>1</v>
      </c>
      <c r="CB7" s="1586">
        <v>0.875</v>
      </c>
      <c r="CC7" s="1586">
        <v>0.75</v>
      </c>
    </row>
    <row r="8" spans="2:81" outlineLevel="1">
      <c r="B8" s="1867">
        <v>41061</v>
      </c>
      <c r="C8" s="1859">
        <v>18</v>
      </c>
      <c r="D8" s="1860">
        <f t="shared" ref="D8:D50" si="3">IFERROR(INDEX($K8:$BN8,,MATCH($B8,$K$3:$BN$3,0)+2),0)</f>
        <v>18</v>
      </c>
      <c r="E8" s="1860">
        <f t="shared" ref="E8:E50" si="4">IFERROR(INDEX($K8:$BN8,,MATCH($B8,$K$3:$BN$3,0)+5),0)</f>
        <v>12</v>
      </c>
      <c r="F8" s="1860">
        <f t="shared" ref="F8:F49" si="5">IFERROR(INDEX($K8:$BN8,,MATCH($B8,$K$3:$BN$3,0)+11),0)</f>
        <v>4</v>
      </c>
      <c r="G8" s="1861">
        <f t="shared" si="0"/>
        <v>1</v>
      </c>
      <c r="H8" s="1861">
        <f t="shared" si="1"/>
        <v>0.66666666666666663</v>
      </c>
      <c r="I8" s="1861">
        <f t="shared" si="2"/>
        <v>0.22222222222222221</v>
      </c>
      <c r="J8" s="1746"/>
      <c r="K8" s="1849"/>
      <c r="L8" s="1850"/>
      <c r="M8" s="1850">
        <v>18</v>
      </c>
      <c r="N8" s="1850">
        <v>18</v>
      </c>
      <c r="O8" s="1850">
        <v>16</v>
      </c>
      <c r="P8" s="1850">
        <v>14</v>
      </c>
      <c r="Q8" s="1850">
        <v>12</v>
      </c>
      <c r="R8" s="1850">
        <v>12</v>
      </c>
      <c r="S8" s="1850">
        <v>7</v>
      </c>
      <c r="T8" s="1850">
        <v>7</v>
      </c>
      <c r="U8" s="1850">
        <v>7</v>
      </c>
      <c r="V8" s="1850">
        <v>4</v>
      </c>
      <c r="W8" s="1850">
        <v>4</v>
      </c>
      <c r="X8" s="1850">
        <v>4</v>
      </c>
      <c r="Y8" s="1850">
        <v>4</v>
      </c>
      <c r="Z8" s="1850">
        <v>4</v>
      </c>
      <c r="AA8" s="1850">
        <v>4</v>
      </c>
      <c r="AB8" s="1850">
        <v>4</v>
      </c>
      <c r="AC8" s="1850">
        <v>4</v>
      </c>
      <c r="AD8" s="1850">
        <v>4</v>
      </c>
      <c r="AE8" s="1850">
        <v>4</v>
      </c>
      <c r="AF8" s="1850">
        <v>3</v>
      </c>
      <c r="AG8" s="1850">
        <v>3</v>
      </c>
      <c r="AH8" s="1850">
        <v>3</v>
      </c>
      <c r="AI8" s="1850">
        <v>2</v>
      </c>
      <c r="AJ8" s="1850">
        <v>2</v>
      </c>
      <c r="AK8" s="1850">
        <v>2</v>
      </c>
      <c r="AL8" s="1850">
        <v>2</v>
      </c>
      <c r="AM8" s="1850">
        <v>2</v>
      </c>
      <c r="AN8" s="1850">
        <v>2</v>
      </c>
      <c r="AO8" s="1850">
        <v>2</v>
      </c>
      <c r="AP8" s="1850">
        <v>2</v>
      </c>
      <c r="AQ8" s="1850">
        <v>2</v>
      </c>
      <c r="AR8" s="1850">
        <v>2</v>
      </c>
      <c r="AS8" s="1850">
        <v>2</v>
      </c>
      <c r="AT8" s="1850">
        <v>1</v>
      </c>
      <c r="AU8" s="1850">
        <v>1</v>
      </c>
      <c r="AV8" s="1850">
        <v>1</v>
      </c>
      <c r="AW8" s="1850">
        <v>1</v>
      </c>
      <c r="AX8" s="1850">
        <v>1</v>
      </c>
      <c r="AY8" s="1850">
        <v>1</v>
      </c>
      <c r="AZ8" s="1853">
        <v>1</v>
      </c>
      <c r="BA8" s="1850">
        <v>1</v>
      </c>
      <c r="BB8" s="1850">
        <v>1</v>
      </c>
      <c r="BC8" s="1850">
        <v>1</v>
      </c>
      <c r="BD8" s="1850">
        <v>1</v>
      </c>
      <c r="BE8" s="1850">
        <v>1</v>
      </c>
      <c r="BF8" s="1850">
        <v>1</v>
      </c>
      <c r="BG8" s="1850">
        <v>1</v>
      </c>
      <c r="BH8" s="1850">
        <v>1</v>
      </c>
      <c r="BI8" s="1852">
        <v>1</v>
      </c>
      <c r="BJ8" s="1850">
        <v>1</v>
      </c>
      <c r="BK8" s="1850">
        <v>1</v>
      </c>
      <c r="BL8" s="1850">
        <v>1</v>
      </c>
      <c r="BM8" s="1850">
        <v>1</v>
      </c>
      <c r="BN8" s="1850">
        <v>1</v>
      </c>
      <c r="BO8" s="1850">
        <v>1</v>
      </c>
      <c r="BP8" s="1850">
        <v>1</v>
      </c>
      <c r="BQ8" s="1850">
        <v>1</v>
      </c>
      <c r="BR8" s="1850">
        <v>1</v>
      </c>
      <c r="BS8" s="1850">
        <v>1</v>
      </c>
      <c r="BT8" s="1850">
        <v>1</v>
      </c>
      <c r="BU8" s="1852"/>
      <c r="BV8" s="1850"/>
      <c r="BW8" s="1850"/>
      <c r="BX8" s="1850"/>
      <c r="BY8" s="1850"/>
      <c r="BZ8" s="1850"/>
      <c r="CA8" s="1586">
        <v>1</v>
      </c>
      <c r="CB8" s="1586">
        <v>0.66666666666666663</v>
      </c>
      <c r="CC8" s="1586">
        <v>0.22222222222222221</v>
      </c>
    </row>
    <row r="9" spans="2:81" outlineLevel="1">
      <c r="B9" s="1867">
        <v>41091</v>
      </c>
      <c r="C9" s="1859">
        <v>10</v>
      </c>
      <c r="D9" s="1860">
        <f t="shared" si="3"/>
        <v>8</v>
      </c>
      <c r="E9" s="1860">
        <f t="shared" si="4"/>
        <v>6</v>
      </c>
      <c r="F9" s="1860">
        <f t="shared" si="5"/>
        <v>1</v>
      </c>
      <c r="G9" s="1861">
        <f t="shared" si="0"/>
        <v>0.8</v>
      </c>
      <c r="H9" s="1861">
        <f t="shared" si="1"/>
        <v>0.6</v>
      </c>
      <c r="I9" s="1861">
        <f t="shared" si="2"/>
        <v>0.1</v>
      </c>
      <c r="J9" s="1746"/>
      <c r="K9" s="1849"/>
      <c r="L9" s="1850"/>
      <c r="M9" s="1850"/>
      <c r="N9" s="1850">
        <v>9</v>
      </c>
      <c r="O9" s="1850">
        <v>8</v>
      </c>
      <c r="P9" s="1850">
        <v>7</v>
      </c>
      <c r="Q9" s="1850">
        <v>6</v>
      </c>
      <c r="R9" s="1850">
        <v>6</v>
      </c>
      <c r="S9" s="1850">
        <v>5</v>
      </c>
      <c r="T9" s="1850">
        <v>5</v>
      </c>
      <c r="U9" s="1850">
        <v>5</v>
      </c>
      <c r="V9" s="1850">
        <v>1</v>
      </c>
      <c r="W9" s="1850">
        <v>1</v>
      </c>
      <c r="X9" s="1850">
        <v>1</v>
      </c>
      <c r="Y9" s="1850">
        <v>1</v>
      </c>
      <c r="Z9" s="1850">
        <v>1</v>
      </c>
      <c r="AA9" s="1850">
        <v>1</v>
      </c>
      <c r="AB9" s="1850">
        <v>1</v>
      </c>
      <c r="AC9" s="1850">
        <v>1</v>
      </c>
      <c r="AD9" s="1850">
        <v>1</v>
      </c>
      <c r="AE9" s="1850">
        <v>1</v>
      </c>
      <c r="AF9" s="1850">
        <v>1</v>
      </c>
      <c r="AG9" s="1850">
        <v>1</v>
      </c>
      <c r="AH9" s="1850">
        <v>1</v>
      </c>
      <c r="AI9" s="1850">
        <v>1</v>
      </c>
      <c r="AJ9" s="1850">
        <v>1</v>
      </c>
      <c r="AK9" s="1850">
        <v>1</v>
      </c>
      <c r="AL9" s="1850">
        <v>1</v>
      </c>
      <c r="AM9" s="1850">
        <v>1</v>
      </c>
      <c r="AN9" s="1850">
        <v>1</v>
      </c>
      <c r="AO9" s="1850">
        <v>1</v>
      </c>
      <c r="AP9" s="1850">
        <v>1</v>
      </c>
      <c r="AQ9" s="1850">
        <v>1</v>
      </c>
      <c r="AR9" s="1850">
        <v>1</v>
      </c>
      <c r="AS9" s="1850">
        <v>1</v>
      </c>
      <c r="AT9" s="1850">
        <v>1</v>
      </c>
      <c r="AU9" s="1850"/>
      <c r="AV9" s="1850"/>
      <c r="AW9" s="1850"/>
      <c r="AX9" s="1850"/>
      <c r="AY9" s="1850"/>
      <c r="AZ9" s="1851"/>
      <c r="BA9" s="1850"/>
      <c r="BB9" s="1850"/>
      <c r="BC9" s="1850"/>
      <c r="BD9" s="1850"/>
      <c r="BE9" s="1850"/>
      <c r="BF9" s="1850"/>
      <c r="BG9" s="1850"/>
      <c r="BH9" s="1850"/>
      <c r="BI9" s="1852" t="s">
        <v>227</v>
      </c>
      <c r="BJ9" s="1850" t="s">
        <v>227</v>
      </c>
      <c r="BK9" s="1850" t="s">
        <v>227</v>
      </c>
      <c r="BL9" s="1850" t="s">
        <v>227</v>
      </c>
      <c r="BM9" s="1850" t="s">
        <v>227</v>
      </c>
      <c r="BN9" s="1850" t="s">
        <v>227</v>
      </c>
      <c r="BO9" s="1850" t="s">
        <v>227</v>
      </c>
      <c r="BP9" s="1850" t="s">
        <v>227</v>
      </c>
      <c r="BQ9" s="1850" t="s">
        <v>227</v>
      </c>
      <c r="BR9" s="1850" t="s">
        <v>227</v>
      </c>
      <c r="BS9" s="1850" t="s">
        <v>227</v>
      </c>
      <c r="BT9" s="1850" t="s">
        <v>227</v>
      </c>
      <c r="BU9" s="1852"/>
      <c r="BV9" s="1850"/>
      <c r="BW9" s="1850"/>
      <c r="BX9" s="1850"/>
      <c r="BY9" s="1850"/>
      <c r="BZ9" s="1850"/>
      <c r="CA9" s="1586">
        <v>0.8</v>
      </c>
      <c r="CB9" s="1586">
        <v>0.6</v>
      </c>
      <c r="CC9" s="1586">
        <v>0.1</v>
      </c>
    </row>
    <row r="10" spans="2:81" outlineLevel="1">
      <c r="B10" s="1867">
        <v>41122</v>
      </c>
      <c r="C10" s="1859">
        <v>4</v>
      </c>
      <c r="D10" s="1860">
        <f t="shared" si="3"/>
        <v>4</v>
      </c>
      <c r="E10" s="1860">
        <f t="shared" si="4"/>
        <v>4</v>
      </c>
      <c r="F10" s="1860">
        <f t="shared" si="5"/>
        <v>0</v>
      </c>
      <c r="G10" s="1861">
        <f t="shared" si="0"/>
        <v>1</v>
      </c>
      <c r="H10" s="1861">
        <f t="shared" si="1"/>
        <v>1</v>
      </c>
      <c r="I10" s="1861">
        <f t="shared" si="2"/>
        <v>0</v>
      </c>
      <c r="J10" s="1746"/>
      <c r="K10" s="1849"/>
      <c r="L10" s="1850"/>
      <c r="M10" s="1850"/>
      <c r="N10" s="1850"/>
      <c r="O10" s="1850">
        <v>4</v>
      </c>
      <c r="P10" s="1850">
        <v>4</v>
      </c>
      <c r="Q10" s="1850">
        <v>4</v>
      </c>
      <c r="R10" s="1850">
        <v>4</v>
      </c>
      <c r="S10" s="1850">
        <v>4</v>
      </c>
      <c r="T10" s="1850">
        <v>4</v>
      </c>
      <c r="U10" s="1850">
        <v>4</v>
      </c>
      <c r="V10" s="1850">
        <v>2</v>
      </c>
      <c r="W10" s="1850">
        <v>2</v>
      </c>
      <c r="X10" s="1850">
        <v>2</v>
      </c>
      <c r="Y10" s="1850">
        <v>0</v>
      </c>
      <c r="Z10" s="1850">
        <v>0</v>
      </c>
      <c r="AA10" s="1850">
        <v>0</v>
      </c>
      <c r="AB10" s="1850">
        <v>0</v>
      </c>
      <c r="AC10" s="1850">
        <v>0</v>
      </c>
      <c r="AD10" s="1850">
        <v>0</v>
      </c>
      <c r="AE10" s="1850">
        <v>0</v>
      </c>
      <c r="AF10" s="1850">
        <v>0</v>
      </c>
      <c r="AG10" s="1850">
        <v>0</v>
      </c>
      <c r="AH10" s="1850">
        <v>0</v>
      </c>
      <c r="AI10" s="1850">
        <v>0</v>
      </c>
      <c r="AJ10" s="1850">
        <v>0</v>
      </c>
      <c r="AK10" s="1850">
        <v>0</v>
      </c>
      <c r="AL10" s="1850">
        <v>0</v>
      </c>
      <c r="AM10" s="1850">
        <v>0</v>
      </c>
      <c r="AN10" s="1850">
        <v>0</v>
      </c>
      <c r="AO10" s="1850"/>
      <c r="AP10" s="1850"/>
      <c r="AQ10" s="1850"/>
      <c r="AR10" s="1850"/>
      <c r="AS10" s="1850"/>
      <c r="AT10" s="1850"/>
      <c r="AU10" s="1850"/>
      <c r="AV10" s="1850"/>
      <c r="AW10" s="1850"/>
      <c r="AX10" s="1850"/>
      <c r="AY10" s="1850"/>
      <c r="AZ10" s="1851"/>
      <c r="BA10" s="1850"/>
      <c r="BB10" s="1850"/>
      <c r="BC10" s="1850"/>
      <c r="BD10" s="1850"/>
      <c r="BE10" s="1850"/>
      <c r="BF10" s="1850"/>
      <c r="BG10" s="1850"/>
      <c r="BH10" s="1850"/>
      <c r="BI10" s="1852" t="s">
        <v>227</v>
      </c>
      <c r="BJ10" s="1850" t="s">
        <v>227</v>
      </c>
      <c r="BK10" s="1850" t="s">
        <v>227</v>
      </c>
      <c r="BL10" s="1850" t="s">
        <v>227</v>
      </c>
      <c r="BM10" s="1850" t="s">
        <v>227</v>
      </c>
      <c r="BN10" s="1850" t="s">
        <v>227</v>
      </c>
      <c r="BO10" s="1850" t="s">
        <v>227</v>
      </c>
      <c r="BP10" s="1850" t="s">
        <v>227</v>
      </c>
      <c r="BQ10" s="1850" t="s">
        <v>227</v>
      </c>
      <c r="BR10" s="1850" t="s">
        <v>227</v>
      </c>
      <c r="BS10" s="1850" t="s">
        <v>227</v>
      </c>
      <c r="BT10" s="1850" t="s">
        <v>227</v>
      </c>
      <c r="BU10" s="1852"/>
      <c r="BV10" s="1850"/>
      <c r="BW10" s="1850"/>
      <c r="BX10" s="1850"/>
      <c r="BY10" s="1850"/>
      <c r="BZ10" s="1850"/>
      <c r="CA10" s="1586">
        <v>1</v>
      </c>
      <c r="CB10" s="1586">
        <v>1</v>
      </c>
      <c r="CC10" s="1586">
        <v>0</v>
      </c>
    </row>
    <row r="11" spans="2:81" outlineLevel="1">
      <c r="B11" s="1867">
        <v>41153</v>
      </c>
      <c r="C11" s="1859">
        <v>2</v>
      </c>
      <c r="D11" s="1860">
        <f t="shared" si="3"/>
        <v>2</v>
      </c>
      <c r="E11" s="1860">
        <f t="shared" si="4"/>
        <v>2</v>
      </c>
      <c r="F11" s="1860">
        <f t="shared" si="5"/>
        <v>1</v>
      </c>
      <c r="G11" s="1861">
        <f t="shared" si="0"/>
        <v>1</v>
      </c>
      <c r="H11" s="1861">
        <f t="shared" si="1"/>
        <v>1</v>
      </c>
      <c r="I11" s="1861">
        <f t="shared" si="2"/>
        <v>0.5</v>
      </c>
      <c r="J11" s="1746"/>
      <c r="K11" s="1849"/>
      <c r="L11" s="1850"/>
      <c r="M11" s="1850"/>
      <c r="N11" s="1850"/>
      <c r="O11" s="1850"/>
      <c r="P11" s="1850">
        <v>2</v>
      </c>
      <c r="Q11" s="1850">
        <v>2</v>
      </c>
      <c r="R11" s="1850">
        <v>2</v>
      </c>
      <c r="S11" s="1850">
        <v>2</v>
      </c>
      <c r="T11" s="1850">
        <v>2</v>
      </c>
      <c r="U11" s="1850">
        <v>2</v>
      </c>
      <c r="V11" s="1850">
        <v>1</v>
      </c>
      <c r="W11" s="1850">
        <v>1</v>
      </c>
      <c r="X11" s="1850">
        <v>1</v>
      </c>
      <c r="Y11" s="1850">
        <v>1</v>
      </c>
      <c r="Z11" s="1850">
        <v>1</v>
      </c>
      <c r="AA11" s="1850">
        <v>1</v>
      </c>
      <c r="AB11" s="1850">
        <v>1</v>
      </c>
      <c r="AC11" s="1850">
        <v>1</v>
      </c>
      <c r="AD11" s="1850">
        <v>1</v>
      </c>
      <c r="AE11" s="1850">
        <v>1</v>
      </c>
      <c r="AF11" s="1850">
        <v>1</v>
      </c>
      <c r="AG11" s="1850">
        <v>1</v>
      </c>
      <c r="AH11" s="1850">
        <v>1</v>
      </c>
      <c r="AI11" s="1850">
        <v>0</v>
      </c>
      <c r="AJ11" s="1850">
        <v>0</v>
      </c>
      <c r="AK11" s="1850">
        <v>0</v>
      </c>
      <c r="AL11" s="1850">
        <v>0</v>
      </c>
      <c r="AM11" s="1850">
        <v>0</v>
      </c>
      <c r="AN11" s="1850">
        <v>0</v>
      </c>
      <c r="AO11" s="1850"/>
      <c r="AP11" s="1850"/>
      <c r="AQ11" s="1850"/>
      <c r="AR11" s="1850"/>
      <c r="AS11" s="1850"/>
      <c r="AT11" s="1850"/>
      <c r="AU11" s="1850"/>
      <c r="AV11" s="1850"/>
      <c r="AW11" s="1850"/>
      <c r="AX11" s="1850"/>
      <c r="AY11" s="1850"/>
      <c r="AZ11" s="1851"/>
      <c r="BA11" s="1850"/>
      <c r="BB11" s="1850"/>
      <c r="BC11" s="1850"/>
      <c r="BD11" s="1850"/>
      <c r="BE11" s="1850"/>
      <c r="BF11" s="1850"/>
      <c r="BG11" s="1850"/>
      <c r="BH11" s="1850"/>
      <c r="BI11" s="1852" t="s">
        <v>227</v>
      </c>
      <c r="BJ11" s="1850" t="s">
        <v>227</v>
      </c>
      <c r="BK11" s="1850" t="s">
        <v>227</v>
      </c>
      <c r="BL11" s="1850" t="s">
        <v>227</v>
      </c>
      <c r="BM11" s="1850" t="s">
        <v>227</v>
      </c>
      <c r="BN11" s="1850" t="s">
        <v>227</v>
      </c>
      <c r="BO11" s="1850" t="s">
        <v>227</v>
      </c>
      <c r="BP11" s="1850" t="s">
        <v>227</v>
      </c>
      <c r="BQ11" s="1850" t="s">
        <v>227</v>
      </c>
      <c r="BR11" s="1850" t="s">
        <v>227</v>
      </c>
      <c r="BS11" s="1850" t="s">
        <v>227</v>
      </c>
      <c r="BT11" s="1850" t="s">
        <v>227</v>
      </c>
      <c r="BU11" s="1852"/>
      <c r="BV11" s="1850"/>
      <c r="BW11" s="1850"/>
      <c r="BX11" s="1850"/>
      <c r="BY11" s="1850"/>
      <c r="BZ11" s="1850"/>
      <c r="CA11" s="1586">
        <v>1</v>
      </c>
      <c r="CB11" s="1586">
        <v>1</v>
      </c>
      <c r="CC11" s="1586">
        <v>0.5</v>
      </c>
    </row>
    <row r="12" spans="2:81" outlineLevel="1">
      <c r="B12" s="1867">
        <v>41183</v>
      </c>
      <c r="C12" s="1859">
        <v>7</v>
      </c>
      <c r="D12" s="1860">
        <f t="shared" si="3"/>
        <v>7</v>
      </c>
      <c r="E12" s="1860">
        <f t="shared" si="4"/>
        <v>4</v>
      </c>
      <c r="F12" s="1860">
        <f t="shared" si="5"/>
        <v>2</v>
      </c>
      <c r="G12" s="1861">
        <f t="shared" si="0"/>
        <v>1</v>
      </c>
      <c r="H12" s="1861">
        <f t="shared" si="1"/>
        <v>0.5714285714285714</v>
      </c>
      <c r="I12" s="1861">
        <f t="shared" si="2"/>
        <v>0.2857142857142857</v>
      </c>
      <c r="J12" s="1746"/>
      <c r="K12" s="1849"/>
      <c r="L12" s="1850"/>
      <c r="M12" s="1850"/>
      <c r="N12" s="1850"/>
      <c r="O12" s="1850"/>
      <c r="P12" s="1850"/>
      <c r="Q12" s="1850">
        <v>7</v>
      </c>
      <c r="R12" s="1850">
        <v>7</v>
      </c>
      <c r="S12" s="1850">
        <v>7</v>
      </c>
      <c r="T12" s="1850">
        <v>4</v>
      </c>
      <c r="U12" s="1850">
        <v>4</v>
      </c>
      <c r="V12" s="1850">
        <v>3</v>
      </c>
      <c r="W12" s="1850">
        <v>2</v>
      </c>
      <c r="X12" s="1850">
        <v>2</v>
      </c>
      <c r="Y12" s="1850">
        <v>2</v>
      </c>
      <c r="Z12" s="1850">
        <v>2</v>
      </c>
      <c r="AA12" s="1850">
        <v>2</v>
      </c>
      <c r="AB12" s="1850">
        <v>1</v>
      </c>
      <c r="AC12" s="1850">
        <v>1</v>
      </c>
      <c r="AD12" s="1850">
        <v>1</v>
      </c>
      <c r="AE12" s="1850">
        <v>1</v>
      </c>
      <c r="AF12" s="1850">
        <v>1</v>
      </c>
      <c r="AG12" s="1850">
        <v>1</v>
      </c>
      <c r="AH12" s="1850">
        <v>1</v>
      </c>
      <c r="AI12" s="1850">
        <v>1</v>
      </c>
      <c r="AJ12" s="1850">
        <v>1</v>
      </c>
      <c r="AK12" s="1850">
        <v>1</v>
      </c>
      <c r="AL12" s="1850">
        <v>1</v>
      </c>
      <c r="AM12" s="1850">
        <v>1</v>
      </c>
      <c r="AN12" s="1850">
        <v>1</v>
      </c>
      <c r="AO12" s="1850">
        <v>1</v>
      </c>
      <c r="AP12" s="1850">
        <v>1</v>
      </c>
      <c r="AQ12" s="1850"/>
      <c r="AR12" s="1850"/>
      <c r="AS12" s="1850"/>
      <c r="AT12" s="1850"/>
      <c r="AU12" s="1850"/>
      <c r="AV12" s="1850"/>
      <c r="AW12" s="1850"/>
      <c r="AX12" s="1850"/>
      <c r="AY12" s="1850"/>
      <c r="AZ12" s="1851"/>
      <c r="BA12" s="1850"/>
      <c r="BB12" s="1850"/>
      <c r="BC12" s="1850"/>
      <c r="BD12" s="1850"/>
      <c r="BE12" s="1850"/>
      <c r="BF12" s="1850"/>
      <c r="BG12" s="1850"/>
      <c r="BH12" s="1850"/>
      <c r="BI12" s="1852" t="s">
        <v>227</v>
      </c>
      <c r="BJ12" s="1850" t="s">
        <v>227</v>
      </c>
      <c r="BK12" s="1850" t="s">
        <v>227</v>
      </c>
      <c r="BL12" s="1850" t="s">
        <v>227</v>
      </c>
      <c r="BM12" s="1850" t="s">
        <v>227</v>
      </c>
      <c r="BN12" s="1850" t="s">
        <v>227</v>
      </c>
      <c r="BO12" s="1850" t="s">
        <v>227</v>
      </c>
      <c r="BP12" s="1850" t="s">
        <v>227</v>
      </c>
      <c r="BQ12" s="1850" t="s">
        <v>227</v>
      </c>
      <c r="BR12" s="1850" t="s">
        <v>227</v>
      </c>
      <c r="BS12" s="1850" t="s">
        <v>227</v>
      </c>
      <c r="BT12" s="1850" t="s">
        <v>227</v>
      </c>
      <c r="BU12" s="1852"/>
      <c r="BV12" s="1850"/>
      <c r="BW12" s="1850"/>
      <c r="BX12" s="1850"/>
      <c r="BY12" s="1850"/>
      <c r="BZ12" s="1850"/>
      <c r="CA12" s="1586">
        <v>1</v>
      </c>
      <c r="CB12" s="1586">
        <v>0.5714285714285714</v>
      </c>
      <c r="CC12" s="1586">
        <v>0.2857142857142857</v>
      </c>
    </row>
    <row r="13" spans="2:81" outlineLevel="1">
      <c r="B13" s="1867">
        <v>41214</v>
      </c>
      <c r="C13" s="1859">
        <v>6</v>
      </c>
      <c r="D13" s="1860">
        <f t="shared" si="3"/>
        <v>6</v>
      </c>
      <c r="E13" s="1860">
        <f t="shared" si="4"/>
        <v>4</v>
      </c>
      <c r="F13" s="1860">
        <f t="shared" si="5"/>
        <v>2</v>
      </c>
      <c r="G13" s="1861">
        <f t="shared" si="0"/>
        <v>1</v>
      </c>
      <c r="H13" s="1861">
        <f t="shared" si="1"/>
        <v>0.66666666666666663</v>
      </c>
      <c r="I13" s="1861">
        <f t="shared" si="2"/>
        <v>0.33333333333333331</v>
      </c>
      <c r="J13" s="1746"/>
      <c r="K13" s="1854"/>
      <c r="L13" s="1850"/>
      <c r="M13" s="1850"/>
      <c r="N13" s="1850"/>
      <c r="O13" s="1850"/>
      <c r="P13" s="1850"/>
      <c r="Q13" s="1850"/>
      <c r="R13" s="1850">
        <v>6</v>
      </c>
      <c r="S13" s="1850">
        <v>6</v>
      </c>
      <c r="T13" s="1850">
        <v>5</v>
      </c>
      <c r="U13" s="1850">
        <v>5</v>
      </c>
      <c r="V13" s="1850">
        <v>4</v>
      </c>
      <c r="W13" s="1850">
        <v>4</v>
      </c>
      <c r="X13" s="1850">
        <v>4</v>
      </c>
      <c r="Y13" s="1850">
        <v>4</v>
      </c>
      <c r="Z13" s="1850">
        <v>4</v>
      </c>
      <c r="AA13" s="1850">
        <v>4</v>
      </c>
      <c r="AB13" s="1850">
        <v>2</v>
      </c>
      <c r="AC13" s="1850">
        <v>2</v>
      </c>
      <c r="AD13" s="1850">
        <v>2</v>
      </c>
      <c r="AE13" s="1850">
        <v>2</v>
      </c>
      <c r="AF13" s="1850">
        <v>1</v>
      </c>
      <c r="AG13" s="1850">
        <v>1</v>
      </c>
      <c r="AH13" s="1850">
        <v>1</v>
      </c>
      <c r="AI13" s="1850">
        <v>1</v>
      </c>
      <c r="AJ13" s="1850">
        <v>1</v>
      </c>
      <c r="AK13" s="1850">
        <v>1</v>
      </c>
      <c r="AL13" s="1850">
        <v>1</v>
      </c>
      <c r="AM13" s="1850">
        <v>1</v>
      </c>
      <c r="AN13" s="1850">
        <v>0</v>
      </c>
      <c r="AO13" s="1850"/>
      <c r="AP13" s="1850"/>
      <c r="AQ13" s="1850"/>
      <c r="AR13" s="1850"/>
      <c r="AS13" s="1850"/>
      <c r="AT13" s="1850"/>
      <c r="AU13" s="1850"/>
      <c r="AV13" s="1850"/>
      <c r="AW13" s="1850"/>
      <c r="AX13" s="1850"/>
      <c r="AY13" s="1850"/>
      <c r="AZ13" s="1851"/>
      <c r="BA13" s="1850"/>
      <c r="BB13" s="1850"/>
      <c r="BC13" s="1850"/>
      <c r="BD13" s="1850"/>
      <c r="BE13" s="1850"/>
      <c r="BF13" s="1850"/>
      <c r="BG13" s="1850"/>
      <c r="BH13" s="1850"/>
      <c r="BI13" s="1852" t="s">
        <v>227</v>
      </c>
      <c r="BJ13" s="1850" t="s">
        <v>227</v>
      </c>
      <c r="BK13" s="1850" t="s">
        <v>227</v>
      </c>
      <c r="BL13" s="1850" t="s">
        <v>227</v>
      </c>
      <c r="BM13" s="1850" t="s">
        <v>227</v>
      </c>
      <c r="BN13" s="1850" t="s">
        <v>227</v>
      </c>
      <c r="BO13" s="1850" t="s">
        <v>227</v>
      </c>
      <c r="BP13" s="1850" t="s">
        <v>227</v>
      </c>
      <c r="BQ13" s="1850" t="s">
        <v>227</v>
      </c>
      <c r="BR13" s="1850" t="s">
        <v>227</v>
      </c>
      <c r="BS13" s="1850" t="s">
        <v>227</v>
      </c>
      <c r="BT13" s="1850" t="s">
        <v>227</v>
      </c>
      <c r="BU13" s="1852"/>
      <c r="BV13" s="1850"/>
      <c r="BW13" s="1850"/>
      <c r="BX13" s="1850"/>
      <c r="BY13" s="1850"/>
      <c r="BZ13" s="1850"/>
      <c r="CA13" s="1586">
        <v>1</v>
      </c>
      <c r="CB13" s="1586">
        <v>0.66666666666666663</v>
      </c>
      <c r="CC13" s="1586">
        <v>0.33333333333333331</v>
      </c>
    </row>
    <row r="14" spans="2:81">
      <c r="B14" s="1867">
        <v>41244</v>
      </c>
      <c r="C14" s="1859">
        <v>14</v>
      </c>
      <c r="D14" s="1860">
        <f t="shared" si="3"/>
        <v>14</v>
      </c>
      <c r="E14" s="1860">
        <f t="shared" si="4"/>
        <v>12</v>
      </c>
      <c r="F14" s="1860">
        <f t="shared" si="5"/>
        <v>6</v>
      </c>
      <c r="G14" s="1861">
        <f t="shared" si="0"/>
        <v>1</v>
      </c>
      <c r="H14" s="1861">
        <f t="shared" si="1"/>
        <v>0.8571428571428571</v>
      </c>
      <c r="I14" s="1861">
        <f t="shared" si="2"/>
        <v>0.42857142857142855</v>
      </c>
      <c r="J14" s="1746"/>
      <c r="K14" s="1849"/>
      <c r="L14" s="1850"/>
      <c r="M14" s="1850"/>
      <c r="N14" s="1850"/>
      <c r="O14" s="1850"/>
      <c r="P14" s="1850"/>
      <c r="Q14" s="1850"/>
      <c r="R14" s="1850"/>
      <c r="S14" s="1850">
        <v>14</v>
      </c>
      <c r="T14" s="1850">
        <v>14</v>
      </c>
      <c r="U14" s="1850">
        <v>13</v>
      </c>
      <c r="V14" s="1850">
        <v>12</v>
      </c>
      <c r="W14" s="1850">
        <v>12</v>
      </c>
      <c r="X14" s="1850">
        <v>11</v>
      </c>
      <c r="Y14" s="1850">
        <v>8</v>
      </c>
      <c r="Z14" s="1850">
        <v>8</v>
      </c>
      <c r="AA14" s="1850">
        <v>8</v>
      </c>
      <c r="AB14" s="1850">
        <v>6</v>
      </c>
      <c r="AC14" s="1850">
        <v>6</v>
      </c>
      <c r="AD14" s="1850">
        <v>6</v>
      </c>
      <c r="AE14" s="1850">
        <v>6</v>
      </c>
      <c r="AF14" s="1850">
        <v>6</v>
      </c>
      <c r="AG14" s="1850">
        <v>6</v>
      </c>
      <c r="AH14" s="1850">
        <v>6</v>
      </c>
      <c r="AI14" s="1850">
        <v>6</v>
      </c>
      <c r="AJ14" s="1850">
        <v>4</v>
      </c>
      <c r="AK14" s="1850">
        <v>4</v>
      </c>
      <c r="AL14" s="1850">
        <v>4</v>
      </c>
      <c r="AM14" s="1850">
        <v>4</v>
      </c>
      <c r="AN14" s="1850">
        <v>4</v>
      </c>
      <c r="AO14" s="1850">
        <v>4</v>
      </c>
      <c r="AP14" s="1850">
        <v>4</v>
      </c>
      <c r="AQ14" s="1850">
        <v>4</v>
      </c>
      <c r="AR14" s="1850">
        <v>4</v>
      </c>
      <c r="AS14" s="1850">
        <v>4</v>
      </c>
      <c r="AT14" s="1850">
        <v>4</v>
      </c>
      <c r="AU14" s="1850">
        <v>4</v>
      </c>
      <c r="AV14" s="1850">
        <v>4</v>
      </c>
      <c r="AW14" s="1850">
        <v>3</v>
      </c>
      <c r="AX14" s="1850">
        <v>3</v>
      </c>
      <c r="AY14" s="1850">
        <v>3</v>
      </c>
      <c r="AZ14" s="1853">
        <v>3</v>
      </c>
      <c r="BA14" s="1850">
        <v>2</v>
      </c>
      <c r="BB14" s="1850">
        <v>2</v>
      </c>
      <c r="BC14" s="1850">
        <v>2</v>
      </c>
      <c r="BD14" s="1850">
        <v>2</v>
      </c>
      <c r="BE14" s="1850">
        <v>2</v>
      </c>
      <c r="BF14" s="1850">
        <v>2</v>
      </c>
      <c r="BG14" s="1850">
        <v>2</v>
      </c>
      <c r="BH14" s="1850">
        <v>2</v>
      </c>
      <c r="BI14" s="1852">
        <v>2</v>
      </c>
      <c r="BJ14" s="1850">
        <v>2</v>
      </c>
      <c r="BK14" s="1850">
        <v>2</v>
      </c>
      <c r="BL14" s="1850">
        <v>2</v>
      </c>
      <c r="BM14" s="1850">
        <v>2</v>
      </c>
      <c r="BN14" s="1850">
        <v>2</v>
      </c>
      <c r="BO14" s="1850">
        <v>2</v>
      </c>
      <c r="BP14" s="1850">
        <v>2</v>
      </c>
      <c r="BQ14" s="1850">
        <v>2</v>
      </c>
      <c r="BR14" s="1850">
        <v>2</v>
      </c>
      <c r="BS14" s="1850">
        <v>2</v>
      </c>
      <c r="BT14" s="1850">
        <v>2</v>
      </c>
      <c r="BU14" s="1852"/>
      <c r="BV14" s="1850"/>
      <c r="BW14" s="1850"/>
      <c r="BX14" s="1850"/>
      <c r="BY14" s="1850"/>
      <c r="BZ14" s="1850"/>
      <c r="CA14" s="1586">
        <v>1</v>
      </c>
      <c r="CB14" s="1586">
        <v>0.8571428571428571</v>
      </c>
      <c r="CC14" s="1586">
        <v>0.42857142857142855</v>
      </c>
    </row>
    <row r="15" spans="2:81" outlineLevel="1">
      <c r="B15" s="1867">
        <v>41275</v>
      </c>
      <c r="C15" s="1859">
        <v>11</v>
      </c>
      <c r="D15" s="1860">
        <f t="shared" si="3"/>
        <v>11</v>
      </c>
      <c r="E15" s="1860">
        <f t="shared" si="4"/>
        <v>11</v>
      </c>
      <c r="F15" s="1860">
        <f t="shared" si="5"/>
        <v>5</v>
      </c>
      <c r="G15" s="1861">
        <f t="shared" si="0"/>
        <v>1</v>
      </c>
      <c r="H15" s="1861">
        <f t="shared" si="1"/>
        <v>1</v>
      </c>
      <c r="I15" s="1861">
        <f t="shared" si="2"/>
        <v>0.45454545454545453</v>
      </c>
      <c r="J15" s="1746"/>
      <c r="K15" s="1849"/>
      <c r="L15" s="1850"/>
      <c r="M15" s="1850"/>
      <c r="N15" s="1850"/>
      <c r="O15" s="1850"/>
      <c r="P15" s="1850"/>
      <c r="Q15" s="1850"/>
      <c r="R15" s="1850"/>
      <c r="S15" s="1850"/>
      <c r="T15" s="1850">
        <v>11</v>
      </c>
      <c r="U15" s="1850">
        <v>11</v>
      </c>
      <c r="V15" s="1850">
        <v>11</v>
      </c>
      <c r="W15" s="1850">
        <v>11</v>
      </c>
      <c r="X15" s="1850">
        <v>11</v>
      </c>
      <c r="Y15" s="1850">
        <v>6</v>
      </c>
      <c r="Z15" s="1850">
        <v>6</v>
      </c>
      <c r="AA15" s="1850">
        <v>6</v>
      </c>
      <c r="AB15" s="1850">
        <v>5</v>
      </c>
      <c r="AC15" s="1850">
        <v>5</v>
      </c>
      <c r="AD15" s="1850">
        <v>5</v>
      </c>
      <c r="AE15" s="1850">
        <v>5</v>
      </c>
      <c r="AF15" s="1850">
        <v>4</v>
      </c>
      <c r="AG15" s="1850">
        <v>4</v>
      </c>
      <c r="AH15" s="1850">
        <v>4</v>
      </c>
      <c r="AI15" s="1850">
        <v>3</v>
      </c>
      <c r="AJ15" s="1850">
        <v>2</v>
      </c>
      <c r="AK15" s="1850">
        <v>1</v>
      </c>
      <c r="AL15" s="1850">
        <v>1</v>
      </c>
      <c r="AM15" s="1850">
        <v>1</v>
      </c>
      <c r="AN15" s="1850">
        <v>1</v>
      </c>
      <c r="AO15" s="1850">
        <v>1</v>
      </c>
      <c r="AP15" s="1850">
        <v>1</v>
      </c>
      <c r="AQ15" s="1850">
        <v>1</v>
      </c>
      <c r="AR15" s="1850">
        <v>1</v>
      </c>
      <c r="AS15" s="1850">
        <v>1</v>
      </c>
      <c r="AT15" s="1850">
        <v>1</v>
      </c>
      <c r="AU15" s="1850">
        <v>1</v>
      </c>
      <c r="AV15" s="1850">
        <v>1</v>
      </c>
      <c r="AW15" s="1850">
        <v>1</v>
      </c>
      <c r="AX15" s="1850">
        <v>1</v>
      </c>
      <c r="AY15" s="1850">
        <v>1</v>
      </c>
      <c r="AZ15" s="1853">
        <v>1</v>
      </c>
      <c r="BA15" s="1850">
        <v>1</v>
      </c>
      <c r="BB15" s="1850">
        <v>1</v>
      </c>
      <c r="BC15" s="1850">
        <v>1</v>
      </c>
      <c r="BD15" s="1850">
        <v>1</v>
      </c>
      <c r="BE15" s="1850">
        <v>1</v>
      </c>
      <c r="BF15" s="1850">
        <v>1</v>
      </c>
      <c r="BG15" s="1850">
        <v>1</v>
      </c>
      <c r="BH15" s="1850">
        <v>1</v>
      </c>
      <c r="BI15" s="1852">
        <v>1</v>
      </c>
      <c r="BJ15" s="1850">
        <v>1</v>
      </c>
      <c r="BK15" s="1850">
        <v>1</v>
      </c>
      <c r="BL15" s="1850">
        <v>1</v>
      </c>
      <c r="BM15" s="1850">
        <v>1</v>
      </c>
      <c r="BN15" s="1850">
        <v>1</v>
      </c>
      <c r="BO15" s="1850">
        <v>1</v>
      </c>
      <c r="BP15" s="1850">
        <v>1</v>
      </c>
      <c r="BQ15" s="1850">
        <v>1</v>
      </c>
      <c r="BR15" s="1850">
        <v>1</v>
      </c>
      <c r="BS15" s="1850">
        <v>1</v>
      </c>
      <c r="BT15" s="1850">
        <v>1</v>
      </c>
      <c r="BU15" s="1852"/>
      <c r="BV15" s="1850"/>
      <c r="BW15" s="1850"/>
      <c r="BX15" s="1850"/>
      <c r="BY15" s="1850"/>
      <c r="BZ15" s="1850"/>
      <c r="CA15" s="1586">
        <v>1</v>
      </c>
      <c r="CB15" s="1586">
        <v>1</v>
      </c>
      <c r="CC15" s="1586">
        <v>0.45454545454545453</v>
      </c>
    </row>
    <row r="16" spans="2:81" outlineLevel="1">
      <c r="B16" s="1867">
        <v>41306</v>
      </c>
      <c r="C16" s="1859">
        <v>1</v>
      </c>
      <c r="D16" s="1860">
        <f t="shared" si="3"/>
        <v>1</v>
      </c>
      <c r="E16" s="1860">
        <f t="shared" si="4"/>
        <v>0</v>
      </c>
      <c r="F16" s="1860">
        <f t="shared" si="5"/>
        <v>0</v>
      </c>
      <c r="G16" s="1861">
        <f t="shared" si="0"/>
        <v>1</v>
      </c>
      <c r="H16" s="1861">
        <f t="shared" si="1"/>
        <v>0</v>
      </c>
      <c r="I16" s="1861">
        <f t="shared" si="2"/>
        <v>0</v>
      </c>
      <c r="J16" s="1746"/>
      <c r="K16" s="1849"/>
      <c r="L16" s="1850"/>
      <c r="M16" s="1850"/>
      <c r="N16" s="1850"/>
      <c r="O16" s="1850"/>
      <c r="P16" s="1850"/>
      <c r="Q16" s="1850"/>
      <c r="R16" s="1850"/>
      <c r="S16" s="1850"/>
      <c r="T16" s="1850"/>
      <c r="U16" s="1850">
        <v>1</v>
      </c>
      <c r="V16" s="1850">
        <v>1</v>
      </c>
      <c r="W16" s="1850">
        <v>1</v>
      </c>
      <c r="X16" s="1850">
        <v>1</v>
      </c>
      <c r="Y16" s="1850">
        <v>0</v>
      </c>
      <c r="Z16" s="1850">
        <v>0</v>
      </c>
      <c r="AA16" s="1850">
        <v>0</v>
      </c>
      <c r="AB16" s="1850">
        <v>0</v>
      </c>
      <c r="AC16" s="1850">
        <v>0</v>
      </c>
      <c r="AD16" s="1850">
        <v>0</v>
      </c>
      <c r="AE16" s="1855">
        <v>0</v>
      </c>
      <c r="AF16" s="1850">
        <v>0</v>
      </c>
      <c r="AG16" s="1850">
        <v>0</v>
      </c>
      <c r="AH16" s="1850">
        <v>0</v>
      </c>
      <c r="AI16" s="1850">
        <v>0</v>
      </c>
      <c r="AJ16" s="1850">
        <v>0</v>
      </c>
      <c r="AK16" s="1850">
        <v>0</v>
      </c>
      <c r="AL16" s="1850">
        <v>0</v>
      </c>
      <c r="AM16" s="1850">
        <v>0</v>
      </c>
      <c r="AN16" s="1850">
        <v>0</v>
      </c>
      <c r="AO16" s="1850"/>
      <c r="AP16" s="1850"/>
      <c r="AQ16" s="1850"/>
      <c r="AR16" s="1850"/>
      <c r="AS16" s="1850"/>
      <c r="AT16" s="1850"/>
      <c r="AU16" s="1850"/>
      <c r="AV16" s="1850"/>
      <c r="AW16" s="1850"/>
      <c r="AX16" s="1850"/>
      <c r="AY16" s="1850"/>
      <c r="AZ16" s="1851"/>
      <c r="BA16" s="1850"/>
      <c r="BB16" s="1850"/>
      <c r="BC16" s="1850"/>
      <c r="BD16" s="1850"/>
      <c r="BE16" s="1850"/>
      <c r="BF16" s="1850"/>
      <c r="BG16" s="1850"/>
      <c r="BH16" s="1850"/>
      <c r="BI16" s="1852" t="s">
        <v>227</v>
      </c>
      <c r="BJ16" s="1850" t="s">
        <v>227</v>
      </c>
      <c r="BK16" s="1850" t="s">
        <v>227</v>
      </c>
      <c r="BL16" s="1850" t="s">
        <v>227</v>
      </c>
      <c r="BM16" s="1850" t="s">
        <v>227</v>
      </c>
      <c r="BN16" s="1850" t="s">
        <v>227</v>
      </c>
      <c r="BO16" s="1850" t="s">
        <v>227</v>
      </c>
      <c r="BP16" s="1850" t="s">
        <v>227</v>
      </c>
      <c r="BQ16" s="1850" t="s">
        <v>227</v>
      </c>
      <c r="BR16" s="1850" t="s">
        <v>227</v>
      </c>
      <c r="BS16" s="1850" t="s">
        <v>227</v>
      </c>
      <c r="BT16" s="1850" t="s">
        <v>227</v>
      </c>
      <c r="BU16" s="1852"/>
      <c r="BV16" s="1850"/>
      <c r="BW16" s="1850"/>
      <c r="BX16" s="1850"/>
      <c r="BY16" s="1850"/>
      <c r="BZ16" s="1850"/>
      <c r="CA16" s="1586">
        <v>1</v>
      </c>
      <c r="CB16" s="1586">
        <v>0</v>
      </c>
      <c r="CC16" s="1586">
        <v>0</v>
      </c>
    </row>
    <row r="17" spans="2:81" outlineLevel="1">
      <c r="B17" s="1867">
        <v>41334</v>
      </c>
      <c r="C17" s="1859">
        <v>45</v>
      </c>
      <c r="D17" s="1860">
        <f t="shared" si="3"/>
        <v>45</v>
      </c>
      <c r="E17" s="1860">
        <f t="shared" si="4"/>
        <v>30</v>
      </c>
      <c r="F17" s="1860">
        <f t="shared" si="5"/>
        <v>16</v>
      </c>
      <c r="G17" s="1861">
        <f t="shared" si="0"/>
        <v>1</v>
      </c>
      <c r="H17" s="1861">
        <f t="shared" si="1"/>
        <v>0.66666666666666663</v>
      </c>
      <c r="I17" s="1861">
        <f t="shared" si="2"/>
        <v>0.35555555555555557</v>
      </c>
      <c r="J17" s="1746"/>
      <c r="K17" s="1849"/>
      <c r="L17" s="1850"/>
      <c r="M17" s="1850"/>
      <c r="N17" s="1850"/>
      <c r="O17" s="1850"/>
      <c r="P17" s="1850"/>
      <c r="Q17" s="1850"/>
      <c r="R17" s="1850"/>
      <c r="S17" s="1850"/>
      <c r="T17" s="1850"/>
      <c r="U17" s="1850"/>
      <c r="V17" s="1850">
        <v>45</v>
      </c>
      <c r="W17" s="1850">
        <v>45</v>
      </c>
      <c r="X17" s="1850">
        <v>45</v>
      </c>
      <c r="Y17" s="1850">
        <v>31</v>
      </c>
      <c r="Z17" s="1850">
        <v>30</v>
      </c>
      <c r="AA17" s="1850">
        <v>29</v>
      </c>
      <c r="AB17" s="1850">
        <v>22</v>
      </c>
      <c r="AC17" s="1850">
        <v>20</v>
      </c>
      <c r="AD17" s="1850">
        <v>20</v>
      </c>
      <c r="AE17" s="1850">
        <v>20</v>
      </c>
      <c r="AF17" s="1850">
        <v>16</v>
      </c>
      <c r="AG17" s="1850">
        <v>16</v>
      </c>
      <c r="AH17" s="1850">
        <v>14</v>
      </c>
      <c r="AI17" s="1850">
        <v>13</v>
      </c>
      <c r="AJ17" s="1850">
        <v>11</v>
      </c>
      <c r="AK17" s="1850">
        <v>11</v>
      </c>
      <c r="AL17" s="1850">
        <v>10</v>
      </c>
      <c r="AM17" s="1850">
        <v>9</v>
      </c>
      <c r="AN17" s="1850">
        <v>9</v>
      </c>
      <c r="AO17" s="1850">
        <v>9</v>
      </c>
      <c r="AP17" s="1850">
        <v>8</v>
      </c>
      <c r="AQ17" s="1850">
        <v>8</v>
      </c>
      <c r="AR17" s="1850">
        <v>8</v>
      </c>
      <c r="AS17" s="1850">
        <v>8</v>
      </c>
      <c r="AT17" s="1850">
        <v>7</v>
      </c>
      <c r="AU17" s="1850">
        <v>7</v>
      </c>
      <c r="AV17" s="1850">
        <v>7</v>
      </c>
      <c r="AW17" s="1850">
        <v>3</v>
      </c>
      <c r="AX17" s="1850">
        <v>3</v>
      </c>
      <c r="AY17" s="1850">
        <v>3</v>
      </c>
      <c r="AZ17" s="1853">
        <v>3</v>
      </c>
      <c r="BA17" s="1850">
        <v>3</v>
      </c>
      <c r="BB17" s="1850">
        <v>3</v>
      </c>
      <c r="BC17" s="1850">
        <v>3</v>
      </c>
      <c r="BD17" s="1850">
        <v>3</v>
      </c>
      <c r="BE17" s="1850">
        <v>3</v>
      </c>
      <c r="BF17" s="1850">
        <v>3</v>
      </c>
      <c r="BG17" s="1850">
        <v>3</v>
      </c>
      <c r="BH17" s="1850">
        <v>3</v>
      </c>
      <c r="BI17" s="1852">
        <v>3</v>
      </c>
      <c r="BJ17" s="1850">
        <v>3</v>
      </c>
      <c r="BK17" s="1850">
        <v>3</v>
      </c>
      <c r="BL17" s="1850">
        <v>3</v>
      </c>
      <c r="BM17" s="1850">
        <v>3</v>
      </c>
      <c r="BN17" s="1850">
        <v>3</v>
      </c>
      <c r="BO17" s="1850">
        <v>3</v>
      </c>
      <c r="BP17" s="1850">
        <v>3</v>
      </c>
      <c r="BQ17" s="1850">
        <v>3</v>
      </c>
      <c r="BR17" s="1850">
        <v>3</v>
      </c>
      <c r="BS17" s="1850">
        <v>3</v>
      </c>
      <c r="BT17" s="1850">
        <v>3</v>
      </c>
      <c r="BU17" s="1852"/>
      <c r="BV17" s="1850"/>
      <c r="BW17" s="1850"/>
      <c r="BX17" s="1850"/>
      <c r="BY17" s="1850"/>
      <c r="BZ17" s="1850"/>
      <c r="CA17" s="1586">
        <v>1</v>
      </c>
      <c r="CB17" s="1586">
        <v>0.66666666666666663</v>
      </c>
      <c r="CC17" s="1586">
        <v>0.35555555555555557</v>
      </c>
    </row>
    <row r="18" spans="2:81" outlineLevel="1">
      <c r="B18" s="1867">
        <v>41365</v>
      </c>
      <c r="C18" s="1859">
        <v>109</v>
      </c>
      <c r="D18" s="1860">
        <f t="shared" si="3"/>
        <v>101</v>
      </c>
      <c r="E18" s="1860">
        <f t="shared" si="4"/>
        <v>67</v>
      </c>
      <c r="F18" s="1860">
        <f t="shared" si="5"/>
        <v>43</v>
      </c>
      <c r="G18" s="1861">
        <f t="shared" si="0"/>
        <v>0.92660550458715596</v>
      </c>
      <c r="H18" s="1861">
        <f t="shared" si="1"/>
        <v>0.61467889908256879</v>
      </c>
      <c r="I18" s="1861">
        <f t="shared" si="2"/>
        <v>0.39449541284403672</v>
      </c>
      <c r="J18" s="1817"/>
      <c r="K18" s="1849"/>
      <c r="L18" s="1850"/>
      <c r="M18" s="1850"/>
      <c r="N18" s="1850"/>
      <c r="O18" s="1850"/>
      <c r="P18" s="1850"/>
      <c r="Q18" s="1850"/>
      <c r="R18" s="1850"/>
      <c r="S18" s="1850"/>
      <c r="T18" s="1850"/>
      <c r="U18" s="1850"/>
      <c r="V18" s="1850"/>
      <c r="W18" s="1850">
        <v>109</v>
      </c>
      <c r="X18" s="1850">
        <v>101</v>
      </c>
      <c r="Y18" s="1850">
        <v>98</v>
      </c>
      <c r="Z18" s="1850">
        <v>70</v>
      </c>
      <c r="AA18" s="1850">
        <v>67</v>
      </c>
      <c r="AB18" s="1850">
        <v>66</v>
      </c>
      <c r="AC18" s="1850">
        <v>63</v>
      </c>
      <c r="AD18" s="1850">
        <v>62</v>
      </c>
      <c r="AE18" s="1850">
        <v>62</v>
      </c>
      <c r="AF18" s="1850">
        <v>48</v>
      </c>
      <c r="AG18" s="1850">
        <v>43</v>
      </c>
      <c r="AH18" s="1850">
        <v>42</v>
      </c>
      <c r="AI18" s="1850">
        <v>40</v>
      </c>
      <c r="AJ18" s="1850">
        <v>36</v>
      </c>
      <c r="AK18" s="1850">
        <v>30</v>
      </c>
      <c r="AL18" s="1850">
        <v>29</v>
      </c>
      <c r="AM18" s="1850">
        <v>30</v>
      </c>
      <c r="AN18" s="1850">
        <v>28</v>
      </c>
      <c r="AO18" s="1850">
        <v>28</v>
      </c>
      <c r="AP18" s="1850">
        <v>28</v>
      </c>
      <c r="AQ18" s="1850">
        <v>25</v>
      </c>
      <c r="AR18" s="1850">
        <v>24</v>
      </c>
      <c r="AS18" s="1850">
        <v>23</v>
      </c>
      <c r="AT18" s="1850">
        <v>20</v>
      </c>
      <c r="AU18" s="1850">
        <v>20</v>
      </c>
      <c r="AV18" s="1850">
        <v>20</v>
      </c>
      <c r="AW18" s="1850">
        <v>10</v>
      </c>
      <c r="AX18" s="1850">
        <v>9</v>
      </c>
      <c r="AY18" s="1850">
        <v>8</v>
      </c>
      <c r="AZ18" s="1853">
        <v>8</v>
      </c>
      <c r="BA18" s="1850">
        <v>7</v>
      </c>
      <c r="BB18" s="1850">
        <v>6</v>
      </c>
      <c r="BC18" s="1850">
        <v>6</v>
      </c>
      <c r="BD18" s="1850">
        <v>6</v>
      </c>
      <c r="BE18" s="1850">
        <v>7</v>
      </c>
      <c r="BF18" s="1850">
        <v>7</v>
      </c>
      <c r="BG18" s="1850">
        <v>7</v>
      </c>
      <c r="BH18" s="1850">
        <v>7</v>
      </c>
      <c r="BI18" s="1852">
        <v>7</v>
      </c>
      <c r="BJ18" s="1850">
        <v>7</v>
      </c>
      <c r="BK18" s="1850">
        <v>7</v>
      </c>
      <c r="BL18" s="1850">
        <v>7</v>
      </c>
      <c r="BM18" s="1850">
        <v>7</v>
      </c>
      <c r="BN18" s="1850">
        <v>6</v>
      </c>
      <c r="BO18" s="1850">
        <v>6</v>
      </c>
      <c r="BP18" s="1850">
        <v>6</v>
      </c>
      <c r="BQ18" s="1850">
        <v>6</v>
      </c>
      <c r="BR18" s="1850">
        <v>6</v>
      </c>
      <c r="BS18" s="1850">
        <v>6</v>
      </c>
      <c r="BT18" s="1850">
        <v>6</v>
      </c>
      <c r="BU18" s="1852"/>
      <c r="BV18" s="1850"/>
      <c r="BW18" s="1850"/>
      <c r="BX18" s="1850"/>
      <c r="BY18" s="1850"/>
      <c r="BZ18" s="1850"/>
      <c r="CA18" s="1586">
        <v>0.92660550458715596</v>
      </c>
      <c r="CB18" s="1586">
        <v>0.61467889908256879</v>
      </c>
      <c r="CC18" s="1586">
        <v>0.39449541284403672</v>
      </c>
    </row>
    <row r="19" spans="2:81" outlineLevel="1">
      <c r="B19" s="1867">
        <v>41395</v>
      </c>
      <c r="C19" s="1859">
        <v>98</v>
      </c>
      <c r="D19" s="1860">
        <f t="shared" si="3"/>
        <v>93</v>
      </c>
      <c r="E19" s="1860">
        <f t="shared" si="4"/>
        <v>50</v>
      </c>
      <c r="F19" s="1860">
        <f t="shared" si="5"/>
        <v>22</v>
      </c>
      <c r="G19" s="1861">
        <f t="shared" si="0"/>
        <v>0.94897959183673475</v>
      </c>
      <c r="H19" s="1861">
        <f t="shared" si="1"/>
        <v>0.51020408163265307</v>
      </c>
      <c r="I19" s="1861">
        <f t="shared" si="2"/>
        <v>0.22448979591836735</v>
      </c>
      <c r="J19" s="1746"/>
      <c r="K19" s="1849"/>
      <c r="L19" s="1850"/>
      <c r="M19" s="1850"/>
      <c r="N19" s="1850"/>
      <c r="O19" s="1850"/>
      <c r="P19" s="1850"/>
      <c r="Q19" s="1850"/>
      <c r="R19" s="1850"/>
      <c r="S19" s="1850"/>
      <c r="T19" s="1850"/>
      <c r="U19" s="1850"/>
      <c r="V19" s="1850"/>
      <c r="W19" s="1850"/>
      <c r="X19" s="1850">
        <v>95</v>
      </c>
      <c r="Y19" s="1850">
        <v>93</v>
      </c>
      <c r="Z19" s="1850">
        <v>92</v>
      </c>
      <c r="AA19" s="1850">
        <v>54</v>
      </c>
      <c r="AB19" s="1850">
        <v>50</v>
      </c>
      <c r="AC19" s="1850">
        <v>50</v>
      </c>
      <c r="AD19" s="1850">
        <v>49</v>
      </c>
      <c r="AE19" s="1850">
        <v>49</v>
      </c>
      <c r="AF19" s="1850">
        <v>33</v>
      </c>
      <c r="AG19" s="1850">
        <v>24</v>
      </c>
      <c r="AH19" s="1850">
        <v>22</v>
      </c>
      <c r="AI19" s="1850">
        <v>17</v>
      </c>
      <c r="AJ19" s="1850">
        <v>15</v>
      </c>
      <c r="AK19" s="1850">
        <v>11</v>
      </c>
      <c r="AL19" s="1850">
        <v>11</v>
      </c>
      <c r="AM19" s="1850">
        <v>10</v>
      </c>
      <c r="AN19" s="1850">
        <v>9</v>
      </c>
      <c r="AO19" s="1850">
        <v>9</v>
      </c>
      <c r="AP19" s="1850">
        <v>9</v>
      </c>
      <c r="AQ19" s="1850">
        <v>9</v>
      </c>
      <c r="AR19" s="1850">
        <v>9</v>
      </c>
      <c r="AS19" s="1850">
        <v>9</v>
      </c>
      <c r="AT19" s="1850">
        <v>9</v>
      </c>
      <c r="AU19" s="1850">
        <v>9</v>
      </c>
      <c r="AV19" s="1850">
        <v>9</v>
      </c>
      <c r="AW19" s="1850">
        <v>2</v>
      </c>
      <c r="AX19" s="1850">
        <v>2</v>
      </c>
      <c r="AY19" s="1850">
        <v>1</v>
      </c>
      <c r="AZ19" s="1853">
        <v>1</v>
      </c>
      <c r="BA19" s="1850">
        <v>1</v>
      </c>
      <c r="BB19" s="1850">
        <v>1</v>
      </c>
      <c r="BC19" s="1850">
        <v>1</v>
      </c>
      <c r="BD19" s="1850">
        <v>1</v>
      </c>
      <c r="BE19" s="1850">
        <v>1</v>
      </c>
      <c r="BF19" s="1850">
        <v>1</v>
      </c>
      <c r="BG19" s="1850">
        <v>1</v>
      </c>
      <c r="BH19" s="1850">
        <v>1</v>
      </c>
      <c r="BI19" s="1852">
        <v>1</v>
      </c>
      <c r="BJ19" s="1850">
        <v>1</v>
      </c>
      <c r="BK19" s="1850">
        <v>1</v>
      </c>
      <c r="BL19" s="1850">
        <v>1</v>
      </c>
      <c r="BM19" s="1850">
        <v>1</v>
      </c>
      <c r="BN19" s="1850">
        <v>1</v>
      </c>
      <c r="BO19" s="1850">
        <v>1</v>
      </c>
      <c r="BP19" s="1850">
        <v>1</v>
      </c>
      <c r="BQ19" s="1850">
        <v>1</v>
      </c>
      <c r="BR19" s="1850">
        <v>1</v>
      </c>
      <c r="BS19" s="1850">
        <v>1</v>
      </c>
      <c r="BT19" s="1850">
        <v>2</v>
      </c>
      <c r="BU19" s="1852"/>
      <c r="BV19" s="1850"/>
      <c r="BW19" s="1850"/>
      <c r="BX19" s="1850"/>
      <c r="BY19" s="1850"/>
      <c r="BZ19" s="1850"/>
      <c r="CA19" s="1586">
        <v>0.94897959183673475</v>
      </c>
      <c r="CB19" s="1586">
        <v>0.51020408163265307</v>
      </c>
      <c r="CC19" s="1586">
        <v>0.22448979591836735</v>
      </c>
    </row>
    <row r="20" spans="2:81" outlineLevel="1">
      <c r="B20" s="1867">
        <v>41426</v>
      </c>
      <c r="C20" s="1859">
        <v>80</v>
      </c>
      <c r="D20" s="1860">
        <f t="shared" si="3"/>
        <v>78</v>
      </c>
      <c r="E20" s="1860">
        <f t="shared" si="4"/>
        <v>47</v>
      </c>
      <c r="F20" s="1860">
        <f t="shared" si="5"/>
        <v>22</v>
      </c>
      <c r="G20" s="1861">
        <f t="shared" si="0"/>
        <v>0.97499999999999998</v>
      </c>
      <c r="H20" s="1861">
        <f t="shared" si="1"/>
        <v>0.58750000000000002</v>
      </c>
      <c r="I20" s="1861">
        <f t="shared" si="2"/>
        <v>0.27500000000000002</v>
      </c>
      <c r="J20" s="1746"/>
      <c r="K20" s="1849"/>
      <c r="L20" s="1850"/>
      <c r="M20" s="1850"/>
      <c r="N20" s="1850"/>
      <c r="O20" s="1850"/>
      <c r="P20" s="1850"/>
      <c r="Q20" s="1850"/>
      <c r="R20" s="1850"/>
      <c r="S20" s="1850"/>
      <c r="T20" s="1850"/>
      <c r="U20" s="1850"/>
      <c r="V20" s="1850"/>
      <c r="W20" s="1850"/>
      <c r="X20" s="1850"/>
      <c r="Y20" s="1850">
        <v>80</v>
      </c>
      <c r="Z20" s="1850">
        <v>78</v>
      </c>
      <c r="AA20" s="1850">
        <v>76</v>
      </c>
      <c r="AB20" s="1850">
        <v>51</v>
      </c>
      <c r="AC20" s="1850">
        <v>47</v>
      </c>
      <c r="AD20" s="1850">
        <v>47</v>
      </c>
      <c r="AE20" s="1850">
        <v>46</v>
      </c>
      <c r="AF20" s="1850">
        <v>31</v>
      </c>
      <c r="AG20" s="1850">
        <v>23</v>
      </c>
      <c r="AH20" s="1850">
        <v>23</v>
      </c>
      <c r="AI20" s="1850">
        <v>22</v>
      </c>
      <c r="AJ20" s="1850">
        <v>16</v>
      </c>
      <c r="AK20" s="1850">
        <v>13</v>
      </c>
      <c r="AL20" s="1850">
        <v>13</v>
      </c>
      <c r="AM20" s="1850">
        <v>13</v>
      </c>
      <c r="AN20" s="1850">
        <v>12</v>
      </c>
      <c r="AO20" s="1850">
        <v>11</v>
      </c>
      <c r="AP20" s="1850">
        <v>10</v>
      </c>
      <c r="AQ20" s="1850">
        <v>10</v>
      </c>
      <c r="AR20" s="1850">
        <v>10</v>
      </c>
      <c r="AS20" s="1850">
        <v>9</v>
      </c>
      <c r="AT20" s="1850">
        <v>8</v>
      </c>
      <c r="AU20" s="1850">
        <v>7</v>
      </c>
      <c r="AV20" s="1850">
        <v>7</v>
      </c>
      <c r="AW20" s="1850">
        <v>4</v>
      </c>
      <c r="AX20" s="1850">
        <v>4</v>
      </c>
      <c r="AY20" s="1850">
        <v>4</v>
      </c>
      <c r="AZ20" s="1853">
        <v>5</v>
      </c>
      <c r="BA20" s="1850">
        <v>5</v>
      </c>
      <c r="BB20" s="1850">
        <v>5</v>
      </c>
      <c r="BC20" s="1850">
        <v>5</v>
      </c>
      <c r="BD20" s="1850">
        <v>5</v>
      </c>
      <c r="BE20" s="1850">
        <v>4</v>
      </c>
      <c r="BF20" s="1850">
        <v>5</v>
      </c>
      <c r="BG20" s="1850">
        <v>5</v>
      </c>
      <c r="BH20" s="1850">
        <v>5</v>
      </c>
      <c r="BI20" s="1852">
        <v>6</v>
      </c>
      <c r="BJ20" s="1850">
        <v>6</v>
      </c>
      <c r="BK20" s="1850">
        <v>6</v>
      </c>
      <c r="BL20" s="1850">
        <v>5</v>
      </c>
      <c r="BM20" s="1850">
        <v>6</v>
      </c>
      <c r="BN20" s="1850">
        <v>6</v>
      </c>
      <c r="BO20" s="1850">
        <v>6</v>
      </c>
      <c r="BP20" s="1850">
        <v>6</v>
      </c>
      <c r="BQ20" s="1850">
        <v>6</v>
      </c>
      <c r="BR20" s="1850">
        <v>6</v>
      </c>
      <c r="BS20" s="1850">
        <v>6</v>
      </c>
      <c r="BT20" s="1850">
        <v>6</v>
      </c>
      <c r="BU20" s="1852"/>
      <c r="BV20" s="1850"/>
      <c r="BW20" s="1850"/>
      <c r="BX20" s="1850"/>
      <c r="BY20" s="1850"/>
      <c r="BZ20" s="1850"/>
      <c r="CA20" s="1586">
        <v>0.97499999999999998</v>
      </c>
      <c r="CB20" s="1586">
        <v>0.58750000000000002</v>
      </c>
      <c r="CC20" s="1586">
        <v>0.27500000000000002</v>
      </c>
    </row>
    <row r="21" spans="2:81" outlineLevel="1">
      <c r="B21" s="1867">
        <v>41456</v>
      </c>
      <c r="C21" s="1859">
        <v>60</v>
      </c>
      <c r="D21" s="1860">
        <f t="shared" si="3"/>
        <v>60</v>
      </c>
      <c r="E21" s="1860">
        <f t="shared" si="4"/>
        <v>31</v>
      </c>
      <c r="F21" s="1860">
        <f t="shared" si="5"/>
        <v>16</v>
      </c>
      <c r="G21" s="1861">
        <f t="shared" si="0"/>
        <v>1</v>
      </c>
      <c r="H21" s="1861">
        <f t="shared" si="1"/>
        <v>0.51666666666666672</v>
      </c>
      <c r="I21" s="1861">
        <f t="shared" si="2"/>
        <v>0.26666666666666666</v>
      </c>
      <c r="J21" s="1746"/>
      <c r="K21" s="1849"/>
      <c r="L21" s="1850"/>
      <c r="M21" s="1850"/>
      <c r="N21" s="1850"/>
      <c r="O21" s="1850"/>
      <c r="P21" s="1850"/>
      <c r="Q21" s="1850"/>
      <c r="R21" s="1850"/>
      <c r="S21" s="1850"/>
      <c r="T21" s="1850"/>
      <c r="U21" s="1850"/>
      <c r="V21" s="1850"/>
      <c r="W21" s="1850"/>
      <c r="X21" s="1850"/>
      <c r="Y21" s="1850"/>
      <c r="Z21" s="1850">
        <v>60</v>
      </c>
      <c r="AA21" s="1850">
        <v>60</v>
      </c>
      <c r="AB21" s="1850">
        <v>58</v>
      </c>
      <c r="AC21" s="1850">
        <v>31</v>
      </c>
      <c r="AD21" s="1850">
        <v>31</v>
      </c>
      <c r="AE21" s="1850">
        <v>26</v>
      </c>
      <c r="AF21" s="1850">
        <v>22</v>
      </c>
      <c r="AG21" s="1850">
        <v>19</v>
      </c>
      <c r="AH21" s="1850">
        <v>19</v>
      </c>
      <c r="AI21" s="1850">
        <v>19</v>
      </c>
      <c r="AJ21" s="1850">
        <v>16</v>
      </c>
      <c r="AK21" s="1850">
        <v>13</v>
      </c>
      <c r="AL21" s="1850">
        <v>13</v>
      </c>
      <c r="AM21" s="1850">
        <v>12</v>
      </c>
      <c r="AN21" s="1850">
        <v>9</v>
      </c>
      <c r="AO21" s="1850">
        <v>9</v>
      </c>
      <c r="AP21" s="1850">
        <v>8</v>
      </c>
      <c r="AQ21" s="1850">
        <v>8</v>
      </c>
      <c r="AR21" s="1850">
        <v>8</v>
      </c>
      <c r="AS21" s="1850">
        <v>7</v>
      </c>
      <c r="AT21" s="1850">
        <v>7</v>
      </c>
      <c r="AU21" s="1850">
        <v>5</v>
      </c>
      <c r="AV21" s="1850">
        <v>5</v>
      </c>
      <c r="AW21" s="1850">
        <v>5</v>
      </c>
      <c r="AX21" s="1850">
        <v>5</v>
      </c>
      <c r="AY21" s="1850">
        <v>5</v>
      </c>
      <c r="AZ21" s="1853">
        <v>5</v>
      </c>
      <c r="BA21" s="1850">
        <v>5</v>
      </c>
      <c r="BB21" s="1850">
        <v>5</v>
      </c>
      <c r="BC21" s="1850">
        <v>5</v>
      </c>
      <c r="BD21" s="1850">
        <v>5</v>
      </c>
      <c r="BE21" s="1850">
        <v>5</v>
      </c>
      <c r="BF21" s="1850">
        <v>5</v>
      </c>
      <c r="BG21" s="1850">
        <v>5</v>
      </c>
      <c r="BH21" s="1850">
        <v>5</v>
      </c>
      <c r="BI21" s="1852">
        <v>5</v>
      </c>
      <c r="BJ21" s="1850">
        <v>5</v>
      </c>
      <c r="BK21" s="1850">
        <v>5</v>
      </c>
      <c r="BL21" s="1850">
        <v>5</v>
      </c>
      <c r="BM21" s="1850">
        <v>5</v>
      </c>
      <c r="BN21" s="1850">
        <v>5</v>
      </c>
      <c r="BO21" s="1850">
        <v>5</v>
      </c>
      <c r="BP21" s="1850">
        <v>5</v>
      </c>
      <c r="BQ21" s="1850">
        <v>5</v>
      </c>
      <c r="BR21" s="1850">
        <v>5</v>
      </c>
      <c r="BS21" s="1850">
        <v>5</v>
      </c>
      <c r="BT21" s="1850">
        <v>5</v>
      </c>
      <c r="BU21" s="1852"/>
      <c r="BV21" s="1850"/>
      <c r="BW21" s="1850"/>
      <c r="BX21" s="1850"/>
      <c r="BY21" s="1850"/>
      <c r="BZ21" s="1850"/>
      <c r="CA21" s="1586">
        <v>1</v>
      </c>
      <c r="CB21" s="1586">
        <v>0.51666666666666672</v>
      </c>
      <c r="CC21" s="1586">
        <v>0.26666666666666666</v>
      </c>
    </row>
    <row r="22" spans="2:81" outlineLevel="1">
      <c r="B22" s="1867">
        <v>41487</v>
      </c>
      <c r="C22" s="1859">
        <v>79</v>
      </c>
      <c r="D22" s="1860">
        <f t="shared" si="3"/>
        <v>79</v>
      </c>
      <c r="E22" s="1860">
        <f t="shared" si="4"/>
        <v>54</v>
      </c>
      <c r="F22" s="1860">
        <f t="shared" si="5"/>
        <v>20</v>
      </c>
      <c r="G22" s="1861">
        <f t="shared" si="0"/>
        <v>1</v>
      </c>
      <c r="H22" s="1861">
        <f t="shared" si="1"/>
        <v>0.68354430379746833</v>
      </c>
      <c r="I22" s="1861">
        <f t="shared" si="2"/>
        <v>0.25316455696202533</v>
      </c>
      <c r="J22" s="1746"/>
      <c r="K22" s="1849"/>
      <c r="L22" s="1850"/>
      <c r="M22" s="1850"/>
      <c r="N22" s="1850"/>
      <c r="O22" s="1850"/>
      <c r="P22" s="1850"/>
      <c r="Q22" s="1850"/>
      <c r="R22" s="1850"/>
      <c r="S22" s="1850"/>
      <c r="T22" s="1850"/>
      <c r="U22" s="1850"/>
      <c r="V22" s="1850"/>
      <c r="W22" s="1850"/>
      <c r="X22" s="1850"/>
      <c r="Y22" s="1850"/>
      <c r="Z22" s="1850"/>
      <c r="AA22" s="1850">
        <v>79</v>
      </c>
      <c r="AB22" s="1850">
        <v>79</v>
      </c>
      <c r="AC22" s="1850">
        <v>79</v>
      </c>
      <c r="AD22" s="1850">
        <v>77</v>
      </c>
      <c r="AE22" s="1850">
        <v>54</v>
      </c>
      <c r="AF22" s="1850">
        <v>49</v>
      </c>
      <c r="AG22" s="1850">
        <v>40</v>
      </c>
      <c r="AH22" s="1850">
        <v>40</v>
      </c>
      <c r="AI22" s="1850">
        <v>34</v>
      </c>
      <c r="AJ22" s="1850">
        <v>28</v>
      </c>
      <c r="AK22" s="1850">
        <v>20</v>
      </c>
      <c r="AL22" s="1850">
        <v>17</v>
      </c>
      <c r="AM22" s="1850">
        <v>17</v>
      </c>
      <c r="AN22" s="1850">
        <v>16</v>
      </c>
      <c r="AO22" s="1850">
        <v>13</v>
      </c>
      <c r="AP22" s="1850">
        <v>13</v>
      </c>
      <c r="AQ22" s="1850">
        <v>13</v>
      </c>
      <c r="AR22" s="1850">
        <v>13</v>
      </c>
      <c r="AS22" s="1850">
        <v>12</v>
      </c>
      <c r="AT22" s="1850">
        <v>12</v>
      </c>
      <c r="AU22" s="1850">
        <v>9</v>
      </c>
      <c r="AV22" s="1850">
        <v>9</v>
      </c>
      <c r="AW22" s="1850">
        <v>6</v>
      </c>
      <c r="AX22" s="1850">
        <v>6</v>
      </c>
      <c r="AY22" s="1850">
        <v>6</v>
      </c>
      <c r="AZ22" s="1853">
        <v>6</v>
      </c>
      <c r="BA22" s="1850">
        <v>6</v>
      </c>
      <c r="BB22" s="1850">
        <v>5</v>
      </c>
      <c r="BC22" s="1850">
        <v>5</v>
      </c>
      <c r="BD22" s="1850">
        <v>5</v>
      </c>
      <c r="BE22" s="1850">
        <v>5</v>
      </c>
      <c r="BF22" s="1850">
        <v>5</v>
      </c>
      <c r="BG22" s="1850">
        <v>5</v>
      </c>
      <c r="BH22" s="1850">
        <v>5</v>
      </c>
      <c r="BI22" s="1852">
        <v>5</v>
      </c>
      <c r="BJ22" s="1850">
        <v>5</v>
      </c>
      <c r="BK22" s="1850">
        <v>5</v>
      </c>
      <c r="BL22" s="1850">
        <v>4</v>
      </c>
      <c r="BM22" s="1850">
        <v>4</v>
      </c>
      <c r="BN22" s="1850">
        <v>4</v>
      </c>
      <c r="BO22" s="1850">
        <v>4</v>
      </c>
      <c r="BP22" s="1850">
        <v>4</v>
      </c>
      <c r="BQ22" s="1850">
        <v>4</v>
      </c>
      <c r="BR22" s="1850">
        <v>4</v>
      </c>
      <c r="BS22" s="1850">
        <v>4</v>
      </c>
      <c r="BT22" s="1850">
        <v>4</v>
      </c>
      <c r="BU22" s="1852"/>
      <c r="BV22" s="1850"/>
      <c r="BW22" s="1850"/>
      <c r="BX22" s="1850"/>
      <c r="BY22" s="1850"/>
      <c r="BZ22" s="1850"/>
      <c r="CA22" s="1586">
        <v>1</v>
      </c>
      <c r="CB22" s="1586">
        <v>0.68354430379746833</v>
      </c>
      <c r="CC22" s="1586">
        <v>0.25316455696202533</v>
      </c>
    </row>
    <row r="23" spans="2:81" outlineLevel="1">
      <c r="B23" s="1867">
        <v>41518</v>
      </c>
      <c r="C23" s="1859">
        <v>113</v>
      </c>
      <c r="D23" s="1860">
        <f t="shared" si="3"/>
        <v>113</v>
      </c>
      <c r="E23" s="1860">
        <f t="shared" si="4"/>
        <v>69</v>
      </c>
      <c r="F23" s="1860">
        <f t="shared" si="5"/>
        <v>24</v>
      </c>
      <c r="G23" s="1861">
        <f t="shared" si="0"/>
        <v>1</v>
      </c>
      <c r="H23" s="1861">
        <f t="shared" si="1"/>
        <v>0.61061946902654862</v>
      </c>
      <c r="I23" s="1861">
        <f t="shared" si="2"/>
        <v>0.21238938053097345</v>
      </c>
      <c r="J23" s="1746"/>
      <c r="K23" s="1849"/>
      <c r="L23" s="1850"/>
      <c r="M23" s="1850"/>
      <c r="N23" s="1850"/>
      <c r="O23" s="1850"/>
      <c r="P23" s="1850"/>
      <c r="Q23" s="1850"/>
      <c r="R23" s="1850"/>
      <c r="S23" s="1850"/>
      <c r="T23" s="1850"/>
      <c r="U23" s="1850"/>
      <c r="V23" s="1850"/>
      <c r="W23" s="1850"/>
      <c r="X23" s="1850"/>
      <c r="Y23" s="1850"/>
      <c r="Z23" s="1850"/>
      <c r="AA23" s="1850"/>
      <c r="AB23" s="1850">
        <v>113</v>
      </c>
      <c r="AC23" s="1850">
        <v>113</v>
      </c>
      <c r="AD23" s="1850">
        <v>112</v>
      </c>
      <c r="AE23" s="1850">
        <v>76</v>
      </c>
      <c r="AF23" s="1850">
        <v>69</v>
      </c>
      <c r="AG23" s="1850">
        <v>65</v>
      </c>
      <c r="AH23" s="1850">
        <v>65</v>
      </c>
      <c r="AI23" s="1850">
        <v>58</v>
      </c>
      <c r="AJ23" s="1850">
        <v>39</v>
      </c>
      <c r="AK23" s="1850">
        <v>27</v>
      </c>
      <c r="AL23" s="1850">
        <v>24</v>
      </c>
      <c r="AM23" s="1850">
        <v>23</v>
      </c>
      <c r="AN23" s="1850">
        <v>22</v>
      </c>
      <c r="AO23" s="1850">
        <v>17</v>
      </c>
      <c r="AP23" s="1850">
        <v>16</v>
      </c>
      <c r="AQ23" s="1850">
        <v>15</v>
      </c>
      <c r="AR23" s="1850">
        <v>15</v>
      </c>
      <c r="AS23" s="1850">
        <v>13</v>
      </c>
      <c r="AT23" s="1850">
        <v>11</v>
      </c>
      <c r="AU23" s="1850">
        <v>11</v>
      </c>
      <c r="AV23" s="1850">
        <v>10</v>
      </c>
      <c r="AW23" s="1850">
        <v>6</v>
      </c>
      <c r="AX23" s="1850">
        <v>6</v>
      </c>
      <c r="AY23" s="1850">
        <v>6</v>
      </c>
      <c r="AZ23" s="1853">
        <v>6</v>
      </c>
      <c r="BA23" s="1850">
        <v>6</v>
      </c>
      <c r="BB23" s="1850">
        <v>6</v>
      </c>
      <c r="BC23" s="1850">
        <v>6</v>
      </c>
      <c r="BD23" s="1850">
        <v>6</v>
      </c>
      <c r="BE23" s="1850">
        <v>6</v>
      </c>
      <c r="BF23" s="1850">
        <v>5</v>
      </c>
      <c r="BG23" s="1850">
        <v>5</v>
      </c>
      <c r="BH23" s="1850">
        <v>5</v>
      </c>
      <c r="BI23" s="1852">
        <v>5</v>
      </c>
      <c r="BJ23" s="1850">
        <v>5</v>
      </c>
      <c r="BK23" s="1850">
        <v>4</v>
      </c>
      <c r="BL23" s="1850">
        <v>4</v>
      </c>
      <c r="BM23" s="1850">
        <v>4</v>
      </c>
      <c r="BN23" s="1850">
        <v>4</v>
      </c>
      <c r="BO23" s="1850">
        <v>4</v>
      </c>
      <c r="BP23" s="1850">
        <v>4</v>
      </c>
      <c r="BQ23" s="1850">
        <v>4</v>
      </c>
      <c r="BR23" s="1850">
        <v>4</v>
      </c>
      <c r="BS23" s="1850">
        <v>4</v>
      </c>
      <c r="BT23" s="1850">
        <v>4</v>
      </c>
      <c r="BU23" s="1852"/>
      <c r="BV23" s="1850"/>
      <c r="BW23" s="1850"/>
      <c r="BX23" s="1850"/>
      <c r="BY23" s="1850"/>
      <c r="BZ23" s="1850"/>
      <c r="CA23" s="1586">
        <v>1</v>
      </c>
      <c r="CB23" s="1586">
        <v>0.61061946902654862</v>
      </c>
      <c r="CC23" s="1586">
        <v>0.21238938053097345</v>
      </c>
    </row>
    <row r="24" spans="2:81" outlineLevel="1">
      <c r="B24" s="1867">
        <v>41548</v>
      </c>
      <c r="C24" s="1859">
        <v>98</v>
      </c>
      <c r="D24" s="1860">
        <f t="shared" si="3"/>
        <v>98</v>
      </c>
      <c r="E24" s="1860">
        <f t="shared" si="4"/>
        <v>64</v>
      </c>
      <c r="F24" s="1860">
        <f t="shared" si="5"/>
        <v>20</v>
      </c>
      <c r="G24" s="1861">
        <f t="shared" si="0"/>
        <v>1</v>
      </c>
      <c r="H24" s="1861">
        <f t="shared" si="1"/>
        <v>0.65306122448979587</v>
      </c>
      <c r="I24" s="1861">
        <f t="shared" si="2"/>
        <v>0.20408163265306123</v>
      </c>
      <c r="J24" s="1746"/>
      <c r="K24" s="1849"/>
      <c r="L24" s="1850"/>
      <c r="M24" s="1850"/>
      <c r="N24" s="1850"/>
      <c r="O24" s="1850"/>
      <c r="P24" s="1850"/>
      <c r="Q24" s="1850"/>
      <c r="R24" s="1850"/>
      <c r="S24" s="1850"/>
      <c r="T24" s="1850"/>
      <c r="U24" s="1850"/>
      <c r="V24" s="1850"/>
      <c r="W24" s="1850"/>
      <c r="X24" s="1850"/>
      <c r="Y24" s="1850"/>
      <c r="Z24" s="1850"/>
      <c r="AA24" s="1850"/>
      <c r="AB24" s="1850"/>
      <c r="AC24" s="1850">
        <v>98</v>
      </c>
      <c r="AD24" s="1850">
        <v>98</v>
      </c>
      <c r="AE24" s="1850">
        <v>97</v>
      </c>
      <c r="AF24" s="1850">
        <v>65</v>
      </c>
      <c r="AG24" s="1850">
        <v>64</v>
      </c>
      <c r="AH24" s="1850">
        <v>64</v>
      </c>
      <c r="AI24" s="1850">
        <v>53</v>
      </c>
      <c r="AJ24" s="1850">
        <v>32</v>
      </c>
      <c r="AK24" s="1850">
        <v>24</v>
      </c>
      <c r="AL24" s="1850">
        <v>24</v>
      </c>
      <c r="AM24" s="1850">
        <v>20</v>
      </c>
      <c r="AN24" s="1850">
        <v>19</v>
      </c>
      <c r="AO24" s="1850">
        <v>17</v>
      </c>
      <c r="AP24" s="1850">
        <v>17</v>
      </c>
      <c r="AQ24" s="1850">
        <v>15</v>
      </c>
      <c r="AR24" s="1850">
        <v>15</v>
      </c>
      <c r="AS24" s="1850">
        <v>14</v>
      </c>
      <c r="AT24" s="1850">
        <v>12</v>
      </c>
      <c r="AU24" s="1850">
        <v>10</v>
      </c>
      <c r="AV24" s="1850">
        <v>8</v>
      </c>
      <c r="AW24" s="1850">
        <v>8</v>
      </c>
      <c r="AX24" s="1850">
        <v>7</v>
      </c>
      <c r="AY24" s="1850">
        <v>7</v>
      </c>
      <c r="AZ24" s="1853">
        <v>7</v>
      </c>
      <c r="BA24" s="1850">
        <v>7</v>
      </c>
      <c r="BB24" s="1850">
        <v>7</v>
      </c>
      <c r="BC24" s="1850">
        <v>7</v>
      </c>
      <c r="BD24" s="1850">
        <v>7</v>
      </c>
      <c r="BE24" s="1850">
        <v>6</v>
      </c>
      <c r="BF24" s="1850">
        <v>5</v>
      </c>
      <c r="BG24" s="1850">
        <v>5</v>
      </c>
      <c r="BH24" s="1850">
        <v>5</v>
      </c>
      <c r="BI24" s="1852">
        <v>5</v>
      </c>
      <c r="BJ24" s="1850">
        <v>5</v>
      </c>
      <c r="BK24" s="1850">
        <v>5</v>
      </c>
      <c r="BL24" s="1850">
        <v>5</v>
      </c>
      <c r="BM24" s="1850">
        <v>5</v>
      </c>
      <c r="BN24" s="1850">
        <v>5</v>
      </c>
      <c r="BO24" s="1850">
        <v>5</v>
      </c>
      <c r="BP24" s="1850">
        <v>5</v>
      </c>
      <c r="BQ24" s="1850">
        <v>5</v>
      </c>
      <c r="BR24" s="1850">
        <v>5</v>
      </c>
      <c r="BS24" s="1850">
        <v>4</v>
      </c>
      <c r="BT24" s="1850">
        <v>4</v>
      </c>
      <c r="BU24" s="1852"/>
      <c r="BV24" s="1850"/>
      <c r="BW24" s="1850"/>
      <c r="BX24" s="1850"/>
      <c r="BY24" s="1850"/>
      <c r="BZ24" s="1850"/>
      <c r="CA24" s="1586">
        <v>1</v>
      </c>
      <c r="CB24" s="1586">
        <v>0.65306122448979587</v>
      </c>
      <c r="CC24" s="1586">
        <v>0.20408163265306123</v>
      </c>
    </row>
    <row r="25" spans="2:81" outlineLevel="1">
      <c r="B25" s="1867">
        <v>41579</v>
      </c>
      <c r="C25" s="1859">
        <v>98</v>
      </c>
      <c r="D25" s="1860">
        <f t="shared" si="3"/>
        <v>98</v>
      </c>
      <c r="E25" s="1860">
        <f t="shared" si="4"/>
        <v>69</v>
      </c>
      <c r="F25" s="1860">
        <f t="shared" si="5"/>
        <v>28</v>
      </c>
      <c r="G25" s="1861">
        <f t="shared" si="0"/>
        <v>1</v>
      </c>
      <c r="H25" s="1861">
        <f t="shared" si="1"/>
        <v>0.70408163265306123</v>
      </c>
      <c r="I25" s="1861">
        <f t="shared" si="2"/>
        <v>0.2857142857142857</v>
      </c>
      <c r="J25" s="1609"/>
      <c r="K25" s="1849"/>
      <c r="L25" s="1850"/>
      <c r="M25" s="1850"/>
      <c r="N25" s="1850"/>
      <c r="O25" s="1850"/>
      <c r="P25" s="1850"/>
      <c r="Q25" s="1850"/>
      <c r="R25" s="1850"/>
      <c r="S25" s="1850"/>
      <c r="T25" s="1850"/>
      <c r="U25" s="1850"/>
      <c r="V25" s="1850"/>
      <c r="W25" s="1850"/>
      <c r="X25" s="1850"/>
      <c r="Y25" s="1850"/>
      <c r="Z25" s="1850"/>
      <c r="AA25" s="1850"/>
      <c r="AB25" s="1850"/>
      <c r="AC25" s="1850"/>
      <c r="AD25" s="1850">
        <v>98</v>
      </c>
      <c r="AE25" s="1850">
        <v>98</v>
      </c>
      <c r="AF25" s="1850">
        <v>93</v>
      </c>
      <c r="AG25" s="1850">
        <v>69</v>
      </c>
      <c r="AH25" s="1850">
        <v>69</v>
      </c>
      <c r="AI25" s="1850">
        <v>59</v>
      </c>
      <c r="AJ25" s="1850">
        <v>37</v>
      </c>
      <c r="AK25" s="1850">
        <v>29</v>
      </c>
      <c r="AL25" s="1850">
        <v>28</v>
      </c>
      <c r="AM25" s="1850">
        <v>29</v>
      </c>
      <c r="AN25" s="1850">
        <v>28</v>
      </c>
      <c r="AO25" s="1850">
        <v>22</v>
      </c>
      <c r="AP25" s="1850">
        <v>21</v>
      </c>
      <c r="AQ25" s="1850">
        <v>20</v>
      </c>
      <c r="AR25" s="1850">
        <v>20</v>
      </c>
      <c r="AS25" s="1850">
        <v>20</v>
      </c>
      <c r="AT25" s="1850">
        <v>17</v>
      </c>
      <c r="AU25" s="1850">
        <v>14</v>
      </c>
      <c r="AV25" s="1850">
        <v>11</v>
      </c>
      <c r="AW25" s="1850">
        <v>9</v>
      </c>
      <c r="AX25" s="1850">
        <v>9</v>
      </c>
      <c r="AY25" s="1850">
        <v>9</v>
      </c>
      <c r="AZ25" s="1853">
        <v>9</v>
      </c>
      <c r="BA25" s="1850">
        <v>9</v>
      </c>
      <c r="BB25" s="1850">
        <v>9</v>
      </c>
      <c r="BC25" s="1850">
        <v>9</v>
      </c>
      <c r="BD25" s="1850">
        <v>9</v>
      </c>
      <c r="BE25" s="1850">
        <v>9</v>
      </c>
      <c r="BF25" s="1850">
        <v>9</v>
      </c>
      <c r="BG25" s="1850">
        <v>9</v>
      </c>
      <c r="BH25" s="1850">
        <v>8</v>
      </c>
      <c r="BI25" s="1852">
        <v>8</v>
      </c>
      <c r="BJ25" s="1850">
        <v>9</v>
      </c>
      <c r="BK25" s="1850">
        <v>9</v>
      </c>
      <c r="BL25" s="1850">
        <v>9</v>
      </c>
      <c r="BM25" s="1850">
        <v>9</v>
      </c>
      <c r="BN25" s="1850">
        <v>7</v>
      </c>
      <c r="BO25" s="1850">
        <v>7</v>
      </c>
      <c r="BP25" s="1850">
        <v>7</v>
      </c>
      <c r="BQ25" s="1850">
        <v>7</v>
      </c>
      <c r="BR25" s="1850">
        <v>6</v>
      </c>
      <c r="BS25" s="1850">
        <v>6</v>
      </c>
      <c r="BT25" s="1850">
        <v>6</v>
      </c>
      <c r="BU25" s="1852"/>
      <c r="BV25" s="1850"/>
      <c r="BW25" s="1850"/>
      <c r="BX25" s="1850"/>
      <c r="BY25" s="1850"/>
      <c r="BZ25" s="1850"/>
      <c r="CA25" s="1586">
        <v>1</v>
      </c>
      <c r="CB25" s="1586">
        <v>0.70408163265306123</v>
      </c>
      <c r="CC25" s="1586">
        <v>0.2857142857142857</v>
      </c>
    </row>
    <row r="26" spans="2:81">
      <c r="B26" s="1867">
        <v>41609</v>
      </c>
      <c r="C26" s="1859">
        <v>155</v>
      </c>
      <c r="D26" s="1860">
        <f t="shared" si="3"/>
        <v>154</v>
      </c>
      <c r="E26" s="1860">
        <f t="shared" si="4"/>
        <v>100</v>
      </c>
      <c r="F26" s="1860">
        <f t="shared" si="5"/>
        <v>31</v>
      </c>
      <c r="G26" s="1861">
        <f t="shared" si="0"/>
        <v>0.99354838709677418</v>
      </c>
      <c r="H26" s="1861">
        <f t="shared" si="1"/>
        <v>0.64516129032258063</v>
      </c>
      <c r="I26" s="1861">
        <f t="shared" si="2"/>
        <v>0.2</v>
      </c>
      <c r="J26" s="1609"/>
      <c r="K26" s="1849"/>
      <c r="L26" s="1850"/>
      <c r="M26" s="1850"/>
      <c r="N26" s="1850"/>
      <c r="O26" s="1850"/>
      <c r="P26" s="1850"/>
      <c r="Q26" s="1850"/>
      <c r="R26" s="1850"/>
      <c r="S26" s="1850"/>
      <c r="T26" s="1850"/>
      <c r="U26" s="1850"/>
      <c r="V26" s="1850"/>
      <c r="W26" s="1850"/>
      <c r="X26" s="1850"/>
      <c r="Y26" s="1850"/>
      <c r="Z26" s="1850"/>
      <c r="AA26" s="1850"/>
      <c r="AB26" s="1850"/>
      <c r="AC26" s="1850"/>
      <c r="AD26" s="1850"/>
      <c r="AE26" s="1850">
        <v>154</v>
      </c>
      <c r="AF26" s="1850">
        <v>154</v>
      </c>
      <c r="AG26" s="1850">
        <v>139</v>
      </c>
      <c r="AH26" s="1850">
        <v>127</v>
      </c>
      <c r="AI26" s="1850">
        <v>100</v>
      </c>
      <c r="AJ26" s="1850">
        <v>58</v>
      </c>
      <c r="AK26" s="1850">
        <v>47</v>
      </c>
      <c r="AL26" s="1850">
        <v>45</v>
      </c>
      <c r="AM26" s="1850">
        <v>38</v>
      </c>
      <c r="AN26" s="1850">
        <v>34</v>
      </c>
      <c r="AO26" s="1850">
        <v>31</v>
      </c>
      <c r="AP26" s="1850">
        <v>30</v>
      </c>
      <c r="AQ26" s="1850">
        <v>30</v>
      </c>
      <c r="AR26" s="1850">
        <v>29</v>
      </c>
      <c r="AS26" s="1850">
        <v>29</v>
      </c>
      <c r="AT26" s="1850">
        <v>26</v>
      </c>
      <c r="AU26" s="1850">
        <v>22</v>
      </c>
      <c r="AV26" s="1850">
        <v>20</v>
      </c>
      <c r="AW26" s="1850">
        <v>16</v>
      </c>
      <c r="AX26" s="1850">
        <v>16</v>
      </c>
      <c r="AY26" s="1850">
        <v>15</v>
      </c>
      <c r="AZ26" s="1853">
        <v>14</v>
      </c>
      <c r="BA26" s="1850">
        <v>13</v>
      </c>
      <c r="BB26" s="1850">
        <v>13</v>
      </c>
      <c r="BC26" s="1850">
        <v>13</v>
      </c>
      <c r="BD26" s="1850">
        <v>13</v>
      </c>
      <c r="BE26" s="1850">
        <v>11</v>
      </c>
      <c r="BF26" s="1850">
        <v>11</v>
      </c>
      <c r="BG26" s="1850">
        <v>11</v>
      </c>
      <c r="BH26" s="1850">
        <v>11</v>
      </c>
      <c r="BI26" s="1852">
        <v>11</v>
      </c>
      <c r="BJ26" s="1850">
        <v>10</v>
      </c>
      <c r="BK26" s="1850">
        <v>10</v>
      </c>
      <c r="BL26" s="1850">
        <v>10</v>
      </c>
      <c r="BM26" s="1850">
        <v>10</v>
      </c>
      <c r="BN26" s="1850">
        <v>10</v>
      </c>
      <c r="BO26" s="1850">
        <v>10</v>
      </c>
      <c r="BP26" s="1850">
        <v>10</v>
      </c>
      <c r="BQ26" s="1850">
        <v>10</v>
      </c>
      <c r="BR26" s="1850">
        <v>9</v>
      </c>
      <c r="BS26" s="1850">
        <v>9</v>
      </c>
      <c r="BT26" s="1850">
        <v>9</v>
      </c>
      <c r="BU26" s="1852"/>
      <c r="BV26" s="1850"/>
      <c r="BW26" s="1850"/>
      <c r="BX26" s="1850"/>
      <c r="BY26" s="1850"/>
      <c r="BZ26" s="1850"/>
      <c r="CA26" s="1586">
        <v>0.99354838709677418</v>
      </c>
      <c r="CB26" s="1586">
        <v>0.64516129032258063</v>
      </c>
      <c r="CC26" s="1586">
        <v>0.2</v>
      </c>
    </row>
    <row r="27" spans="2:81" outlineLevel="1">
      <c r="B27" s="1867">
        <v>41640</v>
      </c>
      <c r="C27" s="1859">
        <v>51</v>
      </c>
      <c r="D27" s="1860">
        <f t="shared" si="3"/>
        <v>49</v>
      </c>
      <c r="E27" s="1860">
        <f t="shared" si="4"/>
        <v>26</v>
      </c>
      <c r="F27" s="1860">
        <f t="shared" si="5"/>
        <v>11</v>
      </c>
      <c r="G27" s="1861">
        <f t="shared" si="0"/>
        <v>0.96078431372549022</v>
      </c>
      <c r="H27" s="1861">
        <f t="shared" si="1"/>
        <v>0.50980392156862742</v>
      </c>
      <c r="I27" s="1861">
        <f t="shared" si="2"/>
        <v>0.21568627450980393</v>
      </c>
      <c r="J27" s="1609"/>
      <c r="K27" s="1849"/>
      <c r="L27" s="1850"/>
      <c r="M27" s="1850"/>
      <c r="N27" s="1850"/>
      <c r="O27" s="1850"/>
      <c r="P27" s="1850"/>
      <c r="Q27" s="1850"/>
      <c r="R27" s="1850"/>
      <c r="S27" s="1850"/>
      <c r="T27" s="1850"/>
      <c r="U27" s="1850"/>
      <c r="V27" s="1850"/>
      <c r="W27" s="1850"/>
      <c r="X27" s="1850"/>
      <c r="Y27" s="1850"/>
      <c r="Z27" s="1850"/>
      <c r="AA27" s="1850"/>
      <c r="AB27" s="1850"/>
      <c r="AC27" s="1850"/>
      <c r="AD27" s="1850"/>
      <c r="AE27" s="1850"/>
      <c r="AF27" s="1850">
        <v>51</v>
      </c>
      <c r="AG27" s="1850">
        <v>49</v>
      </c>
      <c r="AH27" s="1850">
        <v>48</v>
      </c>
      <c r="AI27" s="1850">
        <v>36</v>
      </c>
      <c r="AJ27" s="1850">
        <v>26</v>
      </c>
      <c r="AK27" s="1850">
        <v>18</v>
      </c>
      <c r="AL27" s="1850">
        <v>16</v>
      </c>
      <c r="AM27" s="1850">
        <v>15</v>
      </c>
      <c r="AN27" s="1850">
        <v>14</v>
      </c>
      <c r="AO27" s="1850">
        <v>13</v>
      </c>
      <c r="AP27" s="1850">
        <v>11</v>
      </c>
      <c r="AQ27" s="1850">
        <v>9</v>
      </c>
      <c r="AR27" s="1850">
        <v>8</v>
      </c>
      <c r="AS27" s="1850">
        <v>7</v>
      </c>
      <c r="AT27" s="1850">
        <v>5</v>
      </c>
      <c r="AU27" s="1850">
        <v>4</v>
      </c>
      <c r="AV27" s="1850">
        <v>5</v>
      </c>
      <c r="AW27" s="1850">
        <v>4</v>
      </c>
      <c r="AX27" s="1850">
        <v>4</v>
      </c>
      <c r="AY27" s="1850">
        <v>4</v>
      </c>
      <c r="AZ27" s="1853">
        <v>4</v>
      </c>
      <c r="BA27" s="1850">
        <v>4</v>
      </c>
      <c r="BB27" s="1850">
        <v>4</v>
      </c>
      <c r="BC27" s="1850">
        <v>4</v>
      </c>
      <c r="BD27" s="1850">
        <v>4</v>
      </c>
      <c r="BE27" s="1850">
        <v>4</v>
      </c>
      <c r="BF27" s="1850">
        <v>3</v>
      </c>
      <c r="BG27" s="1850">
        <v>3</v>
      </c>
      <c r="BH27" s="1850">
        <v>3</v>
      </c>
      <c r="BI27" s="1852">
        <v>3</v>
      </c>
      <c r="BJ27" s="1850">
        <v>3</v>
      </c>
      <c r="BK27" s="1850">
        <v>2</v>
      </c>
      <c r="BL27" s="1850">
        <v>2</v>
      </c>
      <c r="BM27" s="1850">
        <v>2</v>
      </c>
      <c r="BN27" s="1850">
        <v>2</v>
      </c>
      <c r="BO27" s="1850">
        <v>2</v>
      </c>
      <c r="BP27" s="1850">
        <v>2</v>
      </c>
      <c r="BQ27" s="1850">
        <v>2</v>
      </c>
      <c r="BR27" s="1850">
        <v>2</v>
      </c>
      <c r="BS27" s="1850">
        <v>2</v>
      </c>
      <c r="BT27" s="1850">
        <v>2</v>
      </c>
      <c r="BU27" s="1852"/>
      <c r="BV27" s="1850"/>
      <c r="BW27" s="1850"/>
      <c r="BX27" s="1850"/>
      <c r="BY27" s="1850"/>
      <c r="BZ27" s="1850"/>
      <c r="CA27" s="1586">
        <v>0.96078431372549022</v>
      </c>
      <c r="CB27" s="1586">
        <v>0.50980392156862742</v>
      </c>
      <c r="CC27" s="1586">
        <v>0.21568627450980393</v>
      </c>
    </row>
    <row r="28" spans="2:81" outlineLevel="1">
      <c r="B28" s="1867">
        <v>41671</v>
      </c>
      <c r="C28" s="1859">
        <v>48</v>
      </c>
      <c r="D28" s="1860">
        <f t="shared" si="3"/>
        <v>48</v>
      </c>
      <c r="E28" s="1860">
        <f t="shared" si="4"/>
        <v>17</v>
      </c>
      <c r="F28" s="1860">
        <f t="shared" si="5"/>
        <v>9</v>
      </c>
      <c r="G28" s="1861">
        <f t="shared" si="0"/>
        <v>1</v>
      </c>
      <c r="H28" s="1861">
        <f t="shared" si="1"/>
        <v>0.35416666666666669</v>
      </c>
      <c r="I28" s="1861">
        <f t="shared" si="2"/>
        <v>0.1875</v>
      </c>
      <c r="J28" s="1609"/>
      <c r="K28" s="1849"/>
      <c r="L28" s="1850"/>
      <c r="M28" s="1850"/>
      <c r="N28" s="1850"/>
      <c r="O28" s="1850"/>
      <c r="P28" s="1850"/>
      <c r="Q28" s="1850"/>
      <c r="R28" s="1850"/>
      <c r="S28" s="1850"/>
      <c r="T28" s="1850"/>
      <c r="U28" s="1850"/>
      <c r="V28" s="1850"/>
      <c r="W28" s="1850"/>
      <c r="X28" s="1850"/>
      <c r="Y28" s="1850"/>
      <c r="Z28" s="1850"/>
      <c r="AA28" s="1850"/>
      <c r="AB28" s="1850"/>
      <c r="AC28" s="1850"/>
      <c r="AD28" s="1850"/>
      <c r="AE28" s="1850"/>
      <c r="AF28" s="1850"/>
      <c r="AG28" s="1850">
        <v>48</v>
      </c>
      <c r="AH28" s="1850">
        <v>48</v>
      </c>
      <c r="AI28" s="1850">
        <v>44</v>
      </c>
      <c r="AJ28" s="1850">
        <v>27</v>
      </c>
      <c r="AK28" s="1850">
        <v>17</v>
      </c>
      <c r="AL28" s="1850">
        <v>15</v>
      </c>
      <c r="AM28" s="1850">
        <v>13</v>
      </c>
      <c r="AN28" s="1850">
        <v>13</v>
      </c>
      <c r="AO28" s="1850">
        <v>9</v>
      </c>
      <c r="AP28" s="1850">
        <v>9</v>
      </c>
      <c r="AQ28" s="1850">
        <v>9</v>
      </c>
      <c r="AR28" s="1850">
        <v>8</v>
      </c>
      <c r="AS28" s="1850">
        <v>7</v>
      </c>
      <c r="AT28" s="1850">
        <v>4</v>
      </c>
      <c r="AU28" s="1850">
        <v>4</v>
      </c>
      <c r="AV28" s="1850">
        <v>2</v>
      </c>
      <c r="AW28" s="1850"/>
      <c r="AX28" s="1850"/>
      <c r="AY28" s="1850"/>
      <c r="AZ28" s="1851"/>
      <c r="BA28" s="1850"/>
      <c r="BB28" s="1850"/>
      <c r="BC28" s="1850"/>
      <c r="BD28" s="1850"/>
      <c r="BE28" s="1850"/>
      <c r="BF28" s="1850"/>
      <c r="BG28" s="1850"/>
      <c r="BH28" s="1850"/>
      <c r="BI28" s="1852" t="s">
        <v>227</v>
      </c>
      <c r="BJ28" s="1850" t="s">
        <v>227</v>
      </c>
      <c r="BK28" s="1850" t="s">
        <v>227</v>
      </c>
      <c r="BL28" s="1850" t="s">
        <v>227</v>
      </c>
      <c r="BM28" s="1850" t="s">
        <v>227</v>
      </c>
      <c r="BN28" s="1850" t="s">
        <v>227</v>
      </c>
      <c r="BO28" s="1850" t="s">
        <v>227</v>
      </c>
      <c r="BP28" s="1850" t="s">
        <v>227</v>
      </c>
      <c r="BQ28" s="1850" t="s">
        <v>227</v>
      </c>
      <c r="BR28" s="1850" t="s">
        <v>227</v>
      </c>
      <c r="BS28" s="1850" t="s">
        <v>227</v>
      </c>
      <c r="BT28" s="1850" t="s">
        <v>227</v>
      </c>
      <c r="BU28" s="1852"/>
      <c r="BV28" s="1850"/>
      <c r="BW28" s="1850"/>
      <c r="BX28" s="1850"/>
      <c r="BY28" s="1850"/>
      <c r="BZ28" s="1850"/>
      <c r="CA28" s="1586">
        <v>1</v>
      </c>
      <c r="CB28" s="1586">
        <v>0.35416666666666669</v>
      </c>
      <c r="CC28" s="1621">
        <v>0.1875</v>
      </c>
    </row>
    <row r="29" spans="2:81" outlineLevel="1">
      <c r="B29" s="1867">
        <v>41699</v>
      </c>
      <c r="C29" s="1859">
        <v>83</v>
      </c>
      <c r="D29" s="1860">
        <f t="shared" si="3"/>
        <v>71</v>
      </c>
      <c r="E29" s="1860">
        <f t="shared" si="4"/>
        <v>34</v>
      </c>
      <c r="F29" s="1860">
        <f t="shared" si="5"/>
        <v>26</v>
      </c>
      <c r="G29" s="1861">
        <f t="shared" si="0"/>
        <v>0.85542168674698793</v>
      </c>
      <c r="H29" s="1861">
        <f t="shared" si="1"/>
        <v>0.40963855421686746</v>
      </c>
      <c r="I29" s="1861">
        <f t="shared" si="2"/>
        <v>0.31325301204819278</v>
      </c>
      <c r="J29" s="1609"/>
      <c r="K29" s="1849"/>
      <c r="L29" s="1850"/>
      <c r="M29" s="1850"/>
      <c r="N29" s="1850"/>
      <c r="O29" s="1850"/>
      <c r="P29" s="1850"/>
      <c r="Q29" s="1850"/>
      <c r="R29" s="1850"/>
      <c r="S29" s="1850"/>
      <c r="T29" s="1850"/>
      <c r="U29" s="1850"/>
      <c r="V29" s="1850"/>
      <c r="W29" s="1850"/>
      <c r="X29" s="1850"/>
      <c r="Y29" s="1850"/>
      <c r="Z29" s="1850"/>
      <c r="AA29" s="1850"/>
      <c r="AB29" s="1850"/>
      <c r="AC29" s="1850"/>
      <c r="AD29" s="1850"/>
      <c r="AE29" s="1850"/>
      <c r="AF29" s="1850"/>
      <c r="AG29" s="1850"/>
      <c r="AH29" s="1850">
        <v>83</v>
      </c>
      <c r="AI29" s="1850">
        <v>71</v>
      </c>
      <c r="AJ29" s="1850">
        <v>59</v>
      </c>
      <c r="AK29" s="1850">
        <v>39</v>
      </c>
      <c r="AL29" s="1850">
        <v>34</v>
      </c>
      <c r="AM29" s="1850">
        <v>32</v>
      </c>
      <c r="AN29" s="1850">
        <v>31</v>
      </c>
      <c r="AO29" s="1850">
        <v>30</v>
      </c>
      <c r="AP29" s="1850">
        <v>29</v>
      </c>
      <c r="AQ29" s="1850">
        <v>29</v>
      </c>
      <c r="AR29" s="1850">
        <v>26</v>
      </c>
      <c r="AS29" s="1850">
        <v>22</v>
      </c>
      <c r="AT29" s="1850">
        <v>20</v>
      </c>
      <c r="AU29" s="1850">
        <v>18</v>
      </c>
      <c r="AV29" s="1850">
        <v>14</v>
      </c>
      <c r="AW29" s="1850">
        <v>11</v>
      </c>
      <c r="AX29" s="1850">
        <v>11</v>
      </c>
      <c r="AY29" s="1850">
        <v>10</v>
      </c>
      <c r="AZ29" s="1853">
        <v>9</v>
      </c>
      <c r="BA29" s="1850">
        <v>7</v>
      </c>
      <c r="BB29" s="1850">
        <v>7</v>
      </c>
      <c r="BC29" s="1850">
        <v>7</v>
      </c>
      <c r="BD29" s="1850">
        <v>6</v>
      </c>
      <c r="BE29" s="1850">
        <v>5</v>
      </c>
      <c r="BF29" s="1850">
        <v>4</v>
      </c>
      <c r="BG29" s="1850">
        <v>1</v>
      </c>
      <c r="BH29" s="1850">
        <v>1</v>
      </c>
      <c r="BI29" s="1852">
        <v>1</v>
      </c>
      <c r="BJ29" s="1850">
        <v>1</v>
      </c>
      <c r="BK29" s="1850">
        <v>1</v>
      </c>
      <c r="BL29" s="1850">
        <v>1</v>
      </c>
      <c r="BM29" s="1850">
        <v>1</v>
      </c>
      <c r="BN29" s="1850">
        <v>1</v>
      </c>
      <c r="BO29" s="1850">
        <v>1</v>
      </c>
      <c r="BP29" s="1850">
        <v>1</v>
      </c>
      <c r="BQ29" s="1850">
        <v>1</v>
      </c>
      <c r="BR29" s="1850">
        <v>1</v>
      </c>
      <c r="BS29" s="1850">
        <v>1</v>
      </c>
      <c r="BT29" s="1850">
        <v>1</v>
      </c>
      <c r="BU29" s="1852"/>
      <c r="BV29" s="1850"/>
      <c r="BW29" s="1850"/>
      <c r="BX29" s="1850"/>
      <c r="BY29" s="1850"/>
      <c r="BZ29" s="1850"/>
      <c r="CA29" s="1586">
        <v>0.85542168674698793</v>
      </c>
      <c r="CB29" s="1586">
        <v>0.40963855421686746</v>
      </c>
      <c r="CC29" s="1621">
        <v>0.31325301204819278</v>
      </c>
    </row>
    <row r="30" spans="2:81" outlineLevel="1">
      <c r="B30" s="1867">
        <v>41730</v>
      </c>
      <c r="C30" s="1859">
        <v>180</v>
      </c>
      <c r="D30" s="1860">
        <f t="shared" si="3"/>
        <v>154</v>
      </c>
      <c r="E30" s="1860">
        <f t="shared" si="4"/>
        <v>91</v>
      </c>
      <c r="F30" s="1860">
        <f t="shared" si="5"/>
        <v>60</v>
      </c>
      <c r="G30" s="1861">
        <f t="shared" si="0"/>
        <v>0.85555555555555551</v>
      </c>
      <c r="H30" s="1861">
        <f t="shared" si="1"/>
        <v>0.50555555555555554</v>
      </c>
      <c r="I30" s="1861">
        <f t="shared" si="2"/>
        <v>0.33333333333333331</v>
      </c>
      <c r="J30" s="1609"/>
      <c r="K30" s="1849"/>
      <c r="L30" s="1850"/>
      <c r="M30" s="1850"/>
      <c r="N30" s="1850"/>
      <c r="O30" s="1850"/>
      <c r="P30" s="1850"/>
      <c r="Q30" s="1850"/>
      <c r="R30" s="1850"/>
      <c r="S30" s="1850"/>
      <c r="T30" s="1850"/>
      <c r="U30" s="1850"/>
      <c r="V30" s="1850"/>
      <c r="W30" s="1850"/>
      <c r="X30" s="1850"/>
      <c r="Y30" s="1850"/>
      <c r="Z30" s="1850"/>
      <c r="AA30" s="1850"/>
      <c r="AB30" s="1850"/>
      <c r="AC30" s="1850"/>
      <c r="AD30" s="1850"/>
      <c r="AE30" s="1850"/>
      <c r="AF30" s="1850"/>
      <c r="AG30" s="1850"/>
      <c r="AH30" s="1850"/>
      <c r="AI30" s="1850">
        <v>175</v>
      </c>
      <c r="AJ30" s="1850">
        <v>154</v>
      </c>
      <c r="AK30" s="1850">
        <v>141</v>
      </c>
      <c r="AL30" s="1850">
        <v>101</v>
      </c>
      <c r="AM30" s="1850">
        <v>91</v>
      </c>
      <c r="AN30" s="1850">
        <v>81</v>
      </c>
      <c r="AO30" s="1850">
        <v>76</v>
      </c>
      <c r="AP30" s="1850">
        <v>69</v>
      </c>
      <c r="AQ30" s="1850">
        <v>66</v>
      </c>
      <c r="AR30" s="1850">
        <v>64</v>
      </c>
      <c r="AS30" s="1850">
        <v>60</v>
      </c>
      <c r="AT30" s="1850">
        <v>59</v>
      </c>
      <c r="AU30" s="1850">
        <v>47</v>
      </c>
      <c r="AV30" s="1850">
        <v>43</v>
      </c>
      <c r="AW30" s="1850">
        <v>36</v>
      </c>
      <c r="AX30" s="1850">
        <v>28</v>
      </c>
      <c r="AY30" s="1850">
        <v>27</v>
      </c>
      <c r="AZ30" s="1853">
        <v>23</v>
      </c>
      <c r="BA30" s="1850">
        <v>17</v>
      </c>
      <c r="BB30" s="1850">
        <v>16</v>
      </c>
      <c r="BC30" s="1850">
        <v>16</v>
      </c>
      <c r="BD30" s="1850">
        <v>16</v>
      </c>
      <c r="BE30" s="1850">
        <v>15</v>
      </c>
      <c r="BF30" s="1850">
        <v>14</v>
      </c>
      <c r="BG30" s="1850">
        <v>13</v>
      </c>
      <c r="BH30" s="1850">
        <v>13</v>
      </c>
      <c r="BI30" s="1852">
        <v>13</v>
      </c>
      <c r="BJ30" s="1850">
        <v>13</v>
      </c>
      <c r="BK30" s="1850">
        <v>13</v>
      </c>
      <c r="BL30" s="1850">
        <v>11</v>
      </c>
      <c r="BM30" s="1850">
        <v>10</v>
      </c>
      <c r="BN30" s="1850">
        <v>10</v>
      </c>
      <c r="BO30" s="1850">
        <v>10</v>
      </c>
      <c r="BP30" s="1850">
        <v>10</v>
      </c>
      <c r="BQ30" s="1850">
        <v>10</v>
      </c>
      <c r="BR30" s="1850">
        <v>9</v>
      </c>
      <c r="BS30" s="1850">
        <v>9</v>
      </c>
      <c r="BT30" s="1850">
        <v>9</v>
      </c>
      <c r="BU30" s="1852"/>
      <c r="BV30" s="1850"/>
      <c r="BW30" s="1850"/>
      <c r="BX30" s="1850"/>
      <c r="BY30" s="1850"/>
      <c r="BZ30" s="1850"/>
      <c r="CA30" s="1586">
        <v>0.85555555555555551</v>
      </c>
      <c r="CB30" s="1586">
        <v>0.50555555555555554</v>
      </c>
      <c r="CC30" s="1621">
        <v>0.33333333333333331</v>
      </c>
    </row>
    <row r="31" spans="2:81" outlineLevel="1">
      <c r="B31" s="1867">
        <v>41760</v>
      </c>
      <c r="C31" s="1859">
        <v>226</v>
      </c>
      <c r="D31" s="1860">
        <f t="shared" si="3"/>
        <v>216</v>
      </c>
      <c r="E31" s="1860">
        <f t="shared" si="4"/>
        <v>142</v>
      </c>
      <c r="F31" s="1860">
        <f t="shared" si="5"/>
        <v>95</v>
      </c>
      <c r="G31" s="1861">
        <f t="shared" si="0"/>
        <v>0.95575221238938057</v>
      </c>
      <c r="H31" s="1861">
        <f t="shared" si="1"/>
        <v>0.62831858407079644</v>
      </c>
      <c r="I31" s="1861">
        <f t="shared" si="2"/>
        <v>0.42035398230088494</v>
      </c>
      <c r="J31" s="1609"/>
      <c r="K31" s="1849"/>
      <c r="L31" s="1850"/>
      <c r="M31" s="1850"/>
      <c r="N31" s="1850"/>
      <c r="O31" s="1850"/>
      <c r="P31" s="1850"/>
      <c r="Q31" s="1850"/>
      <c r="R31" s="1850"/>
      <c r="S31" s="1850"/>
      <c r="T31" s="1850"/>
      <c r="U31" s="1850"/>
      <c r="V31" s="1850"/>
      <c r="W31" s="1850"/>
      <c r="X31" s="1850"/>
      <c r="Y31" s="1850"/>
      <c r="Z31" s="1850"/>
      <c r="AA31" s="1850"/>
      <c r="AB31" s="1850"/>
      <c r="AC31" s="1850"/>
      <c r="AD31" s="1850"/>
      <c r="AE31" s="1850"/>
      <c r="AF31" s="1850"/>
      <c r="AG31" s="1850"/>
      <c r="AH31" s="1850"/>
      <c r="AI31" s="1850"/>
      <c r="AJ31" s="1850">
        <v>222</v>
      </c>
      <c r="AK31" s="1850">
        <v>216</v>
      </c>
      <c r="AL31" s="1850">
        <v>203</v>
      </c>
      <c r="AM31" s="1850">
        <v>155</v>
      </c>
      <c r="AN31" s="1850">
        <v>142</v>
      </c>
      <c r="AO31" s="1850">
        <v>128</v>
      </c>
      <c r="AP31" s="1850">
        <v>121</v>
      </c>
      <c r="AQ31" s="1850">
        <v>118</v>
      </c>
      <c r="AR31" s="1850">
        <v>111</v>
      </c>
      <c r="AS31" s="1850">
        <v>100</v>
      </c>
      <c r="AT31" s="1850">
        <v>95</v>
      </c>
      <c r="AU31" s="1850">
        <v>79</v>
      </c>
      <c r="AV31" s="1850">
        <v>67</v>
      </c>
      <c r="AW31" s="1850">
        <v>54</v>
      </c>
      <c r="AX31" s="1850">
        <v>44</v>
      </c>
      <c r="AY31" s="1850">
        <v>42</v>
      </c>
      <c r="AZ31" s="1853">
        <v>41</v>
      </c>
      <c r="BA31" s="1850">
        <v>35</v>
      </c>
      <c r="BB31" s="1850">
        <v>34</v>
      </c>
      <c r="BC31" s="1850">
        <v>33</v>
      </c>
      <c r="BD31" s="1850">
        <v>32</v>
      </c>
      <c r="BE31" s="1850">
        <v>33</v>
      </c>
      <c r="BF31" s="1850">
        <v>32</v>
      </c>
      <c r="BG31" s="1850">
        <v>30</v>
      </c>
      <c r="BH31" s="1850">
        <v>26</v>
      </c>
      <c r="BI31" s="1852">
        <v>23</v>
      </c>
      <c r="BJ31" s="1850">
        <v>21</v>
      </c>
      <c r="BK31" s="1850">
        <v>20</v>
      </c>
      <c r="BL31" s="1850">
        <v>20</v>
      </c>
      <c r="BM31" s="1850">
        <v>17</v>
      </c>
      <c r="BN31" s="1850">
        <v>15</v>
      </c>
      <c r="BO31" s="1850">
        <v>14</v>
      </c>
      <c r="BP31" s="1850">
        <v>14</v>
      </c>
      <c r="BQ31" s="1850">
        <v>13</v>
      </c>
      <c r="BR31" s="1850">
        <v>12</v>
      </c>
      <c r="BS31" s="1850">
        <v>12</v>
      </c>
      <c r="BT31" s="1850">
        <v>12</v>
      </c>
      <c r="BU31" s="1852"/>
      <c r="BV31" s="1850"/>
      <c r="BW31" s="1850"/>
      <c r="BX31" s="1850"/>
      <c r="BY31" s="1850"/>
      <c r="BZ31" s="1850"/>
      <c r="CA31" s="1586">
        <v>0.95575221238938057</v>
      </c>
      <c r="CB31" s="1586">
        <v>0.62831858407079644</v>
      </c>
      <c r="CC31" s="1621">
        <v>0.42035398230088494</v>
      </c>
    </row>
    <row r="32" spans="2:81" outlineLevel="1">
      <c r="B32" s="1867">
        <v>41791</v>
      </c>
      <c r="C32" s="1859">
        <v>294</v>
      </c>
      <c r="D32" s="1860">
        <f t="shared" si="3"/>
        <v>256</v>
      </c>
      <c r="E32" s="1860">
        <f t="shared" si="4"/>
        <v>171</v>
      </c>
      <c r="F32" s="1860">
        <f t="shared" si="5"/>
        <v>101</v>
      </c>
      <c r="G32" s="1861">
        <f t="shared" si="0"/>
        <v>0.87074829931972786</v>
      </c>
      <c r="H32" s="1861">
        <f t="shared" si="1"/>
        <v>0.58163265306122447</v>
      </c>
      <c r="I32" s="1861">
        <f t="shared" si="2"/>
        <v>0.34353741496598639</v>
      </c>
      <c r="J32" s="1609"/>
      <c r="K32" s="1849"/>
      <c r="L32" s="1850"/>
      <c r="M32" s="1850"/>
      <c r="N32" s="1850"/>
      <c r="O32" s="1850"/>
      <c r="P32" s="1850"/>
      <c r="Q32" s="1850"/>
      <c r="R32" s="1850"/>
      <c r="S32" s="1850"/>
      <c r="T32" s="1850"/>
      <c r="U32" s="1850"/>
      <c r="V32" s="1850"/>
      <c r="W32" s="1850"/>
      <c r="X32" s="1850"/>
      <c r="Y32" s="1850"/>
      <c r="Z32" s="1850"/>
      <c r="AA32" s="1850"/>
      <c r="AB32" s="1850"/>
      <c r="AC32" s="1850"/>
      <c r="AD32" s="1850"/>
      <c r="AE32" s="1850"/>
      <c r="AF32" s="1850"/>
      <c r="AG32" s="1850"/>
      <c r="AH32" s="1850"/>
      <c r="AI32" s="1850"/>
      <c r="AJ32" s="1850"/>
      <c r="AK32" s="1850">
        <v>276</v>
      </c>
      <c r="AL32" s="1850">
        <v>256</v>
      </c>
      <c r="AM32" s="1850">
        <v>224</v>
      </c>
      <c r="AN32" s="1850">
        <v>197</v>
      </c>
      <c r="AO32" s="1850">
        <v>171</v>
      </c>
      <c r="AP32" s="1850">
        <v>153</v>
      </c>
      <c r="AQ32" s="1850">
        <v>147</v>
      </c>
      <c r="AR32" s="1850">
        <v>138</v>
      </c>
      <c r="AS32" s="1850">
        <v>121</v>
      </c>
      <c r="AT32" s="1850">
        <v>114</v>
      </c>
      <c r="AU32" s="1850">
        <v>101</v>
      </c>
      <c r="AV32" s="1850">
        <v>86</v>
      </c>
      <c r="AW32" s="1850">
        <v>64</v>
      </c>
      <c r="AX32" s="1850">
        <v>57</v>
      </c>
      <c r="AY32" s="1850">
        <v>52</v>
      </c>
      <c r="AZ32" s="1853">
        <v>49</v>
      </c>
      <c r="BA32" s="1850">
        <v>48</v>
      </c>
      <c r="BB32" s="1850">
        <v>48</v>
      </c>
      <c r="BC32" s="1850">
        <v>48</v>
      </c>
      <c r="BD32" s="1850">
        <v>45</v>
      </c>
      <c r="BE32" s="1850">
        <v>43</v>
      </c>
      <c r="BF32" s="1850">
        <v>40</v>
      </c>
      <c r="BG32" s="1850">
        <v>36</v>
      </c>
      <c r="BH32" s="1850">
        <v>35</v>
      </c>
      <c r="BI32" s="1852">
        <v>33</v>
      </c>
      <c r="BJ32" s="1850">
        <v>30</v>
      </c>
      <c r="BK32" s="1850">
        <v>28</v>
      </c>
      <c r="BL32" s="1850">
        <v>26</v>
      </c>
      <c r="BM32" s="1850">
        <v>27</v>
      </c>
      <c r="BN32" s="1850">
        <v>27</v>
      </c>
      <c r="BO32" s="1850">
        <v>26</v>
      </c>
      <c r="BP32" s="1850">
        <v>26</v>
      </c>
      <c r="BQ32" s="1850">
        <v>24</v>
      </c>
      <c r="BR32" s="1850">
        <v>22</v>
      </c>
      <c r="BS32" s="1850">
        <v>21</v>
      </c>
      <c r="BT32" s="1850">
        <v>21</v>
      </c>
      <c r="BU32" s="1852"/>
      <c r="BV32" s="1850"/>
      <c r="BW32" s="1850"/>
      <c r="BX32" s="1850"/>
      <c r="BY32" s="1850"/>
      <c r="BZ32" s="1850"/>
      <c r="CA32" s="1586">
        <v>0.87074829931972786</v>
      </c>
      <c r="CB32" s="1586">
        <v>0.58163265306122447</v>
      </c>
      <c r="CC32" s="1621">
        <v>0.34353741496598639</v>
      </c>
    </row>
    <row r="33" spans="2:81" outlineLevel="1">
      <c r="B33" s="1867">
        <v>41821</v>
      </c>
      <c r="C33" s="1859">
        <v>190</v>
      </c>
      <c r="D33" s="1860">
        <f t="shared" si="3"/>
        <v>176</v>
      </c>
      <c r="E33" s="1860">
        <f t="shared" si="4"/>
        <v>128</v>
      </c>
      <c r="F33" s="1860">
        <f t="shared" si="5"/>
        <v>62</v>
      </c>
      <c r="G33" s="1861">
        <f t="shared" si="0"/>
        <v>0.9263157894736842</v>
      </c>
      <c r="H33" s="1861">
        <f t="shared" si="1"/>
        <v>0.67368421052631577</v>
      </c>
      <c r="I33" s="1861">
        <f t="shared" si="2"/>
        <v>0.32631578947368423</v>
      </c>
      <c r="J33" s="1609"/>
      <c r="K33" s="1849"/>
      <c r="L33" s="1850"/>
      <c r="M33" s="1850"/>
      <c r="N33" s="1850"/>
      <c r="O33" s="1850"/>
      <c r="P33" s="1850"/>
      <c r="Q33" s="1850"/>
      <c r="R33" s="1850"/>
      <c r="S33" s="1850"/>
      <c r="T33" s="1850"/>
      <c r="U33" s="1850"/>
      <c r="V33" s="1850"/>
      <c r="W33" s="1850"/>
      <c r="X33" s="1850"/>
      <c r="Y33" s="1850"/>
      <c r="Z33" s="1850"/>
      <c r="AA33" s="1850"/>
      <c r="AB33" s="1850"/>
      <c r="AC33" s="1850"/>
      <c r="AD33" s="1850"/>
      <c r="AE33" s="1850"/>
      <c r="AF33" s="1850"/>
      <c r="AG33" s="1850"/>
      <c r="AH33" s="1850"/>
      <c r="AI33" s="1850"/>
      <c r="AJ33" s="1850"/>
      <c r="AK33" s="1850"/>
      <c r="AL33" s="1850">
        <v>190</v>
      </c>
      <c r="AM33" s="1850">
        <v>176</v>
      </c>
      <c r="AN33" s="1850">
        <v>170</v>
      </c>
      <c r="AO33" s="1850">
        <v>141</v>
      </c>
      <c r="AP33" s="1850">
        <v>128</v>
      </c>
      <c r="AQ33" s="1850">
        <v>116</v>
      </c>
      <c r="AR33" s="1850">
        <v>105</v>
      </c>
      <c r="AS33" s="1850">
        <v>91</v>
      </c>
      <c r="AT33" s="1850">
        <v>85</v>
      </c>
      <c r="AU33" s="1850">
        <v>71</v>
      </c>
      <c r="AV33" s="1850">
        <v>62</v>
      </c>
      <c r="AW33" s="1850">
        <v>50</v>
      </c>
      <c r="AX33" s="1850">
        <v>47</v>
      </c>
      <c r="AY33" s="1850">
        <v>42</v>
      </c>
      <c r="AZ33" s="1853">
        <v>38</v>
      </c>
      <c r="BA33" s="1850">
        <v>33</v>
      </c>
      <c r="BB33" s="1850">
        <v>29</v>
      </c>
      <c r="BC33" s="1850">
        <v>27</v>
      </c>
      <c r="BD33" s="1850">
        <v>26</v>
      </c>
      <c r="BE33" s="1850">
        <v>26</v>
      </c>
      <c r="BF33" s="1850">
        <v>26</v>
      </c>
      <c r="BG33" s="1850">
        <v>25</v>
      </c>
      <c r="BH33" s="1850">
        <v>24</v>
      </c>
      <c r="BI33" s="1852">
        <v>23</v>
      </c>
      <c r="BJ33" s="1850">
        <v>22</v>
      </c>
      <c r="BK33" s="1850">
        <v>22</v>
      </c>
      <c r="BL33" s="1850">
        <v>21</v>
      </c>
      <c r="BM33" s="1850">
        <v>20</v>
      </c>
      <c r="BN33" s="1850">
        <v>19</v>
      </c>
      <c r="BO33" s="1850">
        <v>19</v>
      </c>
      <c r="BP33" s="1850">
        <v>19</v>
      </c>
      <c r="BQ33" s="1850">
        <v>19</v>
      </c>
      <c r="BR33" s="1850">
        <v>16</v>
      </c>
      <c r="BS33" s="1850">
        <v>16</v>
      </c>
      <c r="BT33" s="1850">
        <v>16</v>
      </c>
      <c r="BU33" s="1852"/>
      <c r="BV33" s="1850"/>
      <c r="BW33" s="1850"/>
      <c r="BX33" s="1850"/>
      <c r="BY33" s="1850"/>
      <c r="BZ33" s="1850"/>
      <c r="CA33" s="1586">
        <v>0.9263157894736842</v>
      </c>
      <c r="CB33" s="1586">
        <v>0.67368421052631577</v>
      </c>
      <c r="CC33" s="1621">
        <v>0.32631578947368423</v>
      </c>
    </row>
    <row r="34" spans="2:81" outlineLevel="1">
      <c r="B34" s="1867">
        <v>41852</v>
      </c>
      <c r="C34" s="1859">
        <v>288</v>
      </c>
      <c r="D34" s="1860">
        <f t="shared" si="3"/>
        <v>278</v>
      </c>
      <c r="E34" s="1860">
        <f t="shared" si="4"/>
        <v>191</v>
      </c>
      <c r="F34" s="1860">
        <f t="shared" si="5"/>
        <v>71</v>
      </c>
      <c r="G34" s="1861">
        <f t="shared" si="0"/>
        <v>0.96527777777777779</v>
      </c>
      <c r="H34" s="1861">
        <f t="shared" si="1"/>
        <v>0.66319444444444442</v>
      </c>
      <c r="I34" s="1861">
        <f t="shared" si="2"/>
        <v>0.24652777777777779</v>
      </c>
      <c r="J34" s="1609"/>
      <c r="K34" s="1849"/>
      <c r="L34" s="1850"/>
      <c r="M34" s="1850"/>
      <c r="N34" s="1850"/>
      <c r="O34" s="1850"/>
      <c r="P34" s="1850"/>
      <c r="Q34" s="1850"/>
      <c r="R34" s="1850"/>
      <c r="S34" s="1850"/>
      <c r="T34" s="1850"/>
      <c r="U34" s="1850"/>
      <c r="V34" s="1850"/>
      <c r="W34" s="1850"/>
      <c r="X34" s="1850"/>
      <c r="Y34" s="1850"/>
      <c r="Z34" s="1850"/>
      <c r="AA34" s="1850"/>
      <c r="AB34" s="1850"/>
      <c r="AC34" s="1850"/>
      <c r="AD34" s="1850"/>
      <c r="AE34" s="1850"/>
      <c r="AF34" s="1850"/>
      <c r="AG34" s="1850"/>
      <c r="AH34" s="1850"/>
      <c r="AI34" s="1850"/>
      <c r="AJ34" s="1850"/>
      <c r="AK34" s="1850"/>
      <c r="AL34" s="1850"/>
      <c r="AM34" s="1850">
        <v>286</v>
      </c>
      <c r="AN34" s="1850">
        <v>278</v>
      </c>
      <c r="AO34" s="1850">
        <v>256</v>
      </c>
      <c r="AP34" s="1850">
        <v>213</v>
      </c>
      <c r="AQ34" s="1850">
        <v>191</v>
      </c>
      <c r="AR34" s="1850">
        <v>169</v>
      </c>
      <c r="AS34" s="1850">
        <v>148</v>
      </c>
      <c r="AT34" s="1850">
        <v>138</v>
      </c>
      <c r="AU34" s="1850">
        <v>115</v>
      </c>
      <c r="AV34" s="1850">
        <v>90</v>
      </c>
      <c r="AW34" s="1850">
        <v>71</v>
      </c>
      <c r="AX34" s="1850">
        <v>60</v>
      </c>
      <c r="AY34" s="1850">
        <v>52</v>
      </c>
      <c r="AZ34" s="1853">
        <v>50</v>
      </c>
      <c r="BA34" s="1850">
        <v>46</v>
      </c>
      <c r="BB34" s="1850">
        <v>42</v>
      </c>
      <c r="BC34" s="1850">
        <v>40</v>
      </c>
      <c r="BD34" s="1850">
        <v>39</v>
      </c>
      <c r="BE34" s="1850">
        <v>34</v>
      </c>
      <c r="BF34" s="1850">
        <v>33</v>
      </c>
      <c r="BG34" s="1850">
        <v>30</v>
      </c>
      <c r="BH34" s="1850">
        <v>28</v>
      </c>
      <c r="BI34" s="1852">
        <v>28</v>
      </c>
      <c r="BJ34" s="1850">
        <v>28</v>
      </c>
      <c r="BK34" s="1850">
        <v>24</v>
      </c>
      <c r="BL34" s="1850">
        <v>24</v>
      </c>
      <c r="BM34" s="1850">
        <v>24</v>
      </c>
      <c r="BN34" s="1850">
        <v>22</v>
      </c>
      <c r="BO34" s="1850">
        <v>22</v>
      </c>
      <c r="BP34" s="1850">
        <v>22</v>
      </c>
      <c r="BQ34" s="1850">
        <v>21</v>
      </c>
      <c r="BR34" s="1850">
        <v>20</v>
      </c>
      <c r="BS34" s="1850">
        <v>20</v>
      </c>
      <c r="BT34" s="1850">
        <v>20</v>
      </c>
      <c r="BU34" s="1852"/>
      <c r="BV34" s="1850"/>
      <c r="BW34" s="1850"/>
      <c r="BX34" s="1850"/>
      <c r="BY34" s="1850"/>
      <c r="BZ34" s="1850"/>
      <c r="CA34" s="1586">
        <v>0.96527777777777779</v>
      </c>
      <c r="CB34" s="1621">
        <v>0.66319444444444442</v>
      </c>
      <c r="CC34" s="1621">
        <v>0.24652777777777779</v>
      </c>
    </row>
    <row r="35" spans="2:81" outlineLevel="1">
      <c r="B35" s="1867">
        <v>41883</v>
      </c>
      <c r="C35" s="1859">
        <v>294</v>
      </c>
      <c r="D35" s="1860">
        <f t="shared" si="3"/>
        <v>273</v>
      </c>
      <c r="E35" s="1860">
        <f t="shared" si="4"/>
        <v>185</v>
      </c>
      <c r="F35" s="1860">
        <f t="shared" si="5"/>
        <v>64</v>
      </c>
      <c r="G35" s="1861">
        <f t="shared" si="0"/>
        <v>0.9285714285714286</v>
      </c>
      <c r="H35" s="1861">
        <f t="shared" si="1"/>
        <v>0.62925170068027214</v>
      </c>
      <c r="I35" s="1861">
        <f t="shared" si="2"/>
        <v>0.21768707482993196</v>
      </c>
      <c r="J35" s="1609"/>
      <c r="K35" s="1849"/>
      <c r="L35" s="1850"/>
      <c r="M35" s="1850"/>
      <c r="N35" s="1850"/>
      <c r="O35" s="1850"/>
      <c r="P35" s="1850"/>
      <c r="Q35" s="1850"/>
      <c r="R35" s="1850"/>
      <c r="S35" s="1850"/>
      <c r="T35" s="1850"/>
      <c r="U35" s="1850"/>
      <c r="V35" s="1850"/>
      <c r="W35" s="1850"/>
      <c r="X35" s="1850"/>
      <c r="Y35" s="1850"/>
      <c r="Z35" s="1850"/>
      <c r="AA35" s="1850"/>
      <c r="AB35" s="1850"/>
      <c r="AC35" s="1850"/>
      <c r="AD35" s="1850"/>
      <c r="AE35" s="1850"/>
      <c r="AF35" s="1850"/>
      <c r="AG35" s="1850"/>
      <c r="AH35" s="1850"/>
      <c r="AI35" s="1850"/>
      <c r="AJ35" s="1850"/>
      <c r="AK35" s="1850"/>
      <c r="AL35" s="1850"/>
      <c r="AM35" s="1850"/>
      <c r="AN35" s="1850">
        <v>285</v>
      </c>
      <c r="AO35" s="1850">
        <v>273</v>
      </c>
      <c r="AP35" s="1850">
        <v>250</v>
      </c>
      <c r="AQ35" s="1850">
        <v>212</v>
      </c>
      <c r="AR35" s="1850">
        <v>185</v>
      </c>
      <c r="AS35" s="1850">
        <v>151</v>
      </c>
      <c r="AT35" s="1850">
        <v>128</v>
      </c>
      <c r="AU35" s="1850">
        <v>105</v>
      </c>
      <c r="AV35" s="1850">
        <v>87</v>
      </c>
      <c r="AW35" s="1850">
        <v>69</v>
      </c>
      <c r="AX35" s="1850">
        <v>64</v>
      </c>
      <c r="AY35" s="1850">
        <v>55</v>
      </c>
      <c r="AZ35" s="1853">
        <v>50</v>
      </c>
      <c r="BA35" s="1850">
        <v>43</v>
      </c>
      <c r="BB35" s="1850">
        <v>40</v>
      </c>
      <c r="BC35" s="1850">
        <v>40</v>
      </c>
      <c r="BD35" s="1850">
        <v>38</v>
      </c>
      <c r="BE35" s="1850">
        <v>34</v>
      </c>
      <c r="BF35" s="1850">
        <v>31</v>
      </c>
      <c r="BG35" s="1850">
        <v>30</v>
      </c>
      <c r="BH35" s="1850">
        <v>29</v>
      </c>
      <c r="BI35" s="1852">
        <v>29</v>
      </c>
      <c r="BJ35" s="1850">
        <v>28</v>
      </c>
      <c r="BK35" s="1850">
        <v>26</v>
      </c>
      <c r="BL35" s="1850">
        <v>25</v>
      </c>
      <c r="BM35" s="1850">
        <v>24</v>
      </c>
      <c r="BN35" s="1850">
        <v>23</v>
      </c>
      <c r="BO35" s="1850">
        <v>23</v>
      </c>
      <c r="BP35" s="1850">
        <v>23</v>
      </c>
      <c r="BQ35" s="1850">
        <v>21</v>
      </c>
      <c r="BR35" s="1850">
        <v>22</v>
      </c>
      <c r="BS35" s="1850">
        <v>21</v>
      </c>
      <c r="BT35" s="1850">
        <v>21</v>
      </c>
      <c r="BU35" s="1852"/>
      <c r="BV35" s="1850"/>
      <c r="BW35" s="1850"/>
      <c r="BX35" s="1850"/>
      <c r="BY35" s="1850"/>
      <c r="BZ35" s="1850"/>
      <c r="CA35" s="1586">
        <v>0.9285714285714286</v>
      </c>
      <c r="CB35" s="1621">
        <v>0.62925170068027214</v>
      </c>
      <c r="CC35" s="1621">
        <v>0.21768707482993196</v>
      </c>
    </row>
    <row r="36" spans="2:81" outlineLevel="1">
      <c r="B36" s="1867">
        <v>41913</v>
      </c>
      <c r="C36" s="1859">
        <v>223</v>
      </c>
      <c r="D36" s="1860">
        <f t="shared" si="3"/>
        <v>201</v>
      </c>
      <c r="E36" s="1860">
        <f t="shared" si="4"/>
        <v>142</v>
      </c>
      <c r="F36" s="1860">
        <f t="shared" si="5"/>
        <v>58</v>
      </c>
      <c r="G36" s="1861">
        <f t="shared" si="0"/>
        <v>0.90134529147982068</v>
      </c>
      <c r="H36" s="1861">
        <f t="shared" si="1"/>
        <v>0.63677130044843044</v>
      </c>
      <c r="I36" s="1861">
        <f t="shared" si="2"/>
        <v>0.26008968609865468</v>
      </c>
      <c r="J36" s="1609"/>
      <c r="K36" s="1849"/>
      <c r="L36" s="1850"/>
      <c r="M36" s="1850"/>
      <c r="N36" s="1850"/>
      <c r="O36" s="1850"/>
      <c r="P36" s="1850"/>
      <c r="Q36" s="1850"/>
      <c r="R36" s="1850"/>
      <c r="S36" s="1850"/>
      <c r="T36" s="1850"/>
      <c r="U36" s="1850"/>
      <c r="V36" s="1850"/>
      <c r="W36" s="1850"/>
      <c r="X36" s="1850"/>
      <c r="Y36" s="1850"/>
      <c r="Z36" s="1850"/>
      <c r="AA36" s="1850"/>
      <c r="AB36" s="1850"/>
      <c r="AC36" s="1850"/>
      <c r="AD36" s="1850"/>
      <c r="AE36" s="1850"/>
      <c r="AF36" s="1850"/>
      <c r="AG36" s="1850"/>
      <c r="AH36" s="1850"/>
      <c r="AI36" s="1850"/>
      <c r="AJ36" s="1850"/>
      <c r="AK36" s="1850"/>
      <c r="AL36" s="1850"/>
      <c r="AM36" s="1850"/>
      <c r="AN36" s="1850"/>
      <c r="AO36" s="1850">
        <v>217</v>
      </c>
      <c r="AP36" s="1850">
        <v>201</v>
      </c>
      <c r="AQ36" s="1850">
        <v>188</v>
      </c>
      <c r="AR36" s="1850">
        <v>168</v>
      </c>
      <c r="AS36" s="1850">
        <v>142</v>
      </c>
      <c r="AT36" s="1850">
        <v>127</v>
      </c>
      <c r="AU36" s="1850">
        <v>101</v>
      </c>
      <c r="AV36" s="1850">
        <v>85</v>
      </c>
      <c r="AW36" s="1850">
        <v>68</v>
      </c>
      <c r="AX36" s="1850">
        <v>63</v>
      </c>
      <c r="AY36" s="1850">
        <v>58</v>
      </c>
      <c r="AZ36" s="1853">
        <v>56</v>
      </c>
      <c r="BA36" s="1850">
        <v>53</v>
      </c>
      <c r="BB36" s="1850">
        <v>48</v>
      </c>
      <c r="BC36" s="1850">
        <v>48</v>
      </c>
      <c r="BD36" s="1850">
        <v>48</v>
      </c>
      <c r="BE36" s="1850">
        <v>47</v>
      </c>
      <c r="BF36" s="1850">
        <v>46</v>
      </c>
      <c r="BG36" s="1850">
        <v>43</v>
      </c>
      <c r="BH36" s="1850">
        <v>39</v>
      </c>
      <c r="BI36" s="1852">
        <v>38</v>
      </c>
      <c r="BJ36" s="1850">
        <v>37</v>
      </c>
      <c r="BK36" s="1850">
        <v>35</v>
      </c>
      <c r="BL36" s="1850">
        <v>33</v>
      </c>
      <c r="BM36" s="1850">
        <v>33</v>
      </c>
      <c r="BN36" s="1850">
        <v>31</v>
      </c>
      <c r="BO36" s="1850">
        <v>31</v>
      </c>
      <c r="BP36" s="1850">
        <v>31</v>
      </c>
      <c r="BQ36" s="1850">
        <v>29</v>
      </c>
      <c r="BR36" s="1850">
        <v>28</v>
      </c>
      <c r="BS36" s="1850">
        <v>28</v>
      </c>
      <c r="BT36" s="1850">
        <v>28</v>
      </c>
      <c r="BU36" s="1852"/>
      <c r="BV36" s="1850"/>
      <c r="BW36" s="1850"/>
      <c r="BX36" s="1850"/>
      <c r="BY36" s="1850"/>
      <c r="BZ36" s="1850"/>
      <c r="CA36" s="1586">
        <v>0.90134529147982068</v>
      </c>
      <c r="CB36" s="1621">
        <v>0.63677130044843044</v>
      </c>
      <c r="CC36" s="1621">
        <v>0.26008968609865468</v>
      </c>
    </row>
    <row r="37" spans="2:81" outlineLevel="1">
      <c r="B37" s="1867">
        <v>41944</v>
      </c>
      <c r="C37" s="1859">
        <v>399</v>
      </c>
      <c r="D37" s="1860">
        <f>IFERROR(INDEX($K37:$BN37,,MATCH($B37,$K$3:$BN$3,0)+2),0)</f>
        <v>390</v>
      </c>
      <c r="E37" s="1860">
        <f t="shared" si="4"/>
        <v>258</v>
      </c>
      <c r="F37" s="1860">
        <f t="shared" si="5"/>
        <v>98</v>
      </c>
      <c r="G37" s="1861">
        <f t="shared" si="0"/>
        <v>0.97744360902255634</v>
      </c>
      <c r="H37" s="1861">
        <f t="shared" si="1"/>
        <v>0.64661654135338342</v>
      </c>
      <c r="I37" s="1861">
        <f t="shared" si="2"/>
        <v>0.24561403508771928</v>
      </c>
      <c r="J37" s="1609"/>
      <c r="K37" s="1849"/>
      <c r="L37" s="1850"/>
      <c r="M37" s="1850"/>
      <c r="N37" s="1850"/>
      <c r="O37" s="1850"/>
      <c r="P37" s="1850"/>
      <c r="Q37" s="1850"/>
      <c r="R37" s="1850"/>
      <c r="S37" s="1850"/>
      <c r="T37" s="1850"/>
      <c r="U37" s="1850"/>
      <c r="V37" s="1850"/>
      <c r="W37" s="1850"/>
      <c r="X37" s="1850"/>
      <c r="Y37" s="1850"/>
      <c r="Z37" s="1850"/>
      <c r="AA37" s="1850"/>
      <c r="AB37" s="1850"/>
      <c r="AC37" s="1850"/>
      <c r="AD37" s="1850"/>
      <c r="AE37" s="1850"/>
      <c r="AF37" s="1850"/>
      <c r="AG37" s="1850"/>
      <c r="AH37" s="1850"/>
      <c r="AI37" s="1850"/>
      <c r="AJ37" s="1850"/>
      <c r="AK37" s="1850"/>
      <c r="AL37" s="1850"/>
      <c r="AM37" s="1850"/>
      <c r="AN37" s="1850"/>
      <c r="AO37" s="1850"/>
      <c r="AP37" s="1850">
        <v>395</v>
      </c>
      <c r="AQ37" s="1850">
        <v>390</v>
      </c>
      <c r="AR37" s="1850">
        <v>374</v>
      </c>
      <c r="AS37" s="1850">
        <v>311</v>
      </c>
      <c r="AT37" s="1850">
        <v>258</v>
      </c>
      <c r="AU37" s="1850">
        <v>196</v>
      </c>
      <c r="AV37" s="1850">
        <v>164</v>
      </c>
      <c r="AW37" s="1850">
        <v>137</v>
      </c>
      <c r="AX37" s="1850">
        <v>122</v>
      </c>
      <c r="AY37" s="1850">
        <v>104</v>
      </c>
      <c r="AZ37" s="1853">
        <v>98</v>
      </c>
      <c r="BA37" s="1850">
        <v>94</v>
      </c>
      <c r="BB37" s="1850">
        <v>82</v>
      </c>
      <c r="BC37" s="1850">
        <v>81</v>
      </c>
      <c r="BD37" s="1850">
        <v>80</v>
      </c>
      <c r="BE37" s="1850">
        <v>74</v>
      </c>
      <c r="BF37" s="1850">
        <v>71</v>
      </c>
      <c r="BG37" s="1850">
        <v>69</v>
      </c>
      <c r="BH37" s="1850">
        <v>60</v>
      </c>
      <c r="BI37" s="1852">
        <v>53</v>
      </c>
      <c r="BJ37" s="1850">
        <v>52</v>
      </c>
      <c r="BK37" s="1850">
        <v>51</v>
      </c>
      <c r="BL37" s="1850">
        <v>47</v>
      </c>
      <c r="BM37" s="1850">
        <v>44</v>
      </c>
      <c r="BN37" s="1850">
        <v>40</v>
      </c>
      <c r="BO37" s="1850">
        <v>39</v>
      </c>
      <c r="BP37" s="1850">
        <v>39</v>
      </c>
      <c r="BQ37" s="1850">
        <v>37</v>
      </c>
      <c r="BR37" s="1850">
        <v>37</v>
      </c>
      <c r="BS37" s="1850">
        <v>37</v>
      </c>
      <c r="BT37" s="1850">
        <v>38</v>
      </c>
      <c r="BU37" s="1852"/>
      <c r="BV37" s="1850"/>
      <c r="BW37" s="1850"/>
      <c r="BX37" s="1850"/>
      <c r="BY37" s="1850"/>
      <c r="BZ37" s="1850"/>
      <c r="CA37" s="1621">
        <v>0.97744360902255634</v>
      </c>
      <c r="CB37" s="1621">
        <v>0.64661654135338342</v>
      </c>
      <c r="CC37" s="1621">
        <v>0.24561403508771928</v>
      </c>
    </row>
    <row r="38" spans="2:81">
      <c r="B38" s="1867">
        <v>41974</v>
      </c>
      <c r="C38" s="1859">
        <v>424</v>
      </c>
      <c r="D38" s="1860">
        <f t="shared" si="3"/>
        <v>411</v>
      </c>
      <c r="E38" s="1860">
        <f t="shared" si="4"/>
        <v>225</v>
      </c>
      <c r="F38" s="1860">
        <f t="shared" si="5"/>
        <v>109</v>
      </c>
      <c r="G38" s="1861">
        <f t="shared" si="0"/>
        <v>0.96933962264150941</v>
      </c>
      <c r="H38" s="1861">
        <f t="shared" si="1"/>
        <v>0.53066037735849059</v>
      </c>
      <c r="I38" s="1861">
        <f t="shared" si="2"/>
        <v>0.25707547169811323</v>
      </c>
      <c r="J38" s="1609"/>
      <c r="K38" s="1849"/>
      <c r="L38" s="1850"/>
      <c r="M38" s="1850"/>
      <c r="N38" s="1850"/>
      <c r="O38" s="1850"/>
      <c r="P38" s="1850"/>
      <c r="Q38" s="1850"/>
      <c r="R38" s="1850"/>
      <c r="S38" s="1850"/>
      <c r="T38" s="1850"/>
      <c r="U38" s="1850"/>
      <c r="V38" s="1850"/>
      <c r="W38" s="1850"/>
      <c r="X38" s="1850"/>
      <c r="Y38" s="1850"/>
      <c r="Z38" s="1850"/>
      <c r="AA38" s="1850"/>
      <c r="AB38" s="1850"/>
      <c r="AC38" s="1850"/>
      <c r="AD38" s="1850"/>
      <c r="AE38" s="1850"/>
      <c r="AF38" s="1850"/>
      <c r="AG38" s="1850"/>
      <c r="AH38" s="1850"/>
      <c r="AI38" s="1850"/>
      <c r="AJ38" s="1850"/>
      <c r="AK38" s="1850"/>
      <c r="AL38" s="1850"/>
      <c r="AM38" s="1850"/>
      <c r="AN38" s="1850"/>
      <c r="AO38" s="1850"/>
      <c r="AP38" s="1850"/>
      <c r="AQ38" s="1850">
        <v>414</v>
      </c>
      <c r="AR38" s="1850">
        <v>411</v>
      </c>
      <c r="AS38" s="1850">
        <v>388</v>
      </c>
      <c r="AT38" s="1850">
        <v>293</v>
      </c>
      <c r="AU38" s="1850">
        <v>225</v>
      </c>
      <c r="AV38" s="1850">
        <v>188</v>
      </c>
      <c r="AW38" s="1850">
        <v>159</v>
      </c>
      <c r="AX38" s="1850">
        <v>143</v>
      </c>
      <c r="AY38" s="1850">
        <v>128</v>
      </c>
      <c r="AZ38" s="1853">
        <v>124</v>
      </c>
      <c r="BA38" s="1850">
        <v>109</v>
      </c>
      <c r="BB38" s="1850">
        <v>102</v>
      </c>
      <c r="BC38" s="1850">
        <v>100</v>
      </c>
      <c r="BD38" s="1850">
        <v>94</v>
      </c>
      <c r="BE38" s="1850">
        <v>90</v>
      </c>
      <c r="BF38" s="1850">
        <v>87</v>
      </c>
      <c r="BG38" s="1850">
        <v>81</v>
      </c>
      <c r="BH38" s="1850">
        <v>79</v>
      </c>
      <c r="BI38" s="1852">
        <v>77</v>
      </c>
      <c r="BJ38" s="1850">
        <v>76</v>
      </c>
      <c r="BK38" s="1850">
        <v>72</v>
      </c>
      <c r="BL38" s="1850">
        <v>69</v>
      </c>
      <c r="BM38" s="1850">
        <v>65</v>
      </c>
      <c r="BN38" s="1850">
        <v>62</v>
      </c>
      <c r="BO38" s="1850">
        <v>62</v>
      </c>
      <c r="BP38" s="1850">
        <v>62</v>
      </c>
      <c r="BQ38" s="1850">
        <v>58</v>
      </c>
      <c r="BR38" s="1850">
        <v>55</v>
      </c>
      <c r="BS38" s="1850">
        <v>54</v>
      </c>
      <c r="BT38" s="1850">
        <v>53</v>
      </c>
      <c r="BU38" s="1852"/>
      <c r="BV38" s="1850"/>
      <c r="BW38" s="1850"/>
      <c r="BX38" s="1850"/>
      <c r="BY38" s="1850"/>
      <c r="BZ38" s="1850"/>
      <c r="CA38" s="1621">
        <v>0.96933962264150941</v>
      </c>
      <c r="CB38" s="1621">
        <v>0.53066037735849059</v>
      </c>
      <c r="CC38" s="1621">
        <v>0.25707547169811323</v>
      </c>
    </row>
    <row r="39" spans="2:81" outlineLevel="1">
      <c r="B39" s="1867">
        <v>42005</v>
      </c>
      <c r="C39" s="1859">
        <v>440</v>
      </c>
      <c r="D39" s="1860">
        <f t="shared" si="3"/>
        <v>429</v>
      </c>
      <c r="E39" s="1860">
        <f t="shared" si="4"/>
        <v>213</v>
      </c>
      <c r="F39" s="1860">
        <f t="shared" si="5"/>
        <v>102</v>
      </c>
      <c r="G39" s="1861">
        <f t="shared" si="0"/>
        <v>0.97499999999999998</v>
      </c>
      <c r="H39" s="1861">
        <f t="shared" si="1"/>
        <v>0.48409090909090907</v>
      </c>
      <c r="I39" s="1861">
        <f t="shared" si="2"/>
        <v>0.23181818181818181</v>
      </c>
      <c r="J39" s="1747"/>
      <c r="K39" s="1854"/>
      <c r="L39" s="1850"/>
      <c r="M39" s="1850"/>
      <c r="N39" s="1850"/>
      <c r="O39" s="1850"/>
      <c r="P39" s="1850"/>
      <c r="Q39" s="1850"/>
      <c r="R39" s="1850"/>
      <c r="S39" s="1850"/>
      <c r="T39" s="1850"/>
      <c r="U39" s="1850"/>
      <c r="V39" s="1850"/>
      <c r="W39" s="1850"/>
      <c r="X39" s="1850"/>
      <c r="Y39" s="1850"/>
      <c r="Z39" s="1850"/>
      <c r="AA39" s="1850"/>
      <c r="AB39" s="1850"/>
      <c r="AC39" s="1850"/>
      <c r="AD39" s="1850"/>
      <c r="AE39" s="1850"/>
      <c r="AF39" s="1850"/>
      <c r="AG39" s="1850"/>
      <c r="AH39" s="1850"/>
      <c r="AI39" s="1850"/>
      <c r="AJ39" s="1850"/>
      <c r="AK39" s="1850"/>
      <c r="AL39" s="1850"/>
      <c r="AM39" s="1850"/>
      <c r="AN39" s="1850"/>
      <c r="AO39" s="1850"/>
      <c r="AP39" s="1850"/>
      <c r="AQ39" s="1850"/>
      <c r="AR39" s="1850">
        <v>438</v>
      </c>
      <c r="AS39" s="1850">
        <v>429</v>
      </c>
      <c r="AT39" s="1850">
        <v>421</v>
      </c>
      <c r="AU39" s="1850">
        <v>267</v>
      </c>
      <c r="AV39" s="1850">
        <v>213</v>
      </c>
      <c r="AW39" s="1850">
        <v>168</v>
      </c>
      <c r="AX39" s="1850">
        <v>138</v>
      </c>
      <c r="AY39" s="1850">
        <v>125</v>
      </c>
      <c r="AZ39" s="1853">
        <v>123</v>
      </c>
      <c r="BA39" s="1850">
        <v>112</v>
      </c>
      <c r="BB39" s="1850">
        <v>102</v>
      </c>
      <c r="BC39" s="1850">
        <v>102</v>
      </c>
      <c r="BD39" s="1850">
        <v>97</v>
      </c>
      <c r="BE39" s="1850">
        <v>92</v>
      </c>
      <c r="BF39" s="1850">
        <v>89</v>
      </c>
      <c r="BG39" s="1850">
        <v>85</v>
      </c>
      <c r="BH39" s="1850">
        <v>80</v>
      </c>
      <c r="BI39" s="1852">
        <v>69</v>
      </c>
      <c r="BJ39" s="1850">
        <v>66</v>
      </c>
      <c r="BK39" s="1850">
        <v>63</v>
      </c>
      <c r="BL39" s="1850">
        <v>62</v>
      </c>
      <c r="BM39" s="1850">
        <v>59</v>
      </c>
      <c r="BN39" s="1850">
        <v>57</v>
      </c>
      <c r="BO39" s="1850">
        <v>57</v>
      </c>
      <c r="BP39" s="1850">
        <v>57</v>
      </c>
      <c r="BQ39" s="1850">
        <v>54</v>
      </c>
      <c r="BR39" s="1850">
        <v>55</v>
      </c>
      <c r="BS39" s="1850">
        <v>55</v>
      </c>
      <c r="BT39" s="1850">
        <v>55</v>
      </c>
      <c r="BU39" s="1852"/>
      <c r="BV39" s="1850"/>
      <c r="BW39" s="1850"/>
      <c r="BX39" s="1850"/>
      <c r="BY39" s="1850"/>
      <c r="BZ39" s="1850"/>
      <c r="CA39" s="1621">
        <v>0.97499999999999998</v>
      </c>
      <c r="CB39" s="1621">
        <v>0.48409090909090907</v>
      </c>
      <c r="CC39" s="1621">
        <v>0.23181818181818181</v>
      </c>
    </row>
    <row r="40" spans="2:81" outlineLevel="1">
      <c r="B40" s="1867">
        <v>42036</v>
      </c>
      <c r="C40" s="1859">
        <v>217</v>
      </c>
      <c r="D40" s="1860">
        <f t="shared" si="3"/>
        <v>203</v>
      </c>
      <c r="E40" s="1860">
        <f t="shared" si="4"/>
        <v>99</v>
      </c>
      <c r="F40" s="1860">
        <f t="shared" si="5"/>
        <v>55</v>
      </c>
      <c r="G40" s="1861">
        <f t="shared" si="0"/>
        <v>0.93548387096774188</v>
      </c>
      <c r="H40" s="1861">
        <f t="shared" si="1"/>
        <v>0.45622119815668205</v>
      </c>
      <c r="I40" s="1861">
        <f t="shared" si="2"/>
        <v>0.25345622119815669</v>
      </c>
      <c r="J40" s="1609"/>
      <c r="K40" s="1854"/>
      <c r="L40" s="1850"/>
      <c r="M40" s="1850"/>
      <c r="N40" s="1850"/>
      <c r="O40" s="1850"/>
      <c r="P40" s="1850"/>
      <c r="Q40" s="1850"/>
      <c r="R40" s="1850"/>
      <c r="S40" s="1850"/>
      <c r="T40" s="1850"/>
      <c r="U40" s="1850"/>
      <c r="V40" s="1850"/>
      <c r="W40" s="1850"/>
      <c r="X40" s="1850"/>
      <c r="Y40" s="1850"/>
      <c r="Z40" s="1850"/>
      <c r="AA40" s="1850"/>
      <c r="AB40" s="1850"/>
      <c r="AC40" s="1850"/>
      <c r="AD40" s="1850"/>
      <c r="AE40" s="1850"/>
      <c r="AF40" s="1850"/>
      <c r="AG40" s="1850"/>
      <c r="AH40" s="1850"/>
      <c r="AI40" s="1850"/>
      <c r="AJ40" s="1850"/>
      <c r="AK40" s="1850"/>
      <c r="AL40" s="1850"/>
      <c r="AM40" s="1850"/>
      <c r="AN40" s="1850"/>
      <c r="AO40" s="1850"/>
      <c r="AP40" s="1850"/>
      <c r="AQ40" s="1850"/>
      <c r="AR40" s="1850"/>
      <c r="AS40" s="1850">
        <v>213</v>
      </c>
      <c r="AT40" s="1850">
        <v>203</v>
      </c>
      <c r="AU40" s="1850">
        <v>151</v>
      </c>
      <c r="AV40" s="1850">
        <v>112</v>
      </c>
      <c r="AW40" s="1850">
        <v>99</v>
      </c>
      <c r="AX40" s="1850">
        <v>86</v>
      </c>
      <c r="AY40" s="1850">
        <v>76</v>
      </c>
      <c r="AZ40" s="1853">
        <v>71</v>
      </c>
      <c r="BA40" s="1850">
        <v>64</v>
      </c>
      <c r="BB40" s="1850">
        <v>56</v>
      </c>
      <c r="BC40" s="1850">
        <v>55</v>
      </c>
      <c r="BD40" s="1850">
        <v>54</v>
      </c>
      <c r="BE40" s="1850">
        <v>54</v>
      </c>
      <c r="BF40" s="1850">
        <v>54</v>
      </c>
      <c r="BG40" s="1850">
        <v>52</v>
      </c>
      <c r="BH40" s="1850">
        <v>44</v>
      </c>
      <c r="BI40" s="1852">
        <v>41</v>
      </c>
      <c r="BJ40" s="1850">
        <v>38</v>
      </c>
      <c r="BK40" s="1850">
        <v>38</v>
      </c>
      <c r="BL40" s="1850">
        <v>38</v>
      </c>
      <c r="BM40" s="1850">
        <v>38</v>
      </c>
      <c r="BN40" s="1850">
        <v>36</v>
      </c>
      <c r="BO40" s="1850">
        <v>36</v>
      </c>
      <c r="BP40" s="1850">
        <v>36</v>
      </c>
      <c r="BQ40" s="1850">
        <v>34</v>
      </c>
      <c r="BR40" s="1850">
        <v>34</v>
      </c>
      <c r="BS40" s="1850">
        <v>34</v>
      </c>
      <c r="BT40" s="1850">
        <v>34</v>
      </c>
      <c r="BU40" s="1852"/>
      <c r="BV40" s="1850"/>
      <c r="BW40" s="1850"/>
      <c r="BX40" s="1850"/>
      <c r="BY40" s="1850"/>
      <c r="BZ40" s="1850"/>
      <c r="CA40" s="1621">
        <v>0.93548387096774188</v>
      </c>
      <c r="CB40" s="1621">
        <v>0.45622119815668205</v>
      </c>
      <c r="CC40" s="1621">
        <v>0.25345622119815669</v>
      </c>
    </row>
    <row r="41" spans="2:81" outlineLevel="1">
      <c r="B41" s="1867">
        <v>42064</v>
      </c>
      <c r="C41" s="1859">
        <v>459</v>
      </c>
      <c r="D41" s="1860">
        <f t="shared" si="3"/>
        <v>393</v>
      </c>
      <c r="E41" s="1860">
        <f t="shared" si="4"/>
        <v>208</v>
      </c>
      <c r="F41" s="1860">
        <f t="shared" si="5"/>
        <v>123</v>
      </c>
      <c r="G41" s="1861">
        <f t="shared" si="0"/>
        <v>0.85620915032679734</v>
      </c>
      <c r="H41" s="1861">
        <f t="shared" si="1"/>
        <v>0.45315904139433549</v>
      </c>
      <c r="I41" s="1861">
        <f t="shared" si="2"/>
        <v>0.26797385620915032</v>
      </c>
      <c r="J41" s="1609"/>
      <c r="K41" s="1854"/>
      <c r="L41" s="1850"/>
      <c r="M41" s="1850"/>
      <c r="N41" s="1850"/>
      <c r="O41" s="1850"/>
      <c r="P41" s="1850"/>
      <c r="Q41" s="1850"/>
      <c r="R41" s="1850"/>
      <c r="S41" s="1850"/>
      <c r="T41" s="1850"/>
      <c r="U41" s="1850"/>
      <c r="V41" s="1850"/>
      <c r="W41" s="1850"/>
      <c r="X41" s="1850"/>
      <c r="Y41" s="1850"/>
      <c r="Z41" s="1850"/>
      <c r="AA41" s="1850"/>
      <c r="AB41" s="1850"/>
      <c r="AC41" s="1850"/>
      <c r="AD41" s="1850"/>
      <c r="AE41" s="1850"/>
      <c r="AF41" s="1850"/>
      <c r="AG41" s="1850"/>
      <c r="AH41" s="1850"/>
      <c r="AI41" s="1850"/>
      <c r="AJ41" s="1850"/>
      <c r="AK41" s="1850"/>
      <c r="AL41" s="1850"/>
      <c r="AM41" s="1850"/>
      <c r="AN41" s="1850"/>
      <c r="AO41" s="1850"/>
      <c r="AP41" s="1850"/>
      <c r="AQ41" s="1850"/>
      <c r="AR41" s="1850"/>
      <c r="AS41" s="1850"/>
      <c r="AT41" s="1850">
        <v>455</v>
      </c>
      <c r="AU41" s="1850">
        <v>393</v>
      </c>
      <c r="AV41" s="1850">
        <v>314</v>
      </c>
      <c r="AW41" s="1850">
        <v>238</v>
      </c>
      <c r="AX41" s="1850">
        <v>208</v>
      </c>
      <c r="AY41" s="1850">
        <v>181</v>
      </c>
      <c r="AZ41" s="1853">
        <v>166</v>
      </c>
      <c r="BA41" s="1850">
        <v>138</v>
      </c>
      <c r="BB41" s="1850">
        <v>129</v>
      </c>
      <c r="BC41" s="1850">
        <v>126</v>
      </c>
      <c r="BD41" s="1850">
        <v>123</v>
      </c>
      <c r="BE41" s="1850">
        <v>114</v>
      </c>
      <c r="BF41" s="1850">
        <v>105</v>
      </c>
      <c r="BG41" s="1850">
        <v>100</v>
      </c>
      <c r="BH41" s="1850">
        <v>96</v>
      </c>
      <c r="BI41" s="1852">
        <v>90</v>
      </c>
      <c r="BJ41" s="1850">
        <v>90</v>
      </c>
      <c r="BK41" s="1850">
        <v>88</v>
      </c>
      <c r="BL41" s="1850">
        <v>83</v>
      </c>
      <c r="BM41" s="1850">
        <v>78</v>
      </c>
      <c r="BN41" s="1850">
        <v>76</v>
      </c>
      <c r="BO41" s="1850">
        <v>74</v>
      </c>
      <c r="BP41" s="1850">
        <v>74</v>
      </c>
      <c r="BQ41" s="1850">
        <v>73</v>
      </c>
      <c r="BR41" s="1850">
        <v>72</v>
      </c>
      <c r="BS41" s="1850">
        <v>69</v>
      </c>
      <c r="BT41" s="1850">
        <v>69</v>
      </c>
      <c r="BU41" s="1852"/>
      <c r="BV41" s="1850"/>
      <c r="BW41" s="1850"/>
      <c r="BX41" s="1850"/>
      <c r="BY41" s="1850"/>
      <c r="BZ41" s="1850"/>
      <c r="CA41" s="1621">
        <v>0.85620915032679734</v>
      </c>
      <c r="CB41" s="1621">
        <v>0.45315904139433549</v>
      </c>
      <c r="CC41" s="1621">
        <v>0.26797385620915032</v>
      </c>
    </row>
    <row r="42" spans="2:81" outlineLevel="1">
      <c r="B42" s="1867">
        <v>42095</v>
      </c>
      <c r="C42" s="1859">
        <v>591</v>
      </c>
      <c r="D42" s="1860">
        <f t="shared" si="3"/>
        <v>506</v>
      </c>
      <c r="E42" s="1860">
        <f t="shared" si="4"/>
        <v>292</v>
      </c>
      <c r="F42" s="1860">
        <f t="shared" si="5"/>
        <v>183</v>
      </c>
      <c r="G42" s="1861">
        <f t="shared" si="0"/>
        <v>0.85617597292724201</v>
      </c>
      <c r="H42" s="1861">
        <f t="shared" si="1"/>
        <v>0.49407783417935702</v>
      </c>
      <c r="I42" s="1861">
        <f t="shared" si="2"/>
        <v>0.30964467005076141</v>
      </c>
      <c r="J42" s="1655"/>
      <c r="K42" s="1854"/>
      <c r="L42" s="1850"/>
      <c r="M42" s="1850"/>
      <c r="N42" s="1850"/>
      <c r="O42" s="1850"/>
      <c r="P42" s="1850"/>
      <c r="Q42" s="1850"/>
      <c r="R42" s="1850"/>
      <c r="S42" s="1850"/>
      <c r="T42" s="1850"/>
      <c r="U42" s="1850"/>
      <c r="V42" s="1850"/>
      <c r="W42" s="1850"/>
      <c r="X42" s="1850"/>
      <c r="Y42" s="1850"/>
      <c r="Z42" s="1850"/>
      <c r="AA42" s="1850"/>
      <c r="AB42" s="1850"/>
      <c r="AC42" s="1850"/>
      <c r="AD42" s="1850"/>
      <c r="AE42" s="1850"/>
      <c r="AF42" s="1850"/>
      <c r="AG42" s="1850"/>
      <c r="AH42" s="1850"/>
      <c r="AI42" s="1850"/>
      <c r="AJ42" s="1850"/>
      <c r="AK42" s="1850"/>
      <c r="AL42" s="1850"/>
      <c r="AM42" s="1850"/>
      <c r="AN42" s="1850"/>
      <c r="AO42" s="1850"/>
      <c r="AP42" s="1850"/>
      <c r="AQ42" s="1850"/>
      <c r="AR42" s="1850"/>
      <c r="AS42" s="1850"/>
      <c r="AT42" s="1850"/>
      <c r="AU42" s="1850">
        <v>570</v>
      </c>
      <c r="AV42" s="1850">
        <v>506</v>
      </c>
      <c r="AW42" s="1850">
        <v>442</v>
      </c>
      <c r="AX42" s="1850">
        <v>357</v>
      </c>
      <c r="AY42" s="1850">
        <v>292</v>
      </c>
      <c r="AZ42" s="1853">
        <v>257</v>
      </c>
      <c r="BA42" s="1850">
        <v>233</v>
      </c>
      <c r="BB42" s="1850">
        <v>216</v>
      </c>
      <c r="BC42" s="1850">
        <v>211</v>
      </c>
      <c r="BD42" s="1850">
        <v>201</v>
      </c>
      <c r="BE42" s="1850">
        <v>183</v>
      </c>
      <c r="BF42" s="1850">
        <v>173</v>
      </c>
      <c r="BG42" s="1850">
        <v>168</v>
      </c>
      <c r="BH42" s="1850">
        <v>151</v>
      </c>
      <c r="BI42" s="1852">
        <v>139</v>
      </c>
      <c r="BJ42" s="1850">
        <v>132</v>
      </c>
      <c r="BK42" s="1850">
        <v>126</v>
      </c>
      <c r="BL42" s="1850">
        <v>123</v>
      </c>
      <c r="BM42" s="1850">
        <v>114</v>
      </c>
      <c r="BN42" s="1850">
        <v>112</v>
      </c>
      <c r="BO42" s="1850">
        <v>106</v>
      </c>
      <c r="BP42" s="1850">
        <v>106</v>
      </c>
      <c r="BQ42" s="1850">
        <v>98</v>
      </c>
      <c r="BR42" s="1850">
        <v>95</v>
      </c>
      <c r="BS42" s="1850">
        <v>96</v>
      </c>
      <c r="BT42" s="1850">
        <v>96</v>
      </c>
      <c r="BU42" s="1852"/>
      <c r="BV42" s="1850"/>
      <c r="BW42" s="1850"/>
      <c r="BX42" s="1850"/>
      <c r="BY42" s="1850"/>
      <c r="BZ42" s="1850"/>
      <c r="CA42" s="1621">
        <v>0.85617597292724201</v>
      </c>
      <c r="CB42" s="1621">
        <v>0.49407783417935702</v>
      </c>
      <c r="CC42" s="1621">
        <v>0.30964467005076141</v>
      </c>
    </row>
    <row r="43" spans="2:81" outlineLevel="1">
      <c r="B43" s="1867">
        <v>42125</v>
      </c>
      <c r="C43" s="1859">
        <v>474</v>
      </c>
      <c r="D43" s="1860">
        <f t="shared" si="3"/>
        <v>398</v>
      </c>
      <c r="E43" s="1860">
        <f t="shared" si="4"/>
        <v>225</v>
      </c>
      <c r="F43" s="1860">
        <f t="shared" si="5"/>
        <v>109</v>
      </c>
      <c r="G43" s="1861">
        <f t="shared" si="0"/>
        <v>0.83966244725738393</v>
      </c>
      <c r="H43" s="1861">
        <f t="shared" si="1"/>
        <v>0.47468354430379744</v>
      </c>
      <c r="I43" s="1861">
        <f t="shared" si="2"/>
        <v>0.22995780590717299</v>
      </c>
      <c r="J43" s="1655"/>
      <c r="K43" s="1854"/>
      <c r="L43" s="1850"/>
      <c r="M43" s="1850"/>
      <c r="N43" s="1850"/>
      <c r="O43" s="1850"/>
      <c r="P43" s="1850"/>
      <c r="Q43" s="1850"/>
      <c r="R43" s="1850"/>
      <c r="S43" s="1850"/>
      <c r="T43" s="1850"/>
      <c r="U43" s="1850"/>
      <c r="V43" s="1850"/>
      <c r="W43" s="1850"/>
      <c r="X43" s="1850"/>
      <c r="Y43" s="1850"/>
      <c r="Z43" s="1850"/>
      <c r="AA43" s="1850"/>
      <c r="AB43" s="1850"/>
      <c r="AC43" s="1850"/>
      <c r="AD43" s="1850"/>
      <c r="AE43" s="1850"/>
      <c r="AF43" s="1850"/>
      <c r="AG43" s="1850"/>
      <c r="AH43" s="1850"/>
      <c r="AI43" s="1850"/>
      <c r="AJ43" s="1850"/>
      <c r="AK43" s="1850"/>
      <c r="AL43" s="1850"/>
      <c r="AM43" s="1850"/>
      <c r="AN43" s="1850"/>
      <c r="AO43" s="1850"/>
      <c r="AP43" s="1850"/>
      <c r="AQ43" s="1850"/>
      <c r="AR43" s="1850"/>
      <c r="AS43" s="1850"/>
      <c r="AT43" s="1850"/>
      <c r="AU43" s="1850"/>
      <c r="AV43" s="1850">
        <v>445</v>
      </c>
      <c r="AW43" s="1850">
        <v>398</v>
      </c>
      <c r="AX43" s="1850">
        <v>369</v>
      </c>
      <c r="AY43" s="1850">
        <v>255</v>
      </c>
      <c r="AZ43" s="1853">
        <v>225</v>
      </c>
      <c r="BA43" s="1850">
        <v>183</v>
      </c>
      <c r="BB43" s="1850">
        <v>146</v>
      </c>
      <c r="BC43" s="1850">
        <v>142</v>
      </c>
      <c r="BD43" s="1850">
        <v>129</v>
      </c>
      <c r="BE43" s="1850">
        <v>116</v>
      </c>
      <c r="BF43" s="1850">
        <v>109</v>
      </c>
      <c r="BG43" s="1850">
        <v>103</v>
      </c>
      <c r="BH43" s="1850">
        <v>95</v>
      </c>
      <c r="BI43" s="1852">
        <v>86</v>
      </c>
      <c r="BJ43" s="1850">
        <v>77</v>
      </c>
      <c r="BK43" s="1850">
        <v>73</v>
      </c>
      <c r="BL43" s="1850">
        <v>73</v>
      </c>
      <c r="BM43" s="1850">
        <v>72</v>
      </c>
      <c r="BN43" s="1850">
        <v>65</v>
      </c>
      <c r="BO43" s="1850">
        <v>65</v>
      </c>
      <c r="BP43" s="1850">
        <v>65</v>
      </c>
      <c r="BQ43" s="1850">
        <v>64</v>
      </c>
      <c r="BR43" s="1850">
        <v>63</v>
      </c>
      <c r="BS43" s="1850">
        <v>63</v>
      </c>
      <c r="BT43" s="1850">
        <v>61</v>
      </c>
      <c r="BU43" s="1852"/>
      <c r="BV43" s="1850"/>
      <c r="BW43" s="1850"/>
      <c r="BX43" s="1850"/>
      <c r="BY43" s="1850"/>
      <c r="BZ43" s="1850"/>
      <c r="CA43" s="1621">
        <v>0.83966244725738393</v>
      </c>
      <c r="CB43" s="1621">
        <v>0.47468354430379744</v>
      </c>
      <c r="CC43" s="1621">
        <v>0.22995780590717299</v>
      </c>
    </row>
    <row r="44" spans="2:81" outlineLevel="1">
      <c r="B44" s="1867">
        <v>42156</v>
      </c>
      <c r="C44" s="1859">
        <v>507</v>
      </c>
      <c r="D44" s="1860">
        <f t="shared" si="3"/>
        <v>462</v>
      </c>
      <c r="E44" s="1860">
        <f t="shared" si="4"/>
        <v>255</v>
      </c>
      <c r="F44" s="1860">
        <f t="shared" si="5"/>
        <v>160</v>
      </c>
      <c r="G44" s="1861">
        <f t="shared" si="0"/>
        <v>0.91124260355029585</v>
      </c>
      <c r="H44" s="1861">
        <f t="shared" si="1"/>
        <v>0.50295857988165682</v>
      </c>
      <c r="I44" s="1861">
        <f t="shared" si="2"/>
        <v>0.31558185404339251</v>
      </c>
      <c r="J44" s="1655"/>
      <c r="K44" s="1854"/>
      <c r="L44" s="1850"/>
      <c r="M44" s="1850"/>
      <c r="N44" s="1850"/>
      <c r="O44" s="1850"/>
      <c r="P44" s="1850"/>
      <c r="Q44" s="1850"/>
      <c r="R44" s="1850"/>
      <c r="S44" s="1850"/>
      <c r="T44" s="1850"/>
      <c r="U44" s="1850"/>
      <c r="V44" s="1850"/>
      <c r="W44" s="1850"/>
      <c r="X44" s="1850"/>
      <c r="Y44" s="1850"/>
      <c r="Z44" s="1850"/>
      <c r="AA44" s="1850"/>
      <c r="AB44" s="1850"/>
      <c r="AC44" s="1850"/>
      <c r="AD44" s="1850"/>
      <c r="AE44" s="1850"/>
      <c r="AF44" s="1850"/>
      <c r="AG44" s="1850"/>
      <c r="AH44" s="1850"/>
      <c r="AI44" s="1850"/>
      <c r="AJ44" s="1850"/>
      <c r="AK44" s="1850"/>
      <c r="AL44" s="1850"/>
      <c r="AM44" s="1850"/>
      <c r="AN44" s="1850"/>
      <c r="AO44" s="1850"/>
      <c r="AP44" s="1850"/>
      <c r="AQ44" s="1850"/>
      <c r="AR44" s="1850"/>
      <c r="AS44" s="1850"/>
      <c r="AT44" s="1850"/>
      <c r="AU44" s="1850"/>
      <c r="AV44" s="1850"/>
      <c r="AW44" s="1850">
        <v>484</v>
      </c>
      <c r="AX44" s="1850">
        <v>462</v>
      </c>
      <c r="AY44" s="1850">
        <v>385</v>
      </c>
      <c r="AZ44" s="1853">
        <v>312</v>
      </c>
      <c r="BA44" s="1850">
        <v>255</v>
      </c>
      <c r="BB44" s="1850">
        <v>219</v>
      </c>
      <c r="BC44" s="1850">
        <v>209</v>
      </c>
      <c r="BD44" s="1850">
        <v>198</v>
      </c>
      <c r="BE44" s="1850">
        <v>185</v>
      </c>
      <c r="BF44" s="1850">
        <v>174</v>
      </c>
      <c r="BG44" s="1850">
        <v>160</v>
      </c>
      <c r="BH44" s="1850">
        <v>143</v>
      </c>
      <c r="BI44" s="1852">
        <v>131</v>
      </c>
      <c r="BJ44" s="1850">
        <v>125</v>
      </c>
      <c r="BK44" s="1850">
        <v>117</v>
      </c>
      <c r="BL44" s="1850">
        <v>108</v>
      </c>
      <c r="BM44" s="1850">
        <v>101</v>
      </c>
      <c r="BN44" s="1850">
        <v>97</v>
      </c>
      <c r="BO44" s="1850">
        <v>94</v>
      </c>
      <c r="BP44" s="1850">
        <v>94</v>
      </c>
      <c r="BQ44" s="1850">
        <v>83</v>
      </c>
      <c r="BR44" s="1850">
        <v>78</v>
      </c>
      <c r="BS44" s="1850">
        <v>77</v>
      </c>
      <c r="BT44" s="1850">
        <v>76</v>
      </c>
      <c r="BU44" s="1852"/>
      <c r="BV44" s="1850"/>
      <c r="BW44" s="1850"/>
      <c r="BX44" s="1850"/>
      <c r="BY44" s="1850"/>
      <c r="BZ44" s="1850"/>
      <c r="CA44" s="1621">
        <v>0.91124260355029585</v>
      </c>
      <c r="CB44" s="1621">
        <v>0.50295857988165682</v>
      </c>
      <c r="CC44" s="1621">
        <v>0.31558185404339251</v>
      </c>
    </row>
    <row r="45" spans="2:81" outlineLevel="1">
      <c r="B45" s="1867">
        <v>42186</v>
      </c>
      <c r="C45" s="1859">
        <v>507</v>
      </c>
      <c r="D45" s="1860">
        <f t="shared" si="3"/>
        <v>457</v>
      </c>
      <c r="E45" s="1860">
        <f t="shared" si="4"/>
        <v>249</v>
      </c>
      <c r="F45" s="1860">
        <f t="shared" si="5"/>
        <v>143</v>
      </c>
      <c r="G45" s="1861">
        <f t="shared" si="0"/>
        <v>0.90138067061143989</v>
      </c>
      <c r="H45" s="1861">
        <f t="shared" si="1"/>
        <v>0.4911242603550296</v>
      </c>
      <c r="I45" s="1861">
        <f t="shared" si="2"/>
        <v>0.28205128205128205</v>
      </c>
      <c r="J45" s="1655"/>
      <c r="K45" s="1854"/>
      <c r="L45" s="1850"/>
      <c r="M45" s="1850"/>
      <c r="N45" s="1850"/>
      <c r="O45" s="1850"/>
      <c r="P45" s="1850"/>
      <c r="Q45" s="1850"/>
      <c r="R45" s="1850"/>
      <c r="S45" s="1850"/>
      <c r="T45" s="1850"/>
      <c r="U45" s="1850"/>
      <c r="V45" s="1850"/>
      <c r="W45" s="1850"/>
      <c r="X45" s="1850"/>
      <c r="Y45" s="1850"/>
      <c r="Z45" s="1850"/>
      <c r="AA45" s="1850"/>
      <c r="AB45" s="1850"/>
      <c r="AC45" s="1850"/>
      <c r="AD45" s="1850"/>
      <c r="AE45" s="1850"/>
      <c r="AF45" s="1850"/>
      <c r="AG45" s="1850"/>
      <c r="AH45" s="1850"/>
      <c r="AI45" s="1850"/>
      <c r="AJ45" s="1850"/>
      <c r="AK45" s="1850"/>
      <c r="AL45" s="1850"/>
      <c r="AM45" s="1850"/>
      <c r="AN45" s="1850"/>
      <c r="AO45" s="1850"/>
      <c r="AP45" s="1850"/>
      <c r="AQ45" s="1850"/>
      <c r="AR45" s="1850"/>
      <c r="AS45" s="1850"/>
      <c r="AT45" s="1850"/>
      <c r="AU45" s="1850"/>
      <c r="AV45" s="1850"/>
      <c r="AW45" s="1850"/>
      <c r="AX45" s="1850">
        <v>495</v>
      </c>
      <c r="AY45" s="1850">
        <v>457</v>
      </c>
      <c r="AZ45" s="1853">
        <v>409</v>
      </c>
      <c r="BA45" s="1850">
        <v>295</v>
      </c>
      <c r="BB45" s="1850">
        <v>249</v>
      </c>
      <c r="BC45" s="1850">
        <v>235</v>
      </c>
      <c r="BD45" s="1850">
        <v>216</v>
      </c>
      <c r="BE45" s="1850">
        <v>189</v>
      </c>
      <c r="BF45" s="1850">
        <v>176</v>
      </c>
      <c r="BG45" s="1850">
        <v>162</v>
      </c>
      <c r="BH45" s="1850">
        <v>143</v>
      </c>
      <c r="BI45" s="1852">
        <v>135</v>
      </c>
      <c r="BJ45" s="1850">
        <v>128</v>
      </c>
      <c r="BK45" s="1850">
        <v>125</v>
      </c>
      <c r="BL45" s="1850">
        <v>118</v>
      </c>
      <c r="BM45" s="1850">
        <v>108</v>
      </c>
      <c r="BN45" s="1850">
        <v>106</v>
      </c>
      <c r="BO45" s="1850">
        <v>104</v>
      </c>
      <c r="BP45" s="1850">
        <v>104</v>
      </c>
      <c r="BQ45" s="1850">
        <v>102</v>
      </c>
      <c r="BR45" s="1850">
        <v>99</v>
      </c>
      <c r="BS45" s="1850">
        <v>99</v>
      </c>
      <c r="BT45" s="1850">
        <v>96</v>
      </c>
      <c r="BU45" s="1852"/>
      <c r="BV45" s="1850"/>
      <c r="BW45" s="1850"/>
      <c r="BX45" s="1850"/>
      <c r="BY45" s="1850"/>
      <c r="BZ45" s="1850"/>
      <c r="CA45" s="1621">
        <v>0.90138067061143989</v>
      </c>
      <c r="CB45" s="1621">
        <v>0.4911242603550296</v>
      </c>
      <c r="CC45" s="1621">
        <v>0.28205128205128205</v>
      </c>
    </row>
    <row r="46" spans="2:81" outlineLevel="1">
      <c r="B46" s="1867">
        <v>42217</v>
      </c>
      <c r="C46" s="1859">
        <v>492</v>
      </c>
      <c r="D46" s="1860">
        <f t="shared" si="3"/>
        <v>444</v>
      </c>
      <c r="E46" s="1860">
        <f t="shared" si="4"/>
        <v>256</v>
      </c>
      <c r="F46" s="1860">
        <f t="shared" si="5"/>
        <v>141</v>
      </c>
      <c r="G46" s="1861">
        <f t="shared" si="0"/>
        <v>0.90243902439024393</v>
      </c>
      <c r="H46" s="1861">
        <f t="shared" si="1"/>
        <v>0.52032520325203258</v>
      </c>
      <c r="I46" s="1861">
        <f t="shared" si="2"/>
        <v>0.28658536585365851</v>
      </c>
      <c r="J46" s="1655"/>
      <c r="K46" s="1854"/>
      <c r="L46" s="1850"/>
      <c r="M46" s="1850"/>
      <c r="N46" s="1850"/>
      <c r="O46" s="1850"/>
      <c r="P46" s="1850"/>
      <c r="Q46" s="1850"/>
      <c r="R46" s="1850"/>
      <c r="S46" s="1850"/>
      <c r="T46" s="1850"/>
      <c r="U46" s="1850"/>
      <c r="V46" s="1850"/>
      <c r="W46" s="1850"/>
      <c r="X46" s="1850"/>
      <c r="Y46" s="1850"/>
      <c r="Z46" s="1850"/>
      <c r="AA46" s="1850"/>
      <c r="AB46" s="1850"/>
      <c r="AC46" s="1850"/>
      <c r="AD46" s="1850"/>
      <c r="AE46" s="1850"/>
      <c r="AF46" s="1850"/>
      <c r="AG46" s="1850"/>
      <c r="AH46" s="1850"/>
      <c r="AI46" s="1850"/>
      <c r="AJ46" s="1850"/>
      <c r="AK46" s="1850"/>
      <c r="AL46" s="1850"/>
      <c r="AM46" s="1850"/>
      <c r="AN46" s="1850"/>
      <c r="AO46" s="1850"/>
      <c r="AP46" s="1850"/>
      <c r="AQ46" s="1850"/>
      <c r="AR46" s="1850"/>
      <c r="AS46" s="1850"/>
      <c r="AT46" s="1850"/>
      <c r="AU46" s="1850"/>
      <c r="AV46" s="1850"/>
      <c r="AW46" s="1850"/>
      <c r="AX46" s="1850"/>
      <c r="AY46" s="1850">
        <v>472</v>
      </c>
      <c r="AZ46" s="1853">
        <v>444</v>
      </c>
      <c r="BA46" s="1850">
        <v>384</v>
      </c>
      <c r="BB46" s="1850">
        <v>273</v>
      </c>
      <c r="BC46" s="1850">
        <v>256</v>
      </c>
      <c r="BD46" s="1850">
        <v>230</v>
      </c>
      <c r="BE46" s="1850">
        <v>196</v>
      </c>
      <c r="BF46" s="1850">
        <v>183</v>
      </c>
      <c r="BG46" s="1850">
        <v>169</v>
      </c>
      <c r="BH46" s="1850">
        <v>159</v>
      </c>
      <c r="BI46" s="1852">
        <v>141</v>
      </c>
      <c r="BJ46" s="1850">
        <v>134</v>
      </c>
      <c r="BK46" s="1850">
        <v>126</v>
      </c>
      <c r="BL46" s="1850">
        <v>121</v>
      </c>
      <c r="BM46" s="1850">
        <v>113</v>
      </c>
      <c r="BN46" s="1850">
        <v>110</v>
      </c>
      <c r="BO46" s="1850">
        <v>109</v>
      </c>
      <c r="BP46" s="1850">
        <v>109</v>
      </c>
      <c r="BQ46" s="1850">
        <v>103</v>
      </c>
      <c r="BR46" s="1850">
        <v>101</v>
      </c>
      <c r="BS46" s="1850">
        <v>101</v>
      </c>
      <c r="BT46" s="1850">
        <v>101</v>
      </c>
      <c r="BU46" s="1852"/>
      <c r="BV46" s="1850"/>
      <c r="BW46" s="1850"/>
      <c r="BX46" s="1850"/>
      <c r="BY46" s="1850"/>
      <c r="BZ46" s="1850"/>
      <c r="CA46" s="1621">
        <v>0.90243902439024393</v>
      </c>
      <c r="CB46" s="1621">
        <v>0.52032520325203258</v>
      </c>
      <c r="CC46" s="1621">
        <v>0.28658536585365851</v>
      </c>
    </row>
    <row r="47" spans="2:81" outlineLevel="1">
      <c r="B47" s="1867">
        <v>42248</v>
      </c>
      <c r="C47" s="1859">
        <v>575</v>
      </c>
      <c r="D47" s="1860">
        <f t="shared" si="3"/>
        <v>523</v>
      </c>
      <c r="E47" s="1860">
        <f t="shared" si="4"/>
        <v>366</v>
      </c>
      <c r="F47" s="1860">
        <f t="shared" si="5"/>
        <v>206</v>
      </c>
      <c r="G47" s="1861">
        <f t="shared" si="0"/>
        <v>0.90956521739130436</v>
      </c>
      <c r="H47" s="1861">
        <f t="shared" si="1"/>
        <v>0.63652173913043475</v>
      </c>
      <c r="I47" s="1861">
        <f t="shared" si="2"/>
        <v>0.35826086956521741</v>
      </c>
      <c r="J47" s="1655"/>
      <c r="K47" s="1854"/>
      <c r="L47" s="1850"/>
      <c r="M47" s="1850"/>
      <c r="N47" s="1850"/>
      <c r="O47" s="1850"/>
      <c r="P47" s="1850"/>
      <c r="Q47" s="1850"/>
      <c r="R47" s="1850"/>
      <c r="S47" s="1850"/>
      <c r="T47" s="1850"/>
      <c r="U47" s="1850"/>
      <c r="V47" s="1850"/>
      <c r="W47" s="1850"/>
      <c r="X47" s="1850"/>
      <c r="Y47" s="1850"/>
      <c r="Z47" s="1850"/>
      <c r="AA47" s="1850"/>
      <c r="AB47" s="1850"/>
      <c r="AC47" s="1850"/>
      <c r="AD47" s="1850"/>
      <c r="AE47" s="1850"/>
      <c r="AF47" s="1850"/>
      <c r="AG47" s="1850"/>
      <c r="AH47" s="1850"/>
      <c r="AI47" s="1850"/>
      <c r="AJ47" s="1850"/>
      <c r="AK47" s="1850"/>
      <c r="AL47" s="1850"/>
      <c r="AM47" s="1850"/>
      <c r="AN47" s="1850"/>
      <c r="AO47" s="1850"/>
      <c r="AP47" s="1850"/>
      <c r="AQ47" s="1850"/>
      <c r="AR47" s="1850"/>
      <c r="AS47" s="1850"/>
      <c r="AT47" s="1850"/>
      <c r="AU47" s="1850"/>
      <c r="AV47" s="1850"/>
      <c r="AW47" s="1850"/>
      <c r="AX47" s="1850"/>
      <c r="AY47" s="1850"/>
      <c r="AZ47" s="1850">
        <v>567</v>
      </c>
      <c r="BA47" s="1850">
        <v>523</v>
      </c>
      <c r="BB47" s="1850">
        <v>453</v>
      </c>
      <c r="BC47" s="1850">
        <v>416</v>
      </c>
      <c r="BD47" s="1850">
        <v>366</v>
      </c>
      <c r="BE47" s="1850">
        <v>329</v>
      </c>
      <c r="BF47" s="1850">
        <v>299</v>
      </c>
      <c r="BG47" s="1850">
        <v>267</v>
      </c>
      <c r="BH47" s="1850">
        <v>242</v>
      </c>
      <c r="BI47" s="1852">
        <v>222</v>
      </c>
      <c r="BJ47" s="1850">
        <v>206</v>
      </c>
      <c r="BK47" s="1850">
        <v>195</v>
      </c>
      <c r="BL47" s="1850">
        <v>180</v>
      </c>
      <c r="BM47" s="1850">
        <v>174</v>
      </c>
      <c r="BN47" s="1850">
        <v>164</v>
      </c>
      <c r="BO47" s="1850">
        <v>160</v>
      </c>
      <c r="BP47" s="1850">
        <v>160</v>
      </c>
      <c r="BQ47" s="1850">
        <v>147</v>
      </c>
      <c r="BR47" s="1850">
        <v>144</v>
      </c>
      <c r="BS47" s="1850">
        <v>141</v>
      </c>
      <c r="BT47" s="1850">
        <v>136</v>
      </c>
      <c r="BU47" s="1852"/>
      <c r="BV47" s="1850"/>
      <c r="BW47" s="1850"/>
      <c r="BX47" s="1850"/>
      <c r="BY47" s="1850"/>
      <c r="BZ47" s="1850"/>
      <c r="CA47" s="1621">
        <v>0.90956521739130436</v>
      </c>
      <c r="CB47" s="1621">
        <v>0.63652173913043475</v>
      </c>
      <c r="CC47" s="1646"/>
    </row>
    <row r="48" spans="2:81" outlineLevel="1">
      <c r="B48" s="1867">
        <v>42278</v>
      </c>
      <c r="C48" s="1859">
        <v>464</v>
      </c>
      <c r="D48" s="1860">
        <f t="shared" si="3"/>
        <v>385</v>
      </c>
      <c r="E48" s="1860">
        <f t="shared" si="4"/>
        <v>244</v>
      </c>
      <c r="F48" s="1860">
        <f t="shared" si="5"/>
        <v>127</v>
      </c>
      <c r="G48" s="1861">
        <f t="shared" si="0"/>
        <v>0.82974137931034486</v>
      </c>
      <c r="H48" s="1861">
        <f t="shared" si="1"/>
        <v>0.52586206896551724</v>
      </c>
      <c r="I48" s="1861">
        <f t="shared" si="2"/>
        <v>0.27370689655172414</v>
      </c>
      <c r="J48" s="1655"/>
      <c r="K48" s="1854"/>
      <c r="L48" s="1850"/>
      <c r="M48" s="1850"/>
      <c r="N48" s="1850"/>
      <c r="O48" s="1850"/>
      <c r="P48" s="1850"/>
      <c r="Q48" s="1850"/>
      <c r="R48" s="1850"/>
      <c r="S48" s="1850"/>
      <c r="T48" s="1850"/>
      <c r="U48" s="1850"/>
      <c r="V48" s="1850"/>
      <c r="W48" s="1850"/>
      <c r="X48" s="1850"/>
      <c r="Y48" s="1850"/>
      <c r="Z48" s="1850"/>
      <c r="AA48" s="1850"/>
      <c r="AB48" s="1850"/>
      <c r="AC48" s="1850"/>
      <c r="AD48" s="1850"/>
      <c r="AE48" s="1850"/>
      <c r="AF48" s="1850"/>
      <c r="AG48" s="1850"/>
      <c r="AH48" s="1850"/>
      <c r="AI48" s="1850"/>
      <c r="AJ48" s="1850"/>
      <c r="AK48" s="1850"/>
      <c r="AL48" s="1850"/>
      <c r="AM48" s="1850"/>
      <c r="AN48" s="1850"/>
      <c r="AO48" s="1850"/>
      <c r="AP48" s="1850"/>
      <c r="AQ48" s="1850"/>
      <c r="AR48" s="1850"/>
      <c r="AS48" s="1850"/>
      <c r="AT48" s="1850"/>
      <c r="AU48" s="1850"/>
      <c r="AV48" s="1850"/>
      <c r="AW48" s="1850"/>
      <c r="AX48" s="1850"/>
      <c r="AY48" s="1850"/>
      <c r="AZ48" s="1850"/>
      <c r="BA48" s="1850">
        <v>452</v>
      </c>
      <c r="BB48" s="1850">
        <v>385</v>
      </c>
      <c r="BC48" s="1850">
        <v>359</v>
      </c>
      <c r="BD48" s="1850">
        <v>308</v>
      </c>
      <c r="BE48" s="1850">
        <v>244</v>
      </c>
      <c r="BF48" s="1850">
        <v>204</v>
      </c>
      <c r="BG48" s="1850">
        <v>189</v>
      </c>
      <c r="BH48" s="1850">
        <v>168</v>
      </c>
      <c r="BI48" s="1852">
        <v>145</v>
      </c>
      <c r="BJ48" s="1850">
        <v>136</v>
      </c>
      <c r="BK48" s="1850">
        <v>127</v>
      </c>
      <c r="BL48" s="1850">
        <v>110</v>
      </c>
      <c r="BM48" s="1850">
        <v>98</v>
      </c>
      <c r="BN48" s="1850">
        <v>89</v>
      </c>
      <c r="BO48" s="1850">
        <v>86</v>
      </c>
      <c r="BP48" s="1850">
        <v>86</v>
      </c>
      <c r="BQ48" s="1850">
        <v>81</v>
      </c>
      <c r="BR48" s="1850">
        <v>82</v>
      </c>
      <c r="BS48" s="1850">
        <v>82</v>
      </c>
      <c r="BT48" s="1850">
        <v>83</v>
      </c>
      <c r="BU48" s="1852"/>
      <c r="BV48" s="1850"/>
      <c r="BW48" s="1850"/>
      <c r="BX48" s="1850"/>
      <c r="BY48" s="1850"/>
      <c r="BZ48" s="1850"/>
      <c r="CA48" s="1621">
        <v>0.82974137931034486</v>
      </c>
      <c r="CB48" s="1621">
        <v>0.52586206896551724</v>
      </c>
      <c r="CC48" s="1646"/>
    </row>
    <row r="49" spans="2:81" outlineLevel="1">
      <c r="B49" s="1867">
        <v>42309</v>
      </c>
      <c r="C49" s="1859">
        <v>809</v>
      </c>
      <c r="D49" s="1860">
        <f t="shared" si="3"/>
        <v>734</v>
      </c>
      <c r="E49" s="1860">
        <f t="shared" si="4"/>
        <v>479</v>
      </c>
      <c r="F49" s="1860">
        <f t="shared" si="5"/>
        <v>231</v>
      </c>
      <c r="G49" s="1861">
        <f t="shared" si="0"/>
        <v>0.90729295426452405</v>
      </c>
      <c r="H49" s="1861">
        <f t="shared" si="1"/>
        <v>0.59208899876390608</v>
      </c>
      <c r="I49" s="1861">
        <f t="shared" si="2"/>
        <v>0.28553770086526575</v>
      </c>
      <c r="J49" s="1655"/>
      <c r="K49" s="1854"/>
      <c r="L49" s="1850"/>
      <c r="M49" s="1850"/>
      <c r="N49" s="1850"/>
      <c r="O49" s="1850"/>
      <c r="P49" s="1850"/>
      <c r="Q49" s="1850"/>
      <c r="R49" s="1850"/>
      <c r="S49" s="1850"/>
      <c r="T49" s="1850"/>
      <c r="U49" s="1850"/>
      <c r="V49" s="1850"/>
      <c r="W49" s="1850"/>
      <c r="X49" s="1850"/>
      <c r="Y49" s="1850"/>
      <c r="Z49" s="1850"/>
      <c r="AA49" s="1850"/>
      <c r="AB49" s="1850"/>
      <c r="AC49" s="1850"/>
      <c r="AD49" s="1850"/>
      <c r="AE49" s="1850"/>
      <c r="AF49" s="1850"/>
      <c r="AG49" s="1850"/>
      <c r="AH49" s="1850"/>
      <c r="AI49" s="1850"/>
      <c r="AJ49" s="1850"/>
      <c r="AK49" s="1850"/>
      <c r="AL49" s="1850"/>
      <c r="AM49" s="1850"/>
      <c r="AN49" s="1850"/>
      <c r="AO49" s="1850"/>
      <c r="AP49" s="1850"/>
      <c r="AQ49" s="1850"/>
      <c r="AR49" s="1850"/>
      <c r="AS49" s="1850"/>
      <c r="AT49" s="1850"/>
      <c r="AU49" s="1850"/>
      <c r="AV49" s="1850"/>
      <c r="AW49" s="1850"/>
      <c r="AX49" s="1850"/>
      <c r="AY49" s="1850"/>
      <c r="AZ49" s="1850"/>
      <c r="BA49" s="1850"/>
      <c r="BB49" s="1850">
        <v>774</v>
      </c>
      <c r="BC49" s="1850">
        <v>734</v>
      </c>
      <c r="BD49" s="1850">
        <v>686</v>
      </c>
      <c r="BE49" s="1850">
        <v>566</v>
      </c>
      <c r="BF49" s="1850">
        <v>479</v>
      </c>
      <c r="BG49" s="1850">
        <v>431</v>
      </c>
      <c r="BH49" s="1850">
        <v>362</v>
      </c>
      <c r="BI49" s="1852">
        <v>321</v>
      </c>
      <c r="BJ49" s="1850">
        <v>279</v>
      </c>
      <c r="BK49" s="1850">
        <v>261</v>
      </c>
      <c r="BL49" s="1850">
        <v>231</v>
      </c>
      <c r="BM49" s="1850">
        <v>219</v>
      </c>
      <c r="BN49" s="1850">
        <v>210</v>
      </c>
      <c r="BO49" s="1850">
        <v>202</v>
      </c>
      <c r="BP49" s="1850">
        <v>202</v>
      </c>
      <c r="BQ49" s="1850">
        <v>174</v>
      </c>
      <c r="BR49" s="1850">
        <v>170</v>
      </c>
      <c r="BS49" s="1850">
        <v>172</v>
      </c>
      <c r="BT49" s="1850">
        <v>172</v>
      </c>
      <c r="BU49" s="1852"/>
      <c r="BV49" s="1850"/>
      <c r="BW49" s="1850"/>
      <c r="BX49" s="1850"/>
      <c r="BY49" s="1850"/>
      <c r="BZ49" s="1850"/>
      <c r="CA49" s="1621">
        <v>0.90729295426452405</v>
      </c>
      <c r="CB49" s="1621">
        <v>0.59208899876390608</v>
      </c>
      <c r="CC49" s="1646"/>
    </row>
    <row r="50" spans="2:81">
      <c r="B50" s="1867">
        <v>42339</v>
      </c>
      <c r="C50" s="1859">
        <v>610</v>
      </c>
      <c r="D50" s="1860">
        <f t="shared" si="3"/>
        <v>561</v>
      </c>
      <c r="E50" s="1860">
        <f t="shared" si="4"/>
        <v>354</v>
      </c>
      <c r="F50" s="1860">
        <f>IFERROR(INDEX($K50:$BN50,,MATCH($B50,$K$3:$BN$3,0)+11),0)</f>
        <v>187</v>
      </c>
      <c r="G50" s="1861">
        <f t="shared" si="0"/>
        <v>0.91967213114754098</v>
      </c>
      <c r="H50" s="1861">
        <f t="shared" si="1"/>
        <v>0.58032786885245902</v>
      </c>
      <c r="I50" s="1861">
        <f t="shared" si="2"/>
        <v>0.30655737704918035</v>
      </c>
      <c r="J50" s="1655"/>
      <c r="K50" s="1854"/>
      <c r="L50" s="1850"/>
      <c r="M50" s="1850"/>
      <c r="N50" s="1850"/>
      <c r="O50" s="1850"/>
      <c r="P50" s="1850"/>
      <c r="Q50" s="1850"/>
      <c r="R50" s="1850"/>
      <c r="S50" s="1850"/>
      <c r="T50" s="1850"/>
      <c r="U50" s="1850"/>
      <c r="V50" s="1850"/>
      <c r="W50" s="1850"/>
      <c r="X50" s="1850"/>
      <c r="Y50" s="1850"/>
      <c r="Z50" s="1850"/>
      <c r="AA50" s="1850"/>
      <c r="AB50" s="1850"/>
      <c r="AC50" s="1850"/>
      <c r="AD50" s="1850"/>
      <c r="AE50" s="1850"/>
      <c r="AF50" s="1850"/>
      <c r="AG50" s="1850"/>
      <c r="AH50" s="1850"/>
      <c r="AI50" s="1850"/>
      <c r="AJ50" s="1850"/>
      <c r="AK50" s="1850"/>
      <c r="AL50" s="1850"/>
      <c r="AM50" s="1850"/>
      <c r="AN50" s="1850"/>
      <c r="AO50" s="1850"/>
      <c r="AP50" s="1850"/>
      <c r="AQ50" s="1850"/>
      <c r="AR50" s="1850"/>
      <c r="AS50" s="1850"/>
      <c r="AT50" s="1850"/>
      <c r="AU50" s="1850"/>
      <c r="AV50" s="1850"/>
      <c r="AW50" s="1850"/>
      <c r="AX50" s="1850"/>
      <c r="AY50" s="1850"/>
      <c r="AZ50" s="1850"/>
      <c r="BA50" s="1850"/>
      <c r="BB50" s="1850"/>
      <c r="BC50" s="1850">
        <v>594</v>
      </c>
      <c r="BD50" s="1850">
        <v>561</v>
      </c>
      <c r="BE50" s="1850">
        <v>509</v>
      </c>
      <c r="BF50" s="1850">
        <v>416</v>
      </c>
      <c r="BG50" s="1850">
        <v>354</v>
      </c>
      <c r="BH50" s="1850">
        <v>301</v>
      </c>
      <c r="BI50" s="1852">
        <v>262</v>
      </c>
      <c r="BJ50" s="1850">
        <v>242</v>
      </c>
      <c r="BK50" s="1850">
        <v>221</v>
      </c>
      <c r="BL50" s="1850">
        <v>197</v>
      </c>
      <c r="BM50" s="1850">
        <v>187</v>
      </c>
      <c r="BN50" s="1850">
        <v>177</v>
      </c>
      <c r="BO50" s="1850">
        <v>173</v>
      </c>
      <c r="BP50" s="1850">
        <v>173</v>
      </c>
      <c r="BQ50" s="1850">
        <v>153</v>
      </c>
      <c r="BR50" s="1850">
        <v>148</v>
      </c>
      <c r="BS50" s="1850">
        <v>148</v>
      </c>
      <c r="BT50" s="1850">
        <v>146</v>
      </c>
      <c r="BU50" s="1852"/>
      <c r="BV50" s="1850"/>
      <c r="BW50" s="1850"/>
      <c r="BX50" s="1850"/>
      <c r="BY50" s="1850"/>
      <c r="BZ50" s="1850"/>
      <c r="CA50" s="1621">
        <v>0.91967213114754098</v>
      </c>
      <c r="CB50" s="1621">
        <v>0.58032786885245902</v>
      </c>
      <c r="CC50" s="1646"/>
    </row>
    <row r="51" spans="2:81" ht="14.25" customHeight="1">
      <c r="B51" s="1867">
        <v>42370</v>
      </c>
      <c r="C51" s="1859">
        <v>206</v>
      </c>
      <c r="D51" s="1860">
        <f t="shared" ref="D51:D68" si="6">IFERROR(INDEX($K51:$BZ51,,MATCH($B51,$K$3:$BZ$3,0)+2),0)</f>
        <v>202</v>
      </c>
      <c r="E51" s="1860">
        <f t="shared" ref="E51:E68" si="7">IFERROR(INDEX($K51:$BZ51,,MATCH($B51,$K$3:$BZ$3,0)+5),0)</f>
        <v>138</v>
      </c>
      <c r="F51" s="1860">
        <f t="shared" ref="F51:F68" si="8">IFERROR(INDEX($K51:$BZ51,,MATCH($B51,$K$3:$BZ$3,0)+11),0)</f>
        <v>65</v>
      </c>
      <c r="G51" s="1861">
        <f t="shared" si="0"/>
        <v>0.98058252427184467</v>
      </c>
      <c r="H51" s="1861">
        <f t="shared" si="1"/>
        <v>0.66990291262135926</v>
      </c>
      <c r="I51" s="1861">
        <f t="shared" si="2"/>
        <v>0.3155339805825243</v>
      </c>
      <c r="J51" s="1655"/>
      <c r="K51" s="1854"/>
      <c r="L51" s="1854"/>
      <c r="M51" s="1854"/>
      <c r="N51" s="1854"/>
      <c r="O51" s="1854"/>
      <c r="P51" s="1854"/>
      <c r="Q51" s="1854"/>
      <c r="R51" s="1854"/>
      <c r="S51" s="1854"/>
      <c r="T51" s="1854"/>
      <c r="U51" s="1854"/>
      <c r="V51" s="1854"/>
      <c r="W51" s="1854"/>
      <c r="X51" s="1854"/>
      <c r="Y51" s="1854"/>
      <c r="Z51" s="1854"/>
      <c r="AA51" s="1854"/>
      <c r="AB51" s="1854"/>
      <c r="AC51" s="1854"/>
      <c r="AD51" s="1854"/>
      <c r="AE51" s="1854"/>
      <c r="AF51" s="1854"/>
      <c r="AG51" s="1854"/>
      <c r="AH51" s="1854"/>
      <c r="AI51" s="1854"/>
      <c r="AJ51" s="1854"/>
      <c r="AK51" s="1854"/>
      <c r="AL51" s="1854"/>
      <c r="AM51" s="1854"/>
      <c r="AN51" s="1854"/>
      <c r="AO51" s="1854"/>
      <c r="AP51" s="1854"/>
      <c r="AQ51" s="1854"/>
      <c r="AR51" s="1854"/>
      <c r="AS51" s="1854"/>
      <c r="AT51" s="1854"/>
      <c r="AU51" s="1854"/>
      <c r="AV51" s="1854"/>
      <c r="AW51" s="1854"/>
      <c r="AX51" s="1854"/>
      <c r="AY51" s="1854"/>
      <c r="AZ51" s="1854"/>
      <c r="BA51" s="1854"/>
      <c r="BB51" s="1854"/>
      <c r="BC51" s="1850"/>
      <c r="BD51" s="1850">
        <v>205</v>
      </c>
      <c r="BE51" s="1850">
        <v>202</v>
      </c>
      <c r="BF51" s="1850">
        <v>186</v>
      </c>
      <c r="BG51" s="1850">
        <v>158</v>
      </c>
      <c r="BH51" s="1850">
        <v>138</v>
      </c>
      <c r="BI51" s="1852">
        <v>117</v>
      </c>
      <c r="BJ51" s="1850">
        <v>101</v>
      </c>
      <c r="BK51" s="1850">
        <v>88</v>
      </c>
      <c r="BL51" s="1850">
        <v>76</v>
      </c>
      <c r="BM51" s="1850">
        <v>70</v>
      </c>
      <c r="BN51" s="1850">
        <v>65</v>
      </c>
      <c r="BO51" s="1850">
        <v>63</v>
      </c>
      <c r="BP51" s="1850">
        <v>63</v>
      </c>
      <c r="BQ51" s="1850">
        <v>55</v>
      </c>
      <c r="BR51" s="1850">
        <v>55</v>
      </c>
      <c r="BS51" s="1850">
        <v>55</v>
      </c>
      <c r="BT51" s="1850">
        <v>55</v>
      </c>
      <c r="BU51" s="1852"/>
      <c r="BV51" s="1850"/>
      <c r="BW51" s="1850"/>
      <c r="BX51" s="1850"/>
      <c r="BY51" s="1850"/>
      <c r="BZ51" s="1850"/>
      <c r="CA51" s="1621">
        <v>0.98058252427184467</v>
      </c>
      <c r="CB51" s="1621">
        <v>0.66990291262135926</v>
      </c>
      <c r="CC51" s="1646"/>
    </row>
    <row r="52" spans="2:81" ht="14.25" customHeight="1">
      <c r="B52" s="1867">
        <v>42401</v>
      </c>
      <c r="C52" s="1859">
        <v>196</v>
      </c>
      <c r="D52" s="1860">
        <f t="shared" si="6"/>
        <v>184</v>
      </c>
      <c r="E52" s="1860">
        <f t="shared" si="7"/>
        <v>112</v>
      </c>
      <c r="F52" s="1860">
        <f t="shared" si="8"/>
        <v>58</v>
      </c>
      <c r="G52" s="1861">
        <f t="shared" si="0"/>
        <v>0.93877551020408168</v>
      </c>
      <c r="H52" s="1861">
        <f t="shared" si="1"/>
        <v>0.5714285714285714</v>
      </c>
      <c r="I52" s="1861">
        <f t="shared" si="2"/>
        <v>0.29591836734693877</v>
      </c>
      <c r="J52" s="1655"/>
      <c r="K52" s="1854"/>
      <c r="L52" s="1854"/>
      <c r="M52" s="1854"/>
      <c r="N52" s="1854"/>
      <c r="O52" s="1854"/>
      <c r="P52" s="1854"/>
      <c r="Q52" s="1854"/>
      <c r="R52" s="1854"/>
      <c r="S52" s="1854"/>
      <c r="T52" s="1854"/>
      <c r="U52" s="1854"/>
      <c r="V52" s="1854"/>
      <c r="W52" s="1854"/>
      <c r="X52" s="1854"/>
      <c r="Y52" s="1854"/>
      <c r="Z52" s="1854"/>
      <c r="AA52" s="1854"/>
      <c r="AB52" s="1854"/>
      <c r="AC52" s="1854"/>
      <c r="AD52" s="1854"/>
      <c r="AE52" s="1854"/>
      <c r="AF52" s="1854"/>
      <c r="AG52" s="1854"/>
      <c r="AH52" s="1854"/>
      <c r="AI52" s="1854"/>
      <c r="AJ52" s="1854"/>
      <c r="AK52" s="1854"/>
      <c r="AL52" s="1854"/>
      <c r="AM52" s="1854"/>
      <c r="AN52" s="1854"/>
      <c r="AO52" s="1854"/>
      <c r="AP52" s="1854"/>
      <c r="AQ52" s="1854"/>
      <c r="AR52" s="1854"/>
      <c r="AS52" s="1854"/>
      <c r="AT52" s="1854"/>
      <c r="AU52" s="1854"/>
      <c r="AV52" s="1854"/>
      <c r="AW52" s="1854"/>
      <c r="AX52" s="1854"/>
      <c r="AY52" s="1854"/>
      <c r="AZ52" s="1854"/>
      <c r="BA52" s="1854"/>
      <c r="BB52" s="1854"/>
      <c r="BC52" s="1850"/>
      <c r="BD52" s="1850"/>
      <c r="BE52" s="1850">
        <v>192</v>
      </c>
      <c r="BF52" s="1850">
        <v>184</v>
      </c>
      <c r="BG52" s="1850">
        <v>167</v>
      </c>
      <c r="BH52" s="1850">
        <v>132</v>
      </c>
      <c r="BI52" s="1852">
        <v>112</v>
      </c>
      <c r="BJ52" s="1850">
        <v>97</v>
      </c>
      <c r="BK52" s="1850">
        <v>78</v>
      </c>
      <c r="BL52" s="1850">
        <v>68</v>
      </c>
      <c r="BM52" s="1850">
        <v>65</v>
      </c>
      <c r="BN52" s="1850">
        <v>59</v>
      </c>
      <c r="BO52" s="1850">
        <v>58</v>
      </c>
      <c r="BP52" s="1850">
        <v>58</v>
      </c>
      <c r="BQ52" s="1850">
        <v>56</v>
      </c>
      <c r="BR52" s="1850">
        <v>55</v>
      </c>
      <c r="BS52" s="1850">
        <v>55</v>
      </c>
      <c r="BT52" s="1850">
        <v>55</v>
      </c>
      <c r="BU52" s="1852"/>
      <c r="BV52" s="1850"/>
      <c r="BW52" s="1850"/>
      <c r="BX52" s="1850"/>
      <c r="BY52" s="1850"/>
      <c r="BZ52" s="1850"/>
      <c r="CA52" s="1621">
        <v>0.93877551020408168</v>
      </c>
      <c r="CB52" s="1621">
        <v>0.5714285714285714</v>
      </c>
      <c r="CC52" s="1646"/>
    </row>
    <row r="53" spans="2:81" ht="14.25" customHeight="1">
      <c r="B53" s="1867">
        <v>42430</v>
      </c>
      <c r="C53" s="1859">
        <v>685</v>
      </c>
      <c r="D53" s="1860">
        <f t="shared" si="6"/>
        <v>647</v>
      </c>
      <c r="E53" s="1860">
        <f t="shared" si="7"/>
        <v>451</v>
      </c>
      <c r="F53" s="1860">
        <f t="shared" si="8"/>
        <v>278</v>
      </c>
      <c r="G53" s="1861">
        <f t="shared" si="0"/>
        <v>0.94452554744525552</v>
      </c>
      <c r="H53" s="1861">
        <f t="shared" si="1"/>
        <v>0.65839416058394162</v>
      </c>
      <c r="I53" s="1861">
        <f t="shared" si="2"/>
        <v>0.40583941605839419</v>
      </c>
      <c r="J53" s="1655"/>
      <c r="K53" s="1854"/>
      <c r="L53" s="1854"/>
      <c r="M53" s="1854"/>
      <c r="N53" s="1854"/>
      <c r="O53" s="1854"/>
      <c r="P53" s="1854"/>
      <c r="Q53" s="1854"/>
      <c r="R53" s="1854"/>
      <c r="S53" s="1854"/>
      <c r="T53" s="1854"/>
      <c r="U53" s="1854"/>
      <c r="V53" s="1854"/>
      <c r="W53" s="1854"/>
      <c r="X53" s="1854"/>
      <c r="Y53" s="1854"/>
      <c r="Z53" s="1854"/>
      <c r="AA53" s="1854"/>
      <c r="AB53" s="1854"/>
      <c r="AC53" s="1854"/>
      <c r="AD53" s="1854"/>
      <c r="AE53" s="1854"/>
      <c r="AF53" s="1854"/>
      <c r="AG53" s="1854"/>
      <c r="AH53" s="1854"/>
      <c r="AI53" s="1854"/>
      <c r="AJ53" s="1854"/>
      <c r="AK53" s="1854"/>
      <c r="AL53" s="1854"/>
      <c r="AM53" s="1854"/>
      <c r="AN53" s="1854"/>
      <c r="AO53" s="1854"/>
      <c r="AP53" s="1854"/>
      <c r="AQ53" s="1854"/>
      <c r="AR53" s="1854"/>
      <c r="AS53" s="1854"/>
      <c r="AT53" s="1854"/>
      <c r="AU53" s="1854"/>
      <c r="AV53" s="1854"/>
      <c r="AW53" s="1854"/>
      <c r="AX53" s="1854"/>
      <c r="AY53" s="1854"/>
      <c r="AZ53" s="1854"/>
      <c r="BA53" s="1854"/>
      <c r="BB53" s="1854"/>
      <c r="BC53" s="1850"/>
      <c r="BD53" s="1850"/>
      <c r="BE53" s="1850"/>
      <c r="BF53" s="1850">
        <v>678</v>
      </c>
      <c r="BG53" s="1850">
        <v>647</v>
      </c>
      <c r="BH53" s="1850">
        <v>602</v>
      </c>
      <c r="BI53" s="1852">
        <v>501</v>
      </c>
      <c r="BJ53" s="1850">
        <v>451</v>
      </c>
      <c r="BK53" s="1850">
        <v>381</v>
      </c>
      <c r="BL53" s="1850">
        <v>346</v>
      </c>
      <c r="BM53" s="1850">
        <v>313</v>
      </c>
      <c r="BN53" s="1850">
        <v>286</v>
      </c>
      <c r="BO53" s="1850">
        <v>278</v>
      </c>
      <c r="BP53" s="1850">
        <v>278</v>
      </c>
      <c r="BQ53" s="1850">
        <v>246</v>
      </c>
      <c r="BR53" s="1850">
        <v>238</v>
      </c>
      <c r="BS53" s="1850">
        <v>236</v>
      </c>
      <c r="BT53" s="1850">
        <v>231</v>
      </c>
      <c r="BU53" s="1852"/>
      <c r="BV53" s="1850"/>
      <c r="BW53" s="1850"/>
      <c r="BX53" s="1850"/>
      <c r="BY53" s="1850"/>
      <c r="BZ53" s="1850"/>
      <c r="CA53" s="1621">
        <v>0.94452554744525552</v>
      </c>
      <c r="CB53" s="1646"/>
      <c r="CC53" s="1646"/>
    </row>
    <row r="54" spans="2:81" ht="14.25" customHeight="1">
      <c r="B54" s="1867">
        <v>42461</v>
      </c>
      <c r="C54" s="1859">
        <v>545</v>
      </c>
      <c r="D54" s="1860">
        <f t="shared" si="6"/>
        <v>524</v>
      </c>
      <c r="E54" s="1860">
        <f t="shared" si="7"/>
        <v>360</v>
      </c>
      <c r="F54" s="1860">
        <f t="shared" si="8"/>
        <v>206</v>
      </c>
      <c r="G54" s="1861">
        <f t="shared" si="0"/>
        <v>0.96146788990825693</v>
      </c>
      <c r="H54" s="1861">
        <f t="shared" si="1"/>
        <v>0.66055045871559637</v>
      </c>
      <c r="I54" s="1861">
        <f t="shared" si="2"/>
        <v>0.37798165137614681</v>
      </c>
      <c r="J54" s="1655"/>
      <c r="K54" s="1854"/>
      <c r="L54" s="1854"/>
      <c r="M54" s="1854"/>
      <c r="N54" s="1854"/>
      <c r="O54" s="1854"/>
      <c r="P54" s="1854"/>
      <c r="Q54" s="1854"/>
      <c r="R54" s="1854"/>
      <c r="S54" s="1854"/>
      <c r="T54" s="1854"/>
      <c r="U54" s="1854"/>
      <c r="V54" s="1854"/>
      <c r="W54" s="1854"/>
      <c r="X54" s="1854"/>
      <c r="Y54" s="1854"/>
      <c r="Z54" s="1854"/>
      <c r="AA54" s="1854"/>
      <c r="AB54" s="1854"/>
      <c r="AC54" s="1854"/>
      <c r="AD54" s="1854"/>
      <c r="AE54" s="1854"/>
      <c r="AF54" s="1854"/>
      <c r="AG54" s="1854"/>
      <c r="AH54" s="1854"/>
      <c r="AI54" s="1854"/>
      <c r="AJ54" s="1854"/>
      <c r="AK54" s="1854"/>
      <c r="AL54" s="1854"/>
      <c r="AM54" s="1854"/>
      <c r="AN54" s="1854"/>
      <c r="AO54" s="1854"/>
      <c r="AP54" s="1854"/>
      <c r="AQ54" s="1854"/>
      <c r="AR54" s="1854"/>
      <c r="AS54" s="1854"/>
      <c r="AT54" s="1854"/>
      <c r="AU54" s="1854"/>
      <c r="AV54" s="1854"/>
      <c r="AW54" s="1854"/>
      <c r="AX54" s="1854"/>
      <c r="AY54" s="1854"/>
      <c r="AZ54" s="1854"/>
      <c r="BA54" s="1854"/>
      <c r="BB54" s="1854"/>
      <c r="BC54" s="1850"/>
      <c r="BD54" s="1850"/>
      <c r="BE54" s="1850"/>
      <c r="BF54" s="1850"/>
      <c r="BG54" s="1850">
        <v>544</v>
      </c>
      <c r="BH54" s="1850">
        <v>524</v>
      </c>
      <c r="BI54" s="1852">
        <v>511</v>
      </c>
      <c r="BJ54" s="1850">
        <v>424</v>
      </c>
      <c r="BK54" s="1850">
        <v>360</v>
      </c>
      <c r="BL54" s="1850">
        <v>317</v>
      </c>
      <c r="BM54" s="1850">
        <v>282</v>
      </c>
      <c r="BN54" s="1850">
        <v>254</v>
      </c>
      <c r="BO54" s="1850">
        <v>248</v>
      </c>
      <c r="BP54" s="1850">
        <v>248</v>
      </c>
      <c r="BQ54" s="1850">
        <v>206</v>
      </c>
      <c r="BR54" s="1850">
        <v>197</v>
      </c>
      <c r="BS54" s="1850">
        <v>195</v>
      </c>
      <c r="BT54" s="1850">
        <v>192</v>
      </c>
      <c r="BU54" s="1852"/>
      <c r="BV54" s="1850"/>
      <c r="BW54" s="1850"/>
      <c r="BX54" s="1850"/>
      <c r="BY54" s="1850"/>
      <c r="BZ54" s="1850"/>
      <c r="CA54" s="1621">
        <v>0.96146788990825693</v>
      </c>
      <c r="CB54" s="1646"/>
      <c r="CC54" s="1646"/>
    </row>
    <row r="55" spans="2:81" ht="14.25" customHeight="1">
      <c r="B55" s="1867">
        <v>42491</v>
      </c>
      <c r="C55" s="1859">
        <v>749</v>
      </c>
      <c r="D55" s="1860">
        <f t="shared" si="6"/>
        <v>711</v>
      </c>
      <c r="E55" s="1860">
        <f t="shared" si="7"/>
        <v>472</v>
      </c>
      <c r="F55" s="1860">
        <f t="shared" si="8"/>
        <v>286</v>
      </c>
      <c r="G55" s="1861">
        <f t="shared" si="0"/>
        <v>0.94926568758344454</v>
      </c>
      <c r="H55" s="1861">
        <f t="shared" si="1"/>
        <v>0.63017356475300401</v>
      </c>
      <c r="I55" s="1861">
        <f t="shared" si="2"/>
        <v>0.38184245660881178</v>
      </c>
      <c r="J55" s="1655"/>
      <c r="K55" s="1854"/>
      <c r="L55" s="1854"/>
      <c r="M55" s="1854"/>
      <c r="N55" s="1854"/>
      <c r="O55" s="1854"/>
      <c r="P55" s="1854"/>
      <c r="Q55" s="1854"/>
      <c r="R55" s="1854"/>
      <c r="S55" s="1854"/>
      <c r="T55" s="1854"/>
      <c r="U55" s="1854"/>
      <c r="V55" s="1854"/>
      <c r="W55" s="1854"/>
      <c r="X55" s="1854"/>
      <c r="Y55" s="1854"/>
      <c r="Z55" s="1854"/>
      <c r="AA55" s="1854"/>
      <c r="AB55" s="1854"/>
      <c r="AC55" s="1854"/>
      <c r="AD55" s="1854"/>
      <c r="AE55" s="1854"/>
      <c r="AF55" s="1854"/>
      <c r="AG55" s="1854"/>
      <c r="AH55" s="1854"/>
      <c r="AI55" s="1854"/>
      <c r="AJ55" s="1854"/>
      <c r="AK55" s="1854"/>
      <c r="AL55" s="1854"/>
      <c r="AM55" s="1854"/>
      <c r="AN55" s="1854"/>
      <c r="AO55" s="1854"/>
      <c r="AP55" s="1854"/>
      <c r="AQ55" s="1854"/>
      <c r="AR55" s="1854"/>
      <c r="AS55" s="1854"/>
      <c r="AT55" s="1854"/>
      <c r="AU55" s="1854"/>
      <c r="AV55" s="1854"/>
      <c r="AW55" s="1854"/>
      <c r="AX55" s="1854"/>
      <c r="AY55" s="1854"/>
      <c r="AZ55" s="1854"/>
      <c r="BA55" s="1854"/>
      <c r="BB55" s="1854"/>
      <c r="BC55" s="1850"/>
      <c r="BD55" s="1850"/>
      <c r="BE55" s="1850"/>
      <c r="BF55" s="1850"/>
      <c r="BG55" s="1850"/>
      <c r="BH55" s="1850">
        <v>736</v>
      </c>
      <c r="BI55" s="1852">
        <v>711</v>
      </c>
      <c r="BJ55" s="1850">
        <v>680</v>
      </c>
      <c r="BK55" s="1850">
        <v>541</v>
      </c>
      <c r="BL55" s="1850">
        <v>472</v>
      </c>
      <c r="BM55" s="1850">
        <v>401</v>
      </c>
      <c r="BN55" s="1850">
        <v>367</v>
      </c>
      <c r="BO55" s="1850">
        <v>342</v>
      </c>
      <c r="BP55" s="1850">
        <v>342</v>
      </c>
      <c r="BQ55" s="1850">
        <v>298</v>
      </c>
      <c r="BR55" s="1850">
        <v>286</v>
      </c>
      <c r="BS55" s="1850">
        <v>283</v>
      </c>
      <c r="BT55" s="1850">
        <v>282</v>
      </c>
      <c r="BU55" s="1852"/>
      <c r="BV55" s="1850"/>
      <c r="BW55" s="1850"/>
      <c r="BX55" s="1850"/>
      <c r="BY55" s="1850"/>
      <c r="BZ55" s="1850"/>
      <c r="CA55" s="1621">
        <v>0.94926568758344454</v>
      </c>
      <c r="CB55" s="1646"/>
      <c r="CC55" s="1646"/>
    </row>
    <row r="56" spans="2:81" ht="14.25" customHeight="1">
      <c r="B56" s="1867">
        <v>42522</v>
      </c>
      <c r="C56" s="1859">
        <v>1300</v>
      </c>
      <c r="D56" s="1860">
        <f t="shared" si="6"/>
        <v>1223</v>
      </c>
      <c r="E56" s="1860">
        <f t="shared" si="7"/>
        <v>864</v>
      </c>
      <c r="F56" s="1860">
        <f t="shared" si="8"/>
        <v>544</v>
      </c>
      <c r="G56" s="1861">
        <f t="shared" si="0"/>
        <v>0.9407692307692308</v>
      </c>
      <c r="H56" s="1861">
        <f t="shared" si="1"/>
        <v>0.66461538461538461</v>
      </c>
      <c r="I56" s="1861">
        <f t="shared" si="2"/>
        <v>0.41846153846153844</v>
      </c>
      <c r="J56" s="1655"/>
      <c r="K56" s="1854"/>
      <c r="L56" s="1854"/>
      <c r="M56" s="1854"/>
      <c r="N56" s="1854"/>
      <c r="O56" s="1854"/>
      <c r="P56" s="1854"/>
      <c r="Q56" s="1854"/>
      <c r="R56" s="1854"/>
      <c r="S56" s="1854"/>
      <c r="T56" s="1854"/>
      <c r="U56" s="1854"/>
      <c r="V56" s="1854"/>
      <c r="W56" s="1854"/>
      <c r="X56" s="1854"/>
      <c r="Y56" s="1854"/>
      <c r="Z56" s="1854"/>
      <c r="AA56" s="1854"/>
      <c r="AB56" s="1854"/>
      <c r="AC56" s="1854"/>
      <c r="AD56" s="1854"/>
      <c r="AE56" s="1854"/>
      <c r="AF56" s="1854"/>
      <c r="AG56" s="1854"/>
      <c r="AH56" s="1854"/>
      <c r="AI56" s="1854"/>
      <c r="AJ56" s="1854"/>
      <c r="AK56" s="1854"/>
      <c r="AL56" s="1854"/>
      <c r="AM56" s="1854"/>
      <c r="AN56" s="1854"/>
      <c r="AO56" s="1854"/>
      <c r="AP56" s="1854"/>
      <c r="AQ56" s="1854"/>
      <c r="AR56" s="1854"/>
      <c r="AS56" s="1854"/>
      <c r="AT56" s="1854"/>
      <c r="AU56" s="1854"/>
      <c r="AV56" s="1854"/>
      <c r="AW56" s="1854"/>
      <c r="AX56" s="1854"/>
      <c r="AY56" s="1854"/>
      <c r="AZ56" s="1854"/>
      <c r="BA56" s="1854"/>
      <c r="BB56" s="1854"/>
      <c r="BC56" s="1850"/>
      <c r="BD56" s="1850"/>
      <c r="BE56" s="1850"/>
      <c r="BF56" s="1850"/>
      <c r="BG56" s="1850"/>
      <c r="BH56" s="1850"/>
      <c r="BI56" s="1852">
        <v>1290</v>
      </c>
      <c r="BJ56" s="1850">
        <v>1223</v>
      </c>
      <c r="BK56" s="1850">
        <v>1161</v>
      </c>
      <c r="BL56" s="1850">
        <v>1044</v>
      </c>
      <c r="BM56" s="1850">
        <v>864</v>
      </c>
      <c r="BN56" s="1850">
        <v>762</v>
      </c>
      <c r="BO56" s="1850">
        <v>713</v>
      </c>
      <c r="BP56" s="1850">
        <v>713</v>
      </c>
      <c r="BQ56" s="1850">
        <v>577</v>
      </c>
      <c r="BR56" s="1850">
        <v>549</v>
      </c>
      <c r="BS56" s="1850">
        <v>544</v>
      </c>
      <c r="BT56" s="1850">
        <v>539</v>
      </c>
      <c r="BU56" s="1852"/>
      <c r="BV56" s="1850"/>
      <c r="BW56" s="1850"/>
      <c r="BX56" s="1850"/>
      <c r="BY56" s="1850"/>
      <c r="BZ56" s="1850"/>
      <c r="CA56" s="1621"/>
      <c r="CB56" s="1646"/>
      <c r="CC56" s="1646"/>
    </row>
    <row r="57" spans="2:81" ht="14.25" customHeight="1">
      <c r="B57" s="1867">
        <v>42552</v>
      </c>
      <c r="C57" s="1859">
        <v>926</v>
      </c>
      <c r="D57" s="1860">
        <f t="shared" si="6"/>
        <v>871</v>
      </c>
      <c r="E57" s="1860">
        <f t="shared" si="7"/>
        <v>569</v>
      </c>
      <c r="F57" s="1860">
        <f t="shared" si="8"/>
        <v>396</v>
      </c>
      <c r="G57" s="1861">
        <f t="shared" si="0"/>
        <v>0.94060475161987045</v>
      </c>
      <c r="H57" s="1861">
        <f t="shared" si="1"/>
        <v>0.6144708423326134</v>
      </c>
      <c r="I57" s="1861">
        <f t="shared" si="2"/>
        <v>0.42764578833693306</v>
      </c>
      <c r="J57" s="1655"/>
      <c r="K57" s="1854"/>
      <c r="L57" s="1854"/>
      <c r="M57" s="1854"/>
      <c r="N57" s="1854"/>
      <c r="O57" s="1854"/>
      <c r="P57" s="1854"/>
      <c r="Q57" s="1854"/>
      <c r="R57" s="1854"/>
      <c r="S57" s="1854"/>
      <c r="T57" s="1854"/>
      <c r="U57" s="1854"/>
      <c r="V57" s="1854"/>
      <c r="W57" s="1854"/>
      <c r="X57" s="1854"/>
      <c r="Y57" s="1854"/>
      <c r="Z57" s="1854"/>
      <c r="AA57" s="1854"/>
      <c r="AB57" s="1854"/>
      <c r="AC57" s="1854"/>
      <c r="AD57" s="1854"/>
      <c r="AE57" s="1854"/>
      <c r="AF57" s="1854"/>
      <c r="AG57" s="1854"/>
      <c r="AH57" s="1854"/>
      <c r="AI57" s="1854"/>
      <c r="AJ57" s="1854"/>
      <c r="AK57" s="1854"/>
      <c r="AL57" s="1854"/>
      <c r="AM57" s="1854"/>
      <c r="AN57" s="1854"/>
      <c r="AO57" s="1854"/>
      <c r="AP57" s="1854"/>
      <c r="AQ57" s="1854"/>
      <c r="AR57" s="1854"/>
      <c r="AS57" s="1854"/>
      <c r="AT57" s="1854"/>
      <c r="AU57" s="1854"/>
      <c r="AV57" s="1854"/>
      <c r="AW57" s="1854"/>
      <c r="AX57" s="1854"/>
      <c r="AY57" s="1854"/>
      <c r="AZ57" s="1854"/>
      <c r="BA57" s="1854"/>
      <c r="BB57" s="1854"/>
      <c r="BC57" s="1850"/>
      <c r="BD57" s="1850"/>
      <c r="BE57" s="1850"/>
      <c r="BF57" s="1850"/>
      <c r="BG57" s="1850"/>
      <c r="BH57" s="1850"/>
      <c r="BI57" s="1852">
        <v>926</v>
      </c>
      <c r="BJ57" s="1850">
        <v>914</v>
      </c>
      <c r="BK57" s="1850">
        <v>871</v>
      </c>
      <c r="BL57" s="1850">
        <v>843</v>
      </c>
      <c r="BM57" s="1850">
        <v>699</v>
      </c>
      <c r="BN57" s="1850">
        <v>569</v>
      </c>
      <c r="BO57" s="1850">
        <v>530</v>
      </c>
      <c r="BP57" s="1850">
        <v>530</v>
      </c>
      <c r="BQ57" s="1850">
        <v>420</v>
      </c>
      <c r="BR57" s="1850">
        <v>407</v>
      </c>
      <c r="BS57" s="1850">
        <v>401</v>
      </c>
      <c r="BT57" s="1850">
        <v>396</v>
      </c>
      <c r="BU57" s="1852"/>
      <c r="BV57" s="1850"/>
      <c r="BW57" s="1850"/>
      <c r="BX57" s="1850"/>
      <c r="BY57" s="1850"/>
      <c r="BZ57" s="1850"/>
      <c r="CA57" s="1621" t="e">
        <v>#DIV/0!</v>
      </c>
      <c r="CB57" s="1646"/>
      <c r="CC57" s="1646"/>
    </row>
    <row r="58" spans="2:81" ht="14.25" customHeight="1">
      <c r="B58" s="1867">
        <v>42583</v>
      </c>
      <c r="C58" s="1859">
        <v>1054</v>
      </c>
      <c r="D58" s="1860">
        <f t="shared" si="6"/>
        <v>1009</v>
      </c>
      <c r="E58" s="1860">
        <f t="shared" si="7"/>
        <v>730</v>
      </c>
      <c r="F58" s="1860">
        <f t="shared" si="8"/>
        <v>0</v>
      </c>
      <c r="G58" s="1861">
        <f t="shared" si="0"/>
        <v>0.95730550284629978</v>
      </c>
      <c r="H58" s="1861">
        <f t="shared" si="1"/>
        <v>0.69259962049335866</v>
      </c>
      <c r="I58" s="1861">
        <f t="shared" si="2"/>
        <v>0</v>
      </c>
      <c r="J58" s="1655"/>
      <c r="K58" s="1854"/>
      <c r="L58" s="1854"/>
      <c r="M58" s="1854"/>
      <c r="N58" s="1854"/>
      <c r="O58" s="1854"/>
      <c r="P58" s="1854"/>
      <c r="Q58" s="1854"/>
      <c r="R58" s="1854"/>
      <c r="S58" s="1854"/>
      <c r="T58" s="1854"/>
      <c r="U58" s="1854"/>
      <c r="V58" s="1854"/>
      <c r="W58" s="1854"/>
      <c r="X58" s="1854"/>
      <c r="Y58" s="1854"/>
      <c r="Z58" s="1854"/>
      <c r="AA58" s="1854"/>
      <c r="AB58" s="1854"/>
      <c r="AC58" s="1854"/>
      <c r="AD58" s="1854"/>
      <c r="AE58" s="1854"/>
      <c r="AF58" s="1854"/>
      <c r="AG58" s="1854"/>
      <c r="AH58" s="1854"/>
      <c r="AI58" s="1854"/>
      <c r="AJ58" s="1854"/>
      <c r="AK58" s="1854"/>
      <c r="AL58" s="1854"/>
      <c r="AM58" s="1854"/>
      <c r="AN58" s="1854"/>
      <c r="AO58" s="1854"/>
      <c r="AP58" s="1854"/>
      <c r="AQ58" s="1854"/>
      <c r="AR58" s="1854"/>
      <c r="AS58" s="1854"/>
      <c r="AT58" s="1854"/>
      <c r="AU58" s="1854"/>
      <c r="AV58" s="1854"/>
      <c r="AW58" s="1854"/>
      <c r="AX58" s="1854"/>
      <c r="AY58" s="1854"/>
      <c r="AZ58" s="1854"/>
      <c r="BA58" s="1854"/>
      <c r="BB58" s="1854"/>
      <c r="BC58" s="1850"/>
      <c r="BD58" s="1850"/>
      <c r="BE58" s="1850"/>
      <c r="BF58" s="1850"/>
      <c r="BG58" s="1850"/>
      <c r="BH58" s="1850"/>
      <c r="BI58" s="1852" t="s">
        <v>227</v>
      </c>
      <c r="BJ58" s="1850">
        <v>1052</v>
      </c>
      <c r="BK58" s="1850">
        <v>1042</v>
      </c>
      <c r="BL58" s="1850">
        <v>1009</v>
      </c>
      <c r="BM58" s="1850">
        <v>940</v>
      </c>
      <c r="BN58" s="1850">
        <v>792</v>
      </c>
      <c r="BO58" s="1850">
        <v>730</v>
      </c>
      <c r="BP58" s="1850">
        <v>730</v>
      </c>
      <c r="BQ58" s="1850">
        <v>518</v>
      </c>
      <c r="BR58" s="1850">
        <v>505</v>
      </c>
      <c r="BS58" s="1850">
        <v>503</v>
      </c>
      <c r="BT58" s="1850">
        <v>487</v>
      </c>
      <c r="BU58" s="1852"/>
      <c r="BV58" s="1850"/>
      <c r="BW58" s="1850"/>
      <c r="BX58" s="1850"/>
      <c r="BY58" s="1850"/>
      <c r="BZ58" s="1850"/>
      <c r="CA58" s="1621" t="e">
        <v>#DIV/0!</v>
      </c>
      <c r="CB58" s="1646"/>
      <c r="CC58" s="1646"/>
    </row>
    <row r="59" spans="2:81" ht="14.25" customHeight="1">
      <c r="B59" s="1867">
        <v>42614</v>
      </c>
      <c r="C59" s="1859">
        <v>1275</v>
      </c>
      <c r="D59" s="1860">
        <f t="shared" si="6"/>
        <v>1238</v>
      </c>
      <c r="E59" s="1860">
        <f t="shared" si="7"/>
        <v>1103</v>
      </c>
      <c r="F59" s="1860">
        <f t="shared" si="8"/>
        <v>0</v>
      </c>
      <c r="G59" s="1861">
        <f t="shared" si="0"/>
        <v>0.97098039215686271</v>
      </c>
      <c r="H59" s="1861">
        <f t="shared" si="1"/>
        <v>0.86509803921568629</v>
      </c>
      <c r="I59" s="1861">
        <f t="shared" si="2"/>
        <v>0</v>
      </c>
      <c r="J59" s="1655"/>
      <c r="K59" s="1854"/>
      <c r="L59" s="1854"/>
      <c r="M59" s="1854"/>
      <c r="N59" s="1854"/>
      <c r="O59" s="1854"/>
      <c r="P59" s="1854"/>
      <c r="Q59" s="1854"/>
      <c r="R59" s="1854"/>
      <c r="S59" s="1854"/>
      <c r="T59" s="1854"/>
      <c r="U59" s="1854"/>
      <c r="V59" s="1854"/>
      <c r="W59" s="1854"/>
      <c r="X59" s="1854"/>
      <c r="Y59" s="1854"/>
      <c r="Z59" s="1854"/>
      <c r="AA59" s="1854"/>
      <c r="AB59" s="1854"/>
      <c r="AC59" s="1854"/>
      <c r="AD59" s="1854"/>
      <c r="AE59" s="1854"/>
      <c r="AF59" s="1854"/>
      <c r="AG59" s="1854"/>
      <c r="AH59" s="1854"/>
      <c r="AI59" s="1854"/>
      <c r="AJ59" s="1854"/>
      <c r="AK59" s="1854"/>
      <c r="AL59" s="1854"/>
      <c r="AM59" s="1854"/>
      <c r="AN59" s="1854"/>
      <c r="AO59" s="1854"/>
      <c r="AP59" s="1854"/>
      <c r="AQ59" s="1854"/>
      <c r="AR59" s="1854"/>
      <c r="AS59" s="1854"/>
      <c r="AT59" s="1854"/>
      <c r="AU59" s="1854"/>
      <c r="AV59" s="1854"/>
      <c r="AW59" s="1854"/>
      <c r="AX59" s="1854"/>
      <c r="AY59" s="1854"/>
      <c r="AZ59" s="1854"/>
      <c r="BA59" s="1854"/>
      <c r="BB59" s="1854"/>
      <c r="BC59" s="1850"/>
      <c r="BD59" s="1850"/>
      <c r="BE59" s="1850"/>
      <c r="BF59" s="1850"/>
      <c r="BG59" s="1850"/>
      <c r="BH59" s="1850"/>
      <c r="BI59" s="1852" t="s">
        <v>227</v>
      </c>
      <c r="BJ59" s="1850" t="s">
        <v>227</v>
      </c>
      <c r="BK59" s="1850">
        <v>1267</v>
      </c>
      <c r="BL59" s="1850">
        <v>1263</v>
      </c>
      <c r="BM59" s="1850">
        <v>1238</v>
      </c>
      <c r="BN59" s="1850">
        <v>1165</v>
      </c>
      <c r="BO59" s="1850">
        <v>1103</v>
      </c>
      <c r="BP59" s="1850">
        <v>1103</v>
      </c>
      <c r="BQ59" s="1850">
        <v>753</v>
      </c>
      <c r="BR59" s="1850">
        <v>738</v>
      </c>
      <c r="BS59" s="1850">
        <v>735</v>
      </c>
      <c r="BT59" s="1850">
        <v>727</v>
      </c>
      <c r="BU59" s="1852"/>
      <c r="BV59" s="1850"/>
      <c r="BW59" s="1850"/>
      <c r="BX59" s="1850"/>
      <c r="BY59" s="1850"/>
      <c r="BZ59" s="1850"/>
      <c r="CA59" s="1621" t="e">
        <v>#DIV/0!</v>
      </c>
      <c r="CB59" s="1646"/>
      <c r="CC59" s="1646"/>
    </row>
    <row r="60" spans="2:81" ht="14.25" customHeight="1">
      <c r="B60" s="1867">
        <v>42644</v>
      </c>
      <c r="C60" s="1987">
        <f>Country!$BO$54</f>
        <v>1190</v>
      </c>
      <c r="D60" s="1860">
        <f t="shared" si="6"/>
        <v>1128</v>
      </c>
      <c r="E60" s="1860">
        <f t="shared" si="7"/>
        <v>746</v>
      </c>
      <c r="F60" s="1860">
        <f t="shared" si="8"/>
        <v>0</v>
      </c>
      <c r="G60" s="1861">
        <f t="shared" si="0"/>
        <v>0.94789915966386551</v>
      </c>
      <c r="H60" s="1861">
        <f t="shared" si="1"/>
        <v>0.626890756302521</v>
      </c>
      <c r="I60" s="1861">
        <f t="shared" si="2"/>
        <v>0</v>
      </c>
      <c r="J60" s="1655"/>
      <c r="K60" s="1854"/>
      <c r="L60" s="1854"/>
      <c r="M60" s="1854"/>
      <c r="N60" s="1854"/>
      <c r="O60" s="1854"/>
      <c r="P60" s="1854"/>
      <c r="Q60" s="1854"/>
      <c r="R60" s="1854"/>
      <c r="S60" s="1854"/>
      <c r="T60" s="1854"/>
      <c r="U60" s="1854"/>
      <c r="V60" s="1854"/>
      <c r="W60" s="1854"/>
      <c r="X60" s="1854"/>
      <c r="Y60" s="1854"/>
      <c r="Z60" s="1854"/>
      <c r="AA60" s="1854"/>
      <c r="AB60" s="1854"/>
      <c r="AC60" s="1854"/>
      <c r="AD60" s="1854"/>
      <c r="AE60" s="1854"/>
      <c r="AF60" s="1854"/>
      <c r="AG60" s="1854"/>
      <c r="AH60" s="1854"/>
      <c r="AI60" s="1854"/>
      <c r="AJ60" s="1854"/>
      <c r="AK60" s="1854"/>
      <c r="AL60" s="1854"/>
      <c r="AM60" s="1854"/>
      <c r="AN60" s="1854"/>
      <c r="AO60" s="1854"/>
      <c r="AP60" s="1854"/>
      <c r="AQ60" s="1854"/>
      <c r="AR60" s="1854"/>
      <c r="AS60" s="1854"/>
      <c r="AT60" s="1854"/>
      <c r="AU60" s="1854"/>
      <c r="AV60" s="1854"/>
      <c r="AW60" s="1854"/>
      <c r="AX60" s="1854"/>
      <c r="AY60" s="1854"/>
      <c r="AZ60" s="1854"/>
      <c r="BA60" s="1854"/>
      <c r="BB60" s="1854"/>
      <c r="BC60" s="1850"/>
      <c r="BD60" s="1850"/>
      <c r="BE60" s="1850"/>
      <c r="BF60" s="1850"/>
      <c r="BG60" s="1850"/>
      <c r="BH60" s="1850"/>
      <c r="BI60" s="1852" t="s">
        <v>227</v>
      </c>
      <c r="BJ60" s="1850" t="s">
        <v>227</v>
      </c>
      <c r="BK60" s="1850"/>
      <c r="BL60" s="1850">
        <v>1186</v>
      </c>
      <c r="BM60" s="1850">
        <v>1177</v>
      </c>
      <c r="BN60" s="1850">
        <v>1128</v>
      </c>
      <c r="BO60" s="1850">
        <v>1109</v>
      </c>
      <c r="BP60" s="1850">
        <v>1109</v>
      </c>
      <c r="BQ60" s="1850">
        <v>746</v>
      </c>
      <c r="BR60" s="1850">
        <v>721</v>
      </c>
      <c r="BS60" s="1850">
        <v>715</v>
      </c>
      <c r="BT60" s="1850">
        <v>705</v>
      </c>
      <c r="BU60" s="1852"/>
      <c r="BV60" s="1850"/>
      <c r="BW60" s="1850"/>
      <c r="BX60" s="1850"/>
      <c r="BY60" s="1850"/>
      <c r="BZ60" s="1850"/>
      <c r="CA60" s="1621" t="e">
        <v>#DIV/0!</v>
      </c>
      <c r="CB60" s="1646"/>
      <c r="CC60" s="1646"/>
    </row>
    <row r="61" spans="2:81" ht="14.25" customHeight="1">
      <c r="B61" s="1867">
        <v>42675</v>
      </c>
      <c r="C61" s="1859">
        <f>Country!$BP$54</f>
        <v>1260</v>
      </c>
      <c r="D61" s="1860">
        <f t="shared" si="6"/>
        <v>1278</v>
      </c>
      <c r="E61" s="1860">
        <f t="shared" si="7"/>
        <v>798</v>
      </c>
      <c r="F61" s="1860">
        <f t="shared" si="8"/>
        <v>0</v>
      </c>
      <c r="G61" s="1861">
        <f t="shared" si="0"/>
        <v>1.0142857142857142</v>
      </c>
      <c r="H61" s="1861">
        <f t="shared" si="1"/>
        <v>0.6333333333333333</v>
      </c>
      <c r="I61" s="1861">
        <f t="shared" si="2"/>
        <v>0</v>
      </c>
      <c r="J61" s="1655"/>
      <c r="K61" s="1854"/>
      <c r="L61" s="1854"/>
      <c r="M61" s="1854"/>
      <c r="N61" s="1854"/>
      <c r="O61" s="1854"/>
      <c r="P61" s="1854"/>
      <c r="Q61" s="1854"/>
      <c r="R61" s="1854"/>
      <c r="S61" s="1854"/>
      <c r="T61" s="1854"/>
      <c r="U61" s="1854"/>
      <c r="V61" s="1854"/>
      <c r="W61" s="1854"/>
      <c r="X61" s="1854"/>
      <c r="Y61" s="1854"/>
      <c r="Z61" s="1854"/>
      <c r="AA61" s="1854"/>
      <c r="AB61" s="1854"/>
      <c r="AC61" s="1854"/>
      <c r="AD61" s="1854"/>
      <c r="AE61" s="1854"/>
      <c r="AF61" s="1854"/>
      <c r="AG61" s="1854"/>
      <c r="AH61" s="1854"/>
      <c r="AI61" s="1854"/>
      <c r="AJ61" s="1854"/>
      <c r="AK61" s="1854"/>
      <c r="AL61" s="1854"/>
      <c r="AM61" s="1854"/>
      <c r="AN61" s="1854"/>
      <c r="AO61" s="1854"/>
      <c r="AP61" s="1854"/>
      <c r="AQ61" s="1854"/>
      <c r="AR61" s="1854"/>
      <c r="AS61" s="1854"/>
      <c r="AT61" s="1854"/>
      <c r="AU61" s="1854"/>
      <c r="AV61" s="1854"/>
      <c r="AW61" s="1854"/>
      <c r="AX61" s="1854"/>
      <c r="AY61" s="1854"/>
      <c r="AZ61" s="1854"/>
      <c r="BA61" s="1854"/>
      <c r="BB61" s="1854"/>
      <c r="BC61" s="1850"/>
      <c r="BD61" s="1850"/>
      <c r="BE61" s="1850"/>
      <c r="BF61" s="1850"/>
      <c r="BG61" s="1850"/>
      <c r="BH61" s="1850"/>
      <c r="BI61" s="1852" t="s">
        <v>227</v>
      </c>
      <c r="BJ61" s="1850" t="s">
        <v>227</v>
      </c>
      <c r="BK61" s="1850"/>
      <c r="BL61" s="1850" t="s">
        <v>227</v>
      </c>
      <c r="BM61" s="1850">
        <v>1312</v>
      </c>
      <c r="BN61" s="1850">
        <v>1291</v>
      </c>
      <c r="BO61" s="1850">
        <v>1278</v>
      </c>
      <c r="BP61" s="1850">
        <v>1278</v>
      </c>
      <c r="BQ61" s="1850">
        <v>879</v>
      </c>
      <c r="BR61" s="1850">
        <v>798</v>
      </c>
      <c r="BS61" s="1850">
        <v>793</v>
      </c>
      <c r="BT61" s="1850">
        <v>779</v>
      </c>
      <c r="BU61" s="1852"/>
      <c r="BV61" s="1850"/>
      <c r="BW61" s="1850"/>
      <c r="BX61" s="1850"/>
      <c r="BY61" s="1850"/>
      <c r="BZ61" s="1850"/>
      <c r="CA61" s="1621" t="e">
        <v>#N/A</v>
      </c>
      <c r="CB61" s="1646"/>
      <c r="CC61" s="1646"/>
    </row>
    <row r="62" spans="2:81" ht="14.25" customHeight="1">
      <c r="B62" s="1868">
        <v>42705</v>
      </c>
      <c r="C62" s="1862">
        <f>Country!$BQ$54</f>
        <v>1507</v>
      </c>
      <c r="D62" s="1863">
        <f t="shared" si="6"/>
        <v>1495</v>
      </c>
      <c r="E62" s="1863">
        <f t="shared" si="7"/>
        <v>996</v>
      </c>
      <c r="F62" s="1863">
        <f t="shared" si="8"/>
        <v>0</v>
      </c>
      <c r="G62" s="1864">
        <f t="shared" si="0"/>
        <v>0.99203715992037156</v>
      </c>
      <c r="H62" s="1864">
        <f t="shared" si="1"/>
        <v>0.66091572660915732</v>
      </c>
      <c r="I62" s="1864">
        <f t="shared" si="2"/>
        <v>0</v>
      </c>
      <c r="J62" s="1828"/>
      <c r="K62" s="1856"/>
      <c r="L62" s="1856"/>
      <c r="M62" s="1856"/>
      <c r="N62" s="1856"/>
      <c r="O62" s="1856"/>
      <c r="P62" s="1856"/>
      <c r="Q62" s="1856"/>
      <c r="R62" s="1856"/>
      <c r="S62" s="1856"/>
      <c r="T62" s="1856"/>
      <c r="U62" s="1856"/>
      <c r="V62" s="1856"/>
      <c r="W62" s="1856"/>
      <c r="X62" s="1856"/>
      <c r="Y62" s="1856"/>
      <c r="Z62" s="1856"/>
      <c r="AA62" s="1856"/>
      <c r="AB62" s="1856"/>
      <c r="AC62" s="1856"/>
      <c r="AD62" s="1856"/>
      <c r="AE62" s="1856"/>
      <c r="AF62" s="1856"/>
      <c r="AG62" s="1856"/>
      <c r="AH62" s="1856"/>
      <c r="AI62" s="1856"/>
      <c r="AJ62" s="1856"/>
      <c r="AK62" s="1856"/>
      <c r="AL62" s="1856"/>
      <c r="AM62" s="1856"/>
      <c r="AN62" s="1856"/>
      <c r="AO62" s="1856"/>
      <c r="AP62" s="1856"/>
      <c r="AQ62" s="1856"/>
      <c r="AR62" s="1856"/>
      <c r="AS62" s="1856"/>
      <c r="AT62" s="1856"/>
      <c r="AU62" s="1856"/>
      <c r="AV62" s="1856"/>
      <c r="AW62" s="1856"/>
      <c r="AX62" s="1856"/>
      <c r="AY62" s="1856"/>
      <c r="AZ62" s="1856"/>
      <c r="BA62" s="1856"/>
      <c r="BB62" s="1856"/>
      <c r="BC62" s="1857"/>
      <c r="BD62" s="1857"/>
      <c r="BE62" s="1857"/>
      <c r="BF62" s="1857"/>
      <c r="BG62" s="1857"/>
      <c r="BH62" s="1857"/>
      <c r="BI62" s="1858" t="s">
        <v>227</v>
      </c>
      <c r="BJ62" s="1857" t="s">
        <v>227</v>
      </c>
      <c r="BK62" s="1857"/>
      <c r="BL62" s="1857" t="s">
        <v>227</v>
      </c>
      <c r="BM62" s="1857"/>
      <c r="BN62" s="1857">
        <v>1497</v>
      </c>
      <c r="BO62" s="1857">
        <v>1495</v>
      </c>
      <c r="BP62" s="1857">
        <v>1495</v>
      </c>
      <c r="BQ62" s="1857">
        <v>1432</v>
      </c>
      <c r="BR62" s="1857">
        <v>1004</v>
      </c>
      <c r="BS62" s="1857">
        <v>996</v>
      </c>
      <c r="BT62" s="1857">
        <v>975</v>
      </c>
      <c r="BU62" s="1858"/>
      <c r="BV62" s="1857"/>
      <c r="BW62" s="1857"/>
      <c r="BX62" s="1857"/>
      <c r="BY62" s="1857"/>
      <c r="BZ62" s="1857"/>
      <c r="CA62" s="1621" t="e">
        <v>#N/A</v>
      </c>
      <c r="CB62" s="1646"/>
      <c r="CC62" s="1646"/>
    </row>
    <row r="63" spans="2:81">
      <c r="B63" s="2218">
        <v>42736</v>
      </c>
      <c r="C63" s="1859">
        <f>Country!$BR$54</f>
        <v>509</v>
      </c>
      <c r="D63" s="1860">
        <f t="shared" si="6"/>
        <v>502</v>
      </c>
      <c r="E63" s="1860">
        <f t="shared" si="7"/>
        <v>434</v>
      </c>
      <c r="F63" s="1860">
        <f t="shared" si="8"/>
        <v>0</v>
      </c>
      <c r="G63" s="1861">
        <f t="shared" ref="G63:G66" si="9">IFERROR(D63/$C63,"-")</f>
        <v>0.98624754420432215</v>
      </c>
      <c r="H63" s="1861">
        <f t="shared" ref="H63:H66" si="10">IFERROR(E63/$C63,"-")</f>
        <v>0.8526522593320236</v>
      </c>
      <c r="I63" s="1861">
        <f t="shared" ref="I63:I66" si="11">IFERROR(F63/$C63,"-")</f>
        <v>0</v>
      </c>
      <c r="J63" s="1655"/>
      <c r="K63" s="1854"/>
      <c r="L63" s="1854"/>
      <c r="M63" s="1854"/>
      <c r="N63" s="1854"/>
      <c r="O63" s="1854"/>
      <c r="P63" s="1854"/>
      <c r="Q63" s="1854"/>
      <c r="R63" s="1854"/>
      <c r="S63" s="1854"/>
      <c r="T63" s="1854"/>
      <c r="U63" s="1854"/>
      <c r="V63" s="1854"/>
      <c r="W63" s="1854"/>
      <c r="X63" s="1854"/>
      <c r="Y63" s="1854"/>
      <c r="Z63" s="1854"/>
      <c r="AA63" s="1854"/>
      <c r="AB63" s="1854"/>
      <c r="AC63" s="1854"/>
      <c r="AD63" s="1854"/>
      <c r="AE63" s="1854"/>
      <c r="AF63" s="1854"/>
      <c r="AG63" s="1854"/>
      <c r="AH63" s="1854"/>
      <c r="AI63" s="1854"/>
      <c r="AJ63" s="1854"/>
      <c r="AK63" s="1854"/>
      <c r="AL63" s="1854"/>
      <c r="AM63" s="1854"/>
      <c r="AN63" s="1854"/>
      <c r="AO63" s="1854"/>
      <c r="AP63" s="1854"/>
      <c r="AQ63" s="1854"/>
      <c r="AR63" s="1854"/>
      <c r="AS63" s="1854"/>
      <c r="AT63" s="1854"/>
      <c r="AU63" s="1854"/>
      <c r="AV63" s="1854"/>
      <c r="AW63" s="1854"/>
      <c r="AX63" s="1854"/>
      <c r="AY63" s="1854"/>
      <c r="AZ63" s="1854"/>
      <c r="BA63" s="1854"/>
      <c r="BB63" s="1854"/>
      <c r="BC63" s="1850"/>
      <c r="BD63" s="1850"/>
      <c r="BE63" s="1850"/>
      <c r="BF63" s="1850"/>
      <c r="BG63" s="1850"/>
      <c r="BH63" s="1850"/>
      <c r="BI63" s="1852"/>
      <c r="BJ63" s="1850"/>
      <c r="BK63" s="1850"/>
      <c r="BL63" s="1850"/>
      <c r="BM63" s="1850"/>
      <c r="BN63" s="1850"/>
      <c r="BO63" s="1850">
        <v>509</v>
      </c>
      <c r="BP63" s="1850">
        <v>509</v>
      </c>
      <c r="BQ63" s="1850">
        <v>502</v>
      </c>
      <c r="BR63" s="1850">
        <v>449</v>
      </c>
      <c r="BS63" s="1850">
        <v>444</v>
      </c>
      <c r="BT63" s="1850">
        <v>434</v>
      </c>
      <c r="BU63" s="1852"/>
      <c r="BV63" s="1850"/>
      <c r="BW63" s="1850"/>
      <c r="BX63" s="1850"/>
      <c r="BY63" s="1850"/>
      <c r="BZ63" s="1850"/>
      <c r="CA63" s="1621"/>
      <c r="CB63" s="1621"/>
      <c r="CC63" s="1646"/>
    </row>
    <row r="64" spans="2:81">
      <c r="B64" s="2219">
        <v>42767</v>
      </c>
      <c r="C64" s="1859">
        <f>Country!$BS$54</f>
        <v>1052</v>
      </c>
      <c r="D64" s="1860">
        <f t="shared" si="6"/>
        <v>1009</v>
      </c>
      <c r="E64" s="1860">
        <f t="shared" si="7"/>
        <v>0</v>
      </c>
      <c r="F64" s="1860">
        <f t="shared" si="8"/>
        <v>0</v>
      </c>
      <c r="G64" s="1861">
        <f t="shared" si="9"/>
        <v>0.95912547528517111</v>
      </c>
      <c r="H64" s="1861">
        <f t="shared" si="10"/>
        <v>0</v>
      </c>
      <c r="I64" s="1861">
        <f t="shared" si="11"/>
        <v>0</v>
      </c>
      <c r="J64" s="1655"/>
      <c r="K64" s="1854"/>
      <c r="L64" s="1854"/>
      <c r="M64" s="1854"/>
      <c r="N64" s="1854"/>
      <c r="O64" s="1854"/>
      <c r="P64" s="1854"/>
      <c r="Q64" s="1854"/>
      <c r="R64" s="1854"/>
      <c r="S64" s="1854"/>
      <c r="T64" s="1854"/>
      <c r="U64" s="1854"/>
      <c r="V64" s="1854"/>
      <c r="W64" s="1854"/>
      <c r="X64" s="1854"/>
      <c r="Y64" s="1854"/>
      <c r="Z64" s="1854"/>
      <c r="AA64" s="1854"/>
      <c r="AB64" s="1854"/>
      <c r="AC64" s="1854"/>
      <c r="AD64" s="1854"/>
      <c r="AE64" s="1854"/>
      <c r="AF64" s="1854"/>
      <c r="AG64" s="1854"/>
      <c r="AH64" s="1854"/>
      <c r="AI64" s="1854"/>
      <c r="AJ64" s="1854"/>
      <c r="AK64" s="1854"/>
      <c r="AL64" s="1854"/>
      <c r="AM64" s="1854"/>
      <c r="AN64" s="1854"/>
      <c r="AO64" s="1854"/>
      <c r="AP64" s="1854"/>
      <c r="AQ64" s="1854"/>
      <c r="AR64" s="1854"/>
      <c r="AS64" s="1854"/>
      <c r="AT64" s="1854"/>
      <c r="AU64" s="1854"/>
      <c r="AV64" s="1854"/>
      <c r="AW64" s="1854"/>
      <c r="AX64" s="1854"/>
      <c r="AY64" s="1854"/>
      <c r="AZ64" s="1854"/>
      <c r="BA64" s="1854"/>
      <c r="BB64" s="1854"/>
      <c r="BC64" s="1850"/>
      <c r="BD64" s="1850"/>
      <c r="BE64" s="1850"/>
      <c r="BF64" s="1850"/>
      <c r="BG64" s="1850"/>
      <c r="BH64" s="1850"/>
      <c r="BI64" s="1852"/>
      <c r="BJ64" s="1850"/>
      <c r="BK64" s="1850"/>
      <c r="BL64" s="1850"/>
      <c r="BM64" s="1850"/>
      <c r="BN64" s="1850"/>
      <c r="BO64" s="1850"/>
      <c r="BP64" s="1850">
        <v>1052</v>
      </c>
      <c r="BQ64" s="1850">
        <v>1040</v>
      </c>
      <c r="BR64" s="1850">
        <v>1009</v>
      </c>
      <c r="BS64" s="1850">
        <v>1003</v>
      </c>
      <c r="BT64" s="1850">
        <v>962</v>
      </c>
      <c r="BU64" s="1852"/>
      <c r="BV64" s="1850"/>
      <c r="BW64" s="1850"/>
      <c r="BX64" s="1850"/>
      <c r="BY64" s="1850"/>
      <c r="BZ64" s="1850"/>
      <c r="CA64" s="1621"/>
      <c r="CB64" s="1621"/>
      <c r="CC64" s="1646"/>
    </row>
    <row r="65" spans="2:81">
      <c r="B65" s="2218">
        <v>42795</v>
      </c>
      <c r="C65" s="1859">
        <f>Country!$BT$54</f>
        <v>1209</v>
      </c>
      <c r="D65" s="1860">
        <f t="shared" si="6"/>
        <v>1180</v>
      </c>
      <c r="E65" s="1860">
        <f t="shared" si="7"/>
        <v>0</v>
      </c>
      <c r="F65" s="1860">
        <f t="shared" si="8"/>
        <v>0</v>
      </c>
      <c r="G65" s="1861">
        <f t="shared" si="9"/>
        <v>0.9760132340777502</v>
      </c>
      <c r="H65" s="1861">
        <f t="shared" si="10"/>
        <v>0</v>
      </c>
      <c r="I65" s="1861">
        <f t="shared" si="11"/>
        <v>0</v>
      </c>
      <c r="J65" s="1655"/>
      <c r="K65" s="1854"/>
      <c r="L65" s="1854"/>
      <c r="M65" s="1854"/>
      <c r="N65" s="1854"/>
      <c r="O65" s="1854"/>
      <c r="P65" s="1854"/>
      <c r="Q65" s="1854"/>
      <c r="R65" s="1854"/>
      <c r="S65" s="1854"/>
      <c r="T65" s="1854"/>
      <c r="U65" s="1854"/>
      <c r="V65" s="1854"/>
      <c r="W65" s="1854"/>
      <c r="X65" s="1854"/>
      <c r="Y65" s="1854"/>
      <c r="Z65" s="1854"/>
      <c r="AA65" s="1854"/>
      <c r="AB65" s="1854"/>
      <c r="AC65" s="1854"/>
      <c r="AD65" s="1854"/>
      <c r="AE65" s="1854"/>
      <c r="AF65" s="1854"/>
      <c r="AG65" s="1854"/>
      <c r="AH65" s="1854"/>
      <c r="AI65" s="1854"/>
      <c r="AJ65" s="1854"/>
      <c r="AK65" s="1854"/>
      <c r="AL65" s="1854"/>
      <c r="AM65" s="1854"/>
      <c r="AN65" s="1854"/>
      <c r="AO65" s="1854"/>
      <c r="AP65" s="1854"/>
      <c r="AQ65" s="1854"/>
      <c r="AR65" s="1854"/>
      <c r="AS65" s="1854"/>
      <c r="AT65" s="1854"/>
      <c r="AU65" s="1854"/>
      <c r="AV65" s="1854"/>
      <c r="AW65" s="1854"/>
      <c r="AX65" s="1854"/>
      <c r="AY65" s="1854"/>
      <c r="AZ65" s="1854"/>
      <c r="BA65" s="1854"/>
      <c r="BB65" s="1854"/>
      <c r="BC65" s="1850"/>
      <c r="BD65" s="1850"/>
      <c r="BE65" s="1850"/>
      <c r="BF65" s="1850"/>
      <c r="BG65" s="1850"/>
      <c r="BH65" s="1850"/>
      <c r="BI65" s="1852"/>
      <c r="BJ65" s="1850"/>
      <c r="BK65" s="1850"/>
      <c r="BL65" s="1850"/>
      <c r="BM65" s="1850"/>
      <c r="BN65" s="1850"/>
      <c r="BO65" s="1850"/>
      <c r="BP65" s="1850"/>
      <c r="BQ65" s="1850">
        <v>1201</v>
      </c>
      <c r="BR65" s="1850">
        <v>1182</v>
      </c>
      <c r="BS65" s="1850">
        <v>1180</v>
      </c>
      <c r="BT65" s="1850">
        <v>1142</v>
      </c>
      <c r="BU65" s="1852"/>
      <c r="BV65" s="1850"/>
      <c r="BW65" s="1850"/>
      <c r="BX65" s="1850"/>
      <c r="BY65" s="1850"/>
      <c r="BZ65" s="1850"/>
      <c r="CA65" s="1621"/>
      <c r="CB65" s="1646"/>
      <c r="CC65" s="1646"/>
    </row>
    <row r="66" spans="2:81" ht="17.25" customHeight="1">
      <c r="B66" s="2219">
        <v>42826</v>
      </c>
      <c r="C66" s="1859">
        <f>Country!$BU$54</f>
        <v>962</v>
      </c>
      <c r="D66" s="1860">
        <f t="shared" si="6"/>
        <v>897</v>
      </c>
      <c r="E66" s="1860">
        <f t="shared" si="7"/>
        <v>0</v>
      </c>
      <c r="F66" s="1860">
        <f t="shared" si="8"/>
        <v>0</v>
      </c>
      <c r="G66" s="1861">
        <f t="shared" si="9"/>
        <v>0.93243243243243246</v>
      </c>
      <c r="H66" s="1861">
        <f t="shared" si="10"/>
        <v>0</v>
      </c>
      <c r="I66" s="1861">
        <f t="shared" si="11"/>
        <v>0</v>
      </c>
      <c r="J66" s="1655"/>
      <c r="K66" s="1854"/>
      <c r="L66" s="1854"/>
      <c r="M66" s="1854"/>
      <c r="N66" s="1854"/>
      <c r="O66" s="1854"/>
      <c r="P66" s="1854"/>
      <c r="Q66" s="1854"/>
      <c r="R66" s="1854"/>
      <c r="S66" s="1854"/>
      <c r="T66" s="1854"/>
      <c r="U66" s="1854"/>
      <c r="V66" s="1854"/>
      <c r="W66" s="1854"/>
      <c r="X66" s="1854"/>
      <c r="Y66" s="1854"/>
      <c r="Z66" s="1854"/>
      <c r="AA66" s="1854"/>
      <c r="AB66" s="1854"/>
      <c r="AC66" s="1854"/>
      <c r="AD66" s="1854"/>
      <c r="AE66" s="1854"/>
      <c r="AF66" s="1854"/>
      <c r="AG66" s="1854"/>
      <c r="AH66" s="1854"/>
      <c r="AI66" s="1854"/>
      <c r="AJ66" s="1854"/>
      <c r="AK66" s="1854"/>
      <c r="AL66" s="1854"/>
      <c r="AM66" s="1854"/>
      <c r="AN66" s="1854"/>
      <c r="AO66" s="1854"/>
      <c r="AP66" s="1854"/>
      <c r="AQ66" s="1854"/>
      <c r="AR66" s="1854"/>
      <c r="AS66" s="1854"/>
      <c r="AT66" s="1854"/>
      <c r="AU66" s="1854"/>
      <c r="AV66" s="1854"/>
      <c r="AW66" s="1854"/>
      <c r="AX66" s="1854"/>
      <c r="AY66" s="1854"/>
      <c r="AZ66" s="1854"/>
      <c r="BA66" s="1854"/>
      <c r="BB66" s="1854"/>
      <c r="BC66" s="1850"/>
      <c r="BD66" s="1850"/>
      <c r="BE66" s="1850"/>
      <c r="BF66" s="1850"/>
      <c r="BG66" s="1850"/>
      <c r="BH66" s="1850"/>
      <c r="BI66" s="1852"/>
      <c r="BJ66" s="1850"/>
      <c r="BK66" s="1850"/>
      <c r="BL66" s="1850"/>
      <c r="BM66" s="1850"/>
      <c r="BN66" s="1850"/>
      <c r="BO66" s="1850"/>
      <c r="BP66" s="1850"/>
      <c r="BQ66" s="1850"/>
      <c r="BR66" s="1850">
        <v>939</v>
      </c>
      <c r="BS66" s="1850">
        <v>936</v>
      </c>
      <c r="BT66" s="1850">
        <v>897</v>
      </c>
      <c r="BU66" s="1852"/>
      <c r="BV66" s="1850"/>
      <c r="BW66" s="1850"/>
      <c r="BX66" s="1850"/>
      <c r="BY66" s="1850"/>
      <c r="BZ66" s="1850"/>
      <c r="CA66" s="1621"/>
      <c r="CB66" s="1646"/>
      <c r="CC66" s="1646"/>
    </row>
    <row r="67" spans="2:81">
      <c r="B67" s="2218">
        <v>42856</v>
      </c>
      <c r="C67" s="1859">
        <f>Country!$BV$54</f>
        <v>953</v>
      </c>
      <c r="D67" s="1860">
        <f t="shared" si="6"/>
        <v>0</v>
      </c>
      <c r="E67" s="1860">
        <f t="shared" si="7"/>
        <v>0</v>
      </c>
      <c r="F67" s="1860">
        <f t="shared" si="8"/>
        <v>0</v>
      </c>
      <c r="G67" s="1861">
        <f t="shared" ref="G67" si="12">IFERROR(D67/$C67,"-")</f>
        <v>0</v>
      </c>
      <c r="H67" s="1861">
        <f t="shared" ref="H67" si="13">IFERROR(E67/$C67,"-")</f>
        <v>0</v>
      </c>
      <c r="I67" s="1861">
        <f t="shared" ref="I67" si="14">IFERROR(F67/$C67,"-")</f>
        <v>0</v>
      </c>
      <c r="J67" s="1655"/>
      <c r="K67" s="1854"/>
      <c r="L67" s="1854"/>
      <c r="M67" s="1854"/>
      <c r="N67" s="1854"/>
      <c r="O67" s="1854"/>
      <c r="P67" s="1854"/>
      <c r="Q67" s="1854"/>
      <c r="R67" s="1854"/>
      <c r="S67" s="1854"/>
      <c r="T67" s="1854"/>
      <c r="U67" s="1854"/>
      <c r="V67" s="1854"/>
      <c r="W67" s="1854"/>
      <c r="X67" s="1854"/>
      <c r="Y67" s="1854"/>
      <c r="Z67" s="1854"/>
      <c r="AA67" s="1854"/>
      <c r="AB67" s="1854"/>
      <c r="AC67" s="1854"/>
      <c r="AD67" s="1854"/>
      <c r="AE67" s="1854"/>
      <c r="AF67" s="1854"/>
      <c r="AG67" s="1854"/>
      <c r="AH67" s="1854"/>
      <c r="AI67" s="1854"/>
      <c r="AJ67" s="1854"/>
      <c r="AK67" s="1854"/>
      <c r="AL67" s="1854"/>
      <c r="AM67" s="1854"/>
      <c r="AN67" s="1854"/>
      <c r="AO67" s="1854"/>
      <c r="AP67" s="1854"/>
      <c r="AQ67" s="1854"/>
      <c r="AR67" s="1854"/>
      <c r="AS67" s="1854"/>
      <c r="AT67" s="1854"/>
      <c r="AU67" s="1854"/>
      <c r="AV67" s="1854"/>
      <c r="AW67" s="1854"/>
      <c r="AX67" s="1854"/>
      <c r="AY67" s="1854"/>
      <c r="AZ67" s="1854"/>
      <c r="BA67" s="1854"/>
      <c r="BB67" s="1854"/>
      <c r="BC67" s="1850"/>
      <c r="BD67" s="1850"/>
      <c r="BE67" s="1850"/>
      <c r="BF67" s="1850"/>
      <c r="BG67" s="1850"/>
      <c r="BH67" s="1850"/>
      <c r="BI67" s="1852"/>
      <c r="BJ67" s="1850"/>
      <c r="BK67" s="1850"/>
      <c r="BL67" s="1850"/>
      <c r="BM67" s="1850"/>
      <c r="BN67" s="1850"/>
      <c r="BO67" s="1850"/>
      <c r="BP67" s="1850"/>
      <c r="BQ67" s="1850"/>
      <c r="BR67" s="1850"/>
      <c r="BS67" s="1850">
        <v>934</v>
      </c>
      <c r="BT67" s="1850">
        <v>887</v>
      </c>
      <c r="BU67" s="1852"/>
      <c r="BV67" s="1850"/>
      <c r="BW67" s="1850"/>
      <c r="BX67" s="1850"/>
      <c r="BY67" s="1850"/>
      <c r="BZ67" s="1850"/>
      <c r="CA67" s="1621"/>
      <c r="CB67" s="1646"/>
      <c r="CC67" s="1646"/>
    </row>
    <row r="68" spans="2:81">
      <c r="B68" s="2219">
        <v>42887</v>
      </c>
      <c r="C68" s="1859">
        <f>Country!$BW$54</f>
        <v>1739</v>
      </c>
      <c r="D68" s="1860">
        <f t="shared" si="6"/>
        <v>0</v>
      </c>
      <c r="E68" s="1860">
        <f t="shared" si="7"/>
        <v>0</v>
      </c>
      <c r="F68" s="1860">
        <f t="shared" si="8"/>
        <v>0</v>
      </c>
      <c r="G68" s="1861"/>
      <c r="H68" s="1861"/>
      <c r="I68" s="1861"/>
      <c r="J68" s="1655"/>
      <c r="K68" s="1854"/>
      <c r="L68" s="1854"/>
      <c r="M68" s="1854"/>
      <c r="N68" s="1854"/>
      <c r="O68" s="1854"/>
      <c r="P68" s="1854"/>
      <c r="Q68" s="1854"/>
      <c r="R68" s="1854"/>
      <c r="S68" s="1854"/>
      <c r="T68" s="1854"/>
      <c r="U68" s="1854"/>
      <c r="V68" s="1854"/>
      <c r="W68" s="1854"/>
      <c r="X68" s="1854"/>
      <c r="Y68" s="1854"/>
      <c r="Z68" s="1854"/>
      <c r="AA68" s="1854"/>
      <c r="AB68" s="1854"/>
      <c r="AC68" s="1854"/>
      <c r="AD68" s="1854"/>
      <c r="AE68" s="1854"/>
      <c r="AF68" s="1854"/>
      <c r="AG68" s="1854"/>
      <c r="AH68" s="1854"/>
      <c r="AI68" s="1854"/>
      <c r="AJ68" s="1854"/>
      <c r="AK68" s="1854"/>
      <c r="AL68" s="1854"/>
      <c r="AM68" s="1854"/>
      <c r="AN68" s="1854"/>
      <c r="AO68" s="1854"/>
      <c r="AP68" s="1854"/>
      <c r="AQ68" s="1854"/>
      <c r="AR68" s="1854"/>
      <c r="AS68" s="1854"/>
      <c r="AT68" s="1854"/>
      <c r="AU68" s="1854"/>
      <c r="AV68" s="1854"/>
      <c r="AW68" s="1854"/>
      <c r="AX68" s="1854"/>
      <c r="AY68" s="1854"/>
      <c r="AZ68" s="1854"/>
      <c r="BA68" s="1854"/>
      <c r="BB68" s="1854"/>
      <c r="BC68" s="1850"/>
      <c r="BD68" s="1850"/>
      <c r="BE68" s="1850"/>
      <c r="BF68" s="1850"/>
      <c r="BG68" s="1850"/>
      <c r="BH68" s="1850"/>
      <c r="BI68" s="1852"/>
      <c r="BJ68" s="1850"/>
      <c r="BK68" s="1850"/>
      <c r="BL68" s="1850"/>
      <c r="BM68" s="1850"/>
      <c r="BN68" s="1850"/>
      <c r="BO68" s="1850"/>
      <c r="BP68" s="1850"/>
      <c r="BQ68" s="1850"/>
      <c r="BR68" s="1850"/>
      <c r="BS68" s="1850"/>
      <c r="BT68" s="1850">
        <v>1717</v>
      </c>
      <c r="BU68" s="1852"/>
      <c r="BV68" s="1850"/>
      <c r="BW68" s="1850"/>
      <c r="BX68" s="1850"/>
      <c r="BY68" s="1850"/>
      <c r="BZ68" s="1850"/>
      <c r="CA68" s="1621"/>
      <c r="CB68" s="1646"/>
      <c r="CC68" s="1646"/>
    </row>
    <row r="69" spans="2:81">
      <c r="B69" s="2218">
        <v>42917</v>
      </c>
      <c r="C69" s="1859"/>
      <c r="D69" s="1860"/>
      <c r="E69" s="1860"/>
      <c r="F69" s="1860"/>
      <c r="G69" s="1861"/>
      <c r="H69" s="1861"/>
      <c r="I69" s="1861"/>
      <c r="J69" s="1655"/>
      <c r="K69" s="1854"/>
      <c r="L69" s="1854"/>
      <c r="M69" s="1854"/>
      <c r="N69" s="1854"/>
      <c r="O69" s="1854"/>
      <c r="P69" s="1854"/>
      <c r="Q69" s="1854"/>
      <c r="R69" s="1854"/>
      <c r="S69" s="1854"/>
      <c r="T69" s="1854"/>
      <c r="U69" s="1854"/>
      <c r="V69" s="1854"/>
      <c r="W69" s="1854"/>
      <c r="X69" s="1854"/>
      <c r="Y69" s="1854"/>
      <c r="Z69" s="1854"/>
      <c r="AA69" s="1854"/>
      <c r="AB69" s="1854"/>
      <c r="AC69" s="1854"/>
      <c r="AD69" s="1854"/>
      <c r="AE69" s="1854"/>
      <c r="AF69" s="1854"/>
      <c r="AG69" s="1854"/>
      <c r="AH69" s="1854"/>
      <c r="AI69" s="1854"/>
      <c r="AJ69" s="1854"/>
      <c r="AK69" s="1854"/>
      <c r="AL69" s="1854"/>
      <c r="AM69" s="1854"/>
      <c r="AN69" s="1854"/>
      <c r="AO69" s="1854"/>
      <c r="AP69" s="1854"/>
      <c r="AQ69" s="1854"/>
      <c r="AR69" s="1854"/>
      <c r="AS69" s="1854"/>
      <c r="AT69" s="1854"/>
      <c r="AU69" s="1854"/>
      <c r="AV69" s="1854"/>
      <c r="AW69" s="1854"/>
      <c r="AX69" s="1854"/>
      <c r="AY69" s="1854"/>
      <c r="AZ69" s="1854"/>
      <c r="BA69" s="1854"/>
      <c r="BB69" s="1854"/>
      <c r="BC69" s="1850"/>
      <c r="BD69" s="1850"/>
      <c r="BE69" s="1850"/>
      <c r="BF69" s="1850"/>
      <c r="BG69" s="1850"/>
      <c r="BH69" s="1850"/>
      <c r="BI69" s="1852"/>
      <c r="BJ69" s="1850"/>
      <c r="BK69" s="1850"/>
      <c r="BL69" s="1850"/>
      <c r="BM69" s="1850"/>
      <c r="BN69" s="1850"/>
      <c r="BO69" s="1850"/>
      <c r="BP69" s="1850"/>
      <c r="BQ69" s="1850"/>
      <c r="BR69" s="1850"/>
      <c r="BS69" s="1850"/>
      <c r="BT69" s="1850"/>
      <c r="BU69" s="1852"/>
      <c r="BV69" s="1850"/>
      <c r="BW69" s="1850"/>
      <c r="BX69" s="1850"/>
      <c r="BY69" s="1850"/>
      <c r="BZ69" s="1850"/>
      <c r="CA69" s="1621"/>
      <c r="CB69" s="1646"/>
      <c r="CC69" s="1646"/>
    </row>
    <row r="70" spans="2:81">
      <c r="B70" s="2219">
        <v>42948</v>
      </c>
      <c r="C70" s="1859"/>
      <c r="D70" s="1860"/>
      <c r="E70" s="1860"/>
      <c r="F70" s="1860"/>
      <c r="G70" s="1861"/>
      <c r="H70" s="1861"/>
      <c r="I70" s="1861"/>
      <c r="J70" s="1655"/>
      <c r="K70" s="1854"/>
      <c r="L70" s="1854"/>
      <c r="M70" s="1854"/>
      <c r="N70" s="1854"/>
      <c r="O70" s="1854"/>
      <c r="P70" s="1854"/>
      <c r="Q70" s="1854"/>
      <c r="R70" s="1854"/>
      <c r="S70" s="1854"/>
      <c r="T70" s="1854"/>
      <c r="U70" s="1854"/>
      <c r="V70" s="1854"/>
      <c r="W70" s="1854"/>
      <c r="X70" s="1854"/>
      <c r="Y70" s="1854"/>
      <c r="Z70" s="1854"/>
      <c r="AA70" s="1854"/>
      <c r="AB70" s="1854"/>
      <c r="AC70" s="1854"/>
      <c r="AD70" s="1854"/>
      <c r="AE70" s="1854"/>
      <c r="AF70" s="1854"/>
      <c r="AG70" s="1854"/>
      <c r="AH70" s="1854"/>
      <c r="AI70" s="1854"/>
      <c r="AJ70" s="1854"/>
      <c r="AK70" s="1854"/>
      <c r="AL70" s="1854"/>
      <c r="AM70" s="1854"/>
      <c r="AN70" s="1854"/>
      <c r="AO70" s="1854"/>
      <c r="AP70" s="1854"/>
      <c r="AQ70" s="1854"/>
      <c r="AR70" s="1854"/>
      <c r="AS70" s="1854"/>
      <c r="AT70" s="1854"/>
      <c r="AU70" s="1854"/>
      <c r="AV70" s="1854"/>
      <c r="AW70" s="1854"/>
      <c r="AX70" s="1854"/>
      <c r="AY70" s="1854"/>
      <c r="AZ70" s="1854"/>
      <c r="BA70" s="1854"/>
      <c r="BB70" s="1854"/>
      <c r="BC70" s="1850"/>
      <c r="BD70" s="1850"/>
      <c r="BE70" s="1850"/>
      <c r="BF70" s="1850"/>
      <c r="BG70" s="1850"/>
      <c r="BH70" s="1850"/>
      <c r="BI70" s="1852"/>
      <c r="BJ70" s="1850"/>
      <c r="BK70" s="1850"/>
      <c r="BL70" s="1850"/>
      <c r="BM70" s="1850"/>
      <c r="BN70" s="1850"/>
      <c r="BO70" s="1850"/>
      <c r="BP70" s="1850"/>
      <c r="BQ70" s="1850"/>
      <c r="BR70" s="1850"/>
      <c r="BS70" s="1850"/>
      <c r="BT70" s="1850"/>
      <c r="BU70" s="1852"/>
      <c r="BV70" s="1850"/>
      <c r="BW70" s="1850"/>
      <c r="BX70" s="1850"/>
      <c r="BY70" s="1850"/>
      <c r="BZ70" s="1850"/>
      <c r="CA70" s="1621"/>
      <c r="CB70" s="1646"/>
      <c r="CC70" s="1646"/>
    </row>
    <row r="71" spans="2:81">
      <c r="B71" s="2218">
        <v>42979</v>
      </c>
      <c r="C71" s="1859"/>
      <c r="D71" s="1860"/>
      <c r="E71" s="1860"/>
      <c r="F71" s="1860"/>
      <c r="G71" s="1861"/>
      <c r="H71" s="1861"/>
      <c r="I71" s="1861"/>
      <c r="J71" s="1655"/>
      <c r="K71" s="1854"/>
      <c r="L71" s="1854"/>
      <c r="M71" s="1854"/>
      <c r="N71" s="1854"/>
      <c r="O71" s="1854"/>
      <c r="P71" s="1854"/>
      <c r="Q71" s="1854"/>
      <c r="R71" s="1854"/>
      <c r="S71" s="1854"/>
      <c r="T71" s="1854"/>
      <c r="U71" s="1854"/>
      <c r="V71" s="1854"/>
      <c r="W71" s="1854"/>
      <c r="X71" s="1854"/>
      <c r="Y71" s="1854"/>
      <c r="Z71" s="1854"/>
      <c r="AA71" s="1854"/>
      <c r="AB71" s="1854"/>
      <c r="AC71" s="1854"/>
      <c r="AD71" s="1854"/>
      <c r="AE71" s="1854"/>
      <c r="AF71" s="1854"/>
      <c r="AG71" s="1854"/>
      <c r="AH71" s="1854"/>
      <c r="AI71" s="1854"/>
      <c r="AJ71" s="1854"/>
      <c r="AK71" s="1854"/>
      <c r="AL71" s="1854"/>
      <c r="AM71" s="1854"/>
      <c r="AN71" s="1854"/>
      <c r="AO71" s="1854"/>
      <c r="AP71" s="1854"/>
      <c r="AQ71" s="1854"/>
      <c r="AR71" s="1854"/>
      <c r="AS71" s="1854"/>
      <c r="AT71" s="1854"/>
      <c r="AU71" s="1854"/>
      <c r="AV71" s="1854"/>
      <c r="AW71" s="1854"/>
      <c r="AX71" s="1854"/>
      <c r="AY71" s="1854"/>
      <c r="AZ71" s="1854"/>
      <c r="BA71" s="1854"/>
      <c r="BB71" s="1854"/>
      <c r="BC71" s="1850"/>
      <c r="BD71" s="1850"/>
      <c r="BE71" s="1850"/>
      <c r="BF71" s="1850"/>
      <c r="BG71" s="1850"/>
      <c r="BH71" s="1850"/>
      <c r="BI71" s="1852"/>
      <c r="BJ71" s="1850"/>
      <c r="BK71" s="1850"/>
      <c r="BL71" s="1850"/>
      <c r="BM71" s="1850"/>
      <c r="BN71" s="1850"/>
      <c r="BO71" s="1850"/>
      <c r="BP71" s="1850"/>
      <c r="BQ71" s="1850"/>
      <c r="BR71" s="1850"/>
      <c r="BS71" s="1850"/>
      <c r="BT71" s="1850"/>
      <c r="BU71" s="1852"/>
      <c r="BV71" s="1850"/>
      <c r="BW71" s="1850"/>
      <c r="BX71" s="1850"/>
      <c r="BY71" s="1850"/>
      <c r="BZ71" s="1850"/>
      <c r="CA71" s="1621"/>
      <c r="CB71" s="1646"/>
      <c r="CC71" s="1646"/>
    </row>
    <row r="72" spans="2:81">
      <c r="B72" s="2219">
        <v>43009</v>
      </c>
      <c r="C72" s="1987"/>
      <c r="D72" s="1860"/>
      <c r="E72" s="1860"/>
      <c r="F72" s="1860"/>
      <c r="G72" s="1861"/>
      <c r="H72" s="1861"/>
      <c r="I72" s="1861"/>
      <c r="J72" s="1655"/>
      <c r="K72" s="1854"/>
      <c r="L72" s="1854"/>
      <c r="M72" s="1854"/>
      <c r="N72" s="1854"/>
      <c r="O72" s="1854"/>
      <c r="P72" s="1854"/>
      <c r="Q72" s="1854"/>
      <c r="R72" s="1854"/>
      <c r="S72" s="1854"/>
      <c r="T72" s="1854"/>
      <c r="U72" s="1854"/>
      <c r="V72" s="1854"/>
      <c r="W72" s="1854"/>
      <c r="X72" s="1854"/>
      <c r="Y72" s="1854"/>
      <c r="Z72" s="1854"/>
      <c r="AA72" s="1854"/>
      <c r="AB72" s="1854"/>
      <c r="AC72" s="1854"/>
      <c r="AD72" s="1854"/>
      <c r="AE72" s="1854"/>
      <c r="AF72" s="1854"/>
      <c r="AG72" s="1854"/>
      <c r="AH72" s="1854"/>
      <c r="AI72" s="1854"/>
      <c r="AJ72" s="1854"/>
      <c r="AK72" s="1854"/>
      <c r="AL72" s="1854"/>
      <c r="AM72" s="1854"/>
      <c r="AN72" s="1854"/>
      <c r="AO72" s="1854"/>
      <c r="AP72" s="1854"/>
      <c r="AQ72" s="1854"/>
      <c r="AR72" s="1854"/>
      <c r="AS72" s="1854"/>
      <c r="AT72" s="1854"/>
      <c r="AU72" s="1854"/>
      <c r="AV72" s="1854"/>
      <c r="AW72" s="1854"/>
      <c r="AX72" s="1854"/>
      <c r="AY72" s="1854"/>
      <c r="AZ72" s="1854"/>
      <c r="BA72" s="1854"/>
      <c r="BB72" s="1854"/>
      <c r="BC72" s="1850"/>
      <c r="BD72" s="1850"/>
      <c r="BE72" s="1850"/>
      <c r="BF72" s="1850"/>
      <c r="BG72" s="1850"/>
      <c r="BH72" s="1850"/>
      <c r="BI72" s="1852"/>
      <c r="BJ72" s="1850"/>
      <c r="BK72" s="1850"/>
      <c r="BL72" s="1850"/>
      <c r="BM72" s="1850"/>
      <c r="BN72" s="1850"/>
      <c r="BO72" s="1850"/>
      <c r="BP72" s="1850"/>
      <c r="BQ72" s="1850"/>
      <c r="BR72" s="1850"/>
      <c r="BS72" s="1850"/>
      <c r="BT72" s="1850"/>
      <c r="BU72" s="1852"/>
      <c r="BV72" s="1850"/>
      <c r="BW72" s="1850"/>
      <c r="BX72" s="1850"/>
      <c r="BY72" s="1850"/>
      <c r="BZ72" s="1850"/>
      <c r="CA72" s="1621"/>
      <c r="CB72" s="1646"/>
      <c r="CC72" s="1646"/>
    </row>
    <row r="73" spans="2:81">
      <c r="B73" s="2218">
        <v>43040</v>
      </c>
      <c r="C73" s="1859"/>
      <c r="D73" s="1860"/>
      <c r="E73" s="1860"/>
      <c r="F73" s="1860"/>
      <c r="G73" s="1861"/>
      <c r="H73" s="1861"/>
      <c r="I73" s="1861"/>
      <c r="J73" s="1655"/>
      <c r="K73" s="1854"/>
      <c r="L73" s="1854"/>
      <c r="M73" s="1854"/>
      <c r="N73" s="1854"/>
      <c r="O73" s="1854"/>
      <c r="P73" s="1854"/>
      <c r="Q73" s="1854"/>
      <c r="R73" s="1854"/>
      <c r="S73" s="1854"/>
      <c r="T73" s="1854"/>
      <c r="U73" s="1854"/>
      <c r="V73" s="1854"/>
      <c r="W73" s="1854"/>
      <c r="X73" s="1854"/>
      <c r="Y73" s="1854"/>
      <c r="Z73" s="1854"/>
      <c r="AA73" s="1854"/>
      <c r="AB73" s="1854"/>
      <c r="AC73" s="1854"/>
      <c r="AD73" s="1854"/>
      <c r="AE73" s="1854"/>
      <c r="AF73" s="1854"/>
      <c r="AG73" s="1854"/>
      <c r="AH73" s="1854"/>
      <c r="AI73" s="1854"/>
      <c r="AJ73" s="1854"/>
      <c r="AK73" s="1854"/>
      <c r="AL73" s="1854"/>
      <c r="AM73" s="1854"/>
      <c r="AN73" s="1854"/>
      <c r="AO73" s="1854"/>
      <c r="AP73" s="1854"/>
      <c r="AQ73" s="1854"/>
      <c r="AR73" s="1854"/>
      <c r="AS73" s="1854"/>
      <c r="AT73" s="1854"/>
      <c r="AU73" s="1854"/>
      <c r="AV73" s="1854"/>
      <c r="AW73" s="1854"/>
      <c r="AX73" s="1854"/>
      <c r="AY73" s="1854"/>
      <c r="AZ73" s="1854"/>
      <c r="BA73" s="1854"/>
      <c r="BB73" s="1854"/>
      <c r="BC73" s="1850"/>
      <c r="BD73" s="1850"/>
      <c r="BE73" s="1850"/>
      <c r="BF73" s="1850"/>
      <c r="BG73" s="1850"/>
      <c r="BH73" s="1850"/>
      <c r="BI73" s="1852"/>
      <c r="BJ73" s="1850"/>
      <c r="BK73" s="1850"/>
      <c r="BL73" s="1850"/>
      <c r="BM73" s="1850"/>
      <c r="BN73" s="1850"/>
      <c r="BO73" s="1850"/>
      <c r="BP73" s="1850"/>
      <c r="BQ73" s="1850"/>
      <c r="BR73" s="1850"/>
      <c r="BS73" s="1850"/>
      <c r="BT73" s="1850"/>
      <c r="BU73" s="1852"/>
      <c r="BV73" s="1850"/>
      <c r="BW73" s="1850"/>
      <c r="BX73" s="1850"/>
      <c r="BY73" s="1850"/>
      <c r="BZ73" s="1850"/>
      <c r="CA73" s="1621"/>
      <c r="CB73" s="1646"/>
      <c r="CC73" s="1646"/>
    </row>
    <row r="74" spans="2:81">
      <c r="B74" s="2220">
        <v>43070</v>
      </c>
      <c r="C74" s="1862"/>
      <c r="D74" s="1863"/>
      <c r="E74" s="1863"/>
      <c r="F74" s="1863"/>
      <c r="G74" s="1864"/>
      <c r="H74" s="1864"/>
      <c r="I74" s="1864"/>
      <c r="J74" s="1828"/>
      <c r="K74" s="1856"/>
      <c r="L74" s="1856"/>
      <c r="M74" s="1856"/>
      <c r="N74" s="1856"/>
      <c r="O74" s="1856"/>
      <c r="P74" s="1856"/>
      <c r="Q74" s="1856"/>
      <c r="R74" s="1856"/>
      <c r="S74" s="1856"/>
      <c r="T74" s="1856"/>
      <c r="U74" s="1856"/>
      <c r="V74" s="1856"/>
      <c r="W74" s="1856"/>
      <c r="X74" s="1856"/>
      <c r="Y74" s="1856"/>
      <c r="Z74" s="1856"/>
      <c r="AA74" s="1856"/>
      <c r="AB74" s="1856"/>
      <c r="AC74" s="1856"/>
      <c r="AD74" s="1856"/>
      <c r="AE74" s="1856"/>
      <c r="AF74" s="1856"/>
      <c r="AG74" s="1856"/>
      <c r="AH74" s="1856"/>
      <c r="AI74" s="1856"/>
      <c r="AJ74" s="1856"/>
      <c r="AK74" s="1856"/>
      <c r="AL74" s="1856"/>
      <c r="AM74" s="1856"/>
      <c r="AN74" s="1856"/>
      <c r="AO74" s="1856"/>
      <c r="AP74" s="1856"/>
      <c r="AQ74" s="1856"/>
      <c r="AR74" s="1856"/>
      <c r="AS74" s="1856"/>
      <c r="AT74" s="1856"/>
      <c r="AU74" s="1856"/>
      <c r="AV74" s="1856"/>
      <c r="AW74" s="1856"/>
      <c r="AX74" s="1856"/>
      <c r="AY74" s="1856"/>
      <c r="AZ74" s="1856"/>
      <c r="BA74" s="1856"/>
      <c r="BB74" s="1856"/>
      <c r="BC74" s="1857"/>
      <c r="BD74" s="1857"/>
      <c r="BE74" s="1857"/>
      <c r="BF74" s="1857"/>
      <c r="BG74" s="1857"/>
      <c r="BH74" s="1857"/>
      <c r="BI74" s="1858"/>
      <c r="BJ74" s="1857"/>
      <c r="BK74" s="1857"/>
      <c r="BL74" s="1857"/>
      <c r="BM74" s="1857"/>
      <c r="BN74" s="1857"/>
      <c r="BO74" s="1857"/>
      <c r="BP74" s="1857"/>
      <c r="BQ74" s="1857"/>
      <c r="BR74" s="1857"/>
      <c r="BS74" s="1857"/>
      <c r="BT74" s="1857"/>
      <c r="BU74" s="1858"/>
      <c r="BV74" s="1857"/>
      <c r="BW74" s="1857"/>
      <c r="BX74" s="1857"/>
      <c r="BY74" s="1857"/>
      <c r="BZ74" s="1857"/>
      <c r="CA74" s="1621"/>
      <c r="CB74" s="1646"/>
      <c r="CC74" s="1646"/>
    </row>
  </sheetData>
  <conditionalFormatting sqref="BI6:BN62">
    <cfRule type="expression" dxfId="54" priority="5">
      <formula>IF($B$2=BI$3,TRUE,FALSE)</formula>
    </cfRule>
  </conditionalFormatting>
  <conditionalFormatting sqref="BU6:BZ62">
    <cfRule type="expression" dxfId="53" priority="3">
      <formula>IF($B$2=BU$3,TRUE,FALSE)</formula>
    </cfRule>
  </conditionalFormatting>
  <conditionalFormatting sqref="BI63:BN74">
    <cfRule type="expression" dxfId="52" priority="2">
      <formula>IF($B$2=BI$3,TRUE,FALSE)</formula>
    </cfRule>
  </conditionalFormatting>
  <conditionalFormatting sqref="BU63:BZ74">
    <cfRule type="expression" dxfId="51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0.79998168889431442"/>
  </sheetPr>
  <dimension ref="B1:AA41"/>
  <sheetViews>
    <sheetView showGridLines="0" topLeftCell="F1" zoomScale="85" zoomScaleNormal="85" workbookViewId="0">
      <selection activeCell="V8" sqref="V8"/>
    </sheetView>
  </sheetViews>
  <sheetFormatPr defaultRowHeight="12.75" outlineLevelCol="1"/>
  <cols>
    <col min="1" max="1" width="1.140625" customWidth="1"/>
    <col min="2" max="2" width="15.85546875" customWidth="1"/>
    <col min="3" max="3" width="28" customWidth="1"/>
    <col min="4" max="4" width="48.7109375" customWidth="1" outlineLevel="1"/>
    <col min="5" max="5" width="13.5703125" customWidth="1" outlineLevel="1"/>
    <col min="6" max="6" width="26" customWidth="1" outlineLevel="1"/>
    <col min="7" max="7" width="12.85546875" customWidth="1" outlineLevel="1"/>
    <col min="8" max="9" width="11.28515625" customWidth="1" outlineLevel="1"/>
    <col min="10" max="11" width="7.7109375" customWidth="1"/>
    <col min="12" max="12" width="10" customWidth="1"/>
    <col min="13" max="15" width="7.7109375" customWidth="1"/>
    <col min="16" max="16" width="10" customWidth="1"/>
    <col min="17" max="17" width="10.28515625" customWidth="1"/>
    <col min="18" max="18" width="10.7109375" customWidth="1"/>
    <col min="19" max="21" width="9.5703125" customWidth="1"/>
    <col min="22" max="22" width="10.140625" customWidth="1"/>
    <col min="23" max="23" width="8.28515625" customWidth="1"/>
    <col min="24" max="24" width="9.5703125" customWidth="1"/>
    <col min="25" max="25" width="10.85546875" hidden="1" customWidth="1"/>
    <col min="26" max="26" width="7.28515625" customWidth="1"/>
    <col min="27" max="27" width="7.140625" customWidth="1"/>
  </cols>
  <sheetData>
    <row r="1" spans="2:27">
      <c r="B1" s="196" t="s">
        <v>4125</v>
      </c>
    </row>
    <row r="2" spans="2:27">
      <c r="B2" s="1623">
        <f>'2.0 MP (GVL)'!$B$2</f>
        <v>42947</v>
      </c>
    </row>
    <row r="4" spans="2:27">
      <c r="B4" s="2076" t="s">
        <v>4264</v>
      </c>
    </row>
    <row r="6" spans="2:27" ht="13.5" thickBot="1"/>
    <row r="7" spans="2:27" ht="13.5" thickBot="1">
      <c r="J7" s="2301" t="s">
        <v>4186</v>
      </c>
      <c r="K7" s="2302"/>
      <c r="L7" s="2302"/>
      <c r="M7" s="2302"/>
      <c r="N7" s="2302"/>
      <c r="O7" s="2302"/>
      <c r="P7" s="2303" t="s">
        <v>4184</v>
      </c>
      <c r="Q7" s="2303"/>
      <c r="R7" s="2303"/>
      <c r="S7" s="2303"/>
      <c r="T7" s="2303"/>
      <c r="U7" s="2303"/>
      <c r="V7" s="2303"/>
      <c r="W7" s="2303"/>
      <c r="X7" s="2303"/>
      <c r="Y7" s="2303"/>
      <c r="Z7" s="2304" t="s">
        <v>4131</v>
      </c>
      <c r="AA7" s="2305"/>
    </row>
    <row r="8" spans="2:27" ht="32.25" thickBot="1">
      <c r="B8" s="2292" t="s">
        <v>15</v>
      </c>
      <c r="C8" s="2293" t="s">
        <v>4179</v>
      </c>
      <c r="D8" s="2293" t="s">
        <v>4072</v>
      </c>
      <c r="E8" s="2293" t="s">
        <v>4073</v>
      </c>
      <c r="F8" s="2293" t="s">
        <v>4074</v>
      </c>
      <c r="G8" s="2293" t="s">
        <v>4075</v>
      </c>
      <c r="H8" s="2293" t="s">
        <v>4076</v>
      </c>
      <c r="I8" s="2293" t="s">
        <v>4077</v>
      </c>
      <c r="J8" s="2294" t="s">
        <v>4127</v>
      </c>
      <c r="K8" s="2294" t="s">
        <v>4128</v>
      </c>
      <c r="L8" s="2294" t="s">
        <v>4132</v>
      </c>
      <c r="M8" s="2294" t="s">
        <v>261</v>
      </c>
      <c r="N8" s="2294" t="s">
        <v>4188</v>
      </c>
      <c r="O8" s="2294" t="s">
        <v>4189</v>
      </c>
      <c r="P8" s="2295" t="s">
        <v>4181</v>
      </c>
      <c r="Q8" s="2295" t="s">
        <v>4182</v>
      </c>
      <c r="R8" s="2295" t="s">
        <v>4212</v>
      </c>
      <c r="S8" s="2295" t="s">
        <v>4233</v>
      </c>
      <c r="T8" s="2295" t="s">
        <v>4249</v>
      </c>
      <c r="U8" s="2295" t="s">
        <v>4257</v>
      </c>
      <c r="V8" s="2296" t="s">
        <v>4330</v>
      </c>
      <c r="W8" s="2296" t="s">
        <v>4331</v>
      </c>
      <c r="X8" s="2297" t="s">
        <v>4185</v>
      </c>
      <c r="Y8" s="2298" t="s">
        <v>4183</v>
      </c>
      <c r="Z8" s="2299" t="s">
        <v>4129</v>
      </c>
      <c r="AA8" s="2300" t="s">
        <v>4130</v>
      </c>
    </row>
    <row r="9" spans="2:27">
      <c r="B9" s="2349" t="s">
        <v>792</v>
      </c>
      <c r="C9" s="2325" t="s">
        <v>4115</v>
      </c>
      <c r="D9" s="2323" t="s">
        <v>4134</v>
      </c>
      <c r="E9" s="2164" t="s">
        <v>4116</v>
      </c>
      <c r="F9" s="2164" t="s">
        <v>4117</v>
      </c>
      <c r="G9" s="2165">
        <v>42657</v>
      </c>
      <c r="H9" s="2361">
        <v>42688</v>
      </c>
      <c r="I9" s="2362">
        <v>42699</v>
      </c>
      <c r="J9" s="2306">
        <v>181</v>
      </c>
      <c r="K9" s="2307">
        <v>195</v>
      </c>
      <c r="L9" s="2307">
        <v>32</v>
      </c>
      <c r="M9" s="2307">
        <v>20</v>
      </c>
      <c r="N9" s="2307">
        <v>88</v>
      </c>
      <c r="O9" s="2308">
        <v>0.46810000000000002</v>
      </c>
      <c r="P9" s="2309">
        <v>3292.78</v>
      </c>
      <c r="Q9" s="2309">
        <v>6609.68</v>
      </c>
      <c r="R9" s="2309">
        <v>6829.56</v>
      </c>
      <c r="S9" s="2309">
        <v>5643.77</v>
      </c>
      <c r="T9" s="2309">
        <v>6019.01</v>
      </c>
      <c r="U9" s="2309">
        <v>10661.89</v>
      </c>
      <c r="V9" s="2353">
        <v>5299.99</v>
      </c>
      <c r="W9" s="2310">
        <v>261</v>
      </c>
      <c r="X9" s="2311">
        <v>44356.67</v>
      </c>
      <c r="Y9" s="2311">
        <v>62570.31</v>
      </c>
      <c r="Z9" s="2312"/>
      <c r="AA9" s="2313">
        <v>1</v>
      </c>
    </row>
    <row r="10" spans="2:27">
      <c r="B10" s="2350" t="s">
        <v>792</v>
      </c>
      <c r="C10" s="2326" t="s">
        <v>4113</v>
      </c>
      <c r="D10" s="2324" t="s">
        <v>4114</v>
      </c>
      <c r="E10" s="2166" t="s">
        <v>1311</v>
      </c>
      <c r="F10" s="2166" t="s">
        <v>1312</v>
      </c>
      <c r="G10" s="2167">
        <v>42563</v>
      </c>
      <c r="H10" s="2168">
        <v>42614</v>
      </c>
      <c r="I10" s="2169">
        <v>42641</v>
      </c>
      <c r="J10" s="2314">
        <v>94</v>
      </c>
      <c r="K10" s="2315">
        <v>75</v>
      </c>
      <c r="L10" s="2315">
        <v>3</v>
      </c>
      <c r="M10" s="2315">
        <v>10</v>
      </c>
      <c r="N10" s="2315">
        <v>45</v>
      </c>
      <c r="O10" s="2316">
        <v>0.53249999999999997</v>
      </c>
      <c r="P10" s="2317">
        <v>2662.63</v>
      </c>
      <c r="Q10" s="2317">
        <v>3746.09</v>
      </c>
      <c r="R10" s="2317">
        <v>4580.8599999999997</v>
      </c>
      <c r="S10" s="2317">
        <v>4420.7299999999996</v>
      </c>
      <c r="T10" s="2317">
        <v>4465.82</v>
      </c>
      <c r="U10" s="2317">
        <v>5760.13</v>
      </c>
      <c r="V10" s="2318">
        <v>4361.7700000000004</v>
      </c>
      <c r="W10" s="2319">
        <v>144</v>
      </c>
      <c r="X10" s="2320">
        <v>29998.02</v>
      </c>
      <c r="Y10" s="2320">
        <v>43872.89</v>
      </c>
      <c r="Z10" s="2321">
        <v>0.79690000000000005</v>
      </c>
      <c r="AA10" s="2322">
        <v>0.95389999999999997</v>
      </c>
    </row>
    <row r="11" spans="2:27">
      <c r="B11" s="2350" t="s">
        <v>4250</v>
      </c>
      <c r="C11" s="2326" t="s">
        <v>4213</v>
      </c>
      <c r="D11" s="2324" t="s">
        <v>4122</v>
      </c>
      <c r="E11" s="2166" t="s">
        <v>4214</v>
      </c>
      <c r="F11" s="2166" t="s">
        <v>4123</v>
      </c>
      <c r="G11" s="2167">
        <v>42664</v>
      </c>
      <c r="H11" s="2168">
        <v>42695</v>
      </c>
      <c r="I11" s="2169">
        <v>42696</v>
      </c>
      <c r="J11" s="2314">
        <v>85</v>
      </c>
      <c r="K11" s="2315">
        <v>74</v>
      </c>
      <c r="L11" s="2315">
        <v>2</v>
      </c>
      <c r="M11" s="2315">
        <v>7</v>
      </c>
      <c r="N11" s="2315">
        <v>25</v>
      </c>
      <c r="O11" s="2316">
        <v>0.3145</v>
      </c>
      <c r="P11" s="2317">
        <v>215.79</v>
      </c>
      <c r="Q11" s="2317">
        <v>448.6</v>
      </c>
      <c r="R11" s="2317">
        <v>1633.08</v>
      </c>
      <c r="S11" s="2317">
        <v>758.2</v>
      </c>
      <c r="T11" s="2317">
        <v>1319.1</v>
      </c>
      <c r="U11" s="2317">
        <v>2480.19</v>
      </c>
      <c r="V11" s="2318">
        <v>1941.33</v>
      </c>
      <c r="W11" s="2319">
        <v>88</v>
      </c>
      <c r="X11" s="2320">
        <v>8796.2800000000007</v>
      </c>
      <c r="Y11" s="2320">
        <v>10533.52</v>
      </c>
      <c r="Z11" s="2321"/>
      <c r="AA11" s="2322">
        <v>0.94489999999999996</v>
      </c>
    </row>
    <row r="12" spans="2:27">
      <c r="B12" s="2350" t="s">
        <v>4236</v>
      </c>
      <c r="C12" s="2326" t="s">
        <v>4332</v>
      </c>
      <c r="D12" s="2324" t="s">
        <v>4333</v>
      </c>
      <c r="E12" s="2166" t="s">
        <v>4334</v>
      </c>
      <c r="F12" s="2166" t="s">
        <v>4335</v>
      </c>
      <c r="G12" s="2167">
        <v>42689</v>
      </c>
      <c r="H12" s="2168">
        <v>42698</v>
      </c>
      <c r="I12" s="2169">
        <v>42717</v>
      </c>
      <c r="J12" s="2314">
        <v>331</v>
      </c>
      <c r="K12" s="2315">
        <v>326</v>
      </c>
      <c r="L12" s="2315">
        <v>49</v>
      </c>
      <c r="M12" s="2315">
        <v>42</v>
      </c>
      <c r="N12" s="2315">
        <v>75</v>
      </c>
      <c r="O12" s="2316">
        <v>0.2283</v>
      </c>
      <c r="P12" s="2317">
        <v>765.41</v>
      </c>
      <c r="Q12" s="2317">
        <v>1180.97</v>
      </c>
      <c r="R12" s="2317">
        <v>1563.67</v>
      </c>
      <c r="S12" s="2317">
        <v>1637.67</v>
      </c>
      <c r="T12" s="2317">
        <v>1204.43</v>
      </c>
      <c r="U12" s="2317">
        <v>1867.78</v>
      </c>
      <c r="V12" s="2318">
        <v>1863.59</v>
      </c>
      <c r="W12" s="2319">
        <v>151</v>
      </c>
      <c r="X12" s="2320">
        <v>10083.52</v>
      </c>
      <c r="Y12" s="2320">
        <v>13753.37</v>
      </c>
      <c r="Z12" s="2321">
        <v>0.63390000000000002</v>
      </c>
      <c r="AA12" s="2322">
        <v>0.97929999999999995</v>
      </c>
    </row>
    <row r="13" spans="2:27">
      <c r="B13" s="2350" t="s">
        <v>4235</v>
      </c>
      <c r="C13" s="2326" t="s">
        <v>4089</v>
      </c>
      <c r="D13" s="2324" t="s">
        <v>4090</v>
      </c>
      <c r="E13" s="2166" t="s">
        <v>4091</v>
      </c>
      <c r="F13" s="2166" t="s">
        <v>4092</v>
      </c>
      <c r="G13" s="2167">
        <v>42709</v>
      </c>
      <c r="H13" s="2168">
        <v>42720</v>
      </c>
      <c r="I13" s="2169">
        <v>42725</v>
      </c>
      <c r="J13" s="2314">
        <v>542</v>
      </c>
      <c r="K13" s="2315">
        <v>564</v>
      </c>
      <c r="L13" s="2315">
        <v>110</v>
      </c>
      <c r="M13" s="2315">
        <v>49</v>
      </c>
      <c r="N13" s="2315">
        <v>88</v>
      </c>
      <c r="O13" s="2316">
        <v>0.15909999999999999</v>
      </c>
      <c r="P13" s="2317">
        <v>901.29</v>
      </c>
      <c r="Q13" s="2317">
        <v>1371.95</v>
      </c>
      <c r="R13" s="2317">
        <v>2876.96</v>
      </c>
      <c r="S13" s="2317">
        <v>2434</v>
      </c>
      <c r="T13" s="2317">
        <v>1437.12</v>
      </c>
      <c r="U13" s="2317">
        <v>2019.5</v>
      </c>
      <c r="V13" s="2318">
        <v>1552.14</v>
      </c>
      <c r="W13" s="2319">
        <v>116</v>
      </c>
      <c r="X13" s="2320">
        <v>12592.95</v>
      </c>
      <c r="Y13" s="2320">
        <v>15783.22</v>
      </c>
      <c r="Z13" s="2321">
        <v>0.96</v>
      </c>
      <c r="AA13" s="2322">
        <v>0.99480000000000002</v>
      </c>
    </row>
    <row r="14" spans="2:27">
      <c r="B14" s="2350" t="s">
        <v>4234</v>
      </c>
      <c r="C14" s="2326" t="s">
        <v>4081</v>
      </c>
      <c r="D14" s="2324" t="s">
        <v>4082</v>
      </c>
      <c r="E14" s="2166" t="s">
        <v>2067</v>
      </c>
      <c r="F14" s="2166" t="s">
        <v>2068</v>
      </c>
      <c r="G14" s="2167">
        <v>42614</v>
      </c>
      <c r="H14" s="2168">
        <v>42614</v>
      </c>
      <c r="I14" s="2169">
        <v>42632</v>
      </c>
      <c r="J14" s="2314">
        <v>211</v>
      </c>
      <c r="K14" s="2315">
        <v>209</v>
      </c>
      <c r="L14" s="2315">
        <v>26</v>
      </c>
      <c r="M14" s="2315">
        <v>32</v>
      </c>
      <c r="N14" s="2315">
        <v>52</v>
      </c>
      <c r="O14" s="2316">
        <v>0.24759999999999999</v>
      </c>
      <c r="P14" s="2317">
        <v>1306.3399999999999</v>
      </c>
      <c r="Q14" s="2317">
        <v>1399.37</v>
      </c>
      <c r="R14" s="2317">
        <v>2186.5100000000002</v>
      </c>
      <c r="S14" s="2317">
        <v>1390.04</v>
      </c>
      <c r="T14" s="2317">
        <v>1150.8599999999999</v>
      </c>
      <c r="U14" s="2317">
        <v>1124.8599999999999</v>
      </c>
      <c r="V14" s="2318">
        <v>1358.43</v>
      </c>
      <c r="W14" s="2319">
        <v>95</v>
      </c>
      <c r="X14" s="2320">
        <v>9916.42</v>
      </c>
      <c r="Y14" s="2320">
        <v>18387.73</v>
      </c>
      <c r="Z14" s="2321">
        <v>0.73619999999999997</v>
      </c>
      <c r="AA14" s="2322">
        <v>0.90569999999999995</v>
      </c>
    </row>
    <row r="15" spans="2:27">
      <c r="B15" s="2350" t="s">
        <v>4251</v>
      </c>
      <c r="C15" s="2326" t="s">
        <v>4080</v>
      </c>
      <c r="D15" s="2324" t="s">
        <v>4135</v>
      </c>
      <c r="E15" s="2166" t="s">
        <v>3486</v>
      </c>
      <c r="F15" s="2166" t="s">
        <v>3240</v>
      </c>
      <c r="G15" s="2167">
        <v>42711</v>
      </c>
      <c r="H15" s="2168">
        <v>42730</v>
      </c>
      <c r="I15" s="2169">
        <v>42730</v>
      </c>
      <c r="J15" s="2314">
        <v>353</v>
      </c>
      <c r="K15" s="2315">
        <v>317</v>
      </c>
      <c r="L15" s="2315">
        <v>42</v>
      </c>
      <c r="M15" s="2315">
        <v>55</v>
      </c>
      <c r="N15" s="2315">
        <v>70</v>
      </c>
      <c r="O15" s="2316">
        <v>0.20899999999999999</v>
      </c>
      <c r="P15" s="2317">
        <v>942.96</v>
      </c>
      <c r="Q15" s="2317">
        <v>1082.45</v>
      </c>
      <c r="R15" s="2317">
        <v>1587.01</v>
      </c>
      <c r="S15" s="2317">
        <v>1911.23</v>
      </c>
      <c r="T15" s="2317">
        <v>2048.7800000000002</v>
      </c>
      <c r="U15" s="2317">
        <v>2095.16</v>
      </c>
      <c r="V15" s="2318">
        <v>1257.03</v>
      </c>
      <c r="W15" s="2319">
        <v>95</v>
      </c>
      <c r="X15" s="2320">
        <v>10924.62</v>
      </c>
      <c r="Y15" s="2320">
        <v>11581.67</v>
      </c>
      <c r="Z15" s="2321">
        <v>0.96050000000000002</v>
      </c>
      <c r="AA15" s="2322">
        <v>0.99819999999999998</v>
      </c>
    </row>
    <row r="16" spans="2:27">
      <c r="B16" s="2350" t="s">
        <v>4251</v>
      </c>
      <c r="C16" s="2326" t="s">
        <v>4078</v>
      </c>
      <c r="D16" s="2324" t="s">
        <v>4079</v>
      </c>
      <c r="E16" s="2166" t="s">
        <v>2059</v>
      </c>
      <c r="F16" s="2166" t="s">
        <v>2060</v>
      </c>
      <c r="G16" s="2167">
        <v>42712</v>
      </c>
      <c r="H16" s="2168">
        <v>42719</v>
      </c>
      <c r="I16" s="2169">
        <v>42719</v>
      </c>
      <c r="J16" s="2314">
        <v>166</v>
      </c>
      <c r="K16" s="2315">
        <v>162</v>
      </c>
      <c r="L16" s="2315">
        <v>43</v>
      </c>
      <c r="M16" s="2315">
        <v>28</v>
      </c>
      <c r="N16" s="2315">
        <v>49</v>
      </c>
      <c r="O16" s="2316">
        <v>0.29880000000000001</v>
      </c>
      <c r="P16" s="2317">
        <v>767.95</v>
      </c>
      <c r="Q16" s="2317">
        <v>1067.28</v>
      </c>
      <c r="R16" s="2317">
        <v>1114.23</v>
      </c>
      <c r="S16" s="2317">
        <v>557.14</v>
      </c>
      <c r="T16" s="2317">
        <v>1265.17</v>
      </c>
      <c r="U16" s="2317">
        <v>1167.67</v>
      </c>
      <c r="V16" s="2318">
        <v>1107.27</v>
      </c>
      <c r="W16" s="2319">
        <v>78</v>
      </c>
      <c r="X16" s="2320">
        <v>7046.7</v>
      </c>
      <c r="Y16" s="2320">
        <v>8533.4500000000007</v>
      </c>
      <c r="Z16" s="2321">
        <v>0.87490000000000001</v>
      </c>
      <c r="AA16" s="2322">
        <v>0.96060000000000001</v>
      </c>
    </row>
    <row r="17" spans="2:27">
      <c r="B17" s="2350" t="s">
        <v>4234</v>
      </c>
      <c r="C17" s="2326" t="s">
        <v>4240</v>
      </c>
      <c r="D17" s="2324" t="s">
        <v>4241</v>
      </c>
      <c r="E17" s="2166" t="s">
        <v>4242</v>
      </c>
      <c r="F17" s="2166" t="s">
        <v>4243</v>
      </c>
      <c r="G17" s="2167">
        <v>42797</v>
      </c>
      <c r="H17" s="2168">
        <v>42832</v>
      </c>
      <c r="I17" s="2169">
        <v>42846</v>
      </c>
      <c r="J17" s="2314">
        <v>184</v>
      </c>
      <c r="K17" s="2315">
        <v>190</v>
      </c>
      <c r="L17" s="2315">
        <v>28</v>
      </c>
      <c r="M17" s="2315">
        <v>18</v>
      </c>
      <c r="N17" s="2315">
        <v>31</v>
      </c>
      <c r="O17" s="2316">
        <v>0.1658</v>
      </c>
      <c r="P17" s="2317">
        <v>0</v>
      </c>
      <c r="Q17" s="2317">
        <v>0</v>
      </c>
      <c r="R17" s="2317">
        <v>0</v>
      </c>
      <c r="S17" s="2317">
        <v>663.54</v>
      </c>
      <c r="T17" s="2317">
        <v>836.49</v>
      </c>
      <c r="U17" s="2317">
        <v>1361.95</v>
      </c>
      <c r="V17" s="2318">
        <v>1085.55</v>
      </c>
      <c r="W17" s="2319">
        <v>68</v>
      </c>
      <c r="X17" s="2320">
        <v>3947.53</v>
      </c>
      <c r="Y17" s="2320">
        <v>3947.53</v>
      </c>
      <c r="Z17" s="2321"/>
      <c r="AA17" s="2322">
        <v>1</v>
      </c>
    </row>
    <row r="18" spans="2:27">
      <c r="B18" s="2350" t="s">
        <v>4244</v>
      </c>
      <c r="C18" s="2326" t="s">
        <v>4245</v>
      </c>
      <c r="D18" s="2324" t="s">
        <v>4246</v>
      </c>
      <c r="E18" s="2166" t="s">
        <v>4247</v>
      </c>
      <c r="F18" s="2166" t="s">
        <v>1348</v>
      </c>
      <c r="G18" s="2167">
        <v>42807</v>
      </c>
      <c r="H18" s="2168">
        <v>42845</v>
      </c>
      <c r="I18" s="2169">
        <v>42852</v>
      </c>
      <c r="J18" s="2314">
        <v>272</v>
      </c>
      <c r="K18" s="2315">
        <v>267</v>
      </c>
      <c r="L18" s="2315">
        <v>17</v>
      </c>
      <c r="M18" s="2315">
        <v>56</v>
      </c>
      <c r="N18" s="2315">
        <v>42</v>
      </c>
      <c r="O18" s="2316">
        <v>0.15579999999999999</v>
      </c>
      <c r="P18" s="2317">
        <v>0</v>
      </c>
      <c r="Q18" s="2317">
        <v>0</v>
      </c>
      <c r="R18" s="2317">
        <v>0</v>
      </c>
      <c r="S18" s="2317">
        <v>1002.53</v>
      </c>
      <c r="T18" s="2317">
        <v>948.43</v>
      </c>
      <c r="U18" s="2317">
        <v>974.83</v>
      </c>
      <c r="V18" s="2318">
        <v>1079.21</v>
      </c>
      <c r="W18" s="2319">
        <v>64</v>
      </c>
      <c r="X18" s="2320">
        <v>4005</v>
      </c>
      <c r="Y18" s="2320">
        <v>4005</v>
      </c>
      <c r="Z18" s="2321">
        <v>0.81220000000000003</v>
      </c>
      <c r="AA18" s="2322">
        <v>0.9002</v>
      </c>
    </row>
    <row r="19" spans="2:27">
      <c r="B19" s="2350" t="s">
        <v>4235</v>
      </c>
      <c r="C19" s="2326" t="s">
        <v>4096</v>
      </c>
      <c r="D19" s="2324" t="s">
        <v>4180</v>
      </c>
      <c r="E19" s="2166" t="s">
        <v>4097</v>
      </c>
      <c r="F19" s="2166" t="s">
        <v>4098</v>
      </c>
      <c r="G19" s="2167">
        <v>42577</v>
      </c>
      <c r="H19" s="2168">
        <v>42636</v>
      </c>
      <c r="I19" s="2169">
        <v>42637</v>
      </c>
      <c r="J19" s="2314">
        <v>220</v>
      </c>
      <c r="K19" s="2315">
        <v>204</v>
      </c>
      <c r="L19" s="2315">
        <v>20</v>
      </c>
      <c r="M19" s="2315">
        <v>30</v>
      </c>
      <c r="N19" s="2315">
        <v>45</v>
      </c>
      <c r="O19" s="2316">
        <v>0.21229999999999999</v>
      </c>
      <c r="P19" s="2317">
        <v>643.30999999999995</v>
      </c>
      <c r="Q19" s="2317">
        <v>769.31</v>
      </c>
      <c r="R19" s="2317">
        <v>1080.95</v>
      </c>
      <c r="S19" s="2317">
        <v>1172.83</v>
      </c>
      <c r="T19" s="2317">
        <v>1116.1500000000001</v>
      </c>
      <c r="U19" s="2317">
        <v>907.3</v>
      </c>
      <c r="V19" s="2318">
        <v>1071.6199999999999</v>
      </c>
      <c r="W19" s="2319">
        <v>78</v>
      </c>
      <c r="X19" s="2320">
        <v>6761.47</v>
      </c>
      <c r="Y19" s="2320">
        <v>10137.84</v>
      </c>
      <c r="Z19" s="2321">
        <v>0.98960000000000004</v>
      </c>
      <c r="AA19" s="2322">
        <v>0.999</v>
      </c>
    </row>
    <row r="20" spans="2:27">
      <c r="B20" s="2350" t="s">
        <v>4235</v>
      </c>
      <c r="C20" s="2326" t="s">
        <v>4261</v>
      </c>
      <c r="D20" s="2324" t="s">
        <v>4336</v>
      </c>
      <c r="E20" s="2166" t="s">
        <v>4262</v>
      </c>
      <c r="F20" s="2166" t="s">
        <v>971</v>
      </c>
      <c r="G20" s="2167">
        <v>42892</v>
      </c>
      <c r="H20" s="2168">
        <v>42916</v>
      </c>
      <c r="I20" s="2169">
        <v>42929</v>
      </c>
      <c r="J20" s="2314">
        <v>132</v>
      </c>
      <c r="K20" s="2315">
        <v>159</v>
      </c>
      <c r="L20" s="2315">
        <v>30</v>
      </c>
      <c r="M20" s="2315">
        <v>24</v>
      </c>
      <c r="N20" s="2315">
        <v>38</v>
      </c>
      <c r="O20" s="2316">
        <v>0.26119999999999999</v>
      </c>
      <c r="P20" s="2317">
        <v>0</v>
      </c>
      <c r="Q20" s="2317">
        <v>0</v>
      </c>
      <c r="R20" s="2317">
        <v>0</v>
      </c>
      <c r="S20" s="2317">
        <v>0</v>
      </c>
      <c r="T20" s="2317">
        <v>0</v>
      </c>
      <c r="U20" s="2317">
        <v>281.26</v>
      </c>
      <c r="V20" s="2318">
        <v>978.6</v>
      </c>
      <c r="W20" s="2319">
        <v>67</v>
      </c>
      <c r="X20" s="2320">
        <v>1259.8499999999999</v>
      </c>
      <c r="Y20" s="2320">
        <v>1259.8499999999999</v>
      </c>
      <c r="Z20" s="2321"/>
      <c r="AA20" s="2322">
        <v>1</v>
      </c>
    </row>
    <row r="21" spans="2:27">
      <c r="B21" s="2350" t="s">
        <v>1157</v>
      </c>
      <c r="C21" s="2326" t="s">
        <v>4093</v>
      </c>
      <c r="D21" s="2324" t="s">
        <v>4094</v>
      </c>
      <c r="E21" s="2166" t="s">
        <v>4095</v>
      </c>
      <c r="F21" s="2166" t="s">
        <v>2791</v>
      </c>
      <c r="G21" s="2167">
        <v>42709</v>
      </c>
      <c r="H21" s="2170">
        <v>42730</v>
      </c>
      <c r="I21" s="2171">
        <v>42732</v>
      </c>
      <c r="J21" s="2314">
        <v>64</v>
      </c>
      <c r="K21" s="2315">
        <v>86</v>
      </c>
      <c r="L21" s="2315">
        <v>29</v>
      </c>
      <c r="M21" s="2315">
        <v>18</v>
      </c>
      <c r="N21" s="2315">
        <v>20</v>
      </c>
      <c r="O21" s="2316">
        <v>0.26669999999999999</v>
      </c>
      <c r="P21" s="2317">
        <v>-22.45</v>
      </c>
      <c r="Q21" s="2317">
        <v>576.36</v>
      </c>
      <c r="R21" s="2317">
        <v>568.69000000000005</v>
      </c>
      <c r="S21" s="2317">
        <v>224.52</v>
      </c>
      <c r="T21" s="2317">
        <v>623.16999999999996</v>
      </c>
      <c r="U21" s="2317">
        <v>871.26</v>
      </c>
      <c r="V21" s="2318">
        <v>887.46</v>
      </c>
      <c r="W21" s="2319">
        <v>48</v>
      </c>
      <c r="X21" s="2320">
        <v>3729.01</v>
      </c>
      <c r="Y21" s="2320">
        <v>5557.65</v>
      </c>
      <c r="Z21" s="2321">
        <v>0.7752</v>
      </c>
      <c r="AA21" s="2322">
        <v>0.8931</v>
      </c>
    </row>
    <row r="22" spans="2:27">
      <c r="B22" s="2350" t="s">
        <v>4252</v>
      </c>
      <c r="C22" s="2326" t="s">
        <v>4120</v>
      </c>
      <c r="D22" s="2324" t="s">
        <v>4121</v>
      </c>
      <c r="E22" s="2166" t="s">
        <v>1435</v>
      </c>
      <c r="F22" s="2166" t="s">
        <v>1436</v>
      </c>
      <c r="G22" s="2167">
        <v>42719</v>
      </c>
      <c r="H22" s="2168">
        <v>42733</v>
      </c>
      <c r="I22" s="2169">
        <v>42735</v>
      </c>
      <c r="J22" s="2314">
        <v>79</v>
      </c>
      <c r="K22" s="2315">
        <v>76</v>
      </c>
      <c r="L22" s="2315">
        <v>19</v>
      </c>
      <c r="M22" s="2315">
        <v>18</v>
      </c>
      <c r="N22" s="2315">
        <v>26</v>
      </c>
      <c r="O22" s="2316">
        <v>0.33550000000000002</v>
      </c>
      <c r="P22" s="2317">
        <v>12.09</v>
      </c>
      <c r="Q22" s="2317">
        <v>298.2</v>
      </c>
      <c r="R22" s="2317">
        <v>319.45999999999998</v>
      </c>
      <c r="S22" s="2317">
        <v>359.46</v>
      </c>
      <c r="T22" s="2317">
        <v>76.040000000000006</v>
      </c>
      <c r="U22" s="2317">
        <v>333.88</v>
      </c>
      <c r="V22" s="2318">
        <v>884.56</v>
      </c>
      <c r="W22" s="2319">
        <v>56</v>
      </c>
      <c r="X22" s="2320">
        <v>2283.69</v>
      </c>
      <c r="Y22" s="2320">
        <v>2388.06</v>
      </c>
      <c r="Z22" s="2321">
        <v>0.67710000000000004</v>
      </c>
      <c r="AA22" s="2322">
        <v>0.86029999999999995</v>
      </c>
    </row>
    <row r="23" spans="2:27">
      <c r="B23" s="2350" t="s">
        <v>792</v>
      </c>
      <c r="C23" s="2326" t="s">
        <v>4263</v>
      </c>
      <c r="D23" s="2324" t="s">
        <v>4337</v>
      </c>
      <c r="E23" s="2166" t="s">
        <v>2454</v>
      </c>
      <c r="F23" s="2166" t="s">
        <v>2455</v>
      </c>
      <c r="G23" s="2167">
        <v>42886</v>
      </c>
      <c r="H23" s="2170">
        <v>42899</v>
      </c>
      <c r="I23" s="2171">
        <v>42908</v>
      </c>
      <c r="J23" s="2314">
        <v>43</v>
      </c>
      <c r="K23" s="2315">
        <v>49</v>
      </c>
      <c r="L23" s="2315">
        <v>11</v>
      </c>
      <c r="M23" s="2315">
        <v>17</v>
      </c>
      <c r="N23" s="2315">
        <v>18</v>
      </c>
      <c r="O23" s="2316">
        <v>0.39129999999999998</v>
      </c>
      <c r="P23" s="2317">
        <v>0</v>
      </c>
      <c r="Q23" s="2317">
        <v>0</v>
      </c>
      <c r="R23" s="2317">
        <v>0</v>
      </c>
      <c r="S23" s="2317">
        <v>0</v>
      </c>
      <c r="T23" s="2317">
        <v>0</v>
      </c>
      <c r="U23" s="2317">
        <v>683.23</v>
      </c>
      <c r="V23" s="2318">
        <v>819.03</v>
      </c>
      <c r="W23" s="2319">
        <v>42</v>
      </c>
      <c r="X23" s="2320">
        <v>1502.25</v>
      </c>
      <c r="Y23" s="2320">
        <v>1502.25</v>
      </c>
      <c r="Z23" s="2321">
        <v>0.87609999999999999</v>
      </c>
      <c r="AA23" s="2322">
        <v>0.93359999999999999</v>
      </c>
    </row>
    <row r="24" spans="2:27">
      <c r="B24" s="2350" t="s">
        <v>4236</v>
      </c>
      <c r="C24" s="2326" t="s">
        <v>4083</v>
      </c>
      <c r="D24" s="2324" t="s">
        <v>4084</v>
      </c>
      <c r="E24" s="2166" t="s">
        <v>3587</v>
      </c>
      <c r="F24" s="2166" t="s">
        <v>3588</v>
      </c>
      <c r="G24" s="2167">
        <v>42566</v>
      </c>
      <c r="H24" s="2168">
        <v>42662</v>
      </c>
      <c r="I24" s="2169">
        <v>42665</v>
      </c>
      <c r="J24" s="2314">
        <v>252</v>
      </c>
      <c r="K24" s="2315">
        <v>280</v>
      </c>
      <c r="L24" s="2315">
        <v>66</v>
      </c>
      <c r="M24" s="2315">
        <v>46</v>
      </c>
      <c r="N24" s="2315">
        <v>50</v>
      </c>
      <c r="O24" s="2316">
        <v>0.188</v>
      </c>
      <c r="P24" s="2317">
        <v>759.19</v>
      </c>
      <c r="Q24" s="2317">
        <v>1038.06</v>
      </c>
      <c r="R24" s="2317">
        <v>994.92</v>
      </c>
      <c r="S24" s="2317">
        <v>966.44</v>
      </c>
      <c r="T24" s="2317">
        <v>930.94</v>
      </c>
      <c r="U24" s="2317">
        <v>1055.1199999999999</v>
      </c>
      <c r="V24" s="2318">
        <v>813.77</v>
      </c>
      <c r="W24" s="2319">
        <v>63</v>
      </c>
      <c r="X24" s="2320">
        <v>6558.44</v>
      </c>
      <c r="Y24" s="2320">
        <v>10132.530000000001</v>
      </c>
      <c r="Z24" s="2321">
        <v>0.89990000000000003</v>
      </c>
      <c r="AA24" s="2322">
        <v>0.99309999999999998</v>
      </c>
    </row>
    <row r="25" spans="2:27">
      <c r="B25" s="2350" t="s">
        <v>4250</v>
      </c>
      <c r="C25" s="2326" t="s">
        <v>4338</v>
      </c>
      <c r="D25" s="2324" t="s">
        <v>4339</v>
      </c>
      <c r="E25" s="2166" t="s">
        <v>4340</v>
      </c>
      <c r="F25" s="2166" t="s">
        <v>1267</v>
      </c>
      <c r="G25" s="2167">
        <v>42894</v>
      </c>
      <c r="H25" s="2168">
        <v>42922</v>
      </c>
      <c r="I25" s="2169">
        <v>42934</v>
      </c>
      <c r="J25" s="2314">
        <v>83</v>
      </c>
      <c r="K25" s="2315">
        <v>83</v>
      </c>
      <c r="L25" s="2315">
        <v>8</v>
      </c>
      <c r="M25" s="2315">
        <v>14</v>
      </c>
      <c r="N25" s="2315">
        <v>24</v>
      </c>
      <c r="O25" s="2316">
        <v>0.28920000000000001</v>
      </c>
      <c r="P25" s="2317">
        <v>0</v>
      </c>
      <c r="Q25" s="2317">
        <v>0</v>
      </c>
      <c r="R25" s="2317">
        <v>0</v>
      </c>
      <c r="S25" s="2317">
        <v>0</v>
      </c>
      <c r="T25" s="2317">
        <v>0</v>
      </c>
      <c r="U25" s="2317">
        <v>0</v>
      </c>
      <c r="V25" s="2318">
        <v>782.7</v>
      </c>
      <c r="W25" s="2319">
        <v>38</v>
      </c>
      <c r="X25" s="2320">
        <v>782.7</v>
      </c>
      <c r="Y25" s="2320">
        <v>782.7</v>
      </c>
      <c r="Z25" s="2321">
        <v>0.73939999999999995</v>
      </c>
      <c r="AA25" s="2322">
        <v>0.85050000000000003</v>
      </c>
    </row>
    <row r="26" spans="2:27">
      <c r="B26" s="2350" t="s">
        <v>4237</v>
      </c>
      <c r="C26" s="2326" t="s">
        <v>4103</v>
      </c>
      <c r="D26" s="2324" t="s">
        <v>4104</v>
      </c>
      <c r="E26" s="2166" t="s">
        <v>4105</v>
      </c>
      <c r="F26" s="2166" t="s">
        <v>4106</v>
      </c>
      <c r="G26" s="2167">
        <v>42677</v>
      </c>
      <c r="H26" s="2168">
        <v>42703</v>
      </c>
      <c r="I26" s="2169">
        <v>42718</v>
      </c>
      <c r="J26" s="2314">
        <v>211</v>
      </c>
      <c r="K26" s="2315">
        <v>217</v>
      </c>
      <c r="L26" s="2315">
        <v>39</v>
      </c>
      <c r="M26" s="2315">
        <v>22</v>
      </c>
      <c r="N26" s="2315">
        <v>38</v>
      </c>
      <c r="O26" s="2316">
        <v>0.17760000000000001</v>
      </c>
      <c r="P26" s="2317">
        <v>431.81</v>
      </c>
      <c r="Q26" s="2317">
        <v>838.86</v>
      </c>
      <c r="R26" s="2317">
        <v>1100.73</v>
      </c>
      <c r="S26" s="2317">
        <v>866.48</v>
      </c>
      <c r="T26" s="2317">
        <v>599.28</v>
      </c>
      <c r="U26" s="2317">
        <v>816.89</v>
      </c>
      <c r="V26" s="2318">
        <v>773.25</v>
      </c>
      <c r="W26" s="2319">
        <v>55</v>
      </c>
      <c r="X26" s="2320">
        <v>5427.3</v>
      </c>
      <c r="Y26" s="2320">
        <v>7027.5</v>
      </c>
      <c r="Z26" s="2321">
        <v>0.6966</v>
      </c>
      <c r="AA26" s="2322">
        <v>0.97260000000000002</v>
      </c>
    </row>
    <row r="27" spans="2:27">
      <c r="B27" s="2350" t="s">
        <v>1157</v>
      </c>
      <c r="C27" s="2326" t="s">
        <v>4099</v>
      </c>
      <c r="D27" s="2324" t="s">
        <v>4100</v>
      </c>
      <c r="E27" s="2166" t="s">
        <v>2720</v>
      </c>
      <c r="F27" s="2166" t="s">
        <v>2721</v>
      </c>
      <c r="G27" s="2167">
        <v>42670</v>
      </c>
      <c r="H27" s="2168">
        <v>42671</v>
      </c>
      <c r="I27" s="2169">
        <v>42688</v>
      </c>
      <c r="J27" s="2314">
        <v>95</v>
      </c>
      <c r="K27" s="2315">
        <v>81</v>
      </c>
      <c r="L27" s="2315">
        <v>10</v>
      </c>
      <c r="M27" s="2315">
        <v>19</v>
      </c>
      <c r="N27" s="2315">
        <v>19</v>
      </c>
      <c r="O27" s="2316">
        <v>0.21590000000000001</v>
      </c>
      <c r="P27" s="2317">
        <v>392.34</v>
      </c>
      <c r="Q27" s="2317">
        <v>660.55</v>
      </c>
      <c r="R27" s="2317">
        <v>1003.8</v>
      </c>
      <c r="S27" s="2317">
        <v>851.45</v>
      </c>
      <c r="T27" s="2317">
        <v>538.12</v>
      </c>
      <c r="U27" s="2317">
        <v>856.45</v>
      </c>
      <c r="V27" s="2318">
        <v>769.37</v>
      </c>
      <c r="W27" s="2319">
        <v>40</v>
      </c>
      <c r="X27" s="2320">
        <v>5072.07</v>
      </c>
      <c r="Y27" s="2320">
        <v>8066.76</v>
      </c>
      <c r="Z27" s="2321">
        <v>0.70669999999999999</v>
      </c>
      <c r="AA27" s="2322">
        <v>0.87929999999999997</v>
      </c>
    </row>
    <row r="28" spans="2:27">
      <c r="B28" s="2350" t="s">
        <v>4236</v>
      </c>
      <c r="C28" s="2326" t="s">
        <v>4258</v>
      </c>
      <c r="D28" s="2324" t="s">
        <v>4341</v>
      </c>
      <c r="E28" s="2166" t="s">
        <v>4259</v>
      </c>
      <c r="F28" s="2166" t="s">
        <v>4260</v>
      </c>
      <c r="G28" s="2167">
        <v>42888</v>
      </c>
      <c r="H28" s="2168">
        <v>42909</v>
      </c>
      <c r="I28" s="2169">
        <v>42927</v>
      </c>
      <c r="J28" s="2314">
        <v>207</v>
      </c>
      <c r="K28" s="2315">
        <v>210</v>
      </c>
      <c r="L28" s="2315">
        <v>44</v>
      </c>
      <c r="M28" s="2315">
        <v>29</v>
      </c>
      <c r="N28" s="2315">
        <v>47</v>
      </c>
      <c r="O28" s="2316">
        <v>0.22539999999999999</v>
      </c>
      <c r="P28" s="2317">
        <v>0</v>
      </c>
      <c r="Q28" s="2317">
        <v>0</v>
      </c>
      <c r="R28" s="2317">
        <v>0</v>
      </c>
      <c r="S28" s="2317">
        <v>0</v>
      </c>
      <c r="T28" s="2317">
        <v>0</v>
      </c>
      <c r="U28" s="2317">
        <v>729.92</v>
      </c>
      <c r="V28" s="2318">
        <v>753.34</v>
      </c>
      <c r="W28" s="2319">
        <v>58</v>
      </c>
      <c r="X28" s="2320">
        <v>1483.26</v>
      </c>
      <c r="Y28" s="2320">
        <v>1483.26</v>
      </c>
      <c r="Z28" s="2321">
        <v>1.0801000000000001</v>
      </c>
      <c r="AA28" s="2322">
        <v>1.0003</v>
      </c>
    </row>
    <row r="29" spans="2:27">
      <c r="B29" s="2350" t="s">
        <v>4235</v>
      </c>
      <c r="C29" s="2326" t="s">
        <v>4101</v>
      </c>
      <c r="D29" s="2324" t="s">
        <v>4102</v>
      </c>
      <c r="E29" s="2166" t="s">
        <v>3197</v>
      </c>
      <c r="F29" s="2166" t="s">
        <v>3198</v>
      </c>
      <c r="G29" s="2167">
        <v>42660</v>
      </c>
      <c r="H29" s="2168">
        <v>42699</v>
      </c>
      <c r="I29" s="2169">
        <v>42703</v>
      </c>
      <c r="J29" s="2314">
        <v>309</v>
      </c>
      <c r="K29" s="2315">
        <v>262</v>
      </c>
      <c r="L29" s="2315">
        <v>23</v>
      </c>
      <c r="M29" s="2315">
        <v>40</v>
      </c>
      <c r="N29" s="2315">
        <v>42</v>
      </c>
      <c r="O29" s="2316">
        <v>0.14710000000000001</v>
      </c>
      <c r="P29" s="2317">
        <v>512.09</v>
      </c>
      <c r="Q29" s="2317">
        <v>813.2</v>
      </c>
      <c r="R29" s="2317">
        <v>1464.65</v>
      </c>
      <c r="S29" s="2317">
        <v>1108.28</v>
      </c>
      <c r="T29" s="2317">
        <v>634.61</v>
      </c>
      <c r="U29" s="2317">
        <v>1553.72</v>
      </c>
      <c r="V29" s="2318">
        <v>693.11</v>
      </c>
      <c r="W29" s="2319">
        <v>53</v>
      </c>
      <c r="X29" s="2320">
        <v>6779.65</v>
      </c>
      <c r="Y29" s="2320">
        <v>9243.4599999999991</v>
      </c>
      <c r="Z29" s="2321">
        <v>0.90410000000000001</v>
      </c>
      <c r="AA29" s="2322">
        <v>0.99490000000000001</v>
      </c>
    </row>
    <row r="30" spans="2:27">
      <c r="B30" s="2350" t="s">
        <v>4234</v>
      </c>
      <c r="C30" s="2326" t="s">
        <v>4085</v>
      </c>
      <c r="D30" s="2324" t="s">
        <v>4342</v>
      </c>
      <c r="E30" s="2166" t="s">
        <v>2913</v>
      </c>
      <c r="F30" s="2166" t="s">
        <v>2914</v>
      </c>
      <c r="G30" s="2167">
        <v>42632</v>
      </c>
      <c r="H30" s="2170">
        <v>42643</v>
      </c>
      <c r="I30" s="2171">
        <v>42643</v>
      </c>
      <c r="J30" s="2314">
        <v>172</v>
      </c>
      <c r="K30" s="2315">
        <v>135</v>
      </c>
      <c r="L30" s="2315">
        <v>18</v>
      </c>
      <c r="M30" s="2315">
        <v>23</v>
      </c>
      <c r="N30" s="2315">
        <v>28</v>
      </c>
      <c r="O30" s="2316">
        <v>0.18240000000000001</v>
      </c>
      <c r="P30" s="2317">
        <v>191.65</v>
      </c>
      <c r="Q30" s="2317">
        <v>552.74</v>
      </c>
      <c r="R30" s="2317">
        <v>1072.69</v>
      </c>
      <c r="S30" s="2317">
        <v>379.17</v>
      </c>
      <c r="T30" s="2317">
        <v>592.48</v>
      </c>
      <c r="U30" s="2317">
        <v>686.63</v>
      </c>
      <c r="V30" s="2318">
        <v>684.28</v>
      </c>
      <c r="W30" s="2319">
        <v>49</v>
      </c>
      <c r="X30" s="2320">
        <v>4159.63</v>
      </c>
      <c r="Y30" s="2320">
        <v>6712.2</v>
      </c>
      <c r="Z30" s="2321">
        <v>0.85809999999999997</v>
      </c>
      <c r="AA30" s="2322">
        <v>0.97840000000000005</v>
      </c>
    </row>
    <row r="31" spans="2:27">
      <c r="B31" s="2350" t="s">
        <v>1157</v>
      </c>
      <c r="C31" s="2326" t="s">
        <v>4238</v>
      </c>
      <c r="D31" s="2324" t="s">
        <v>4239</v>
      </c>
      <c r="E31" s="2166" t="s">
        <v>457</v>
      </c>
      <c r="F31" s="2166" t="s">
        <v>453</v>
      </c>
      <c r="G31" s="2167">
        <v>42797</v>
      </c>
      <c r="H31" s="2170">
        <v>42821</v>
      </c>
      <c r="I31" s="2171">
        <v>42838</v>
      </c>
      <c r="J31" s="2314">
        <v>134</v>
      </c>
      <c r="K31" s="2315">
        <v>123</v>
      </c>
      <c r="L31" s="2315">
        <v>4</v>
      </c>
      <c r="M31" s="2315">
        <v>31</v>
      </c>
      <c r="N31" s="2315">
        <v>19</v>
      </c>
      <c r="O31" s="2316">
        <v>0.1479</v>
      </c>
      <c r="P31" s="2317">
        <v>0</v>
      </c>
      <c r="Q31" s="2317">
        <v>0</v>
      </c>
      <c r="R31" s="2317">
        <v>206.93</v>
      </c>
      <c r="S31" s="2317">
        <v>1083.28</v>
      </c>
      <c r="T31" s="2317">
        <v>1647.46</v>
      </c>
      <c r="U31" s="2317">
        <v>1064.32</v>
      </c>
      <c r="V31" s="2318">
        <v>615.70000000000005</v>
      </c>
      <c r="W31" s="2319">
        <v>33</v>
      </c>
      <c r="X31" s="2320">
        <v>4617.7</v>
      </c>
      <c r="Y31" s="2320">
        <v>4617.7</v>
      </c>
      <c r="Z31" s="2321">
        <v>0.81799999999999995</v>
      </c>
      <c r="AA31" s="2322">
        <v>0.9</v>
      </c>
    </row>
    <row r="32" spans="2:27">
      <c r="B32" s="2350" t="s">
        <v>4244</v>
      </c>
      <c r="C32" s="2326" t="s">
        <v>4253</v>
      </c>
      <c r="D32" s="2324" t="s">
        <v>4343</v>
      </c>
      <c r="E32" s="2166" t="s">
        <v>4254</v>
      </c>
      <c r="F32" s="2166" t="s">
        <v>4255</v>
      </c>
      <c r="G32" s="2167">
        <v>42807</v>
      </c>
      <c r="H32" s="2170">
        <v>42874</v>
      </c>
      <c r="I32" s="2171">
        <v>42885</v>
      </c>
      <c r="J32" s="2314">
        <v>137</v>
      </c>
      <c r="K32" s="2315">
        <v>124</v>
      </c>
      <c r="L32" s="2315">
        <v>15</v>
      </c>
      <c r="M32" s="2315">
        <v>33</v>
      </c>
      <c r="N32" s="2315">
        <v>17</v>
      </c>
      <c r="O32" s="2316">
        <v>0.1303</v>
      </c>
      <c r="P32" s="2317">
        <v>0</v>
      </c>
      <c r="Q32" s="2317">
        <v>0</v>
      </c>
      <c r="R32" s="2317">
        <v>0</v>
      </c>
      <c r="S32" s="2317">
        <v>0</v>
      </c>
      <c r="T32" s="2317">
        <v>768.93</v>
      </c>
      <c r="U32" s="2317">
        <v>629.59</v>
      </c>
      <c r="V32" s="2318">
        <v>598.63</v>
      </c>
      <c r="W32" s="2319">
        <v>36</v>
      </c>
      <c r="X32" s="2320">
        <v>1997.14</v>
      </c>
      <c r="Y32" s="2320">
        <v>1997.14</v>
      </c>
      <c r="Z32" s="2321">
        <v>0.86880000000000002</v>
      </c>
      <c r="AA32" s="2322">
        <v>0.97119999999999995</v>
      </c>
    </row>
    <row r="33" spans="2:27">
      <c r="B33" s="2350" t="s">
        <v>1157</v>
      </c>
      <c r="C33" s="2326" t="s">
        <v>4344</v>
      </c>
      <c r="D33" s="2324" t="s">
        <v>4345</v>
      </c>
      <c r="E33" s="2166" t="s">
        <v>1878</v>
      </c>
      <c r="F33" s="2166" t="s">
        <v>1879</v>
      </c>
      <c r="G33" s="2167">
        <v>42906</v>
      </c>
      <c r="H33" s="2170">
        <v>42940</v>
      </c>
      <c r="I33" s="2171"/>
      <c r="J33" s="2314">
        <v>65</v>
      </c>
      <c r="K33" s="2315">
        <v>69</v>
      </c>
      <c r="L33" s="2315">
        <v>17</v>
      </c>
      <c r="M33" s="2315">
        <v>14</v>
      </c>
      <c r="N33" s="2315">
        <v>17</v>
      </c>
      <c r="O33" s="2316">
        <v>0.25369999999999998</v>
      </c>
      <c r="P33" s="2317">
        <v>0</v>
      </c>
      <c r="Q33" s="2317">
        <v>0</v>
      </c>
      <c r="R33" s="2317">
        <v>0</v>
      </c>
      <c r="S33" s="2317">
        <v>0</v>
      </c>
      <c r="T33" s="2317">
        <v>0</v>
      </c>
      <c r="U33" s="2317">
        <v>0</v>
      </c>
      <c r="V33" s="2318">
        <v>543.29999999999995</v>
      </c>
      <c r="W33" s="2319">
        <v>26</v>
      </c>
      <c r="X33" s="2320">
        <v>543.29999999999995</v>
      </c>
      <c r="Y33" s="2320">
        <v>543.29999999999995</v>
      </c>
      <c r="Z33" s="2321">
        <v>0.77090000000000003</v>
      </c>
      <c r="AA33" s="2322">
        <v>0.86829999999999996</v>
      </c>
    </row>
    <row r="34" spans="2:27">
      <c r="B34" s="2350" t="s">
        <v>792</v>
      </c>
      <c r="C34" s="2326" t="s">
        <v>4118</v>
      </c>
      <c r="D34" s="2324" t="s">
        <v>4119</v>
      </c>
      <c r="E34" s="2166" t="s">
        <v>911</v>
      </c>
      <c r="F34" s="2166" t="s">
        <v>912</v>
      </c>
      <c r="G34" s="2167">
        <v>42706</v>
      </c>
      <c r="H34" s="2168">
        <v>42727</v>
      </c>
      <c r="I34" s="2169">
        <v>42727</v>
      </c>
      <c r="J34" s="2314">
        <v>59</v>
      </c>
      <c r="K34" s="2315">
        <v>59</v>
      </c>
      <c r="L34" s="2315">
        <v>7</v>
      </c>
      <c r="M34" s="2315">
        <v>16</v>
      </c>
      <c r="N34" s="2315">
        <v>12</v>
      </c>
      <c r="O34" s="2316">
        <v>0.2034</v>
      </c>
      <c r="P34" s="2317">
        <v>227.64</v>
      </c>
      <c r="Q34" s="2317">
        <v>376.09</v>
      </c>
      <c r="R34" s="2317">
        <v>612.22</v>
      </c>
      <c r="S34" s="2317">
        <v>653.36</v>
      </c>
      <c r="T34" s="2317">
        <v>1117.92</v>
      </c>
      <c r="U34" s="2317">
        <v>484.07</v>
      </c>
      <c r="V34" s="2318">
        <v>465.28</v>
      </c>
      <c r="W34" s="2319">
        <v>25</v>
      </c>
      <c r="X34" s="2320">
        <v>3936.57</v>
      </c>
      <c r="Y34" s="2320">
        <v>4980.79</v>
      </c>
      <c r="Z34" s="2321">
        <v>0.80089999999999995</v>
      </c>
      <c r="AA34" s="2322">
        <v>0.9022</v>
      </c>
    </row>
    <row r="35" spans="2:27">
      <c r="B35" s="2350" t="s">
        <v>1157</v>
      </c>
      <c r="C35" s="2326" t="s">
        <v>4086</v>
      </c>
      <c r="D35" s="2324" t="s">
        <v>4087</v>
      </c>
      <c r="E35" s="2166" t="s">
        <v>4088</v>
      </c>
      <c r="F35" s="2166" t="s">
        <v>3523</v>
      </c>
      <c r="G35" s="2167">
        <v>42671</v>
      </c>
      <c r="H35" s="2168">
        <v>42677</v>
      </c>
      <c r="I35" s="2169">
        <v>42704</v>
      </c>
      <c r="J35" s="2314">
        <v>120</v>
      </c>
      <c r="K35" s="2315">
        <v>118</v>
      </c>
      <c r="L35" s="2315">
        <v>13</v>
      </c>
      <c r="M35" s="2315">
        <v>19</v>
      </c>
      <c r="N35" s="2315">
        <v>20</v>
      </c>
      <c r="O35" s="2316">
        <v>0.1681</v>
      </c>
      <c r="P35" s="2317">
        <v>74.92</v>
      </c>
      <c r="Q35" s="2317">
        <v>273.14</v>
      </c>
      <c r="R35" s="2317">
        <v>877.75</v>
      </c>
      <c r="S35" s="2317">
        <v>427.43</v>
      </c>
      <c r="T35" s="2317">
        <v>843.87</v>
      </c>
      <c r="U35" s="2317">
        <v>388.63</v>
      </c>
      <c r="V35" s="2318">
        <v>389.29</v>
      </c>
      <c r="W35" s="2319">
        <v>30</v>
      </c>
      <c r="X35" s="2320">
        <v>3275.04</v>
      </c>
      <c r="Y35" s="2320">
        <v>4013.1</v>
      </c>
      <c r="Z35" s="2321">
        <v>1</v>
      </c>
      <c r="AA35" s="2322">
        <v>0.99460000000000004</v>
      </c>
    </row>
    <row r="36" spans="2:27">
      <c r="B36" s="2350" t="s">
        <v>792</v>
      </c>
      <c r="C36" s="2326" t="s">
        <v>4111</v>
      </c>
      <c r="D36" s="2324" t="s">
        <v>4112</v>
      </c>
      <c r="E36" s="2166" t="s">
        <v>807</v>
      </c>
      <c r="F36" s="2166" t="s">
        <v>808</v>
      </c>
      <c r="G36" s="2167">
        <v>42543</v>
      </c>
      <c r="H36" s="2168">
        <v>42556</v>
      </c>
      <c r="I36" s="2169">
        <v>42573</v>
      </c>
      <c r="J36" s="2314">
        <v>64</v>
      </c>
      <c r="K36" s="2315">
        <v>61</v>
      </c>
      <c r="L36" s="2315">
        <v>3</v>
      </c>
      <c r="M36" s="2315">
        <v>14</v>
      </c>
      <c r="N36" s="2315">
        <v>9</v>
      </c>
      <c r="O36" s="2316">
        <v>0.14399999999999999</v>
      </c>
      <c r="P36" s="2317">
        <v>258.13</v>
      </c>
      <c r="Q36" s="2317">
        <v>332.62</v>
      </c>
      <c r="R36" s="2317">
        <v>372.82</v>
      </c>
      <c r="S36" s="2317">
        <v>715.87</v>
      </c>
      <c r="T36" s="2317">
        <v>5712.03</v>
      </c>
      <c r="U36" s="2317">
        <v>491.82</v>
      </c>
      <c r="V36" s="2318">
        <v>383.24</v>
      </c>
      <c r="W36" s="2319">
        <v>16</v>
      </c>
      <c r="X36" s="2320">
        <v>8266.5400000000009</v>
      </c>
      <c r="Y36" s="2320">
        <v>16377.07</v>
      </c>
      <c r="Z36" s="2321">
        <v>0.63260000000000005</v>
      </c>
      <c r="AA36" s="2322">
        <v>0.80049999999999999</v>
      </c>
    </row>
    <row r="37" spans="2:27">
      <c r="B37" s="2351" t="s">
        <v>4235</v>
      </c>
      <c r="C37" s="2327" t="s">
        <v>4107</v>
      </c>
      <c r="D37" s="2328" t="s">
        <v>4108</v>
      </c>
      <c r="E37" s="2329" t="s">
        <v>4109</v>
      </c>
      <c r="F37" s="2329" t="s">
        <v>4110</v>
      </c>
      <c r="G37" s="2330">
        <v>42723</v>
      </c>
      <c r="H37" s="2365">
        <v>42733</v>
      </c>
      <c r="I37" s="2366">
        <v>42733</v>
      </c>
      <c r="J37" s="2331">
        <v>228</v>
      </c>
      <c r="K37" s="2332">
        <v>189</v>
      </c>
      <c r="L37" s="2332">
        <v>9</v>
      </c>
      <c r="M37" s="2332">
        <v>33</v>
      </c>
      <c r="N37" s="2332">
        <v>25</v>
      </c>
      <c r="O37" s="2333">
        <v>0.11990000000000001</v>
      </c>
      <c r="P37" s="2334">
        <v>362.86</v>
      </c>
      <c r="Q37" s="2334">
        <v>667.52</v>
      </c>
      <c r="R37" s="2334">
        <v>1282.8699999999999</v>
      </c>
      <c r="S37" s="2334">
        <v>1087.77</v>
      </c>
      <c r="T37" s="2334">
        <v>664.81</v>
      </c>
      <c r="U37" s="2334">
        <v>991.97</v>
      </c>
      <c r="V37" s="2354">
        <v>372.82</v>
      </c>
      <c r="W37" s="2335">
        <v>30</v>
      </c>
      <c r="X37" s="2336">
        <v>5430.62</v>
      </c>
      <c r="Y37" s="2336">
        <v>6150.2</v>
      </c>
      <c r="Z37" s="2337"/>
      <c r="AA37" s="2338">
        <v>0.98270000000000002</v>
      </c>
    </row>
    <row r="38" spans="2:27" ht="13.5" thickBot="1">
      <c r="B38" s="2352"/>
      <c r="C38" s="2339" t="s">
        <v>4126</v>
      </c>
      <c r="D38" s="2340"/>
      <c r="E38" s="2340"/>
      <c r="F38" s="2340"/>
      <c r="G38" s="2340"/>
      <c r="H38" s="2340"/>
      <c r="I38" s="2340"/>
      <c r="J38" s="2341">
        <f>SUM(J9:J37)</f>
        <v>5093</v>
      </c>
      <c r="K38" s="2342">
        <f>SUM(K9:K37)</f>
        <v>4964</v>
      </c>
      <c r="L38" s="2342">
        <f>SUM(L9:L37)</f>
        <v>737</v>
      </c>
      <c r="M38" s="2342">
        <f>SUM(M9:M37)</f>
        <v>777</v>
      </c>
      <c r="N38" s="2342">
        <f>SUM(N9:N37)</f>
        <v>1079</v>
      </c>
      <c r="O38" s="2343">
        <f>N38/AVERAGE(J38,K38)</f>
        <v>0.214576911603858</v>
      </c>
      <c r="P38" s="2344">
        <f t="shared" ref="P38:Y38" si="0">SUM(P9:P37)</f>
        <v>14698.73</v>
      </c>
      <c r="Q38" s="2344">
        <f t="shared" si="0"/>
        <v>24103.040000000005</v>
      </c>
      <c r="R38" s="2344">
        <f t="shared" si="0"/>
        <v>33330.359999999993</v>
      </c>
      <c r="S38" s="2344"/>
      <c r="T38" s="2344"/>
      <c r="U38" s="2344"/>
      <c r="V38" s="2345">
        <f t="shared" si="0"/>
        <v>34185.659999999996</v>
      </c>
      <c r="W38" s="2345">
        <f t="shared" si="0"/>
        <v>2003</v>
      </c>
      <c r="X38" s="2346">
        <f t="shared" si="0"/>
        <v>215533.94000000006</v>
      </c>
      <c r="Y38" s="2346">
        <f t="shared" si="0"/>
        <v>295942.05000000005</v>
      </c>
      <c r="Z38" s="2347"/>
      <c r="AA38" s="2348"/>
    </row>
    <row r="39" spans="2:27" ht="5.25" customHeight="1"/>
    <row r="40" spans="2:27">
      <c r="C40" s="2172" t="s">
        <v>4187</v>
      </c>
      <c r="P40" s="2174" t="s">
        <v>4192</v>
      </c>
      <c r="Q40" s="263" t="s">
        <v>4193</v>
      </c>
      <c r="R40" s="2173" t="s">
        <v>4191</v>
      </c>
    </row>
    <row r="41" spans="2:27">
      <c r="C41" s="2285" t="s">
        <v>4190</v>
      </c>
    </row>
  </sheetData>
  <sortState ref="B9:AA34">
    <sortCondition descending="1" ref="V9:V34"/>
  </sortState>
  <conditionalFormatting sqref="V9:V12 V15:V37">
    <cfRule type="iconSet" priority="8">
      <iconSet iconSet="3Flags">
        <cfvo type="percent" val="0"/>
        <cfvo type="num" val="500"/>
        <cfvo type="num" val="1000"/>
      </iconSet>
    </cfRule>
  </conditionalFormatting>
  <conditionalFormatting sqref="V19:V22">
    <cfRule type="iconSet" priority="6">
      <iconSet iconSet="3Flags">
        <cfvo type="percent" val="0"/>
        <cfvo type="num" val="500"/>
        <cfvo type="num" val="1000"/>
      </iconSet>
    </cfRule>
  </conditionalFormatting>
  <conditionalFormatting sqref="V18">
    <cfRule type="iconSet" priority="5">
      <iconSet iconSet="3Flags">
        <cfvo type="percent" val="0"/>
        <cfvo type="num" val="500"/>
        <cfvo type="num" val="1000"/>
      </iconSet>
    </cfRule>
  </conditionalFormatting>
  <conditionalFormatting sqref="V34">
    <cfRule type="iconSet" priority="4">
      <iconSet iconSet="3Flags">
        <cfvo type="percent" val="0"/>
        <cfvo type="num" val="500"/>
        <cfvo type="num" val="1000"/>
      </iconSet>
    </cfRule>
  </conditionalFormatting>
  <conditionalFormatting sqref="V29">
    <cfRule type="iconSet" priority="3">
      <iconSet iconSet="3Flags">
        <cfvo type="percent" val="0"/>
        <cfvo type="num" val="500"/>
        <cfvo type="num" val="1000"/>
      </iconSet>
    </cfRule>
  </conditionalFormatting>
  <conditionalFormatting sqref="V22">
    <cfRule type="iconSet" priority="2">
      <iconSet iconSet="3Flags">
        <cfvo type="percent" val="0"/>
        <cfvo type="num" val="500"/>
        <cfvo type="num" val="1000"/>
      </iconSet>
    </cfRule>
  </conditionalFormatting>
  <conditionalFormatting sqref="V13:V14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W25"/>
  <sheetViews>
    <sheetView showGridLines="0" zoomScale="85" zoomScaleNormal="85" workbookViewId="0">
      <selection activeCell="V5" sqref="V5"/>
    </sheetView>
  </sheetViews>
  <sheetFormatPr defaultRowHeight="12.75" outlineLevelCol="1"/>
  <cols>
    <col min="1" max="1" width="1.7109375" customWidth="1"/>
    <col min="3" max="3" width="35.28515625" bestFit="1" customWidth="1"/>
    <col min="4" max="4" width="0" hidden="1" customWidth="1" outlineLevel="1"/>
    <col min="5" max="6" width="9.140625" hidden="1" customWidth="1" outlineLevel="1"/>
    <col min="7" max="7" width="9.140625" customWidth="1" collapsed="1"/>
    <col min="8" max="15" width="9.140625" customWidth="1" outlineLevel="1"/>
  </cols>
  <sheetData>
    <row r="2" spans="2:23" ht="15.75">
      <c r="B2" s="2131" t="s">
        <v>4170</v>
      </c>
    </row>
    <row r="4" spans="2:23">
      <c r="B4" s="2076" t="s">
        <v>4265</v>
      </c>
    </row>
    <row r="5" spans="2:23" ht="15">
      <c r="B5" s="2133" t="s">
        <v>4144</v>
      </c>
      <c r="C5" s="2133" t="s">
        <v>4145</v>
      </c>
      <c r="D5" s="2132">
        <v>42400</v>
      </c>
      <c r="E5" s="2132">
        <v>42429</v>
      </c>
      <c r="F5" s="2132">
        <v>42460</v>
      </c>
      <c r="G5" s="2132">
        <v>42490</v>
      </c>
      <c r="H5" s="2132">
        <v>42521</v>
      </c>
      <c r="I5" s="2132">
        <v>42551</v>
      </c>
      <c r="J5" s="2132">
        <v>42582</v>
      </c>
      <c r="K5" s="2132">
        <v>42613</v>
      </c>
      <c r="L5" s="2132">
        <v>42643</v>
      </c>
      <c r="M5" s="2132">
        <v>42674</v>
      </c>
      <c r="N5" s="2132">
        <v>42704</v>
      </c>
      <c r="O5" s="2132">
        <v>42735</v>
      </c>
      <c r="P5" s="2132">
        <v>42766</v>
      </c>
      <c r="Q5" s="2132">
        <v>42794</v>
      </c>
      <c r="R5" s="2132">
        <v>42825</v>
      </c>
      <c r="S5" s="2132">
        <v>42855</v>
      </c>
      <c r="T5" s="2132">
        <v>42886</v>
      </c>
      <c r="U5" s="2132">
        <v>42916</v>
      </c>
      <c r="V5" s="2132">
        <v>42917</v>
      </c>
      <c r="W5" s="2132" t="s">
        <v>49</v>
      </c>
    </row>
    <row r="6" spans="2:23" ht="15">
      <c r="B6" s="847" t="s">
        <v>4146</v>
      </c>
      <c r="C6" s="2130"/>
      <c r="D6" s="2130"/>
      <c r="E6" s="2130"/>
      <c r="F6" s="2130"/>
      <c r="G6" s="2130"/>
      <c r="H6" s="2130"/>
      <c r="I6" s="2130"/>
      <c r="J6" s="2130"/>
      <c r="K6" s="2130"/>
      <c r="L6" s="2130"/>
      <c r="M6" s="2130"/>
      <c r="N6" s="2130"/>
      <c r="O6" s="2130"/>
      <c r="P6" s="2130"/>
      <c r="Q6" s="2130"/>
      <c r="R6" s="2130"/>
      <c r="S6" s="2130"/>
      <c r="T6" s="2130"/>
      <c r="U6" s="2130"/>
      <c r="W6" s="2130"/>
    </row>
    <row r="7" spans="2:23" ht="15">
      <c r="B7" s="2286" t="s">
        <v>4210</v>
      </c>
      <c r="C7" s="2287" t="s">
        <v>4211</v>
      </c>
      <c r="D7" s="2370">
        <v>0</v>
      </c>
      <c r="E7" s="2370">
        <v>0</v>
      </c>
      <c r="F7" s="2370">
        <v>0</v>
      </c>
      <c r="G7" s="2370">
        <v>0</v>
      </c>
      <c r="H7" s="2370">
        <v>0</v>
      </c>
      <c r="I7" s="2370">
        <v>0</v>
      </c>
      <c r="J7" s="2370">
        <v>0</v>
      </c>
      <c r="K7" s="2370">
        <v>0</v>
      </c>
      <c r="L7" s="2370">
        <v>0</v>
      </c>
      <c r="M7" s="2370">
        <v>0</v>
      </c>
      <c r="N7" s="2370">
        <v>0</v>
      </c>
      <c r="O7" s="2370">
        <v>0</v>
      </c>
      <c r="P7" s="2371">
        <v>0</v>
      </c>
      <c r="Q7" s="2371">
        <v>0</v>
      </c>
      <c r="R7" s="2367">
        <v>0.10641230533996768</v>
      </c>
      <c r="S7" s="2368">
        <v>0.41047055708497887</v>
      </c>
      <c r="T7" s="2368">
        <v>0.55532337647696761</v>
      </c>
      <c r="U7" s="2369">
        <v>0.70969505448765668</v>
      </c>
      <c r="V7" s="2369">
        <v>0.66300455782853251</v>
      </c>
      <c r="W7" s="2369">
        <v>0.16161243685273258</v>
      </c>
    </row>
    <row r="8" spans="2:23" ht="14.25">
      <c r="B8" s="2128" t="s">
        <v>4152</v>
      </c>
      <c r="C8" s="2129" t="s">
        <v>4153</v>
      </c>
      <c r="D8" s="2370">
        <v>5.6446246519687E-2</v>
      </c>
      <c r="E8" s="2370">
        <v>4.5237554682740426E-2</v>
      </c>
      <c r="F8" s="2370">
        <v>4.9555469371022662E-2</v>
      </c>
      <c r="G8" s="2370">
        <v>9.108335243564443E-2</v>
      </c>
      <c r="H8" s="2370">
        <v>5.164493877710355E-2</v>
      </c>
      <c r="I8" s="2370">
        <v>4.1701152565331176E-2</v>
      </c>
      <c r="J8" s="2370">
        <v>7.6537833318861714E-2</v>
      </c>
      <c r="K8" s="2370">
        <v>6.8261778592992484E-2</v>
      </c>
      <c r="L8" s="2370">
        <v>6.4436151138658929E-2</v>
      </c>
      <c r="M8" s="2370">
        <v>6.7270207803377433E-2</v>
      </c>
      <c r="N8" s="2370">
        <v>0.11050157140667546</v>
      </c>
      <c r="O8" s="2370">
        <v>0.11013376693733599</v>
      </c>
      <c r="P8" s="2371">
        <v>6.2694124014087901E-2</v>
      </c>
      <c r="Q8" s="2371">
        <v>6.9819378755618139E-2</v>
      </c>
      <c r="R8" s="2371">
        <v>5.4989507599633287E-2</v>
      </c>
      <c r="S8" s="2372">
        <v>6.4691585557426198E-2</v>
      </c>
      <c r="T8" s="2372">
        <v>0.20948094392935773</v>
      </c>
      <c r="U8" s="2370">
        <v>7.7106151438855672E-2</v>
      </c>
      <c r="V8" s="2370">
        <v>9.0684994560987095E-2</v>
      </c>
      <c r="W8" s="2370">
        <v>8.3701993607146308E-2</v>
      </c>
    </row>
    <row r="9" spans="2:23" ht="14.25">
      <c r="B9" s="2128" t="s">
        <v>4151</v>
      </c>
      <c r="C9" s="2129" t="s">
        <v>381</v>
      </c>
      <c r="D9" s="2370">
        <v>0.14346495657324942</v>
      </c>
      <c r="E9" s="2370">
        <v>0.108364922803976</v>
      </c>
      <c r="F9" s="2370">
        <v>0.11813516354490217</v>
      </c>
      <c r="G9" s="2370">
        <v>7.091040430993531E-2</v>
      </c>
      <c r="H9" s="2370">
        <v>0.11203763951900869</v>
      </c>
      <c r="I9" s="2370">
        <v>0.10424772364612178</v>
      </c>
      <c r="J9" s="2370">
        <v>9.1129551553008545E-2</v>
      </c>
      <c r="K9" s="2370">
        <v>9.872223980665891E-2</v>
      </c>
      <c r="L9" s="2370">
        <v>8.1179918723030375E-2</v>
      </c>
      <c r="M9" s="2370">
        <v>6.3933610441726685E-2</v>
      </c>
      <c r="N9" s="2370">
        <v>6.3855381004460532E-2</v>
      </c>
      <c r="O9" s="2370">
        <v>5.630077753130501E-2</v>
      </c>
      <c r="P9" s="2371">
        <v>6.0121026752774955E-2</v>
      </c>
      <c r="Q9" s="2371">
        <v>5.8345976831019934E-2</v>
      </c>
      <c r="R9" s="2371">
        <v>5.6894906928611495E-2</v>
      </c>
      <c r="S9" s="2372">
        <v>5.1889219423753311E-2</v>
      </c>
      <c r="T9" s="2372">
        <v>6.7859023854187753E-2</v>
      </c>
      <c r="U9" s="2370">
        <v>4.6696954247394229E-2</v>
      </c>
      <c r="V9" s="2370">
        <v>6.2871197122015832E-2</v>
      </c>
      <c r="W9" s="2370">
        <v>7.2262754838028978E-2</v>
      </c>
    </row>
    <row r="10" spans="2:23" ht="14.25">
      <c r="B10" s="2128" t="s">
        <v>4149</v>
      </c>
      <c r="C10" s="2129" t="s">
        <v>4150</v>
      </c>
      <c r="D10" s="2370">
        <v>-6.2002050896984922E-4</v>
      </c>
      <c r="E10" s="2370">
        <v>2.6852145159265595E-2</v>
      </c>
      <c r="F10" s="2370">
        <v>4.1917070990631411E-2</v>
      </c>
      <c r="G10" s="2370">
        <v>0.1138836828270112</v>
      </c>
      <c r="H10" s="2370">
        <v>3.0678242545243165E-2</v>
      </c>
      <c r="I10" s="2370">
        <v>4.2281739298700216E-2</v>
      </c>
      <c r="J10" s="2370">
        <v>4.4056634810679653E-2</v>
      </c>
      <c r="K10" s="2370">
        <v>4.7523371003371742E-2</v>
      </c>
      <c r="L10" s="2370">
        <v>6.5473522159592429E-2</v>
      </c>
      <c r="M10" s="2370">
        <v>0.10654802433892964</v>
      </c>
      <c r="N10" s="2370">
        <v>0.18026205665051917</v>
      </c>
      <c r="O10" s="2370">
        <v>0.1743772484425653</v>
      </c>
      <c r="P10" s="2371">
        <v>0.15835435703371972</v>
      </c>
      <c r="Q10" s="2371">
        <v>0.19366697062495344</v>
      </c>
      <c r="R10" s="2371">
        <v>6.4249291794582788E-2</v>
      </c>
      <c r="S10" s="2372">
        <v>2.5462246799750243E-3</v>
      </c>
      <c r="T10" s="2372">
        <v>8.9700487608681771E-3</v>
      </c>
      <c r="U10" s="2370">
        <v>2.413442767963651E-2</v>
      </c>
      <c r="V10" s="2370">
        <v>1.8430763658158544E-2</v>
      </c>
      <c r="W10" s="2370">
        <v>7.9259613113803834E-2</v>
      </c>
    </row>
    <row r="11" spans="2:23" ht="14.25">
      <c r="B11" s="2128" t="s">
        <v>4158</v>
      </c>
      <c r="C11" s="2129" t="s">
        <v>4159</v>
      </c>
      <c r="D11" s="2370">
        <v>1.1188799750122385E-2</v>
      </c>
      <c r="E11" s="2370">
        <v>1.8514209326398075E-2</v>
      </c>
      <c r="F11" s="2370">
        <v>1.23987839595126E-2</v>
      </c>
      <c r="G11" s="2370">
        <v>1.6031806993037571E-2</v>
      </c>
      <c r="H11" s="2370">
        <v>1.1218671458759401E-2</v>
      </c>
      <c r="I11" s="2370">
        <v>9.7384573319854468E-3</v>
      </c>
      <c r="J11" s="2370">
        <v>1.0883231135751582E-2</v>
      </c>
      <c r="K11" s="2370">
        <v>1.3506259970509004E-2</v>
      </c>
      <c r="L11" s="2370">
        <v>9.5004146324474629E-3</v>
      </c>
      <c r="M11" s="2370">
        <v>1.6363530131873603E-2</v>
      </c>
      <c r="N11" s="2370">
        <v>7.1324101958070932E-3</v>
      </c>
      <c r="O11" s="2370">
        <v>8.6465787035794623E-3</v>
      </c>
      <c r="P11" s="2371">
        <v>9.9900113931997662E-3</v>
      </c>
      <c r="Q11" s="2371">
        <v>7.0937218335127847E-3</v>
      </c>
      <c r="R11" s="2371">
        <v>5.4691271789485442E-3</v>
      </c>
      <c r="S11" s="2372">
        <v>4.9032889653324845E-3</v>
      </c>
      <c r="T11" s="2372">
        <v>5.2493292127573678E-3</v>
      </c>
      <c r="U11" s="2370">
        <v>1.0581836711298585E-2</v>
      </c>
      <c r="V11" s="2370">
        <v>1.7376759762757529E-2</v>
      </c>
      <c r="W11" s="2370">
        <v>9.9910864133538699E-3</v>
      </c>
    </row>
    <row r="12" spans="2:23" ht="14.25">
      <c r="B12" s="2128" t="s">
        <v>4154</v>
      </c>
      <c r="C12" s="2129" t="s">
        <v>4155</v>
      </c>
      <c r="D12" s="2370">
        <v>2.9826180054423154E-2</v>
      </c>
      <c r="E12" s="2370">
        <v>3.5190080992133103E-2</v>
      </c>
      <c r="F12" s="2370">
        <v>1.9645578361953946E-2</v>
      </c>
      <c r="G12" s="2370">
        <v>4.7194135530548138E-2</v>
      </c>
      <c r="H12" s="2370">
        <v>2.3720162831035382E-2</v>
      </c>
      <c r="I12" s="2370">
        <v>1.7969186668725053E-2</v>
      </c>
      <c r="J12" s="2370">
        <v>1.5198593079254443E-2</v>
      </c>
      <c r="K12" s="2370">
        <v>1.4751338538724216E-2</v>
      </c>
      <c r="L12" s="2370">
        <v>1.648239656392712E-2</v>
      </c>
      <c r="M12" s="2370">
        <v>1.976129686648297E-2</v>
      </c>
      <c r="N12" s="2370">
        <v>1.5118345386346897E-2</v>
      </c>
      <c r="O12" s="2370">
        <v>1.0643711613488562E-2</v>
      </c>
      <c r="P12" s="2371">
        <v>1.6753282582528325E-2</v>
      </c>
      <c r="Q12" s="2371">
        <v>1.3448109427717663E-2</v>
      </c>
      <c r="R12" s="2371">
        <v>1.174524537359127E-2</v>
      </c>
      <c r="S12" s="2372">
        <v>9.5301608105517101E-3</v>
      </c>
      <c r="T12" s="2372">
        <v>1.9450604883192248E-2</v>
      </c>
      <c r="U12" s="2370">
        <v>8.5029728446654705E-3</v>
      </c>
      <c r="V12" s="2370">
        <v>1.3563271591499918E-2</v>
      </c>
      <c r="W12" s="2370">
        <v>1.6448568078424337E-2</v>
      </c>
    </row>
    <row r="13" spans="2:23" ht="14.25">
      <c r="B13" s="2128" t="s">
        <v>4156</v>
      </c>
      <c r="C13" s="2129" t="s">
        <v>4155</v>
      </c>
      <c r="D13" s="2370">
        <v>7.951373567419635E-3</v>
      </c>
      <c r="E13" s="2370">
        <v>1.0048780565721546E-2</v>
      </c>
      <c r="F13" s="2370">
        <v>1.1845150069419247E-2</v>
      </c>
      <c r="G13" s="2370">
        <v>1.7965670821131617E-2</v>
      </c>
      <c r="H13" s="2370">
        <v>2.4857388580594022E-2</v>
      </c>
      <c r="I13" s="2370">
        <v>1.596738014593993E-2</v>
      </c>
      <c r="J13" s="2370">
        <v>3.077309271404334E-2</v>
      </c>
      <c r="K13" s="2370">
        <v>9.1716047751523987E-3</v>
      </c>
      <c r="L13" s="2370">
        <v>1.5790421781521752E-2</v>
      </c>
      <c r="M13" s="2370">
        <v>1.466873469332409E-2</v>
      </c>
      <c r="N13" s="2370">
        <v>1.0715694416455561E-2</v>
      </c>
      <c r="O13" s="2370">
        <v>1.0997912842156007E-2</v>
      </c>
      <c r="P13" s="2371">
        <v>1.2418435579182546E-2</v>
      </c>
      <c r="Q13" s="2371">
        <v>1.1326277291942868E-2</v>
      </c>
      <c r="R13" s="2371">
        <v>1.23994738061434E-2</v>
      </c>
      <c r="S13" s="2372">
        <v>6.4122170977014854E-3</v>
      </c>
      <c r="T13" s="2372">
        <v>1.2120602210562185E-2</v>
      </c>
      <c r="U13" s="2370">
        <v>1.3208043485587958E-2</v>
      </c>
      <c r="V13" s="2370">
        <v>1.0462634065486819E-2</v>
      </c>
      <c r="W13" s="2370">
        <v>1.3211922153390773E-2</v>
      </c>
    </row>
    <row r="14" spans="2:23" ht="14.25">
      <c r="B14" s="2128" t="s">
        <v>4157</v>
      </c>
      <c r="C14" s="2129" t="s">
        <v>4153</v>
      </c>
      <c r="D14" s="2370">
        <v>-9.9234438244673236E-5</v>
      </c>
      <c r="E14" s="2370">
        <v>2.8027388907810331E-3</v>
      </c>
      <c r="F14" s="2370">
        <v>4.1172388652043947E-3</v>
      </c>
      <c r="G14" s="2370">
        <v>1.7153145877500865E-2</v>
      </c>
      <c r="H14" s="2370">
        <v>2.2497122126579845E-2</v>
      </c>
      <c r="I14" s="2370">
        <v>7.8100689575690144E-3</v>
      </c>
      <c r="J14" s="2370">
        <v>9.1412397746053371E-3</v>
      </c>
      <c r="K14" s="2370">
        <v>8.4527094749810433E-3</v>
      </c>
      <c r="L14" s="2370">
        <v>1.83307882851723E-2</v>
      </c>
      <c r="M14" s="2370">
        <v>1.387111498456209E-2</v>
      </c>
      <c r="N14" s="2370">
        <v>1.1288094895094301E-2</v>
      </c>
      <c r="O14" s="2370">
        <v>2.3761359092586854E-2</v>
      </c>
      <c r="P14" s="2371">
        <v>8.5630229743418728E-3</v>
      </c>
      <c r="Q14" s="2371">
        <v>6.7505937904762192E-3</v>
      </c>
      <c r="R14" s="2371">
        <v>9.0345814553722641E-3</v>
      </c>
      <c r="S14" s="2372">
        <v>7.936573344023392E-3</v>
      </c>
      <c r="T14" s="2372">
        <v>1.9210175436345005E-2</v>
      </c>
      <c r="U14" s="2370">
        <v>1.0251552179871891E-2</v>
      </c>
      <c r="V14" s="2370">
        <v>9.4197131427607335E-3</v>
      </c>
      <c r="W14" s="2370">
        <v>1.2621527558893146E-2</v>
      </c>
    </row>
    <row r="15" spans="2:23" ht="14.25">
      <c r="B15" s="2128" t="s">
        <v>4160</v>
      </c>
      <c r="C15" s="2129" t="s">
        <v>4161</v>
      </c>
      <c r="D15" s="2370">
        <v>0</v>
      </c>
      <c r="E15" s="2370">
        <v>0</v>
      </c>
      <c r="F15" s="2370">
        <v>0</v>
      </c>
      <c r="G15" s="2370">
        <v>3.2353171630366157E-4</v>
      </c>
      <c r="H15" s="2370">
        <v>1.3324760836100516E-3</v>
      </c>
      <c r="I15" s="2370">
        <v>7.3494032759765994E-4</v>
      </c>
      <c r="J15" s="2370">
        <v>1.5789941204376351E-3</v>
      </c>
      <c r="K15" s="2370">
        <v>1.7552835947941825E-3</v>
      </c>
      <c r="L15" s="2370">
        <v>6.1685762358948686E-4</v>
      </c>
      <c r="M15" s="2370">
        <v>2.3580369526824253E-4</v>
      </c>
      <c r="N15" s="2370">
        <v>5.9313451405368779E-4</v>
      </c>
      <c r="O15" s="2370">
        <v>5.8137684958714118E-4</v>
      </c>
      <c r="P15" s="2371">
        <v>0</v>
      </c>
      <c r="Q15" s="2371">
        <v>1.8382033841058196E-4</v>
      </c>
      <c r="R15" s="2371">
        <v>0</v>
      </c>
      <c r="S15" s="2372">
        <v>1.5490607579047319E-4</v>
      </c>
      <c r="T15" s="2372">
        <v>1.7712971950518842E-3</v>
      </c>
      <c r="U15" s="2370">
        <v>1.1107552924366978E-4</v>
      </c>
      <c r="V15" s="2370">
        <v>1.4685598495037856E-3</v>
      </c>
      <c r="W15" s="2370">
        <v>6.1927200784441688E-4</v>
      </c>
    </row>
    <row r="16" spans="2:23" ht="14.25">
      <c r="B16" s="2128" t="s">
        <v>4164</v>
      </c>
      <c r="C16" s="2129" t="s">
        <v>4165</v>
      </c>
      <c r="D16" s="2370">
        <v>2.9965061532751447E-3</v>
      </c>
      <c r="E16" s="2370">
        <v>0</v>
      </c>
      <c r="F16" s="2370">
        <v>2.8848871521190884E-4</v>
      </c>
      <c r="G16" s="2370">
        <v>0</v>
      </c>
      <c r="H16" s="2370">
        <v>3.8808534652458874E-4</v>
      </c>
      <c r="I16" s="2370">
        <v>2.2867286974136017E-4</v>
      </c>
      <c r="J16" s="2370">
        <v>2.0068118985853295E-4</v>
      </c>
      <c r="K16" s="2370">
        <v>3.4436406457708321E-4</v>
      </c>
      <c r="L16" s="2370">
        <v>3.4918776947516305E-4</v>
      </c>
      <c r="M16" s="2370">
        <v>5.1208785577069502E-4</v>
      </c>
      <c r="N16" s="2370">
        <v>2.1892240984912925E-4</v>
      </c>
      <c r="O16" s="2370">
        <v>2.3443452378232551E-4</v>
      </c>
      <c r="P16" s="2371">
        <v>4.9071015869130337E-4</v>
      </c>
      <c r="Q16" s="2371">
        <v>8.6817205652037254E-4</v>
      </c>
      <c r="R16" s="2371">
        <v>1.4511399079431041E-3</v>
      </c>
      <c r="S16" s="2372">
        <v>-1.8177833502997027E-4</v>
      </c>
      <c r="T16" s="2372">
        <v>1.6484009974030342E-4</v>
      </c>
      <c r="U16" s="2370">
        <v>3.0153496368100322E-4</v>
      </c>
      <c r="V16" s="2370">
        <v>9.1287191399683535E-4</v>
      </c>
      <c r="W16" s="2370">
        <v>4.382103610790766E-4</v>
      </c>
    </row>
    <row r="17" spans="2:23" ht="14.25">
      <c r="B17" s="2128" t="s">
        <v>4166</v>
      </c>
      <c r="C17" s="2129" t="s">
        <v>4167</v>
      </c>
      <c r="D17" s="2370">
        <v>7.5181381313781375E-4</v>
      </c>
      <c r="E17" s="2370">
        <v>1.1719765607592009E-3</v>
      </c>
      <c r="F17" s="2370">
        <v>4.203007361756953E-4</v>
      </c>
      <c r="G17" s="2370">
        <v>2.4012018263138487E-4</v>
      </c>
      <c r="H17" s="2370">
        <v>0</v>
      </c>
      <c r="I17" s="2370">
        <v>3.2414491926730811E-4</v>
      </c>
      <c r="J17" s="2370">
        <v>-1.7582511022471833E-4</v>
      </c>
      <c r="K17" s="2370">
        <v>4.8565692279599397E-4</v>
      </c>
      <c r="L17" s="2370">
        <v>8.3087527634603881E-5</v>
      </c>
      <c r="M17" s="2370">
        <v>8.5223343987539239E-5</v>
      </c>
      <c r="N17" s="2370">
        <v>0</v>
      </c>
      <c r="O17" s="2370">
        <v>6.2588565884211565E-5</v>
      </c>
      <c r="P17" s="2371">
        <v>1.5021341424517119E-4</v>
      </c>
      <c r="Q17" s="2371">
        <v>0</v>
      </c>
      <c r="R17" s="2371">
        <v>4.8639885490841758E-4</v>
      </c>
      <c r="S17" s="2372">
        <v>0</v>
      </c>
      <c r="T17" s="2372">
        <v>4.9239393720371236E-4</v>
      </c>
      <c r="U17" s="2370">
        <v>4.3012519068955157E-5</v>
      </c>
      <c r="V17" s="2370">
        <v>2.5869065584898152E-4</v>
      </c>
      <c r="W17" s="2370">
        <v>1.9833987528703915E-4</v>
      </c>
    </row>
    <row r="18" spans="2:23" ht="14.25">
      <c r="B18" s="2128" t="s">
        <v>4162</v>
      </c>
      <c r="C18" s="2129" t="s">
        <v>4163</v>
      </c>
      <c r="D18" s="2370">
        <v>0</v>
      </c>
      <c r="E18" s="2370">
        <v>3.531466975302164E-4</v>
      </c>
      <c r="F18" s="2370">
        <v>2.9138471833561387E-4</v>
      </c>
      <c r="G18" s="2370">
        <v>0</v>
      </c>
      <c r="H18" s="2370">
        <v>6.2571036649983116E-4</v>
      </c>
      <c r="I18" s="2370">
        <v>1.6998103601639216E-4</v>
      </c>
      <c r="J18" s="2370">
        <v>2.7135108919274322E-4</v>
      </c>
      <c r="K18" s="2370">
        <v>3.1912534917872632E-4</v>
      </c>
      <c r="L18" s="2370">
        <v>5.7584385872176777E-4</v>
      </c>
      <c r="M18" s="2370">
        <v>1.3292747844888832E-3</v>
      </c>
      <c r="N18" s="2370">
        <v>3.2566937667825884E-4</v>
      </c>
      <c r="O18" s="2370">
        <v>1.7954101801429131E-4</v>
      </c>
      <c r="P18" s="2371">
        <v>9.9218886344277973E-5</v>
      </c>
      <c r="Q18" s="2371">
        <v>3.5623888401498224E-4</v>
      </c>
      <c r="R18" s="2371">
        <v>0</v>
      </c>
      <c r="S18" s="2372">
        <v>0</v>
      </c>
      <c r="T18" s="2372">
        <v>6.4844632843046306E-4</v>
      </c>
      <c r="U18" s="2370">
        <v>0</v>
      </c>
      <c r="V18" s="2370">
        <v>0</v>
      </c>
      <c r="W18" s="2370">
        <v>2.840115124705362E-4</v>
      </c>
    </row>
    <row r="19" spans="2:23" ht="14.25">
      <c r="B19" s="2128" t="s">
        <v>4147</v>
      </c>
      <c r="C19" s="2129" t="s">
        <v>4148</v>
      </c>
      <c r="D19" s="2370">
        <v>0.66724652085539471</v>
      </c>
      <c r="E19" s="2370">
        <v>0.64359773135192688</v>
      </c>
      <c r="F19" s="2370">
        <v>0.64232027068209885</v>
      </c>
      <c r="G19" s="2370">
        <v>0.55676767566742891</v>
      </c>
      <c r="H19" s="2370">
        <v>0.63571686620123613</v>
      </c>
      <c r="I19" s="2370">
        <v>0.6819246226115091</v>
      </c>
      <c r="J19" s="2370">
        <v>0.64905108084296659</v>
      </c>
      <c r="K19" s="2370">
        <v>0.68362319087616641</v>
      </c>
      <c r="L19" s="2370">
        <v>0.6634091232510726</v>
      </c>
      <c r="M19" s="2370">
        <v>0.61891939292463272</v>
      </c>
      <c r="N19" s="2370">
        <v>0.53226673509551625</v>
      </c>
      <c r="O19" s="2370">
        <v>0.53393258778412456</v>
      </c>
      <c r="P19" s="2371">
        <v>0.5976571935584899</v>
      </c>
      <c r="Q19" s="2371">
        <v>0.57077762985830172</v>
      </c>
      <c r="R19" s="2371">
        <v>0.61420669352974633</v>
      </c>
      <c r="S19" s="2372">
        <v>0.37149800854295656</v>
      </c>
      <c r="T19" s="2372">
        <v>-1.639127800924493E-2</v>
      </c>
      <c r="U19" s="2370">
        <v>4.0380152901935135E-4</v>
      </c>
      <c r="V19" s="2370">
        <v>-1.4384994851255506E-3</v>
      </c>
      <c r="W19" s="2370">
        <v>0.47014160285844309</v>
      </c>
    </row>
    <row r="20" spans="2:23" ht="15">
      <c r="B20" s="2126"/>
      <c r="C20" s="2126"/>
      <c r="D20" s="2127">
        <v>0.91915314233949474</v>
      </c>
      <c r="E20" s="2127">
        <v>0.89213328703123207</v>
      </c>
      <c r="F20" s="2127">
        <v>0.9009349000144683</v>
      </c>
      <c r="G20" s="2127">
        <v>0.93155352636117295</v>
      </c>
      <c r="H20" s="2127">
        <v>0.91471730383619487</v>
      </c>
      <c r="I20" s="2127">
        <v>0.92309807037850433</v>
      </c>
      <c r="J20" s="2127">
        <v>0.92864645851843519</v>
      </c>
      <c r="K20" s="2127">
        <v>0.94691692296990249</v>
      </c>
      <c r="L20" s="2127">
        <v>0.93622771331484389</v>
      </c>
      <c r="M20" s="2127">
        <v>0.92349830186442472</v>
      </c>
      <c r="N20" s="2127">
        <v>0.93227801535145638</v>
      </c>
      <c r="O20" s="2127">
        <v>0.92985188390440976</v>
      </c>
      <c r="P20" s="2127">
        <v>0.92729159634760572</v>
      </c>
      <c r="Q20" s="2127">
        <v>0.93263688969248881</v>
      </c>
      <c r="R20" s="2127">
        <v>0.93733867176944863</v>
      </c>
      <c r="S20" s="2127">
        <v>0.92985096324745942</v>
      </c>
      <c r="T20" s="2127">
        <v>0.88434980431541943</v>
      </c>
      <c r="U20" s="2127">
        <v>0.90103641761597997</v>
      </c>
      <c r="V20" s="2127">
        <v>0.88701551466642292</v>
      </c>
      <c r="W20" s="2127">
        <v>0.92079133923089806</v>
      </c>
    </row>
    <row r="21" spans="2:23" ht="15">
      <c r="B21" s="2126" t="s">
        <v>4168</v>
      </c>
      <c r="C21" s="2126"/>
      <c r="D21" s="2127">
        <v>6.4239888739033219E-2</v>
      </c>
      <c r="E21" s="2127">
        <v>6.787190561922167E-2</v>
      </c>
      <c r="F21" s="2127">
        <v>7.5575004345467309E-2</v>
      </c>
      <c r="G21" s="2127">
        <v>6.7606652732758676E-2</v>
      </c>
      <c r="H21" s="2127">
        <v>8.5019852344998342E-2</v>
      </c>
      <c r="I21" s="2127">
        <v>7.5129981662062514E-2</v>
      </c>
      <c r="J21" s="2127">
        <v>7.0860418185880666E-2</v>
      </c>
      <c r="K21" s="2127">
        <v>5.2426995995488473E-2</v>
      </c>
      <c r="L21" s="2127">
        <v>6.2740827190967977E-2</v>
      </c>
      <c r="M21" s="2127">
        <v>7.5811236998267778E-2</v>
      </c>
      <c r="N21" s="2127">
        <v>6.7490735482289857E-2</v>
      </c>
      <c r="O21" s="2127">
        <v>6.998081863476488E-2</v>
      </c>
      <c r="P21" s="2127">
        <v>7.2708403652394227E-2</v>
      </c>
      <c r="Q21" s="2127">
        <v>6.7001768693953412E-2</v>
      </c>
      <c r="R21" s="2127">
        <v>6.2493917180532738E-2</v>
      </c>
      <c r="S21" s="2127">
        <v>6.9434265903583078E-2</v>
      </c>
      <c r="T21" s="2127">
        <v>0.1156501956845806</v>
      </c>
      <c r="U21" s="2127">
        <v>9.8963582384020032E-2</v>
      </c>
      <c r="V21" s="2127">
        <v>0.11298448533357697</v>
      </c>
      <c r="W21" s="2127">
        <v>7.6838062065204465E-2</v>
      </c>
    </row>
    <row r="22" spans="2:23" ht="15">
      <c r="B22" s="2126" t="s">
        <v>4169</v>
      </c>
      <c r="C22" s="2126"/>
      <c r="D22" s="2127">
        <v>1.6606968921471985E-2</v>
      </c>
      <c r="E22" s="2127">
        <v>3.9994807349546163E-2</v>
      </c>
      <c r="F22" s="2127">
        <v>2.3490095640064372E-2</v>
      </c>
      <c r="G22" s="2127">
        <v>8.398209060684024E-4</v>
      </c>
      <c r="H22" s="2127">
        <v>2.6284381880669564E-4</v>
      </c>
      <c r="I22" s="2127">
        <v>1.7719479594331554E-3</v>
      </c>
      <c r="J22" s="2127">
        <v>4.9312329568425837E-4</v>
      </c>
      <c r="K22" s="2127">
        <v>6.5608103460902808E-4</v>
      </c>
      <c r="L22" s="2127">
        <v>1.0314594941881641E-3</v>
      </c>
      <c r="M22" s="2127">
        <v>6.904611373076446E-4</v>
      </c>
      <c r="N22" s="2127">
        <v>2.31249166253668E-4</v>
      </c>
      <c r="O22" s="2127">
        <v>1.6729746082539375E-4</v>
      </c>
      <c r="P22" s="2127">
        <v>0</v>
      </c>
      <c r="Q22" s="2127">
        <v>3.6134161355779159E-4</v>
      </c>
      <c r="R22" s="2127">
        <v>1.6741105001867235E-4</v>
      </c>
      <c r="S22" s="2127">
        <v>7.1477084895755398E-4</v>
      </c>
      <c r="T22" s="2127">
        <v>0</v>
      </c>
      <c r="U22" s="2127">
        <v>0</v>
      </c>
      <c r="V22" s="2127">
        <v>0</v>
      </c>
      <c r="W22" s="2127">
        <v>2.3705987038975694E-3</v>
      </c>
    </row>
    <row r="23" spans="2:23" ht="15">
      <c r="B23" s="2134"/>
      <c r="C23" s="2134"/>
      <c r="D23" s="2217">
        <v>1</v>
      </c>
      <c r="E23" s="2217">
        <v>1</v>
      </c>
      <c r="F23" s="2217">
        <v>1</v>
      </c>
      <c r="G23" s="2217">
        <v>1</v>
      </c>
      <c r="H23" s="2217">
        <v>1</v>
      </c>
      <c r="I23" s="2217">
        <v>1</v>
      </c>
      <c r="J23" s="2217">
        <v>1</v>
      </c>
      <c r="K23" s="2217">
        <v>1</v>
      </c>
      <c r="L23" s="2217">
        <v>1</v>
      </c>
      <c r="M23" s="2217">
        <v>1</v>
      </c>
      <c r="N23" s="2217">
        <v>1</v>
      </c>
      <c r="O23" s="2217">
        <v>1</v>
      </c>
      <c r="P23" s="2217">
        <v>1</v>
      </c>
      <c r="Q23" s="2217">
        <v>1</v>
      </c>
      <c r="R23" s="2217">
        <v>1</v>
      </c>
      <c r="S23" s="2217">
        <v>1</v>
      </c>
      <c r="T23" s="2217">
        <v>1</v>
      </c>
      <c r="U23" s="2217">
        <v>1</v>
      </c>
      <c r="V23" s="2217">
        <v>1</v>
      </c>
      <c r="W23" s="2217">
        <v>1</v>
      </c>
    </row>
    <row r="25" spans="2:23" ht="15">
      <c r="B25" s="2135" t="s">
        <v>170</v>
      </c>
      <c r="C25" s="2135"/>
      <c r="D25" s="2136">
        <f>'1.0 Production (GVL)'!BA7</f>
        <v>13422.264399999998</v>
      </c>
      <c r="E25" s="2136">
        <f>'1.0 Production (GVL)'!BB7</f>
        <v>13983.777799999969</v>
      </c>
      <c r="F25" s="2136">
        <f>'1.0 Production (GVL)'!BC7</f>
        <v>34363.530299999991</v>
      </c>
      <c r="G25" s="2136">
        <f>'1.0 Production (GVL)'!BD7</f>
        <v>31029.739200000011</v>
      </c>
      <c r="H25" s="2136">
        <f>'1.0 Production (GVL)'!BE7</f>
        <v>29098.451900000004</v>
      </c>
      <c r="I25" s="2136">
        <f>'1.0 Production (GVL)'!BF7</f>
        <v>42616.913540000067</v>
      </c>
      <c r="J25" s="2136">
        <f>'1.0 Production (GVL)'!BG7</f>
        <v>30649.18507000001</v>
      </c>
      <c r="K25" s="2136">
        <f>'1.0 Production (GVL)'!BH7</f>
        <v>32361.144800000031</v>
      </c>
      <c r="L25" s="2136">
        <f>'1.0 Production (GVL)'!BI7</f>
        <v>49563.993800000069</v>
      </c>
      <c r="M25" s="2136">
        <f>'1.0 Production (GVL)'!BJ7</f>
        <v>40919.720650000017</v>
      </c>
      <c r="N25" s="2136">
        <f>'1.0 Production (GVL)'!BK7</f>
        <v>52866.932160000091</v>
      </c>
      <c r="O25" s="2136">
        <f>'1.0 Production (GVL)'!BL7</f>
        <v>97022.200140000321</v>
      </c>
      <c r="P25" s="2136">
        <f>'1.0 Production (GVL)'!BM7</f>
        <v>26687.802739999999</v>
      </c>
      <c r="Q25" s="2136">
        <f>'1.0 Production (GVL)'!BN7</f>
        <v>41713.0193</v>
      </c>
      <c r="R25" s="2136">
        <f>'1.0 Production (GVL)'!BO7</f>
        <v>58504.867000000006</v>
      </c>
      <c r="S25" s="2136">
        <f>'1.0 Production (GVL)'!BP7</f>
        <v>51457.592300000004</v>
      </c>
      <c r="T25" s="2136">
        <f>'1.0 Production (GVL)'!BQ7</f>
        <v>54412.828000000001</v>
      </c>
      <c r="U25" s="2136">
        <f>'1.0 Production (GVL)'!BR7</f>
        <v>59446.573999999993</v>
      </c>
      <c r="V25" s="2136">
        <f>'1.0 Production (GVL)'!BS7</f>
        <v>45901.189260000101</v>
      </c>
      <c r="W25" s="2217">
        <v>1</v>
      </c>
    </row>
  </sheetData>
  <conditionalFormatting sqref="D5:P5 R5">
    <cfRule type="expression" dxfId="50" priority="20">
      <formula>D5=$C$3</formula>
    </cfRule>
  </conditionalFormatting>
  <conditionalFormatting sqref="Q5">
    <cfRule type="expression" dxfId="49" priority="13">
      <formula>Q5=$C$3</formula>
    </cfRule>
  </conditionalFormatting>
  <conditionalFormatting sqref="S5:T5">
    <cfRule type="expression" dxfId="48" priority="10">
      <formula>S5=$C$3</formula>
    </cfRule>
  </conditionalFormatting>
  <conditionalFormatting sqref="W5">
    <cfRule type="expression" dxfId="47" priority="5">
      <formula>W5=$C$3</formula>
    </cfRule>
  </conditionalFormatting>
  <conditionalFormatting sqref="U5:V5">
    <cfRule type="expression" dxfId="46" priority="1">
      <formula>U5=$C$3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1E598BFB-C6F1-4091-B85C-ED0FDC379984}">
            <xm:f>A$6='1.0 Production (GVL)'!#REF!</xm:f>
            <x14:dxf>
              <font>
                <color rgb="FFFF0000"/>
              </font>
            </x14:dxf>
          </x14:cfRule>
          <xm:sqref>L5:P5</xm:sqref>
        </x14:conditionalFormatting>
        <x14:conditionalFormatting xmlns:xm="http://schemas.microsoft.com/office/excel/2006/main">
          <x14:cfRule type="expression" priority="21" id="{B327E283-D6C9-42E3-9D1C-FEAB8A41EDFF}">
            <xm:f>C$6='1.0 Production (GVL)'!#REF!</xm:f>
            <x14:dxf>
              <font>
                <color rgb="FFFF0000"/>
              </font>
            </x14:dxf>
          </x14:cfRule>
          <xm:sqref>O5:P5</xm:sqref>
        </x14:conditionalFormatting>
        <x14:conditionalFormatting xmlns:xm="http://schemas.microsoft.com/office/excel/2006/main">
          <x14:cfRule type="expression" priority="49908" id="{1E598BFB-C6F1-4091-B85C-ED0FDC379984}">
            <xm:f>A$6='1.0 Production (GVL)'!#REF!</xm:f>
            <x14:dxf>
              <font>
                <color rgb="FFFF0000"/>
              </font>
            </x14:dxf>
          </x14:cfRule>
          <xm:sqref>K5</xm:sqref>
        </x14:conditionalFormatting>
        <x14:conditionalFormatting xmlns:xm="http://schemas.microsoft.com/office/excel/2006/main">
          <x14:cfRule type="expression" priority="49910" id="{1E598BFB-C6F1-4091-B85C-ED0FDC379984}">
            <xm:f>F$6='1.0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2" id="{B327E283-D6C9-42E3-9D1C-FEAB8A41EDFF}">
            <xm:f>E$6='1.0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4" id="{1E598BFB-C6F1-4091-B85C-ED0FDC379984}">
            <xm:f>A$6='1.0 Production (GVL)'!#REF!</xm:f>
            <x14:dxf>
              <font>
                <color rgb="FFFF0000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14" id="{46531DC5-2B33-473A-9611-A3CF82ED0110}">
            <xm:f>E$6='1.0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15" id="{3DCF7B03-B921-4E81-A9E7-B1E57861FA38}">
            <xm:f>D$6='1.0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49916" id="{1E598BFB-C6F1-4091-B85C-ED0FDC379984}">
            <xm:f>A$6='1.0 Production (GVL)'!#REF!</xm:f>
            <x14:dxf>
              <font>
                <color rgb="FFFF0000"/>
              </font>
            </x14:dxf>
          </x14:cfRule>
          <xm:sqref>I5</xm:sqref>
        </x14:conditionalFormatting>
        <x14:conditionalFormatting xmlns:xm="http://schemas.microsoft.com/office/excel/2006/main">
          <x14:cfRule type="expression" priority="11" id="{08A27326-37FD-4E68-BB23-223BB47EE8EF}">
            <xm:f>G$6='1.0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12" id="{2F8738D1-E17A-4D8E-B57D-B281993E222E}">
            <xm:f>F$6='1.0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49918" id="{1E598BFB-C6F1-4091-B85C-ED0FDC379984}">
            <xm:f>XFA$6='1.0 Production (GVL)'!#REF!</xm:f>
            <x14:dxf>
              <font>
                <color rgb="FFFF0000"/>
              </font>
            </x14:dxf>
          </x14:cfRule>
          <xm:sqref>D5:H5</xm:sqref>
        </x14:conditionalFormatting>
        <x14:conditionalFormatting xmlns:xm="http://schemas.microsoft.com/office/excel/2006/main">
          <x14:cfRule type="expression" priority="4" id="{3551169C-CB93-4282-A66C-B0CF6621EBD7}">
            <xm:f>G$6='1.0 Production (GVL)'!#REF!</xm:f>
            <x14:dxf>
              <font>
                <color rgb="FFFF0000"/>
              </font>
            </x14:dxf>
          </x14:cfRule>
          <xm:sqref>W5</xm:sqref>
        </x14:conditionalFormatting>
        <x14:conditionalFormatting xmlns:xm="http://schemas.microsoft.com/office/excel/2006/main">
          <x14:cfRule type="expression" priority="6" id="{ED463974-9A70-4E4F-958B-358EF9281123}">
            <xm:f>F$6='1.0 Production (GVL)'!#REF!</xm:f>
            <x14:dxf>
              <font>
                <color rgb="FFFF0000"/>
              </font>
            </x14:dxf>
          </x14:cfRule>
          <xm:sqref>W5</xm:sqref>
        </x14:conditionalFormatting>
        <x14:conditionalFormatting xmlns:xm="http://schemas.microsoft.com/office/excel/2006/main">
          <x14:cfRule type="expression" priority="2" id="{0A3A2EDB-5993-4929-8E39-1469DEA9C855}">
            <xm:f>I$6='1.0 Production (GVL)'!#REF!</xm:f>
            <x14:dxf>
              <font>
                <color rgb="FFFF0000"/>
              </font>
            </x14:dxf>
          </x14:cfRule>
          <xm:sqref>U5:V5</xm:sqref>
        </x14:conditionalFormatting>
        <x14:conditionalFormatting xmlns:xm="http://schemas.microsoft.com/office/excel/2006/main">
          <x14:cfRule type="expression" priority="3" id="{9410A623-53A0-4D8A-914B-F7EFFDDB9EF7}">
            <xm:f>H$6='1.0 Production (GVL)'!#REF!</xm:f>
            <x14:dxf>
              <font>
                <color rgb="FFFF0000"/>
              </font>
            </x14:dxf>
          </x14:cfRule>
          <xm:sqref>U5:V5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M34"/>
  <sheetViews>
    <sheetView showGridLines="0" workbookViewId="0"/>
  </sheetViews>
  <sheetFormatPr defaultRowHeight="12.75"/>
  <cols>
    <col min="1" max="1" width="1" customWidth="1"/>
    <col min="2" max="2" width="32.5703125" customWidth="1"/>
    <col min="3" max="3" width="13.85546875" customWidth="1"/>
    <col min="4" max="4" width="11" customWidth="1"/>
    <col min="6" max="6" width="12.7109375" customWidth="1"/>
    <col min="10" max="11" width="11.28515625" bestFit="1" customWidth="1"/>
    <col min="12" max="12" width="14" bestFit="1" customWidth="1"/>
  </cols>
  <sheetData>
    <row r="1" spans="2:13" ht="18">
      <c r="B1" s="2230" t="s">
        <v>4215</v>
      </c>
    </row>
    <row r="2" spans="2:13">
      <c r="B2" s="1623">
        <f>'2.0 MP (GVL)'!$B$2</f>
        <v>42947</v>
      </c>
    </row>
    <row r="3" spans="2:13">
      <c r="B3" s="2076" t="s">
        <v>4266</v>
      </c>
    </row>
    <row r="4" spans="2:13">
      <c r="B4" s="2076"/>
      <c r="F4" s="2076" t="s">
        <v>4228</v>
      </c>
    </row>
    <row r="5" spans="2:13">
      <c r="B5" t="s">
        <v>4227</v>
      </c>
      <c r="C5" t="s">
        <v>4220</v>
      </c>
      <c r="D5" t="s">
        <v>4221</v>
      </c>
      <c r="E5" t="s">
        <v>1</v>
      </c>
      <c r="F5" t="s">
        <v>14</v>
      </c>
    </row>
    <row r="6" spans="2:13">
      <c r="B6" s="1016" t="s">
        <v>4216</v>
      </c>
      <c r="C6" s="1595">
        <v>84</v>
      </c>
      <c r="D6" s="1595">
        <v>983</v>
      </c>
      <c r="E6" s="1595">
        <v>41659.86</v>
      </c>
      <c r="F6" s="1595">
        <v>495.95</v>
      </c>
      <c r="J6" s="1595"/>
      <c r="K6" s="1595"/>
      <c r="L6" s="1595"/>
      <c r="M6" s="1595"/>
    </row>
    <row r="7" spans="2:13">
      <c r="B7" s="1016" t="s">
        <v>4217</v>
      </c>
      <c r="C7" s="1595">
        <v>679</v>
      </c>
      <c r="D7" s="1595">
        <v>1549</v>
      </c>
      <c r="E7" s="1595">
        <v>90133.58</v>
      </c>
      <c r="F7" s="1595">
        <v>132.74</v>
      </c>
      <c r="J7" s="1595"/>
      <c r="K7" s="1595"/>
      <c r="L7" s="1595"/>
      <c r="M7" s="1595"/>
    </row>
    <row r="8" spans="2:13">
      <c r="B8" s="1016" t="s">
        <v>4218</v>
      </c>
      <c r="C8" s="1595">
        <v>3024</v>
      </c>
      <c r="D8" s="1595">
        <v>5277</v>
      </c>
      <c r="E8" s="1595">
        <v>185441.15</v>
      </c>
      <c r="F8" s="1595">
        <v>61.32</v>
      </c>
      <c r="J8" s="1595"/>
      <c r="K8" s="1595"/>
      <c r="L8" s="1595"/>
      <c r="M8" s="1595"/>
    </row>
    <row r="9" spans="2:13">
      <c r="B9" s="1016" t="s">
        <v>4219</v>
      </c>
      <c r="C9" s="1595">
        <v>76152</v>
      </c>
      <c r="D9" s="1595">
        <v>82054</v>
      </c>
      <c r="E9" s="1595">
        <v>1208420.08</v>
      </c>
      <c r="F9" s="1595">
        <v>15.87</v>
      </c>
      <c r="J9" s="1595"/>
      <c r="K9" s="1595"/>
      <c r="L9" s="1595"/>
      <c r="M9" s="1595"/>
    </row>
    <row r="10" spans="2:13">
      <c r="C10" s="2229">
        <f>SUM(C6:C9)</f>
        <v>79939</v>
      </c>
      <c r="D10" s="2229">
        <f>SUBTOTAL(109,D6:D9)</f>
        <v>89863</v>
      </c>
      <c r="E10" s="2229">
        <f>SUBTOTAL(109,E6:E9)</f>
        <v>1525654.67</v>
      </c>
      <c r="F10" s="2229">
        <f>Table3[[#This Row],[APE]]/Table3[[#This Row],['# Policy]]</f>
        <v>16.977562177982037</v>
      </c>
      <c r="J10" s="1595"/>
      <c r="K10" s="1595"/>
      <c r="L10" s="1595"/>
      <c r="M10" s="1595"/>
    </row>
    <row r="12" spans="2:13">
      <c r="G12" s="2076"/>
    </row>
    <row r="13" spans="2:13" ht="15">
      <c r="B13" s="2223" t="s">
        <v>4222</v>
      </c>
      <c r="C13" s="2223" t="s">
        <v>4223</v>
      </c>
      <c r="D13" s="2223" t="s">
        <v>4224</v>
      </c>
      <c r="E13" s="2223" t="s">
        <v>4225</v>
      </c>
      <c r="F13" s="2223" t="s">
        <v>4226</v>
      </c>
      <c r="G13" s="2223" t="s">
        <v>49</v>
      </c>
    </row>
    <row r="14" spans="2:13">
      <c r="B14" s="2228">
        <v>1</v>
      </c>
      <c r="C14" s="2225">
        <v>2.7912827293134494E-2</v>
      </c>
      <c r="D14" s="2225">
        <v>5.0299047014052162E-2</v>
      </c>
      <c r="E14" s="2225">
        <v>0.11056302829199198</v>
      </c>
      <c r="F14" s="2225">
        <v>0.70608313698068037</v>
      </c>
      <c r="G14" s="2225">
        <v>0.89485803957985899</v>
      </c>
    </row>
    <row r="15" spans="2:13">
      <c r="B15" s="2228">
        <v>2</v>
      </c>
      <c r="C15" s="2225">
        <v>1.2092487647946812E-3</v>
      </c>
      <c r="D15" s="2225">
        <v>4.2946807424405261E-3</v>
      </c>
      <c r="E15" s="2225">
        <v>8.0936252648826316E-3</v>
      </c>
      <c r="F15" s="2225">
        <v>5.7762390007544864E-2</v>
      </c>
      <c r="G15" s="2225">
        <v>7.1359944779662704E-2</v>
      </c>
    </row>
    <row r="16" spans="2:13">
      <c r="B16" s="2228">
        <v>4</v>
      </c>
      <c r="C16" s="2225">
        <v>9.390644012057986E-4</v>
      </c>
      <c r="D16" s="2225">
        <v>4.5766069096923757E-3</v>
      </c>
      <c r="E16" s="2225">
        <v>6.4040548107121929E-3</v>
      </c>
      <c r="F16" s="2225">
        <v>2.186228951886806E-2</v>
      </c>
      <c r="G16" s="2225">
        <v>3.3782015640478426E-2</v>
      </c>
    </row>
    <row r="17" spans="2:7" ht="15">
      <c r="B17" s="2226" t="s">
        <v>274</v>
      </c>
      <c r="C17" s="2227">
        <v>3.0061140459134973E-2</v>
      </c>
      <c r="D17" s="2227">
        <v>5.9170334666185063E-2</v>
      </c>
      <c r="E17" s="2227">
        <v>0.12506070836758679</v>
      </c>
      <c r="F17" s="2227">
        <v>0.78570781650709332</v>
      </c>
      <c r="G17" s="2227">
        <v>1</v>
      </c>
    </row>
    <row r="20" spans="2:7" ht="15">
      <c r="B20" s="2223" t="s">
        <v>4231</v>
      </c>
      <c r="C20" s="2223" t="s">
        <v>4223</v>
      </c>
      <c r="D20" s="2223" t="s">
        <v>4224</v>
      </c>
      <c r="E20" s="2223" t="s">
        <v>4225</v>
      </c>
      <c r="F20" s="2223" t="s">
        <v>4226</v>
      </c>
      <c r="G20" s="2223" t="s">
        <v>49</v>
      </c>
    </row>
    <row r="21" spans="2:7">
      <c r="B21" s="2224" t="s">
        <v>4291</v>
      </c>
      <c r="C21" s="2231">
        <v>7.6749607889648949E-3</v>
      </c>
      <c r="D21" s="2231">
        <v>2.613269568795613E-2</v>
      </c>
      <c r="E21" s="2231">
        <v>6.2487416058168342E-2</v>
      </c>
      <c r="F21" s="2231">
        <v>0.49521379903329371</v>
      </c>
      <c r="G21" s="2231">
        <v>0.59150887156838317</v>
      </c>
    </row>
    <row r="22" spans="2:7">
      <c r="B22" s="2224" t="s">
        <v>4292</v>
      </c>
      <c r="C22" s="2231">
        <v>2.8155781252468202E-4</v>
      </c>
      <c r="D22" s="2231">
        <v>3.6684382121327983E-3</v>
      </c>
      <c r="E22" s="2231">
        <v>5.9309685212518932E-3</v>
      </c>
      <c r="F22" s="2231">
        <v>8.139417130232679E-2</v>
      </c>
      <c r="G22" s="2231">
        <v>9.1275135848236169E-2</v>
      </c>
    </row>
    <row r="23" spans="2:7">
      <c r="B23" s="2224" t="s">
        <v>4293</v>
      </c>
      <c r="C23" s="2231">
        <v>2.5077692875065372E-3</v>
      </c>
      <c r="D23" s="2231">
        <v>4.3366562564910657E-3</v>
      </c>
      <c r="E23" s="2231">
        <v>9.8509839742898578E-3</v>
      </c>
      <c r="F23" s="2231">
        <v>5.233089767953391E-2</v>
      </c>
      <c r="G23" s="2231">
        <v>6.9026307197821365E-2</v>
      </c>
    </row>
    <row r="24" spans="2:7">
      <c r="B24" s="2224" t="s">
        <v>4294</v>
      </c>
      <c r="C24" s="2231">
        <v>1.1087410539226209E-2</v>
      </c>
      <c r="D24" s="2231">
        <v>8.9718335348096794E-3</v>
      </c>
      <c r="E24" s="2231">
        <v>1.1637731657104324E-2</v>
      </c>
      <c r="F24" s="2231">
        <v>3.684450354329849E-2</v>
      </c>
      <c r="G24" s="2231">
        <v>6.854147927443871E-2</v>
      </c>
    </row>
    <row r="25" spans="2:7">
      <c r="B25" s="2224" t="s">
        <v>4295</v>
      </c>
      <c r="C25" s="2231">
        <v>2.3769598717193348E-3</v>
      </c>
      <c r="D25" s="2231">
        <v>4.8997325541618297E-3</v>
      </c>
      <c r="E25" s="2231">
        <v>1.4262401577499811E-2</v>
      </c>
      <c r="F25" s="2231">
        <v>3.5287263887431412E-2</v>
      </c>
      <c r="G25" s="2231">
        <v>5.6826357890812383E-2</v>
      </c>
    </row>
    <row r="26" spans="2:7">
      <c r="B26" s="2224" t="s">
        <v>4296</v>
      </c>
      <c r="C26" s="2231">
        <v>1.0273228929193481E-3</v>
      </c>
      <c r="D26" s="2231">
        <v>3.3974004733836566E-3</v>
      </c>
      <c r="E26" s="2231">
        <v>6.507560328034909E-3</v>
      </c>
      <c r="F26" s="2231">
        <v>3.555887187317025E-2</v>
      </c>
      <c r="G26" s="2231">
        <v>4.6491155567508165E-2</v>
      </c>
    </row>
    <row r="27" spans="2:7">
      <c r="B27" s="2224" t="s">
        <v>4297</v>
      </c>
      <c r="C27" s="2231">
        <v>5.4746988292960397E-4</v>
      </c>
      <c r="D27" s="2231">
        <v>2.5609923398787421E-3</v>
      </c>
      <c r="E27" s="2231">
        <v>4.8559808454691619E-3</v>
      </c>
      <c r="F27" s="2231">
        <v>3.5869951437897452E-2</v>
      </c>
      <c r="G27" s="2231">
        <v>4.3834394506174962E-2</v>
      </c>
    </row>
    <row r="28" spans="2:7">
      <c r="B28" s="2224" t="s">
        <v>4298</v>
      </c>
      <c r="C28" s="2231">
        <v>1.3181619667936657E-3</v>
      </c>
      <c r="D28" s="2231">
        <v>3.3359186715054201E-3</v>
      </c>
      <c r="E28" s="2231">
        <v>4.372830890240105E-3</v>
      </c>
      <c r="F28" s="2231">
        <v>1.2608606652606255E-2</v>
      </c>
      <c r="G28" s="2231">
        <v>2.1635518181145449E-2</v>
      </c>
    </row>
    <row r="29" spans="2:7">
      <c r="B29" s="2224" t="s">
        <v>4299</v>
      </c>
      <c r="C29" s="2232">
        <v>4.8461817736346243E-4</v>
      </c>
      <c r="D29" s="2232">
        <v>1.3882957919639353E-3</v>
      </c>
      <c r="E29" s="2232">
        <v>1.3542579457855046E-3</v>
      </c>
      <c r="F29" s="2232">
        <v>6.1947634677755065E-3</v>
      </c>
      <c r="G29" s="2232">
        <v>9.4219353828884078E-3</v>
      </c>
    </row>
    <row r="30" spans="2:7">
      <c r="B30" s="2224" t="s">
        <v>4300</v>
      </c>
      <c r="C30" s="2232">
        <v>0</v>
      </c>
      <c r="D30" s="2232">
        <v>2.7234865136914666E-4</v>
      </c>
      <c r="E30" s="2232">
        <v>2.8277040669818669E-4</v>
      </c>
      <c r="F30" s="2232">
        <v>4.9485640492570181E-4</v>
      </c>
      <c r="G30" s="2232">
        <v>1.0499754629930351E-3</v>
      </c>
    </row>
    <row r="31" spans="2:7">
      <c r="B31" s="2224" t="s">
        <v>4301</v>
      </c>
      <c r="C31" s="2232">
        <v>0</v>
      </c>
      <c r="D31" s="2232">
        <v>1.1431813502753932E-4</v>
      </c>
      <c r="E31" s="2232">
        <v>5.6762516446218142E-6</v>
      </c>
      <c r="F31" s="2232">
        <v>1.4024143208813896E-4</v>
      </c>
      <c r="G31" s="2232">
        <v>2.6023581876030006E-4</v>
      </c>
    </row>
    <row r="32" spans="2:7">
      <c r="B32" s="2224" t="s">
        <v>4302</v>
      </c>
      <c r="C32" s="2232">
        <v>0</v>
      </c>
      <c r="D32" s="2232">
        <v>0</v>
      </c>
      <c r="E32" s="2232">
        <v>0</v>
      </c>
      <c r="F32" s="2232">
        <v>1.0742928920941285E-4</v>
      </c>
      <c r="G32" s="2232">
        <v>1.0742928920941285E-4</v>
      </c>
    </row>
    <row r="33" spans="2:7">
      <c r="B33" s="2224" t="s">
        <v>4303</v>
      </c>
      <c r="C33" s="2232">
        <v>0</v>
      </c>
      <c r="D33" s="2232">
        <v>0</v>
      </c>
      <c r="E33" s="2232">
        <v>0</v>
      </c>
      <c r="F33" s="2232">
        <v>2.1204011628581489E-5</v>
      </c>
      <c r="G33" s="2232">
        <v>2.1204011628581489E-5</v>
      </c>
    </row>
    <row r="34" spans="2:7" ht="15">
      <c r="B34" s="2226" t="s">
        <v>274</v>
      </c>
      <c r="C34" s="2227">
        <v>2.7306231219947737E-2</v>
      </c>
      <c r="D34" s="2227">
        <v>5.907863030867995E-2</v>
      </c>
      <c r="E34" s="2227">
        <v>0.12154857845618672</v>
      </c>
      <c r="F34" s="2227">
        <v>0.79206656001518549</v>
      </c>
      <c r="G34" s="2227">
        <v>1</v>
      </c>
    </row>
  </sheetData>
  <conditionalFormatting sqref="C21:F33">
    <cfRule type="dataBar" priority="49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{C9B74F34-276E-46B4-AB4B-322965873655}</x14:id>
        </ext>
      </extLst>
    </cfRule>
  </conditionalFormatting>
  <conditionalFormatting sqref="G21:G33">
    <cfRule type="dataBar" priority="49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{F4586A3B-C3E1-4937-AB34-0A2204625A53}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B74F34-276E-46B4-AB4B-322965873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C21:F33</xm:sqref>
        </x14:conditionalFormatting>
        <x14:conditionalFormatting xmlns:xm="http://schemas.microsoft.com/office/excel/2006/main">
          <x14:cfRule type="dataBar" id="{F4586A3B-C3E1-4937-AB34-0A2204625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G21:G33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/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458</v>
      </c>
    </row>
    <row r="2" spans="1:20">
      <c r="A2" s="1571" t="s">
        <v>861</v>
      </c>
      <c r="B2" s="1570">
        <f>SUM(B11:H11)/SUM(B10:H10)</f>
        <v>0.25912408759124089</v>
      </c>
      <c r="D2" s="1606">
        <f>I11/I10</f>
        <v>0.26382978723404255</v>
      </c>
    </row>
    <row r="3" spans="1:20">
      <c r="A3" s="1075" t="s">
        <v>245</v>
      </c>
      <c r="B3" s="1016">
        <f>SUM(B12:F12)/SUM(B11:F11)</f>
        <v>2.2727272727272729</v>
      </c>
      <c r="D3" s="1016">
        <f>I12/I11</f>
        <v>1.3870967741935485</v>
      </c>
    </row>
    <row r="4" spans="1:20">
      <c r="A4" s="1088" t="s">
        <v>95</v>
      </c>
      <c r="B4" s="1016">
        <f>SUM(B13:H13)/SUM(B10:H10)</f>
        <v>11.525744525547445</v>
      </c>
      <c r="D4" s="1016">
        <f>I13/I10</f>
        <v>6.8939574468085105</v>
      </c>
    </row>
    <row r="5" spans="1:20">
      <c r="A5" t="s">
        <v>14</v>
      </c>
      <c r="B5" s="1574">
        <f>SUM(B13:H13)/SUM(B12:H12)</f>
        <v>18.254647398843932</v>
      </c>
      <c r="D5" s="1016">
        <f>I13/I12</f>
        <v>18.83813953488372</v>
      </c>
    </row>
    <row r="6" spans="1:20">
      <c r="A6" t="s">
        <v>1147</v>
      </c>
      <c r="B6" s="1574"/>
      <c r="D6" s="1016">
        <f>I13/I11</f>
        <v>26.13032258064516</v>
      </c>
    </row>
    <row r="7" spans="1:20">
      <c r="B7" s="1570"/>
    </row>
    <row r="8" spans="1:20">
      <c r="A8" t="s">
        <v>338</v>
      </c>
      <c r="B8" s="1016">
        <v>6</v>
      </c>
      <c r="C8" s="1016">
        <v>7</v>
      </c>
      <c r="D8" s="1016">
        <v>8</v>
      </c>
      <c r="E8" s="1016">
        <v>9</v>
      </c>
      <c r="F8" s="1016">
        <v>10</v>
      </c>
      <c r="G8" s="1016">
        <v>11</v>
      </c>
      <c r="H8" s="1016">
        <v>12</v>
      </c>
      <c r="I8" s="1016">
        <v>201501</v>
      </c>
      <c r="J8" s="1016">
        <v>2</v>
      </c>
      <c r="K8" s="1016">
        <v>3</v>
      </c>
      <c r="L8" s="1016">
        <v>4</v>
      </c>
      <c r="M8" s="1016">
        <v>5</v>
      </c>
      <c r="N8" s="1016">
        <v>6</v>
      </c>
      <c r="O8" s="1016">
        <v>7</v>
      </c>
      <c r="P8" s="1016">
        <v>8</v>
      </c>
      <c r="Q8" s="1016">
        <v>9</v>
      </c>
      <c r="R8" s="1016">
        <v>10</v>
      </c>
      <c r="S8" s="1016">
        <v>11</v>
      </c>
      <c r="T8" s="1016">
        <v>12</v>
      </c>
    </row>
    <row r="9" spans="1:20">
      <c r="A9" s="1075" t="s">
        <v>181</v>
      </c>
      <c r="B9" s="1078">
        <v>5</v>
      </c>
      <c r="C9" s="1078">
        <v>9</v>
      </c>
      <c r="D9" s="1078">
        <v>28</v>
      </c>
      <c r="E9" s="1078">
        <v>44</v>
      </c>
      <c r="F9" s="1078">
        <v>64</v>
      </c>
      <c r="G9" s="1078">
        <v>75</v>
      </c>
      <c r="H9" s="1078">
        <v>98</v>
      </c>
      <c r="I9" s="1078">
        <v>140</v>
      </c>
    </row>
    <row r="10" spans="1:20">
      <c r="A10" t="s">
        <v>862</v>
      </c>
      <c r="B10" s="1016">
        <f>AVERAGE(0,B9)</f>
        <v>2.5</v>
      </c>
      <c r="C10" s="1016">
        <f t="shared" ref="C10:H10" si="0">AVERAGE(B9,C9)</f>
        <v>7</v>
      </c>
      <c r="D10" s="1016">
        <f t="shared" si="0"/>
        <v>18.5</v>
      </c>
      <c r="E10" s="1016">
        <f t="shared" si="0"/>
        <v>36</v>
      </c>
      <c r="F10" s="1016">
        <f t="shared" si="0"/>
        <v>54</v>
      </c>
      <c r="G10" s="1016">
        <f t="shared" si="0"/>
        <v>69.5</v>
      </c>
      <c r="H10" s="1016">
        <f t="shared" si="0"/>
        <v>86.5</v>
      </c>
      <c r="I10" s="1016">
        <f>AVERAGE(I9,95)</f>
        <v>117.5</v>
      </c>
    </row>
    <row r="11" spans="1:20">
      <c r="A11" s="1075" t="s">
        <v>125</v>
      </c>
      <c r="B11" s="1078">
        <v>1</v>
      </c>
      <c r="C11" s="1078">
        <v>3</v>
      </c>
      <c r="D11" s="1078">
        <v>4</v>
      </c>
      <c r="E11" s="1078">
        <v>10</v>
      </c>
      <c r="F11" s="1078">
        <v>15</v>
      </c>
      <c r="G11" s="1078">
        <v>21</v>
      </c>
      <c r="H11" s="1078">
        <v>17</v>
      </c>
      <c r="I11" s="1078">
        <v>31</v>
      </c>
    </row>
    <row r="12" spans="1:20">
      <c r="A12" t="s">
        <v>309</v>
      </c>
      <c r="B12" s="1016">
        <v>3</v>
      </c>
      <c r="C12" s="1016">
        <v>14</v>
      </c>
      <c r="D12" s="1016">
        <v>8</v>
      </c>
      <c r="E12" s="1016">
        <v>21</v>
      </c>
      <c r="F12" s="1016">
        <v>29</v>
      </c>
      <c r="G12" s="1016">
        <v>37</v>
      </c>
      <c r="H12" s="1016">
        <v>61</v>
      </c>
      <c r="I12" s="1016">
        <v>43</v>
      </c>
    </row>
    <row r="13" spans="1:20">
      <c r="A13" s="1075" t="s">
        <v>170</v>
      </c>
      <c r="B13" s="386">
        <v>48.789000000000001</v>
      </c>
      <c r="C13" s="386">
        <v>331.52300000000002</v>
      </c>
      <c r="D13" s="386">
        <v>137.52000000000001</v>
      </c>
      <c r="E13" s="386">
        <v>481.26400000000001</v>
      </c>
      <c r="F13" s="386">
        <v>403.29199999999997</v>
      </c>
      <c r="G13" s="386">
        <v>580.64700000000005</v>
      </c>
      <c r="H13" s="386">
        <v>1175.019</v>
      </c>
      <c r="I13" s="386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4</vt:i4>
      </vt:variant>
    </vt:vector>
  </HeadingPairs>
  <TitlesOfParts>
    <vt:vector size="25" baseType="lpstr">
      <vt:lpstr>Cover</vt:lpstr>
      <vt:lpstr>Charts</vt:lpstr>
      <vt:lpstr>Country</vt:lpstr>
      <vt:lpstr>HCM</vt:lpstr>
      <vt:lpstr>HN</vt:lpstr>
      <vt:lpstr>Plan</vt:lpstr>
      <vt:lpstr>1.0 Production (GVL)</vt:lpstr>
      <vt:lpstr>1.1 Production by Region</vt:lpstr>
      <vt:lpstr>2.0 MP (GVL)</vt:lpstr>
      <vt:lpstr>2.1 MP by Region</vt:lpstr>
      <vt:lpstr>3.0 New AGs</vt:lpstr>
      <vt:lpstr>4.0 BD</vt:lpstr>
      <vt:lpstr>4.0 BD old</vt:lpstr>
      <vt:lpstr>4.1 BD Review</vt:lpstr>
      <vt:lpstr>BDList</vt:lpstr>
      <vt:lpstr>Target</vt:lpstr>
      <vt:lpstr>BD comment</vt:lpstr>
      <vt:lpstr>5.0 AG retention</vt:lpstr>
      <vt:lpstr>6.0 GA</vt:lpstr>
      <vt:lpstr>7.0 Product Mix</vt:lpstr>
      <vt:lpstr>8.0 Customer</vt:lpstr>
      <vt:lpstr>BDName</vt:lpstr>
      <vt:lpstr>'3.0 New AGs'!Print_Area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Tung Nguyen</cp:lastModifiedBy>
  <cp:lastPrinted>2016-02-02T08:18:46Z</cp:lastPrinted>
  <dcterms:created xsi:type="dcterms:W3CDTF">2012-05-03T08:15:59Z</dcterms:created>
  <dcterms:modified xsi:type="dcterms:W3CDTF">2017-08-10T02:49:09Z</dcterms:modified>
</cp:coreProperties>
</file>